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0_analyses_of_ref_vehicle/4_mtow_estimation/"/>
    </mc:Choice>
  </mc:AlternateContent>
  <xr:revisionPtr revIDLastSave="0" documentId="13_ncr:1_{D8919D10-A117-844F-B075-6B01EFF0F30A}" xr6:coauthVersionLast="47" xr6:coauthVersionMax="47" xr10:uidLastSave="{00000000-0000-0000-0000-000000000000}"/>
  <bookViews>
    <workbookView xWindow="15320" yWindow="740" windowWidth="14920" windowHeight="18900" activeTab="5" xr2:uid="{843CD013-835A-1741-B375-CD508AE79BD2}"/>
  </bookViews>
  <sheets>
    <sheet name="multirotor_MT" sheetId="13" r:id="rId1"/>
    <sheet name="multirotor_MMT" sheetId="14" r:id="rId2"/>
    <sheet name="multirotor_BEMT" sheetId="9" r:id="rId3"/>
    <sheet name="lift+cruise_MT" sheetId="12" r:id="rId4"/>
    <sheet name="lift+cruise_MMT" sheetId="15" r:id="rId5"/>
    <sheet name="lift+cruise_BEMT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10" l="1"/>
  <c r="O9" i="10"/>
  <c r="S10" i="15"/>
  <c r="S9" i="15"/>
  <c r="O10" i="12"/>
  <c r="O9" i="12"/>
  <c r="C8" i="10"/>
  <c r="C8" i="15"/>
  <c r="C7" i="12"/>
  <c r="C8" i="9"/>
  <c r="C8" i="13"/>
  <c r="O4" i="13" s="1"/>
  <c r="C18" i="10"/>
  <c r="C18" i="15"/>
  <c r="C17" i="12"/>
  <c r="C14" i="9"/>
  <c r="C14" i="13"/>
  <c r="S19" i="14"/>
  <c r="S5" i="14"/>
  <c r="S7" i="14" s="1"/>
  <c r="S10" i="14" s="1"/>
  <c r="S4" i="14"/>
  <c r="O13" i="14"/>
  <c r="O19" i="14"/>
  <c r="C8" i="14"/>
  <c r="C14" i="14"/>
  <c r="O5" i="13"/>
  <c r="G36" i="15"/>
  <c r="G32" i="12"/>
  <c r="G30" i="9"/>
  <c r="G36" i="14"/>
  <c r="G34" i="13"/>
  <c r="G30" i="10"/>
  <c r="O44" i="13" l="1"/>
  <c r="O45" i="13" s="1"/>
  <c r="G7" i="13"/>
  <c r="G8" i="13" s="1"/>
  <c r="G7" i="15"/>
  <c r="G8" i="15" s="1"/>
  <c r="O21" i="15"/>
  <c r="O19" i="15"/>
  <c r="O5" i="15"/>
  <c r="AH4" i="15"/>
  <c r="AD4" i="15"/>
  <c r="G7" i="14"/>
  <c r="G8" i="14" s="1"/>
  <c r="AH4" i="14"/>
  <c r="AD4" i="14"/>
  <c r="C57" i="15"/>
  <c r="C56" i="15"/>
  <c r="C52" i="15"/>
  <c r="C51" i="15"/>
  <c r="AR44" i="15"/>
  <c r="AQ44" i="15"/>
  <c r="AR43" i="15"/>
  <c r="AQ43" i="15"/>
  <c r="AR42" i="15"/>
  <c r="AQ42" i="15"/>
  <c r="AR41" i="15"/>
  <c r="AQ41" i="15"/>
  <c r="AR40" i="15"/>
  <c r="AQ40" i="15"/>
  <c r="AR39" i="15"/>
  <c r="AQ39" i="15"/>
  <c r="C42" i="15"/>
  <c r="AR38" i="15"/>
  <c r="AQ38" i="15"/>
  <c r="AR37" i="15"/>
  <c r="AQ37" i="15"/>
  <c r="AR36" i="15"/>
  <c r="AQ36" i="15"/>
  <c r="AR35" i="15"/>
  <c r="AQ35" i="15"/>
  <c r="AR34" i="15"/>
  <c r="AQ34" i="15"/>
  <c r="AR33" i="15"/>
  <c r="AQ33" i="15"/>
  <c r="AR32" i="15"/>
  <c r="AQ32" i="15"/>
  <c r="AR31" i="15"/>
  <c r="AQ31" i="15"/>
  <c r="AR30" i="15"/>
  <c r="AQ30" i="15"/>
  <c r="AR29" i="15"/>
  <c r="AQ29" i="15"/>
  <c r="AR28" i="15"/>
  <c r="AQ28" i="15"/>
  <c r="AR27" i="15"/>
  <c r="AQ27" i="15"/>
  <c r="AR26" i="15"/>
  <c r="AQ26" i="15"/>
  <c r="AR25" i="15"/>
  <c r="AQ25" i="15"/>
  <c r="AR24" i="15"/>
  <c r="AQ24" i="15"/>
  <c r="G28" i="15"/>
  <c r="AR23" i="15"/>
  <c r="AQ23" i="15"/>
  <c r="G27" i="15"/>
  <c r="AR22" i="15"/>
  <c r="AQ22" i="15"/>
  <c r="AR21" i="15"/>
  <c r="AQ21" i="15"/>
  <c r="S21" i="15"/>
  <c r="G18" i="15" s="1"/>
  <c r="G19" i="15" s="1"/>
  <c r="AR20" i="15"/>
  <c r="AQ20" i="15"/>
  <c r="AR19" i="15"/>
  <c r="AQ19" i="15"/>
  <c r="S19" i="15"/>
  <c r="AR18" i="15"/>
  <c r="AQ18" i="15"/>
  <c r="AR17" i="15"/>
  <c r="AQ17" i="15"/>
  <c r="AR16" i="15"/>
  <c r="AQ16" i="15"/>
  <c r="C17" i="15"/>
  <c r="K42" i="15" s="1"/>
  <c r="AR15" i="15"/>
  <c r="AQ15" i="15"/>
  <c r="AR14" i="15"/>
  <c r="AQ14" i="15"/>
  <c r="AR13" i="15"/>
  <c r="AQ13" i="15"/>
  <c r="G17" i="15"/>
  <c r="AR12" i="15"/>
  <c r="AQ12" i="15"/>
  <c r="AR11" i="15"/>
  <c r="AQ11" i="15"/>
  <c r="S11" i="15"/>
  <c r="C12" i="15"/>
  <c r="C31" i="15" s="1"/>
  <c r="AR10" i="15"/>
  <c r="AQ10" i="15"/>
  <c r="AR9" i="15"/>
  <c r="AQ9" i="15"/>
  <c r="C10" i="15"/>
  <c r="C24" i="15" s="1"/>
  <c r="AR8" i="15"/>
  <c r="AQ8" i="15"/>
  <c r="AR7" i="15"/>
  <c r="AQ7" i="15"/>
  <c r="AR6" i="15"/>
  <c r="AQ6" i="15"/>
  <c r="AS5" i="15"/>
  <c r="AR5" i="15"/>
  <c r="AQ5" i="15"/>
  <c r="AK6" i="15" s="1"/>
  <c r="AO5" i="15"/>
  <c r="S5" i="15"/>
  <c r="G5" i="15"/>
  <c r="AH38" i="15"/>
  <c r="AD38" i="15"/>
  <c r="G4" i="15"/>
  <c r="O22" i="15" s="1"/>
  <c r="AR44" i="14"/>
  <c r="AQ44" i="14"/>
  <c r="AR43" i="14"/>
  <c r="AQ43" i="14"/>
  <c r="AR42" i="14"/>
  <c r="AQ42" i="14"/>
  <c r="AR41" i="14"/>
  <c r="AQ41" i="14"/>
  <c r="AR40" i="14"/>
  <c r="AQ40" i="14"/>
  <c r="AR39" i="14"/>
  <c r="AQ39" i="14"/>
  <c r="AR38" i="14"/>
  <c r="AQ38" i="14"/>
  <c r="AR37" i="14"/>
  <c r="AQ37" i="14"/>
  <c r="AR36" i="14"/>
  <c r="AQ36" i="14"/>
  <c r="AR35" i="14"/>
  <c r="AQ35" i="14"/>
  <c r="AR34" i="14"/>
  <c r="AQ34" i="14"/>
  <c r="AR33" i="14"/>
  <c r="AQ33" i="14"/>
  <c r="AR32" i="14"/>
  <c r="AQ32" i="14"/>
  <c r="AR31" i="14"/>
  <c r="AQ31" i="14"/>
  <c r="C33" i="14"/>
  <c r="AR30" i="14"/>
  <c r="AQ30" i="14"/>
  <c r="AR29" i="14"/>
  <c r="AQ29" i="14"/>
  <c r="C31" i="14"/>
  <c r="AR28" i="14"/>
  <c r="AQ28" i="14"/>
  <c r="AR27" i="14"/>
  <c r="AQ27" i="14"/>
  <c r="AR26" i="14"/>
  <c r="AQ26" i="14"/>
  <c r="AR25" i="14"/>
  <c r="AQ25" i="14"/>
  <c r="G28" i="14"/>
  <c r="AR24" i="14"/>
  <c r="AQ24" i="14"/>
  <c r="G27" i="14"/>
  <c r="AR23" i="14"/>
  <c r="AQ23" i="14"/>
  <c r="AR22" i="14"/>
  <c r="AQ22" i="14"/>
  <c r="AR21" i="14"/>
  <c r="AQ21" i="14"/>
  <c r="K21" i="14"/>
  <c r="AR20" i="14"/>
  <c r="AQ20" i="14"/>
  <c r="G18" i="14"/>
  <c r="G19" i="14" s="1"/>
  <c r="K20" i="14"/>
  <c r="AR19" i="14"/>
  <c r="AQ19" i="14"/>
  <c r="AR18" i="14"/>
  <c r="AQ18" i="14"/>
  <c r="AR17" i="14"/>
  <c r="AQ17" i="14"/>
  <c r="AR16" i="14"/>
  <c r="AQ16" i="14"/>
  <c r="AR15" i="14"/>
  <c r="AQ15" i="14"/>
  <c r="AR14" i="14"/>
  <c r="AQ14" i="14"/>
  <c r="AR13" i="14"/>
  <c r="AQ13" i="14"/>
  <c r="AR12" i="14"/>
  <c r="AQ12" i="14"/>
  <c r="C13" i="14"/>
  <c r="AR11" i="14"/>
  <c r="AQ11" i="14"/>
  <c r="AR10" i="14"/>
  <c r="AQ10" i="14"/>
  <c r="AR9" i="14"/>
  <c r="AQ9" i="14"/>
  <c r="C10" i="14"/>
  <c r="C20" i="14" s="1"/>
  <c r="AR8" i="14"/>
  <c r="AQ8" i="14"/>
  <c r="AR7" i="14"/>
  <c r="AQ7" i="14"/>
  <c r="S8" i="14"/>
  <c r="AR6" i="14"/>
  <c r="AQ6" i="14"/>
  <c r="AS5" i="14"/>
  <c r="AR5" i="14"/>
  <c r="AQ5" i="14"/>
  <c r="AO5" i="14"/>
  <c r="G5" i="14"/>
  <c r="AH38" i="14"/>
  <c r="AD38" i="14"/>
  <c r="G4" i="14"/>
  <c r="O4" i="14" s="1"/>
  <c r="O8" i="14" s="1"/>
  <c r="C9" i="12"/>
  <c r="O11" i="12"/>
  <c r="O5" i="12"/>
  <c r="O19" i="12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3" i="13"/>
  <c r="AN30" i="13"/>
  <c r="AM30" i="13"/>
  <c r="AN29" i="13"/>
  <c r="AM29" i="13"/>
  <c r="C31" i="13"/>
  <c r="AN28" i="13"/>
  <c r="AM28" i="13"/>
  <c r="AN27" i="13"/>
  <c r="AM27" i="13"/>
  <c r="AN26" i="13"/>
  <c r="AM26" i="13"/>
  <c r="AN25" i="13"/>
  <c r="AM25" i="13"/>
  <c r="G26" i="13"/>
  <c r="AN24" i="13"/>
  <c r="AM24" i="13"/>
  <c r="G25" i="13"/>
  <c r="AN23" i="13"/>
  <c r="AM23" i="13"/>
  <c r="AN22" i="13"/>
  <c r="AM22" i="13"/>
  <c r="AN21" i="13"/>
  <c r="AM21" i="13"/>
  <c r="K21" i="13"/>
  <c r="AN20" i="13"/>
  <c r="AM20" i="13"/>
  <c r="O19" i="13"/>
  <c r="G16" i="13" s="1"/>
  <c r="G17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3" i="13"/>
  <c r="AN11" i="13"/>
  <c r="AM11" i="13"/>
  <c r="AN10" i="13"/>
  <c r="AM10" i="13"/>
  <c r="AN9" i="13"/>
  <c r="AM9" i="13"/>
  <c r="C10" i="13"/>
  <c r="C20" i="13" s="1"/>
  <c r="AN8" i="13"/>
  <c r="AM8" i="13"/>
  <c r="AN7" i="13"/>
  <c r="AM7" i="13"/>
  <c r="AN6" i="13"/>
  <c r="AM6" i="13"/>
  <c r="AO5" i="13"/>
  <c r="AN5" i="13"/>
  <c r="AM5" i="13"/>
  <c r="AG6" i="13" s="1"/>
  <c r="AK5" i="13"/>
  <c r="G5" i="13"/>
  <c r="G6" i="13" s="1"/>
  <c r="AD4" i="13"/>
  <c r="Z4" i="13"/>
  <c r="G4" i="13"/>
  <c r="AK6" i="14" l="1"/>
  <c r="AI6" i="13"/>
  <c r="AO6" i="13" s="1"/>
  <c r="S22" i="15"/>
  <c r="S25" i="15" s="1"/>
  <c r="G27" i="13"/>
  <c r="O25" i="15"/>
  <c r="G6" i="15"/>
  <c r="AM6" i="15"/>
  <c r="AO6" i="15" s="1"/>
  <c r="AK7" i="15" s="1"/>
  <c r="G29" i="15"/>
  <c r="K11" i="15" s="1"/>
  <c r="G29" i="14"/>
  <c r="G6" i="14"/>
  <c r="AM6" i="14"/>
  <c r="AS6" i="14" s="1"/>
  <c r="G17" i="14"/>
  <c r="K31" i="14"/>
  <c r="G15" i="13"/>
  <c r="K9" i="13" s="1"/>
  <c r="K31" i="13"/>
  <c r="K9" i="14" l="1"/>
  <c r="AK6" i="13"/>
  <c r="AG7" i="13" s="1"/>
  <c r="AM7" i="15"/>
  <c r="AO7" i="15" s="1"/>
  <c r="AM8" i="15" s="1"/>
  <c r="AS6" i="15"/>
  <c r="AO6" i="14"/>
  <c r="AK7" i="14" s="1"/>
  <c r="AI7" i="13"/>
  <c r="AK8" i="15" l="1"/>
  <c r="AS8" i="15" s="1"/>
  <c r="AK7" i="13"/>
  <c r="AI8" i="13" s="1"/>
  <c r="AM7" i="14"/>
  <c r="AS7" i="14" s="1"/>
  <c r="AS7" i="15"/>
  <c r="AO7" i="13"/>
  <c r="AG8" i="13"/>
  <c r="AK8" i="13" s="1"/>
  <c r="AO8" i="15" l="1"/>
  <c r="AK9" i="15" s="1"/>
  <c r="AO7" i="14"/>
  <c r="AM8" i="14" s="1"/>
  <c r="AM9" i="15"/>
  <c r="AO8" i="13"/>
  <c r="AI9" i="13"/>
  <c r="AG9" i="13"/>
  <c r="AS9" i="15" l="1"/>
  <c r="AK8" i="14"/>
  <c r="AO8" i="14" s="1"/>
  <c r="AK9" i="14" s="1"/>
  <c r="AO9" i="15"/>
  <c r="AM10" i="15" s="1"/>
  <c r="AK9" i="13"/>
  <c r="AO9" i="13"/>
  <c r="AM9" i="14" l="1"/>
  <c r="AS9" i="14" s="1"/>
  <c r="AS8" i="14"/>
  <c r="AK10" i="15"/>
  <c r="AS10" i="15" s="1"/>
  <c r="AG10" i="13"/>
  <c r="AI10" i="13"/>
  <c r="AO9" i="14" l="1"/>
  <c r="AK10" i="14" s="1"/>
  <c r="AO10" i="15"/>
  <c r="AM11" i="15" s="1"/>
  <c r="AK11" i="15"/>
  <c r="AM10" i="14"/>
  <c r="AO10" i="13"/>
  <c r="AK10" i="13"/>
  <c r="AG11" i="13" s="1"/>
  <c r="AS10" i="14" l="1"/>
  <c r="AS11" i="15"/>
  <c r="AO11" i="15"/>
  <c r="AM12" i="15" s="1"/>
  <c r="AO10" i="14"/>
  <c r="AI11" i="13"/>
  <c r="AK11" i="13" s="1"/>
  <c r="AK12" i="15" l="1"/>
  <c r="AS12" i="15" s="1"/>
  <c r="AK11" i="14"/>
  <c r="AM11" i="14"/>
  <c r="AO11" i="13"/>
  <c r="AG12" i="13"/>
  <c r="AI12" i="13"/>
  <c r="AS11" i="14" l="1"/>
  <c r="AO12" i="15"/>
  <c r="AK13" i="15" s="1"/>
  <c r="AO11" i="14"/>
  <c r="AO12" i="13"/>
  <c r="AK12" i="13"/>
  <c r="AI13" i="13" s="1"/>
  <c r="AM13" i="15" l="1"/>
  <c r="AS13" i="15" s="1"/>
  <c r="AM12" i="14"/>
  <c r="AK12" i="14"/>
  <c r="AG13" i="13"/>
  <c r="AK13" i="13" s="1"/>
  <c r="AI14" i="13" s="1"/>
  <c r="AO13" i="15" l="1"/>
  <c r="AM14" i="15" s="1"/>
  <c r="AO12" i="14"/>
  <c r="AK13" i="14" s="1"/>
  <c r="AM13" i="14"/>
  <c r="AS12" i="14"/>
  <c r="AO13" i="13"/>
  <c r="AG14" i="13"/>
  <c r="AO14" i="13" s="1"/>
  <c r="AK14" i="15" l="1"/>
  <c r="AO14" i="15" s="1"/>
  <c r="AK15" i="15" s="1"/>
  <c r="AO13" i="14"/>
  <c r="AS13" i="14"/>
  <c r="AK14" i="13"/>
  <c r="AG15" i="13" s="1"/>
  <c r="AS14" i="15" l="1"/>
  <c r="AM15" i="15"/>
  <c r="AS15" i="15" s="1"/>
  <c r="AI15" i="13"/>
  <c r="AK15" i="13" s="1"/>
  <c r="AM14" i="14"/>
  <c r="AK14" i="14"/>
  <c r="AO15" i="15" l="1"/>
  <c r="AO15" i="13"/>
  <c r="AO14" i="14"/>
  <c r="AM15" i="14" s="1"/>
  <c r="AK15" i="14"/>
  <c r="AS14" i="14"/>
  <c r="AG16" i="13"/>
  <c r="AI16" i="13"/>
  <c r="AM16" i="15" l="1"/>
  <c r="AK16" i="15"/>
  <c r="AO15" i="14"/>
  <c r="AK16" i="14" s="1"/>
  <c r="AS15" i="14"/>
  <c r="AO16" i="13"/>
  <c r="AK16" i="13"/>
  <c r="AM16" i="14" l="1"/>
  <c r="AS16" i="14" s="1"/>
  <c r="AO16" i="15"/>
  <c r="AK17" i="15" s="1"/>
  <c r="AM17" i="15"/>
  <c r="AS16" i="15"/>
  <c r="AG17" i="13"/>
  <c r="AI17" i="13"/>
  <c r="AO16" i="14" l="1"/>
  <c r="AM17" i="14" s="1"/>
  <c r="AS17" i="15"/>
  <c r="AO17" i="15"/>
  <c r="AM18" i="15" s="1"/>
  <c r="AK18" i="15"/>
  <c r="AK17" i="14"/>
  <c r="AK17" i="13"/>
  <c r="AO17" i="13"/>
  <c r="AO17" i="14" l="1"/>
  <c r="AK18" i="14" s="1"/>
  <c r="AO18" i="15"/>
  <c r="AK19" i="15" s="1"/>
  <c r="AS18" i="15"/>
  <c r="AS17" i="14"/>
  <c r="AI18" i="13"/>
  <c r="AG18" i="13"/>
  <c r="AM18" i="14" l="1"/>
  <c r="AS18" i="14" s="1"/>
  <c r="AM19" i="15"/>
  <c r="AS19" i="15" s="1"/>
  <c r="AK18" i="13"/>
  <c r="AG19" i="13" s="1"/>
  <c r="AO18" i="13"/>
  <c r="AO18" i="14" l="1"/>
  <c r="AM19" i="14" s="1"/>
  <c r="AO19" i="15"/>
  <c r="AK20" i="15" s="1"/>
  <c r="AK19" i="14"/>
  <c r="AI19" i="13"/>
  <c r="AO19" i="13" s="1"/>
  <c r="AM20" i="15" l="1"/>
  <c r="AS20" i="15" s="1"/>
  <c r="AK19" i="13"/>
  <c r="AG20" i="13" s="1"/>
  <c r="AS19" i="14"/>
  <c r="AO19" i="14"/>
  <c r="AK20" i="14" s="1"/>
  <c r="AO20" i="15" l="1"/>
  <c r="AK21" i="15" s="1"/>
  <c r="AI20" i="13"/>
  <c r="AO20" i="13" s="1"/>
  <c r="AM20" i="14"/>
  <c r="AS20" i="14" s="1"/>
  <c r="AM21" i="15" l="1"/>
  <c r="AS21" i="15" s="1"/>
  <c r="AK20" i="13"/>
  <c r="AG21" i="13" s="1"/>
  <c r="AO20" i="14"/>
  <c r="AO21" i="15" l="1"/>
  <c r="AM22" i="15" s="1"/>
  <c r="AI21" i="13"/>
  <c r="AO21" i="13" s="1"/>
  <c r="AK22" i="15"/>
  <c r="AM21" i="14"/>
  <c r="AK21" i="14"/>
  <c r="AO22" i="15" l="1"/>
  <c r="AK21" i="13"/>
  <c r="AG22" i="13" s="1"/>
  <c r="AS22" i="15"/>
  <c r="AK23" i="15"/>
  <c r="AM23" i="15"/>
  <c r="AO21" i="14"/>
  <c r="AM22" i="14" s="1"/>
  <c r="AS21" i="14"/>
  <c r="AI22" i="13" l="1"/>
  <c r="AO22" i="13" s="1"/>
  <c r="AS23" i="15"/>
  <c r="AO23" i="15"/>
  <c r="AK24" i="15" s="1"/>
  <c r="AK22" i="14"/>
  <c r="AO22" i="14" s="1"/>
  <c r="AK22" i="13" l="1"/>
  <c r="AG23" i="13" s="1"/>
  <c r="AM24" i="15"/>
  <c r="AO24" i="15" s="1"/>
  <c r="AK23" i="14"/>
  <c r="AM23" i="14"/>
  <c r="AS22" i="14"/>
  <c r="AI23" i="13" l="1"/>
  <c r="AO23" i="13" s="1"/>
  <c r="AS24" i="15"/>
  <c r="AM25" i="15"/>
  <c r="AK25" i="15"/>
  <c r="AS23" i="14"/>
  <c r="AO23" i="14"/>
  <c r="AK23" i="13" l="1"/>
  <c r="AG24" i="13" s="1"/>
  <c r="AO25" i="15"/>
  <c r="AM26" i="15" s="1"/>
  <c r="AS25" i="15"/>
  <c r="AM24" i="14"/>
  <c r="AK24" i="14"/>
  <c r="AI24" i="13" l="1"/>
  <c r="AO24" i="13" s="1"/>
  <c r="AK26" i="15"/>
  <c r="AS26" i="15" s="1"/>
  <c r="AO24" i="14"/>
  <c r="AK25" i="14" s="1"/>
  <c r="AM25" i="14"/>
  <c r="AS24" i="14"/>
  <c r="AK24" i="13" l="1"/>
  <c r="AI25" i="13" s="1"/>
  <c r="AO26" i="15"/>
  <c r="AK27" i="15" s="1"/>
  <c r="AO25" i="14"/>
  <c r="AK26" i="14" s="1"/>
  <c r="AM27" i="15"/>
  <c r="AS25" i="14"/>
  <c r="AM26" i="14" l="1"/>
  <c r="AS26" i="14" s="1"/>
  <c r="AG25" i="13"/>
  <c r="AK25" i="13" s="1"/>
  <c r="AO27" i="15"/>
  <c r="AS27" i="15"/>
  <c r="AO26" i="14" l="1"/>
  <c r="AM27" i="14" s="1"/>
  <c r="AI26" i="13"/>
  <c r="AG26" i="13"/>
  <c r="AO25" i="13"/>
  <c r="AK28" i="15"/>
  <c r="AM28" i="15"/>
  <c r="AK27" i="14"/>
  <c r="AO26" i="13" l="1"/>
  <c r="AK26" i="13"/>
  <c r="AG27" i="13" s="1"/>
  <c r="AS27" i="14"/>
  <c r="AS28" i="15"/>
  <c r="AO28" i="15"/>
  <c r="AO27" i="14"/>
  <c r="AI27" i="13"/>
  <c r="AK29" i="15" l="1"/>
  <c r="AM29" i="15"/>
  <c r="AM28" i="14"/>
  <c r="AK28" i="14"/>
  <c r="AK27" i="13"/>
  <c r="AI28" i="13" s="1"/>
  <c r="AO27" i="13"/>
  <c r="AS29" i="15" l="1"/>
  <c r="AO29" i="15"/>
  <c r="AO28" i="14"/>
  <c r="AM29" i="14" s="1"/>
  <c r="AK29" i="14"/>
  <c r="AS28" i="14"/>
  <c r="AG28" i="13"/>
  <c r="AO28" i="13" s="1"/>
  <c r="AK30" i="15" l="1"/>
  <c r="AM30" i="15"/>
  <c r="AO29" i="14"/>
  <c r="AK30" i="14" s="1"/>
  <c r="AS29" i="14"/>
  <c r="AK28" i="13"/>
  <c r="AG29" i="13" s="1"/>
  <c r="AM30" i="14" l="1"/>
  <c r="AS30" i="14" s="1"/>
  <c r="AI29" i="13"/>
  <c r="AK29" i="13" s="1"/>
  <c r="AS30" i="15"/>
  <c r="AO30" i="15"/>
  <c r="AK31" i="15" s="1"/>
  <c r="O7" i="15"/>
  <c r="O9" i="15" s="1"/>
  <c r="O9" i="14"/>
  <c r="O18" i="14" s="1"/>
  <c r="AO30" i="14" l="1"/>
  <c r="AO29" i="13"/>
  <c r="AM31" i="15"/>
  <c r="AS31" i="15" s="1"/>
  <c r="AM31" i="14"/>
  <c r="AK31" i="14"/>
  <c r="O10" i="15"/>
  <c r="O12" i="15"/>
  <c r="O17" i="14"/>
  <c r="AG30" i="13"/>
  <c r="AI30" i="13"/>
  <c r="AO31" i="15" l="1"/>
  <c r="AO31" i="14"/>
  <c r="AK32" i="14" s="1"/>
  <c r="AM32" i="14"/>
  <c r="AS31" i="14"/>
  <c r="O20" i="14"/>
  <c r="O23" i="14" s="1"/>
  <c r="O14" i="15"/>
  <c r="AK30" i="13"/>
  <c r="AO30" i="13"/>
  <c r="AK32" i="15" l="1"/>
  <c r="AM32" i="15"/>
  <c r="AO32" i="14"/>
  <c r="AK33" i="14" s="1"/>
  <c r="AM33" i="14"/>
  <c r="AS32" i="14"/>
  <c r="AG31" i="13"/>
  <c r="AI31" i="13"/>
  <c r="AS33" i="14" l="1"/>
  <c r="AS32" i="15"/>
  <c r="AO32" i="15"/>
  <c r="AO33" i="14"/>
  <c r="AK31" i="13"/>
  <c r="AO31" i="13"/>
  <c r="AM33" i="15" l="1"/>
  <c r="AK33" i="15"/>
  <c r="AM34" i="14"/>
  <c r="AK34" i="14"/>
  <c r="AG32" i="13"/>
  <c r="AI32" i="13"/>
  <c r="AO33" i="15" l="1"/>
  <c r="AK34" i="15" s="1"/>
  <c r="AS33" i="15"/>
  <c r="AO34" i="14"/>
  <c r="AM35" i="14" s="1"/>
  <c r="AK35" i="14"/>
  <c r="AS34" i="14"/>
  <c r="AO32" i="13"/>
  <c r="AK32" i="13"/>
  <c r="AM34" i="15" l="1"/>
  <c r="AS34" i="15" s="1"/>
  <c r="AS35" i="14"/>
  <c r="AO35" i="14"/>
  <c r="AG33" i="13"/>
  <c r="AI33" i="13"/>
  <c r="AO34" i="15" l="1"/>
  <c r="AM35" i="15" s="1"/>
  <c r="AK35" i="15"/>
  <c r="AM36" i="14"/>
  <c r="AK36" i="14"/>
  <c r="AK33" i="13"/>
  <c r="AO33" i="13"/>
  <c r="AO35" i="15" l="1"/>
  <c r="AK36" i="15" s="1"/>
  <c r="AS35" i="15"/>
  <c r="AO36" i="14"/>
  <c r="AK37" i="14" s="1"/>
  <c r="AM37" i="14"/>
  <c r="AS36" i="14"/>
  <c r="AG34" i="13"/>
  <c r="AI34" i="13"/>
  <c r="AM36" i="15" l="1"/>
  <c r="AS36" i="15" s="1"/>
  <c r="AS37" i="14"/>
  <c r="AO37" i="14"/>
  <c r="AO34" i="13"/>
  <c r="AK34" i="13"/>
  <c r="AO36" i="15" l="1"/>
  <c r="AM37" i="15" s="1"/>
  <c r="AK38" i="14"/>
  <c r="AM38" i="14"/>
  <c r="AG35" i="13"/>
  <c r="AI35" i="13"/>
  <c r="AK37" i="15" l="1"/>
  <c r="AO37" i="15" s="1"/>
  <c r="AK38" i="15" s="1"/>
  <c r="AS38" i="14"/>
  <c r="AO38" i="14"/>
  <c r="AO35" i="13"/>
  <c r="AK35" i="13"/>
  <c r="AM38" i="15" l="1"/>
  <c r="AS38" i="15" s="1"/>
  <c r="AS37" i="15"/>
  <c r="AM39" i="14"/>
  <c r="AK39" i="14"/>
  <c r="AG36" i="13"/>
  <c r="AI36" i="13"/>
  <c r="AO38" i="15" l="1"/>
  <c r="AM39" i="15" s="1"/>
  <c r="AO39" i="14"/>
  <c r="AM40" i="14" s="1"/>
  <c r="AK39" i="15"/>
  <c r="AS39" i="14"/>
  <c r="AO36" i="13"/>
  <c r="AK36" i="13"/>
  <c r="AK40" i="14" l="1"/>
  <c r="AO40" i="14" s="1"/>
  <c r="AS39" i="15"/>
  <c r="AO39" i="15"/>
  <c r="AG37" i="13"/>
  <c r="AI37" i="13"/>
  <c r="AS40" i="14" l="1"/>
  <c r="AM41" i="14"/>
  <c r="AK41" i="14"/>
  <c r="AK40" i="15"/>
  <c r="AM40" i="15"/>
  <c r="AO37" i="13"/>
  <c r="AK37" i="13"/>
  <c r="AO41" i="14" l="1"/>
  <c r="AS41" i="14"/>
  <c r="AS40" i="15"/>
  <c r="AO40" i="15"/>
  <c r="AM42" i="14"/>
  <c r="AK42" i="14"/>
  <c r="AI38" i="13"/>
  <c r="AG38" i="13"/>
  <c r="AO42" i="14" l="1"/>
  <c r="AK43" i="14" s="1"/>
  <c r="AM41" i="15"/>
  <c r="AK41" i="15"/>
  <c r="AM43" i="14"/>
  <c r="AS42" i="14"/>
  <c r="AK38" i="13"/>
  <c r="AI39" i="13" s="1"/>
  <c r="AO38" i="13"/>
  <c r="AO41" i="15" l="1"/>
  <c r="AM42" i="15" s="1"/>
  <c r="AS41" i="15"/>
  <c r="AS43" i="14"/>
  <c r="AO43" i="14"/>
  <c r="AG39" i="13"/>
  <c r="AO39" i="13" s="1"/>
  <c r="AK42" i="15" l="1"/>
  <c r="AS42" i="15" s="1"/>
  <c r="AK44" i="14"/>
  <c r="AM44" i="14"/>
  <c r="AK39" i="13"/>
  <c r="AG40" i="13" s="1"/>
  <c r="AI40" i="13"/>
  <c r="AO42" i="15" l="1"/>
  <c r="AK43" i="15" s="1"/>
  <c r="AS44" i="14"/>
  <c r="AO44" i="14"/>
  <c r="AO40" i="13"/>
  <c r="AK40" i="13"/>
  <c r="AM43" i="15" l="1"/>
  <c r="AO43" i="15" s="1"/>
  <c r="AM44" i="15" s="1"/>
  <c r="K39" i="14"/>
  <c r="K19" i="14"/>
  <c r="K23" i="14"/>
  <c r="K47" i="14"/>
  <c r="K26" i="14"/>
  <c r="K25" i="14"/>
  <c r="G13" i="14"/>
  <c r="K18" i="14"/>
  <c r="K24" i="14"/>
  <c r="K12" i="14"/>
  <c r="G9" i="14"/>
  <c r="G30" i="14"/>
  <c r="G33" i="14"/>
  <c r="G31" i="14" s="1"/>
  <c r="AI41" i="13"/>
  <c r="AG41" i="13"/>
  <c r="AS43" i="15" l="1"/>
  <c r="AK44" i="15"/>
  <c r="AS44" i="15" s="1"/>
  <c r="S9" i="14"/>
  <c r="S13" i="14" s="1"/>
  <c r="S18" i="14" s="1"/>
  <c r="K35" i="14"/>
  <c r="K43" i="14"/>
  <c r="O26" i="14"/>
  <c r="O28" i="14" s="1"/>
  <c r="O21" i="14"/>
  <c r="G32" i="14"/>
  <c r="AK41" i="13"/>
  <c r="AI42" i="13" s="1"/>
  <c r="AO41" i="13"/>
  <c r="AO44" i="15" l="1"/>
  <c r="G13" i="15" s="1"/>
  <c r="K14" i="14"/>
  <c r="S14" i="14"/>
  <c r="S17" i="14" s="1"/>
  <c r="S20" i="14" s="1"/>
  <c r="AC4" i="14"/>
  <c r="AE4" i="14"/>
  <c r="AA4" i="14"/>
  <c r="AG42" i="13"/>
  <c r="AO42" i="13" s="1"/>
  <c r="G30" i="15" l="1"/>
  <c r="O16" i="15"/>
  <c r="K24" i="15"/>
  <c r="K34" i="15"/>
  <c r="O20" i="15"/>
  <c r="O28" i="15" s="1"/>
  <c r="O30" i="15" s="1"/>
  <c r="K27" i="15"/>
  <c r="S6" i="15"/>
  <c r="K29" i="15"/>
  <c r="K21" i="15"/>
  <c r="G9" i="15"/>
  <c r="K23" i="15"/>
  <c r="K14" i="15"/>
  <c r="S4" i="15"/>
  <c r="S12" i="15" s="1"/>
  <c r="S13" i="15" s="1"/>
  <c r="K26" i="15"/>
  <c r="K28" i="15"/>
  <c r="G33" i="15"/>
  <c r="G31" i="15" s="1"/>
  <c r="G32" i="15" s="1"/>
  <c r="K22" i="15"/>
  <c r="K20" i="15"/>
  <c r="AK42" i="13"/>
  <c r="AG43" i="13" s="1"/>
  <c r="AF4" i="14"/>
  <c r="Z5" i="14" s="1"/>
  <c r="AA5" i="14" s="1"/>
  <c r="S23" i="14"/>
  <c r="S26" i="14" s="1"/>
  <c r="S28" i="14" s="1"/>
  <c r="AG4" i="14"/>
  <c r="AB5" i="14" s="1"/>
  <c r="S21" i="14"/>
  <c r="G23" i="14" s="1"/>
  <c r="G20" i="14"/>
  <c r="K15" i="14"/>
  <c r="O23" i="15" l="1"/>
  <c r="S14" i="15"/>
  <c r="K46" i="15"/>
  <c r="K38" i="15"/>
  <c r="AD5" i="14"/>
  <c r="AE5" i="14" s="1"/>
  <c r="AF5" i="14" s="1"/>
  <c r="Z6" i="14" s="1"/>
  <c r="AA6" i="14" s="1"/>
  <c r="AE4" i="15"/>
  <c r="AA4" i="15"/>
  <c r="AC4" i="15"/>
  <c r="AI43" i="13"/>
  <c r="AK43" i="13" s="1"/>
  <c r="AG44" i="13" s="1"/>
  <c r="AC38" i="14"/>
  <c r="AA38" i="14"/>
  <c r="AE38" i="14"/>
  <c r="AH5" i="14"/>
  <c r="AC5" i="14"/>
  <c r="S16" i="15" l="1"/>
  <c r="AG5" i="14"/>
  <c r="AB6" i="14" s="1"/>
  <c r="AD6" i="14" s="1"/>
  <c r="AE6" i="14" s="1"/>
  <c r="AF6" i="14" s="1"/>
  <c r="Z7" i="14" s="1"/>
  <c r="AG4" i="15"/>
  <c r="AB5" i="15" s="1"/>
  <c r="AC5" i="15" s="1"/>
  <c r="AF4" i="15"/>
  <c r="Z5" i="15" s="1"/>
  <c r="AA5" i="15" s="1"/>
  <c r="AI44" i="13"/>
  <c r="AK44" i="13" s="1"/>
  <c r="AO43" i="13"/>
  <c r="S20" i="15"/>
  <c r="K16" i="15" s="1"/>
  <c r="S15" i="15"/>
  <c r="AG38" i="14"/>
  <c r="AB39" i="14" s="1"/>
  <c r="AC39" i="14" s="1"/>
  <c r="AF38" i="14"/>
  <c r="Z39" i="14" s="1"/>
  <c r="AC6" i="14" l="1"/>
  <c r="AG6" i="14" s="1"/>
  <c r="AB7" i="14" s="1"/>
  <c r="AD7" i="14" s="1"/>
  <c r="AE7" i="14" s="1"/>
  <c r="AH6" i="14"/>
  <c r="AD5" i="15"/>
  <c r="AE5" i="15" s="1"/>
  <c r="AG5" i="15" s="1"/>
  <c r="AB6" i="15" s="1"/>
  <c r="AC6" i="15" s="1"/>
  <c r="AH5" i="15"/>
  <c r="AO44" i="13"/>
  <c r="G20" i="15"/>
  <c r="S28" i="15"/>
  <c r="S30" i="15" s="1"/>
  <c r="S23" i="15"/>
  <c r="AD39" i="14"/>
  <c r="AE39" i="14" s="1"/>
  <c r="AG39" i="14" s="1"/>
  <c r="AB40" i="14" s="1"/>
  <c r="AA39" i="14"/>
  <c r="AH39" i="14"/>
  <c r="AA7" i="14"/>
  <c r="K25" i="13"/>
  <c r="G12" i="13"/>
  <c r="G9" i="13"/>
  <c r="K19" i="13"/>
  <c r="K47" i="13"/>
  <c r="O7" i="13"/>
  <c r="O10" i="13" s="1"/>
  <c r="G28" i="13"/>
  <c r="K18" i="13"/>
  <c r="G31" i="13"/>
  <c r="G29" i="13" s="1"/>
  <c r="K39" i="13"/>
  <c r="K24" i="13"/>
  <c r="K12" i="13"/>
  <c r="K23" i="13"/>
  <c r="K26" i="13"/>
  <c r="O8" i="13" l="1"/>
  <c r="O9" i="13" s="1"/>
  <c r="AF5" i="15"/>
  <c r="Z6" i="15" s="1"/>
  <c r="AD6" i="15" s="1"/>
  <c r="AE6" i="15" s="1"/>
  <c r="AG6" i="15" s="1"/>
  <c r="AB7" i="15" s="1"/>
  <c r="AC7" i="14"/>
  <c r="AG7" i="14" s="1"/>
  <c r="AB8" i="14" s="1"/>
  <c r="AC8" i="14" s="1"/>
  <c r="AH7" i="14"/>
  <c r="G23" i="15"/>
  <c r="AA38" i="15"/>
  <c r="AC38" i="15"/>
  <c r="AE38" i="15"/>
  <c r="AF39" i="14"/>
  <c r="Z40" i="14" s="1"/>
  <c r="AH40" i="14" s="1"/>
  <c r="AF7" i="14"/>
  <c r="Z8" i="14" s="1"/>
  <c r="AA8" i="14" s="1"/>
  <c r="AC40" i="14"/>
  <c r="G10" i="13"/>
  <c r="G11" i="13" s="1"/>
  <c r="O46" i="13"/>
  <c r="O47" i="13" s="1"/>
  <c r="G30" i="13"/>
  <c r="K22" i="13"/>
  <c r="K42" i="13" s="1"/>
  <c r="K35" i="13"/>
  <c r="K43" i="13"/>
  <c r="AH6" i="15" l="1"/>
  <c r="AA6" i="15"/>
  <c r="AF6" i="15" s="1"/>
  <c r="Z7" i="15" s="1"/>
  <c r="AD7" i="15" s="1"/>
  <c r="AE7" i="15" s="1"/>
  <c r="AD40" i="14"/>
  <c r="AE40" i="14" s="1"/>
  <c r="AG40" i="14" s="1"/>
  <c r="AB41" i="14" s="1"/>
  <c r="AA40" i="14"/>
  <c r="AG38" i="15"/>
  <c r="AB39" i="15" s="1"/>
  <c r="AF38" i="15"/>
  <c r="Z39" i="15" s="1"/>
  <c r="AC7" i="15"/>
  <c r="AH8" i="14"/>
  <c r="AD8" i="14"/>
  <c r="AE8" i="14" s="1"/>
  <c r="AG8" i="14" s="1"/>
  <c r="AB9" i="14" s="1"/>
  <c r="AC9" i="14" s="1"/>
  <c r="K34" i="13"/>
  <c r="O13" i="13" l="1"/>
  <c r="O18" i="13" s="1"/>
  <c r="AA7" i="15"/>
  <c r="AF7" i="15" s="1"/>
  <c r="Z8" i="15" s="1"/>
  <c r="AA8" i="15" s="1"/>
  <c r="AH7" i="15"/>
  <c r="AF40" i="14"/>
  <c r="Z41" i="14" s="1"/>
  <c r="AA41" i="14" s="1"/>
  <c r="AF8" i="14"/>
  <c r="Z9" i="14" s="1"/>
  <c r="AA9" i="14" s="1"/>
  <c r="AG7" i="15"/>
  <c r="AB8" i="15" s="1"/>
  <c r="AC8" i="15" s="1"/>
  <c r="AD39" i="15"/>
  <c r="AE39" i="15" s="1"/>
  <c r="AA39" i="15"/>
  <c r="AH39" i="15"/>
  <c r="AC39" i="15"/>
  <c r="AC41" i="14"/>
  <c r="O14" i="13" l="1"/>
  <c r="O17" i="13" s="1"/>
  <c r="O20" i="13" s="1"/>
  <c r="O23" i="13" s="1"/>
  <c r="O26" i="13" s="1"/>
  <c r="O28" i="13" s="1"/>
  <c r="O21" i="13"/>
  <c r="G21" i="13" s="1"/>
  <c r="G18" i="13"/>
  <c r="K14" i="13"/>
  <c r="K15" i="13" s="1"/>
  <c r="AD41" i="14"/>
  <c r="AE41" i="14" s="1"/>
  <c r="AF41" i="14" s="1"/>
  <c r="Z42" i="14" s="1"/>
  <c r="AA42" i="14" s="1"/>
  <c r="AH41" i="14"/>
  <c r="AH9" i="14"/>
  <c r="AD9" i="14"/>
  <c r="AE9" i="14" s="1"/>
  <c r="AG9" i="14" s="1"/>
  <c r="AB10" i="14" s="1"/>
  <c r="AG39" i="15"/>
  <c r="AB40" i="15" s="1"/>
  <c r="AC40" i="15" s="1"/>
  <c r="AF39" i="15"/>
  <c r="Z40" i="15" s="1"/>
  <c r="AD8" i="15"/>
  <c r="AE8" i="15" s="1"/>
  <c r="AG8" i="15" s="1"/>
  <c r="AB9" i="15" s="1"/>
  <c r="AH8" i="15"/>
  <c r="Y4" i="13" l="1"/>
  <c r="W4" i="13"/>
  <c r="AA4" i="13"/>
  <c r="AG41" i="14"/>
  <c r="AB42" i="14" s="1"/>
  <c r="AH42" i="14" s="1"/>
  <c r="AF9" i="14"/>
  <c r="Z10" i="14" s="1"/>
  <c r="AA10" i="14" s="1"/>
  <c r="AD40" i="15"/>
  <c r="AE40" i="15" s="1"/>
  <c r="AG40" i="15" s="1"/>
  <c r="AB41" i="15" s="1"/>
  <c r="AC41" i="15" s="1"/>
  <c r="AH40" i="15"/>
  <c r="AA40" i="15"/>
  <c r="AF8" i="15"/>
  <c r="Z9" i="15" s="1"/>
  <c r="AA9" i="15" s="1"/>
  <c r="AC9" i="15"/>
  <c r="AC10" i="14"/>
  <c r="AC42" i="14" l="1"/>
  <c r="AC4" i="13"/>
  <c r="X5" i="13" s="1"/>
  <c r="Y5" i="13" s="1"/>
  <c r="AD42" i="14"/>
  <c r="AE42" i="14" s="1"/>
  <c r="AF42" i="14" s="1"/>
  <c r="Z43" i="14" s="1"/>
  <c r="AA43" i="14" s="1"/>
  <c r="AD10" i="14"/>
  <c r="AE10" i="14" s="1"/>
  <c r="AF10" i="14" s="1"/>
  <c r="Z11" i="14" s="1"/>
  <c r="AA11" i="14" s="1"/>
  <c r="AB4" i="13"/>
  <c r="V5" i="13" s="1"/>
  <c r="AH10" i="14"/>
  <c r="AF40" i="15"/>
  <c r="Z41" i="15" s="1"/>
  <c r="AD41" i="15" s="1"/>
  <c r="AE41" i="15" s="1"/>
  <c r="AG41" i="15" s="1"/>
  <c r="AB42" i="15" s="1"/>
  <c r="AH9" i="15"/>
  <c r="AD9" i="15"/>
  <c r="AE9" i="15" s="1"/>
  <c r="AG9" i="15" s="1"/>
  <c r="AB10" i="15" s="1"/>
  <c r="AC10" i="15" s="1"/>
  <c r="AD5" i="13" l="1"/>
  <c r="AG42" i="14"/>
  <c r="AB43" i="14" s="1"/>
  <c r="AC43" i="14" s="1"/>
  <c r="AG10" i="14"/>
  <c r="AB11" i="14" s="1"/>
  <c r="AD11" i="14" s="1"/>
  <c r="AE11" i="14" s="1"/>
  <c r="AF11" i="14" s="1"/>
  <c r="Z12" i="14" s="1"/>
  <c r="AA12" i="14" s="1"/>
  <c r="W5" i="13"/>
  <c r="Z5" i="13"/>
  <c r="AA5" i="13" s="1"/>
  <c r="AC5" i="13" s="1"/>
  <c r="X6" i="13" s="1"/>
  <c r="Y6" i="13" s="1"/>
  <c r="AH41" i="15"/>
  <c r="AA41" i="15"/>
  <c r="AF41" i="15" s="1"/>
  <c r="Z42" i="15" s="1"/>
  <c r="AF9" i="15"/>
  <c r="Z10" i="15" s="1"/>
  <c r="AH10" i="15" s="1"/>
  <c r="AH43" i="14"/>
  <c r="AD43" i="14"/>
  <c r="AE43" i="14" s="1"/>
  <c r="AG43" i="14" s="1"/>
  <c r="AB44" i="14" s="1"/>
  <c r="AC42" i="15"/>
  <c r="AC11" i="14" l="1"/>
  <c r="AG11" i="14" s="1"/>
  <c r="AB12" i="14" s="1"/>
  <c r="AC12" i="14" s="1"/>
  <c r="AH11" i="14"/>
  <c r="AB5" i="13"/>
  <c r="V6" i="13" s="1"/>
  <c r="AA10" i="15"/>
  <c r="AD10" i="15"/>
  <c r="AE10" i="15" s="1"/>
  <c r="AG10" i="15" s="1"/>
  <c r="AB11" i="15" s="1"/>
  <c r="AC11" i="15" s="1"/>
  <c r="AF43" i="14"/>
  <c r="Z44" i="14" s="1"/>
  <c r="AA44" i="14" s="1"/>
  <c r="AC44" i="14"/>
  <c r="AA42" i="15"/>
  <c r="AD42" i="15"/>
  <c r="AE42" i="15" s="1"/>
  <c r="AG42" i="15" s="1"/>
  <c r="AB43" i="15" s="1"/>
  <c r="AH42" i="15"/>
  <c r="AH12" i="14" l="1"/>
  <c r="AD12" i="14"/>
  <c r="AE12" i="14" s="1"/>
  <c r="AF12" i="14" s="1"/>
  <c r="Z13" i="14" s="1"/>
  <c r="Z6" i="13"/>
  <c r="AA6" i="13" s="1"/>
  <c r="AC6" i="13" s="1"/>
  <c r="X7" i="13" s="1"/>
  <c r="W6" i="13"/>
  <c r="AD6" i="13"/>
  <c r="AD44" i="14"/>
  <c r="AE44" i="14" s="1"/>
  <c r="AG44" i="14" s="1"/>
  <c r="AB45" i="14" s="1"/>
  <c r="AC45" i="14" s="1"/>
  <c r="AF10" i="15"/>
  <c r="Z11" i="15" s="1"/>
  <c r="AD11" i="15" s="1"/>
  <c r="AE11" i="15" s="1"/>
  <c r="AG11" i="15" s="1"/>
  <c r="AB12" i="15" s="1"/>
  <c r="AH44" i="14"/>
  <c r="AF42" i="15"/>
  <c r="Z43" i="15" s="1"/>
  <c r="AD43" i="15" s="1"/>
  <c r="AE43" i="15" s="1"/>
  <c r="AC43" i="15"/>
  <c r="AG12" i="14" l="1"/>
  <c r="AB13" i="14" s="1"/>
  <c r="AC13" i="14" s="1"/>
  <c r="AB6" i="13"/>
  <c r="V7" i="13" s="1"/>
  <c r="Z7" i="13" s="1"/>
  <c r="AA7" i="13" s="1"/>
  <c r="Y7" i="13"/>
  <c r="AH11" i="15"/>
  <c r="AA11" i="15"/>
  <c r="AF11" i="15" s="1"/>
  <c r="Z12" i="15" s="1"/>
  <c r="AF44" i="14"/>
  <c r="Z45" i="14" s="1"/>
  <c r="AH45" i="14" s="1"/>
  <c r="AH43" i="15"/>
  <c r="AA43" i="15"/>
  <c r="AF43" i="15" s="1"/>
  <c r="Z44" i="15" s="1"/>
  <c r="AA44" i="15" s="1"/>
  <c r="AC12" i="15"/>
  <c r="AG43" i="15"/>
  <c r="AB44" i="15" s="1"/>
  <c r="AA13" i="14"/>
  <c r="AH13" i="14"/>
  <c r="AD13" i="14" l="1"/>
  <c r="AE13" i="14" s="1"/>
  <c r="AG13" i="14" s="1"/>
  <c r="AB14" i="14" s="1"/>
  <c r="AC14" i="14" s="1"/>
  <c r="AD7" i="13"/>
  <c r="W7" i="13"/>
  <c r="AB7" i="13" s="1"/>
  <c r="V8" i="13" s="1"/>
  <c r="W8" i="13" s="1"/>
  <c r="AC7" i="13"/>
  <c r="X8" i="13" s="1"/>
  <c r="AA45" i="14"/>
  <c r="AD45" i="14"/>
  <c r="AE45" i="14" s="1"/>
  <c r="AG45" i="14" s="1"/>
  <c r="AB46" i="14" s="1"/>
  <c r="AC46" i="14" s="1"/>
  <c r="AA12" i="15"/>
  <c r="AD12" i="15"/>
  <c r="AE12" i="15" s="1"/>
  <c r="AG12" i="15" s="1"/>
  <c r="AB13" i="15" s="1"/>
  <c r="AH44" i="15"/>
  <c r="AC44" i="15"/>
  <c r="AD44" i="15"/>
  <c r="AE44" i="15" s="1"/>
  <c r="AF44" i="15" s="1"/>
  <c r="Z45" i="15" s="1"/>
  <c r="AH12" i="15"/>
  <c r="AF13" i="14" l="1"/>
  <c r="Z14" i="14" s="1"/>
  <c r="AA14" i="14" s="1"/>
  <c r="Y8" i="13"/>
  <c r="AD8" i="13"/>
  <c r="Z8" i="13"/>
  <c r="AA8" i="13" s="1"/>
  <c r="AF45" i="14"/>
  <c r="Z46" i="14" s="1"/>
  <c r="AA46" i="14" s="1"/>
  <c r="AF12" i="15"/>
  <c r="Z13" i="15" s="1"/>
  <c r="AA13" i="15" s="1"/>
  <c r="AG44" i="15"/>
  <c r="AB45" i="15" s="1"/>
  <c r="AC45" i="15" s="1"/>
  <c r="AC13" i="15"/>
  <c r="AA45" i="15"/>
  <c r="AH14" i="14" l="1"/>
  <c r="AD14" i="14"/>
  <c r="AE14" i="14" s="1"/>
  <c r="AG14" i="14" s="1"/>
  <c r="AB15" i="14" s="1"/>
  <c r="AC15" i="14" s="1"/>
  <c r="AC8" i="13"/>
  <c r="X9" i="13" s="1"/>
  <c r="Y9" i="13" s="1"/>
  <c r="AB8" i="13"/>
  <c r="V9" i="13" s="1"/>
  <c r="AD46" i="14"/>
  <c r="AE46" i="14" s="1"/>
  <c r="AF46" i="14" s="1"/>
  <c r="Z47" i="14" s="1"/>
  <c r="AH46" i="14"/>
  <c r="AH13" i="15"/>
  <c r="AD13" i="15"/>
  <c r="AE13" i="15" s="1"/>
  <c r="AF13" i="15" s="1"/>
  <c r="Z14" i="15" s="1"/>
  <c r="AA14" i="15" s="1"/>
  <c r="AD45" i="15"/>
  <c r="AE45" i="15" s="1"/>
  <c r="AF45" i="15" s="1"/>
  <c r="Z46" i="15" s="1"/>
  <c r="AH45" i="15"/>
  <c r="AF14" i="14" l="1"/>
  <c r="Z15" i="14" s="1"/>
  <c r="AA15" i="14" s="1"/>
  <c r="Z9" i="13"/>
  <c r="AA9" i="13" s="1"/>
  <c r="AC9" i="13" s="1"/>
  <c r="X10" i="13" s="1"/>
  <c r="W9" i="13"/>
  <c r="AD9" i="13"/>
  <c r="AG13" i="15"/>
  <c r="AB14" i="15" s="1"/>
  <c r="AD14" i="15" s="1"/>
  <c r="AE14" i="15" s="1"/>
  <c r="AF14" i="15" s="1"/>
  <c r="Z15" i="15" s="1"/>
  <c r="AA15" i="15" s="1"/>
  <c r="AG46" i="14"/>
  <c r="AB47" i="14" s="1"/>
  <c r="AC47" i="14" s="1"/>
  <c r="AA47" i="14"/>
  <c r="AG45" i="15"/>
  <c r="AB46" i="15" s="1"/>
  <c r="AD46" i="15" s="1"/>
  <c r="AE46" i="15" s="1"/>
  <c r="AA46" i="15"/>
  <c r="AD15" i="14" l="1"/>
  <c r="AE15" i="14" s="1"/>
  <c r="AF15" i="14" s="1"/>
  <c r="Z16" i="14" s="1"/>
  <c r="AA16" i="14" s="1"/>
  <c r="AH15" i="14"/>
  <c r="AD47" i="14"/>
  <c r="AE47" i="14" s="1"/>
  <c r="AF47" i="14" s="1"/>
  <c r="Z48" i="14" s="1"/>
  <c r="AA48" i="14" s="1"/>
  <c r="AB9" i="13"/>
  <c r="V10" i="13" s="1"/>
  <c r="Z10" i="13" s="1"/>
  <c r="AA10" i="13" s="1"/>
  <c r="AH47" i="14"/>
  <c r="Y10" i="13"/>
  <c r="AD10" i="13"/>
  <c r="AH14" i="15"/>
  <c r="AC14" i="15"/>
  <c r="AG14" i="15" s="1"/>
  <c r="AB15" i="15" s="1"/>
  <c r="AC15" i="15" s="1"/>
  <c r="AC46" i="15"/>
  <c r="AG46" i="15" s="1"/>
  <c r="AB47" i="15" s="1"/>
  <c r="AH46" i="15"/>
  <c r="AG15" i="14"/>
  <c r="AB16" i="14" s="1"/>
  <c r="AD16" i="14" s="1"/>
  <c r="AE16" i="14" s="1"/>
  <c r="AF16" i="14" s="1"/>
  <c r="Z17" i="14" s="1"/>
  <c r="AF46" i="15"/>
  <c r="Z47" i="15" s="1"/>
  <c r="AA47" i="15" s="1"/>
  <c r="AG47" i="14" l="1"/>
  <c r="AB48" i="14" s="1"/>
  <c r="AC48" i="14" s="1"/>
  <c r="W10" i="13"/>
  <c r="AB10" i="13" s="1"/>
  <c r="V11" i="13" s="1"/>
  <c r="W11" i="13" s="1"/>
  <c r="AC10" i="13"/>
  <c r="X11" i="13" s="1"/>
  <c r="AD15" i="15"/>
  <c r="AE15" i="15" s="1"/>
  <c r="AF15" i="15" s="1"/>
  <c r="Z16" i="15" s="1"/>
  <c r="AA16" i="15" s="1"/>
  <c r="AH15" i="15"/>
  <c r="AH16" i="14"/>
  <c r="AC16" i="14"/>
  <c r="AG16" i="14" s="1"/>
  <c r="AB17" i="14" s="1"/>
  <c r="AC17" i="14" s="1"/>
  <c r="AH47" i="15"/>
  <c r="AC47" i="15"/>
  <c r="AD47" i="15"/>
  <c r="AE47" i="15" s="1"/>
  <c r="AF47" i="15" s="1"/>
  <c r="Z48" i="15" s="1"/>
  <c r="AA17" i="14"/>
  <c r="AH48" i="14" l="1"/>
  <c r="AD48" i="14"/>
  <c r="AE48" i="14" s="1"/>
  <c r="AF48" i="14" s="1"/>
  <c r="Z49" i="14" s="1"/>
  <c r="AA49" i="14" s="1"/>
  <c r="Z11" i="13"/>
  <c r="AA11" i="13" s="1"/>
  <c r="AB11" i="13" s="1"/>
  <c r="V12" i="13" s="1"/>
  <c r="W12" i="13" s="1"/>
  <c r="Y11" i="13"/>
  <c r="AD11" i="13"/>
  <c r="AG15" i="15"/>
  <c r="AB16" i="15" s="1"/>
  <c r="AH16" i="15" s="1"/>
  <c r="AH17" i="14"/>
  <c r="AD17" i="14"/>
  <c r="AE17" i="14" s="1"/>
  <c r="AG17" i="14" s="1"/>
  <c r="AB18" i="14" s="1"/>
  <c r="AC18" i="14" s="1"/>
  <c r="AG48" i="14"/>
  <c r="AB49" i="14" s="1"/>
  <c r="AA48" i="15"/>
  <c r="AG47" i="15"/>
  <c r="AB48" i="15" s="1"/>
  <c r="AC11" i="13" l="1"/>
  <c r="X12" i="13" s="1"/>
  <c r="AD12" i="13" s="1"/>
  <c r="AD16" i="15"/>
  <c r="AE16" i="15" s="1"/>
  <c r="AF16" i="15" s="1"/>
  <c r="Z17" i="15" s="1"/>
  <c r="AA17" i="15" s="1"/>
  <c r="AC16" i="15"/>
  <c r="AF17" i="14"/>
  <c r="Z18" i="14" s="1"/>
  <c r="AH18" i="14" s="1"/>
  <c r="AH49" i="14"/>
  <c r="AC49" i="14"/>
  <c r="AD49" i="14"/>
  <c r="AE49" i="14" s="1"/>
  <c r="AF49" i="14" s="1"/>
  <c r="Z50" i="14" s="1"/>
  <c r="AA50" i="14" s="1"/>
  <c r="AC48" i="15"/>
  <c r="AH48" i="15"/>
  <c r="AD48" i="15"/>
  <c r="AE48" i="15" s="1"/>
  <c r="AF48" i="15" s="1"/>
  <c r="Z49" i="15" s="1"/>
  <c r="Y12" i="13" l="1"/>
  <c r="Z12" i="13"/>
  <c r="AA12" i="13" s="1"/>
  <c r="AB12" i="13" s="1"/>
  <c r="V13" i="13" s="1"/>
  <c r="W13" i="13" s="1"/>
  <c r="AG16" i="15"/>
  <c r="AB17" i="15" s="1"/>
  <c r="AH17" i="15" s="1"/>
  <c r="AA18" i="14"/>
  <c r="AD18" i="14"/>
  <c r="AE18" i="14" s="1"/>
  <c r="AG18" i="14" s="1"/>
  <c r="AB19" i="14" s="1"/>
  <c r="AC19" i="14" s="1"/>
  <c r="AG49" i="14"/>
  <c r="AB50" i="14" s="1"/>
  <c r="AD50" i="14" s="1"/>
  <c r="AE50" i="14" s="1"/>
  <c r="AF50" i="14" s="1"/>
  <c r="Z51" i="14" s="1"/>
  <c r="AA51" i="14" s="1"/>
  <c r="AA49" i="15"/>
  <c r="AG48" i="15"/>
  <c r="AB49" i="15" s="1"/>
  <c r="AC12" i="13" l="1"/>
  <c r="X13" i="13" s="1"/>
  <c r="Y13" i="13" s="1"/>
  <c r="AD17" i="15"/>
  <c r="AE17" i="15" s="1"/>
  <c r="AF17" i="15" s="1"/>
  <c r="Z18" i="15" s="1"/>
  <c r="AA18" i="15" s="1"/>
  <c r="AC17" i="15"/>
  <c r="AF18" i="14"/>
  <c r="Z19" i="14" s="1"/>
  <c r="AD19" i="14" s="1"/>
  <c r="AE19" i="14" s="1"/>
  <c r="AG19" i="14" s="1"/>
  <c r="AB20" i="14" s="1"/>
  <c r="AC50" i="14"/>
  <c r="AG50" i="14" s="1"/>
  <c r="AB51" i="14" s="1"/>
  <c r="AD51" i="14" s="1"/>
  <c r="AE51" i="14" s="1"/>
  <c r="AF51" i="14" s="1"/>
  <c r="Z52" i="14" s="1"/>
  <c r="AA52" i="14" s="1"/>
  <c r="AH50" i="14"/>
  <c r="AC49" i="15"/>
  <c r="AH49" i="15"/>
  <c r="AD49" i="15"/>
  <c r="AE49" i="15" s="1"/>
  <c r="AD13" i="13" l="1"/>
  <c r="Z13" i="13"/>
  <c r="AA13" i="13" s="1"/>
  <c r="AB13" i="13" s="1"/>
  <c r="V14" i="13" s="1"/>
  <c r="W14" i="13" s="1"/>
  <c r="AG49" i="15"/>
  <c r="AB50" i="15" s="1"/>
  <c r="AC50" i="15" s="1"/>
  <c r="AG17" i="15"/>
  <c r="AB18" i="15" s="1"/>
  <c r="AH18" i="15" s="1"/>
  <c r="AH19" i="14"/>
  <c r="AA19" i="14"/>
  <c r="AF19" i="14" s="1"/>
  <c r="Z20" i="14" s="1"/>
  <c r="AH20" i="14" s="1"/>
  <c r="AH51" i="14"/>
  <c r="AC51" i="14"/>
  <c r="AG51" i="14" s="1"/>
  <c r="AB52" i="14" s="1"/>
  <c r="AF49" i="15"/>
  <c r="Z50" i="15" s="1"/>
  <c r="AC18" i="15"/>
  <c r="AC20" i="14"/>
  <c r="AC13" i="13" l="1"/>
  <c r="X14" i="13" s="1"/>
  <c r="AD18" i="15"/>
  <c r="AE18" i="15" s="1"/>
  <c r="AG18" i="15" s="1"/>
  <c r="AB19" i="15" s="1"/>
  <c r="AC19" i="15" s="1"/>
  <c r="AD50" i="15"/>
  <c r="AE50" i="15" s="1"/>
  <c r="AG50" i="15" s="1"/>
  <c r="AB51" i="15" s="1"/>
  <c r="AC51" i="15" s="1"/>
  <c r="AD20" i="14"/>
  <c r="AE20" i="14" s="1"/>
  <c r="AG20" i="14" s="1"/>
  <c r="AB21" i="14" s="1"/>
  <c r="AC21" i="14" s="1"/>
  <c r="AA20" i="14"/>
  <c r="AH50" i="15"/>
  <c r="AA50" i="15"/>
  <c r="AD52" i="14"/>
  <c r="AE52" i="14" s="1"/>
  <c r="AF52" i="14" s="1"/>
  <c r="Z53" i="14" s="1"/>
  <c r="AC52" i="14"/>
  <c r="AH52" i="14"/>
  <c r="AF18" i="15" l="1"/>
  <c r="Z19" i="15" s="1"/>
  <c r="Z14" i="13"/>
  <c r="AA14" i="13" s="1"/>
  <c r="AB14" i="13" s="1"/>
  <c r="V15" i="13" s="1"/>
  <c r="W15" i="13" s="1"/>
  <c r="AD14" i="13"/>
  <c r="Y14" i="13"/>
  <c r="AF50" i="15"/>
  <c r="Z51" i="15" s="1"/>
  <c r="AA51" i="15" s="1"/>
  <c r="AF20" i="14"/>
  <c r="Z21" i="14" s="1"/>
  <c r="AA21" i="14" s="1"/>
  <c r="AD19" i="15"/>
  <c r="AE19" i="15" s="1"/>
  <c r="AG19" i="15" s="1"/>
  <c r="AB20" i="15" s="1"/>
  <c r="AC20" i="15" s="1"/>
  <c r="AH19" i="15"/>
  <c r="AA19" i="15"/>
  <c r="AD51" i="15"/>
  <c r="AE51" i="15" s="1"/>
  <c r="AH51" i="15"/>
  <c r="AG52" i="14"/>
  <c r="AB53" i="14" s="1"/>
  <c r="AH53" i="14" s="1"/>
  <c r="AA53" i="14"/>
  <c r="AC14" i="13" l="1"/>
  <c r="X15" i="13" s="1"/>
  <c r="Y15" i="13" s="1"/>
  <c r="AD21" i="14"/>
  <c r="AE21" i="14" s="1"/>
  <c r="AG21" i="14" s="1"/>
  <c r="AB22" i="14" s="1"/>
  <c r="AC22" i="14" s="1"/>
  <c r="AH21" i="14"/>
  <c r="AF19" i="15"/>
  <c r="Z20" i="15" s="1"/>
  <c r="AA20" i="15" s="1"/>
  <c r="AD53" i="14"/>
  <c r="AE53" i="14" s="1"/>
  <c r="AF53" i="14" s="1"/>
  <c r="Z54" i="14" s="1"/>
  <c r="AA54" i="14" s="1"/>
  <c r="AF51" i="15"/>
  <c r="Z52" i="15" s="1"/>
  <c r="AA52" i="15" s="1"/>
  <c r="AG51" i="15"/>
  <c r="AB52" i="15" s="1"/>
  <c r="AC53" i="14"/>
  <c r="AD15" i="13" l="1"/>
  <c r="Z15" i="13"/>
  <c r="AA15" i="13" s="1"/>
  <c r="AB15" i="13" s="1"/>
  <c r="V16" i="13" s="1"/>
  <c r="W16" i="13" s="1"/>
  <c r="AF21" i="14"/>
  <c r="Z22" i="14" s="1"/>
  <c r="AH22" i="14" s="1"/>
  <c r="AD20" i="15"/>
  <c r="AE20" i="15" s="1"/>
  <c r="AG20" i="15" s="1"/>
  <c r="AB21" i="15" s="1"/>
  <c r="AC21" i="15" s="1"/>
  <c r="AH20" i="15"/>
  <c r="AG53" i="14"/>
  <c r="AB54" i="14" s="1"/>
  <c r="AC54" i="14" s="1"/>
  <c r="AD52" i="15"/>
  <c r="AE52" i="15" s="1"/>
  <c r="AF52" i="15" s="1"/>
  <c r="Z53" i="15" s="1"/>
  <c r="AA53" i="15" s="1"/>
  <c r="AH52" i="15"/>
  <c r="AC52" i="15"/>
  <c r="AA22" i="14"/>
  <c r="AC15" i="13" l="1"/>
  <c r="X16" i="13" s="1"/>
  <c r="Z16" i="13" s="1"/>
  <c r="AA16" i="13" s="1"/>
  <c r="AB16" i="13" s="1"/>
  <c r="V17" i="13" s="1"/>
  <c r="W17" i="13" s="1"/>
  <c r="AD22" i="14"/>
  <c r="AE22" i="14" s="1"/>
  <c r="AG22" i="14" s="1"/>
  <c r="AB23" i="14" s="1"/>
  <c r="AD54" i="14"/>
  <c r="AE54" i="14" s="1"/>
  <c r="AF54" i="14" s="1"/>
  <c r="Z55" i="14" s="1"/>
  <c r="AA55" i="14" s="1"/>
  <c r="AH54" i="14"/>
  <c r="AF20" i="15"/>
  <c r="Z21" i="15" s="1"/>
  <c r="AH21" i="15" s="1"/>
  <c r="AG52" i="15"/>
  <c r="AB53" i="15" s="1"/>
  <c r="AD53" i="15" s="1"/>
  <c r="AE53" i="15" s="1"/>
  <c r="AF53" i="15" s="1"/>
  <c r="Z54" i="15" s="1"/>
  <c r="AD16" i="13" l="1"/>
  <c r="Y16" i="13"/>
  <c r="AC16" i="13" s="1"/>
  <c r="X17" i="13" s="1"/>
  <c r="Z17" i="13" s="1"/>
  <c r="AA17" i="13" s="1"/>
  <c r="AB17" i="13" s="1"/>
  <c r="V18" i="13" s="1"/>
  <c r="W18" i="13" s="1"/>
  <c r="AG54" i="14"/>
  <c r="AB55" i="14" s="1"/>
  <c r="AD55" i="14" s="1"/>
  <c r="AE55" i="14" s="1"/>
  <c r="AF55" i="14" s="1"/>
  <c r="Z56" i="14" s="1"/>
  <c r="AA56" i="14" s="1"/>
  <c r="AA21" i="15"/>
  <c r="AD21" i="15"/>
  <c r="AE21" i="15" s="1"/>
  <c r="AG21" i="15" s="1"/>
  <c r="AB22" i="15" s="1"/>
  <c r="AC22" i="15" s="1"/>
  <c r="AC53" i="15"/>
  <c r="AG53" i="15" s="1"/>
  <c r="AB54" i="15" s="1"/>
  <c r="AH54" i="15" s="1"/>
  <c r="AH53" i="15"/>
  <c r="AA54" i="15"/>
  <c r="AC23" i="14"/>
  <c r="AF22" i="14"/>
  <c r="Z23" i="14" s="1"/>
  <c r="AH23" i="14" s="1"/>
  <c r="AD17" i="13" l="1"/>
  <c r="Y17" i="13"/>
  <c r="AC17" i="13" s="1"/>
  <c r="X18" i="13" s="1"/>
  <c r="Z18" i="13" s="1"/>
  <c r="AA18" i="13" s="1"/>
  <c r="AB18" i="13" s="1"/>
  <c r="V19" i="13" s="1"/>
  <c r="W19" i="13" s="1"/>
  <c r="AH55" i="14"/>
  <c r="AC55" i="14"/>
  <c r="AG55" i="14" s="1"/>
  <c r="AB56" i="14" s="1"/>
  <c r="AD56" i="14" s="1"/>
  <c r="AE56" i="14" s="1"/>
  <c r="AF56" i="14" s="1"/>
  <c r="Z57" i="14" s="1"/>
  <c r="AA57" i="14" s="1"/>
  <c r="AF21" i="15"/>
  <c r="Z22" i="15" s="1"/>
  <c r="AD54" i="15"/>
  <c r="AE54" i="15" s="1"/>
  <c r="AF54" i="15" s="1"/>
  <c r="Z55" i="15" s="1"/>
  <c r="AA55" i="15" s="1"/>
  <c r="AC54" i="15"/>
  <c r="AA23" i="14"/>
  <c r="AD23" i="14"/>
  <c r="AE23" i="14" s="1"/>
  <c r="AG23" i="14" s="1"/>
  <c r="AB24" i="14" s="1"/>
  <c r="Y18" i="13" l="1"/>
  <c r="AC18" i="13" s="1"/>
  <c r="X19" i="13" s="1"/>
  <c r="Y19" i="13" s="1"/>
  <c r="AD18" i="13"/>
  <c r="AH56" i="14"/>
  <c r="AC56" i="14"/>
  <c r="AG56" i="14" s="1"/>
  <c r="AB57" i="14" s="1"/>
  <c r="AD57" i="14" s="1"/>
  <c r="AE57" i="14" s="1"/>
  <c r="AF57" i="14" s="1"/>
  <c r="Z58" i="14" s="1"/>
  <c r="AH22" i="15"/>
  <c r="AA22" i="15"/>
  <c r="AD22" i="15"/>
  <c r="AE22" i="15" s="1"/>
  <c r="AG22" i="15" s="1"/>
  <c r="AB23" i="15" s="1"/>
  <c r="AC23" i="15" s="1"/>
  <c r="AG54" i="15"/>
  <c r="AB55" i="15" s="1"/>
  <c r="AD55" i="15" s="1"/>
  <c r="AE55" i="15" s="1"/>
  <c r="AF55" i="15" s="1"/>
  <c r="Z56" i="15" s="1"/>
  <c r="AA56" i="15" s="1"/>
  <c r="AC24" i="14"/>
  <c r="AF23" i="14"/>
  <c r="Z24" i="14" s="1"/>
  <c r="AH24" i="14" s="1"/>
  <c r="Z19" i="13" l="1"/>
  <c r="AA19" i="13" s="1"/>
  <c r="AB19" i="13" s="1"/>
  <c r="V20" i="13" s="1"/>
  <c r="W20" i="13" s="1"/>
  <c r="AD19" i="13"/>
  <c r="AC57" i="14"/>
  <c r="AG57" i="14" s="1"/>
  <c r="AB58" i="14" s="1"/>
  <c r="AH58" i="14" s="1"/>
  <c r="AH57" i="14"/>
  <c r="AH55" i="15"/>
  <c r="AC55" i="15"/>
  <c r="AG55" i="15" s="1"/>
  <c r="AB56" i="15" s="1"/>
  <c r="AF22" i="15"/>
  <c r="Z23" i="15" s="1"/>
  <c r="AA58" i="14"/>
  <c r="AA24" i="14"/>
  <c r="AD24" i="14"/>
  <c r="AC19" i="13" l="1"/>
  <c r="X20" i="13" s="1"/>
  <c r="Z20" i="13" s="1"/>
  <c r="AA20" i="13" s="1"/>
  <c r="AB20" i="13" s="1"/>
  <c r="V21" i="13" s="1"/>
  <c r="W21" i="13" s="1"/>
  <c r="AD56" i="15"/>
  <c r="AE56" i="15" s="1"/>
  <c r="AF56" i="15" s="1"/>
  <c r="Z57" i="15" s="1"/>
  <c r="AA57" i="15" s="1"/>
  <c r="AC56" i="15"/>
  <c r="AH23" i="15"/>
  <c r="AD23" i="15"/>
  <c r="AE23" i="15" s="1"/>
  <c r="AG23" i="15" s="1"/>
  <c r="AB24" i="15" s="1"/>
  <c r="AC24" i="15" s="1"/>
  <c r="AA23" i="15"/>
  <c r="AH56" i="15"/>
  <c r="AD58" i="14"/>
  <c r="AE58" i="14" s="1"/>
  <c r="AF58" i="14" s="1"/>
  <c r="Z59" i="14" s="1"/>
  <c r="AA59" i="14" s="1"/>
  <c r="AC58" i="14"/>
  <c r="AE24" i="14"/>
  <c r="AG24" i="14" s="1"/>
  <c r="AB25" i="14" s="1"/>
  <c r="Y20" i="13" l="1"/>
  <c r="AC20" i="13" s="1"/>
  <c r="X21" i="13" s="1"/>
  <c r="Z21" i="13" s="1"/>
  <c r="AA21" i="13" s="1"/>
  <c r="AB21" i="13" s="1"/>
  <c r="V22" i="13" s="1"/>
  <c r="W22" i="13" s="1"/>
  <c r="AD20" i="13"/>
  <c r="AG56" i="15"/>
  <c r="AB57" i="15" s="1"/>
  <c r="AH57" i="15" s="1"/>
  <c r="AF23" i="15"/>
  <c r="Z24" i="15" s="1"/>
  <c r="AG58" i="14"/>
  <c r="AB59" i="14" s="1"/>
  <c r="AD59" i="14" s="1"/>
  <c r="AE59" i="14" s="1"/>
  <c r="AF59" i="14" s="1"/>
  <c r="Z60" i="14" s="1"/>
  <c r="AA60" i="14" s="1"/>
  <c r="AC25" i="14"/>
  <c r="AF24" i="14"/>
  <c r="Z25" i="14" s="1"/>
  <c r="AH25" i="14" s="1"/>
  <c r="Y21" i="13" l="1"/>
  <c r="AC21" i="13" s="1"/>
  <c r="X22" i="13" s="1"/>
  <c r="AD22" i="13" s="1"/>
  <c r="AD21" i="13"/>
  <c r="AC57" i="15"/>
  <c r="AD57" i="15"/>
  <c r="AE57" i="15" s="1"/>
  <c r="AF57" i="15" s="1"/>
  <c r="Z58" i="15" s="1"/>
  <c r="AA58" i="15" s="1"/>
  <c r="AH59" i="14"/>
  <c r="AC59" i="14"/>
  <c r="AG59" i="14" s="1"/>
  <c r="AB60" i="14" s="1"/>
  <c r="AD60" i="14" s="1"/>
  <c r="AE60" i="14" s="1"/>
  <c r="AF60" i="14" s="1"/>
  <c r="Z61" i="14" s="1"/>
  <c r="AH24" i="15"/>
  <c r="AA24" i="15"/>
  <c r="AD24" i="15"/>
  <c r="AE24" i="15" s="1"/>
  <c r="AG24" i="15" s="1"/>
  <c r="AB25" i="15" s="1"/>
  <c r="AC25" i="15" s="1"/>
  <c r="AA25" i="14"/>
  <c r="AD25" i="14"/>
  <c r="Z22" i="13" l="1"/>
  <c r="AA22" i="13" s="1"/>
  <c r="AB22" i="13" s="1"/>
  <c r="V23" i="13" s="1"/>
  <c r="W23" i="13" s="1"/>
  <c r="Y22" i="13"/>
  <c r="AC22" i="13" s="1"/>
  <c r="X23" i="13" s="1"/>
  <c r="AG57" i="15"/>
  <c r="AB58" i="15" s="1"/>
  <c r="AF24" i="15"/>
  <c r="Z25" i="15" s="1"/>
  <c r="AC60" i="14"/>
  <c r="AG60" i="14" s="1"/>
  <c r="AB61" i="14" s="1"/>
  <c r="AH61" i="14" s="1"/>
  <c r="AH60" i="14"/>
  <c r="AA61" i="14"/>
  <c r="AE25" i="14"/>
  <c r="AG25" i="14" s="1"/>
  <c r="AB26" i="14" s="1"/>
  <c r="AD23" i="13" l="1"/>
  <c r="Y23" i="13"/>
  <c r="Z23" i="13"/>
  <c r="AA23" i="13" s="1"/>
  <c r="AB23" i="13" s="1"/>
  <c r="V24" i="13" s="1"/>
  <c r="W24" i="13" s="1"/>
  <c r="AD58" i="15"/>
  <c r="AE58" i="15" s="1"/>
  <c r="AF58" i="15" s="1"/>
  <c r="Z59" i="15" s="1"/>
  <c r="AH58" i="15"/>
  <c r="AC58" i="15"/>
  <c r="AH25" i="15"/>
  <c r="AD25" i="15"/>
  <c r="AE25" i="15" s="1"/>
  <c r="AG25" i="15" s="1"/>
  <c r="AB26" i="15" s="1"/>
  <c r="AC26" i="15" s="1"/>
  <c r="AA25" i="15"/>
  <c r="AD61" i="14"/>
  <c r="AE61" i="14" s="1"/>
  <c r="AF61" i="14" s="1"/>
  <c r="Z62" i="14" s="1"/>
  <c r="AA62" i="14" s="1"/>
  <c r="AC61" i="14"/>
  <c r="AC26" i="14"/>
  <c r="AF25" i="14"/>
  <c r="Z26" i="14" s="1"/>
  <c r="AC23" i="13" l="1"/>
  <c r="X24" i="13" s="1"/>
  <c r="AD24" i="13" s="1"/>
  <c r="AG58" i="15"/>
  <c r="AB59" i="15" s="1"/>
  <c r="AH59" i="15" s="1"/>
  <c r="AA59" i="15"/>
  <c r="AF25" i="15"/>
  <c r="Z26" i="15" s="1"/>
  <c r="AA26" i="15" s="1"/>
  <c r="AG61" i="14"/>
  <c r="AB62" i="14" s="1"/>
  <c r="AD62" i="14" s="1"/>
  <c r="AE62" i="14" s="1"/>
  <c r="AF62" i="14" s="1"/>
  <c r="Z63" i="14" s="1"/>
  <c r="AA63" i="14" s="1"/>
  <c r="AA26" i="14"/>
  <c r="AD26" i="14"/>
  <c r="AH26" i="14"/>
  <c r="Y24" i="13" l="1"/>
  <c r="Z24" i="13"/>
  <c r="AA24" i="13" s="1"/>
  <c r="AB24" i="13" s="1"/>
  <c r="V25" i="13" s="1"/>
  <c r="W25" i="13" s="1"/>
  <c r="AD59" i="15"/>
  <c r="AE59" i="15" s="1"/>
  <c r="AF59" i="15" s="1"/>
  <c r="Z60" i="15" s="1"/>
  <c r="AA60" i="15" s="1"/>
  <c r="AC59" i="15"/>
  <c r="AH26" i="15"/>
  <c r="AD26" i="15"/>
  <c r="AE26" i="15" s="1"/>
  <c r="AG26" i="15" s="1"/>
  <c r="AB27" i="15" s="1"/>
  <c r="AC27" i="15" s="1"/>
  <c r="AC62" i="14"/>
  <c r="AG62" i="14" s="1"/>
  <c r="AB63" i="14" s="1"/>
  <c r="AD63" i="14" s="1"/>
  <c r="AE63" i="14" s="1"/>
  <c r="AF63" i="14" s="1"/>
  <c r="Z64" i="14" s="1"/>
  <c r="AH62" i="14"/>
  <c r="AE26" i="14"/>
  <c r="AG26" i="14" s="1"/>
  <c r="AB27" i="14" s="1"/>
  <c r="AC24" i="13" l="1"/>
  <c r="X25" i="13" s="1"/>
  <c r="AD25" i="13" s="1"/>
  <c r="AG59" i="15"/>
  <c r="AB60" i="15" s="1"/>
  <c r="AC60" i="15" s="1"/>
  <c r="AF26" i="15"/>
  <c r="Z27" i="15" s="1"/>
  <c r="AH27" i="15" s="1"/>
  <c r="AH63" i="14"/>
  <c r="AC63" i="14"/>
  <c r="AG63" i="14" s="1"/>
  <c r="AB64" i="14" s="1"/>
  <c r="AC64" i="14" s="1"/>
  <c r="AA64" i="14"/>
  <c r="Y25" i="13"/>
  <c r="Z25" i="13"/>
  <c r="AA25" i="13" s="1"/>
  <c r="AB25" i="13" s="1"/>
  <c r="V26" i="13" s="1"/>
  <c r="W26" i="13" s="1"/>
  <c r="AC27" i="14"/>
  <c r="AF26" i="14"/>
  <c r="Z27" i="14" s="1"/>
  <c r="AH27" i="14" s="1"/>
  <c r="AH60" i="15" l="1"/>
  <c r="AD60" i="15"/>
  <c r="AE60" i="15" s="1"/>
  <c r="AF60" i="15" s="1"/>
  <c r="Z61" i="15" s="1"/>
  <c r="AA61" i="15" s="1"/>
  <c r="AA27" i="15"/>
  <c r="AD27" i="15"/>
  <c r="AE27" i="15" s="1"/>
  <c r="AD64" i="14"/>
  <c r="AE64" i="14" s="1"/>
  <c r="AF64" i="14" s="1"/>
  <c r="Z65" i="14" s="1"/>
  <c r="AA65" i="14" s="1"/>
  <c r="AH64" i="14"/>
  <c r="AC25" i="13"/>
  <c r="X26" i="13" s="1"/>
  <c r="AD26" i="13" s="1"/>
  <c r="AA27" i="14"/>
  <c r="AD27" i="14"/>
  <c r="AG60" i="15" l="1"/>
  <c r="AB61" i="15" s="1"/>
  <c r="AH61" i="15" s="1"/>
  <c r="AG27" i="15"/>
  <c r="AB28" i="15" s="1"/>
  <c r="AF27" i="15"/>
  <c r="Z28" i="15" s="1"/>
  <c r="AG64" i="14"/>
  <c r="AB65" i="14" s="1"/>
  <c r="AD65" i="14" s="1"/>
  <c r="AE65" i="14" s="1"/>
  <c r="AF65" i="14" s="1"/>
  <c r="Z66" i="14" s="1"/>
  <c r="Y26" i="13"/>
  <c r="Z26" i="13"/>
  <c r="AA26" i="13" s="1"/>
  <c r="AB26" i="13" s="1"/>
  <c r="V27" i="13" s="1"/>
  <c r="W27" i="13" s="1"/>
  <c r="AE27" i="14"/>
  <c r="AG27" i="14" s="1"/>
  <c r="AB28" i="14" s="1"/>
  <c r="AC61" i="15" l="1"/>
  <c r="AD61" i="15"/>
  <c r="AE61" i="15" s="1"/>
  <c r="AF61" i="15" s="1"/>
  <c r="Z62" i="15" s="1"/>
  <c r="AA62" i="15" s="1"/>
  <c r="AA28" i="15"/>
  <c r="AD28" i="15"/>
  <c r="AE28" i="15" s="1"/>
  <c r="AC28" i="15"/>
  <c r="AH28" i="15"/>
  <c r="AC65" i="14"/>
  <c r="AG65" i="14" s="1"/>
  <c r="AB66" i="14" s="1"/>
  <c r="AH66" i="14" s="1"/>
  <c r="AH65" i="14"/>
  <c r="AA66" i="14"/>
  <c r="AC26" i="13"/>
  <c r="X27" i="13" s="1"/>
  <c r="AD27" i="13" s="1"/>
  <c r="AC28" i="14"/>
  <c r="AF27" i="14"/>
  <c r="Z28" i="14" s="1"/>
  <c r="AG61" i="15" l="1"/>
  <c r="AB62" i="15" s="1"/>
  <c r="AD62" i="15" s="1"/>
  <c r="AE62" i="15" s="1"/>
  <c r="AF62" i="15" s="1"/>
  <c r="Z63" i="15" s="1"/>
  <c r="AG28" i="15"/>
  <c r="AB29" i="15" s="1"/>
  <c r="AC29" i="15" s="1"/>
  <c r="AF28" i="15"/>
  <c r="Z29" i="15" s="1"/>
  <c r="AD66" i="14"/>
  <c r="AE66" i="14" s="1"/>
  <c r="AF66" i="14" s="1"/>
  <c r="Z67" i="14" s="1"/>
  <c r="AA67" i="14" s="1"/>
  <c r="AC66" i="14"/>
  <c r="Z27" i="13"/>
  <c r="AA27" i="13" s="1"/>
  <c r="AB27" i="13" s="1"/>
  <c r="V28" i="13" s="1"/>
  <c r="W28" i="13" s="1"/>
  <c r="Y27" i="13"/>
  <c r="AA28" i="14"/>
  <c r="AD28" i="14"/>
  <c r="AH28" i="14"/>
  <c r="AC62" i="15" l="1"/>
  <c r="AG62" i="15" s="1"/>
  <c r="AB63" i="15" s="1"/>
  <c r="AH63" i="15" s="1"/>
  <c r="AH62" i="15"/>
  <c r="AA63" i="15"/>
  <c r="AD29" i="15"/>
  <c r="AE29" i="15" s="1"/>
  <c r="AG29" i="15" s="1"/>
  <c r="AB30" i="15" s="1"/>
  <c r="AH29" i="15"/>
  <c r="AA29" i="15"/>
  <c r="AG66" i="14"/>
  <c r="AB67" i="14" s="1"/>
  <c r="AD67" i="14" s="1"/>
  <c r="AE67" i="14" s="1"/>
  <c r="AF67" i="14" s="1"/>
  <c r="Z68" i="14" s="1"/>
  <c r="AA68" i="14" s="1"/>
  <c r="AC27" i="13"/>
  <c r="X28" i="13" s="1"/>
  <c r="Z28" i="13" s="1"/>
  <c r="AA28" i="13" s="1"/>
  <c r="AB28" i="13" s="1"/>
  <c r="V29" i="13" s="1"/>
  <c r="W29" i="13" s="1"/>
  <c r="AE28" i="14"/>
  <c r="AG28" i="14" s="1"/>
  <c r="AB29" i="14" s="1"/>
  <c r="AD63" i="15" l="1"/>
  <c r="AE63" i="15" s="1"/>
  <c r="AF63" i="15" s="1"/>
  <c r="Z64" i="15" s="1"/>
  <c r="AA64" i="15" s="1"/>
  <c r="AC63" i="15"/>
  <c r="AC67" i="14"/>
  <c r="AG67" i="14" s="1"/>
  <c r="AB68" i="14" s="1"/>
  <c r="AH68" i="14" s="1"/>
  <c r="AH67" i="14"/>
  <c r="Y28" i="13"/>
  <c r="AC28" i="13" s="1"/>
  <c r="X29" i="13" s="1"/>
  <c r="AD29" i="13" s="1"/>
  <c r="AD28" i="13"/>
  <c r="AC30" i="15"/>
  <c r="AF29" i="15"/>
  <c r="Z30" i="15" s="1"/>
  <c r="AH30" i="15" s="1"/>
  <c r="AC29" i="14"/>
  <c r="AF28" i="14"/>
  <c r="Z29" i="14" s="1"/>
  <c r="AH29" i="14" s="1"/>
  <c r="AG63" i="15" l="1"/>
  <c r="AB64" i="15" s="1"/>
  <c r="AD64" i="15" s="1"/>
  <c r="AE64" i="15" s="1"/>
  <c r="AF64" i="15" s="1"/>
  <c r="Z65" i="15" s="1"/>
  <c r="AA65" i="15" s="1"/>
  <c r="AD68" i="14"/>
  <c r="S24" i="14" s="1"/>
  <c r="S25" i="14" s="1"/>
  <c r="G21" i="14" s="1"/>
  <c r="AC68" i="14"/>
  <c r="AE68" i="14"/>
  <c r="AF68" i="14" s="1"/>
  <c r="Y29" i="13"/>
  <c r="Z29" i="13"/>
  <c r="AA29" i="13" s="1"/>
  <c r="AB29" i="13" s="1"/>
  <c r="V30" i="13" s="1"/>
  <c r="W30" i="13" s="1"/>
  <c r="AA30" i="15"/>
  <c r="AD30" i="15"/>
  <c r="AA29" i="14"/>
  <c r="AD29" i="14"/>
  <c r="AH64" i="15" l="1"/>
  <c r="AC64" i="15"/>
  <c r="AG64" i="15" s="1"/>
  <c r="AB65" i="15" s="1"/>
  <c r="AD65" i="15" s="1"/>
  <c r="AE65" i="15" s="1"/>
  <c r="AF65" i="15" s="1"/>
  <c r="Z66" i="15" s="1"/>
  <c r="AA66" i="15" s="1"/>
  <c r="AG68" i="14"/>
  <c r="G24" i="14"/>
  <c r="G37" i="14" s="1"/>
  <c r="G22" i="14"/>
  <c r="AC29" i="13"/>
  <c r="X30" i="13" s="1"/>
  <c r="Z30" i="13" s="1"/>
  <c r="AA30" i="13" s="1"/>
  <c r="AB30" i="13" s="1"/>
  <c r="V31" i="13" s="1"/>
  <c r="W31" i="13" s="1"/>
  <c r="AE30" i="15"/>
  <c r="AG30" i="15" s="1"/>
  <c r="AB31" i="15" s="1"/>
  <c r="AE29" i="14"/>
  <c r="AG29" i="14" s="1"/>
  <c r="AB30" i="14" s="1"/>
  <c r="AC65" i="15" l="1"/>
  <c r="AG65" i="15" s="1"/>
  <c r="AB66" i="15" s="1"/>
  <c r="AD66" i="15" s="1"/>
  <c r="AE66" i="15" s="1"/>
  <c r="AF66" i="15" s="1"/>
  <c r="Z67" i="15" s="1"/>
  <c r="AH65" i="15"/>
  <c r="Y30" i="13"/>
  <c r="AC30" i="13" s="1"/>
  <c r="X31" i="13" s="1"/>
  <c r="AD30" i="13"/>
  <c r="AC31" i="15"/>
  <c r="AF30" i="15"/>
  <c r="Z31" i="15" s="1"/>
  <c r="AH31" i="15" s="1"/>
  <c r="AC30" i="14"/>
  <c r="AF29" i="14"/>
  <c r="Z30" i="14" s="1"/>
  <c r="AH30" i="14" s="1"/>
  <c r="AC66" i="15" l="1"/>
  <c r="AG66" i="15" s="1"/>
  <c r="AB67" i="15" s="1"/>
  <c r="AH66" i="15"/>
  <c r="AA67" i="15"/>
  <c r="AD31" i="13"/>
  <c r="Y31" i="13"/>
  <c r="Z31" i="13"/>
  <c r="AA31" i="13" s="1"/>
  <c r="AB31" i="13" s="1"/>
  <c r="V32" i="13" s="1"/>
  <c r="W32" i="13" s="1"/>
  <c r="AD31" i="15"/>
  <c r="AE31" i="15" s="1"/>
  <c r="AG31" i="15" s="1"/>
  <c r="AB32" i="15" s="1"/>
  <c r="AA31" i="15"/>
  <c r="AA30" i="14"/>
  <c r="AD30" i="14"/>
  <c r="AH67" i="15" l="1"/>
  <c r="AD67" i="15"/>
  <c r="AE67" i="15" s="1"/>
  <c r="AF67" i="15" s="1"/>
  <c r="Z68" i="15" s="1"/>
  <c r="AA68" i="15" s="1"/>
  <c r="AC67" i="15"/>
  <c r="AC31" i="13"/>
  <c r="X32" i="13" s="1"/>
  <c r="AD32" i="13" s="1"/>
  <c r="AF31" i="15"/>
  <c r="Z32" i="15" s="1"/>
  <c r="AA32" i="15" s="1"/>
  <c r="AC32" i="15"/>
  <c r="AE30" i="14"/>
  <c r="AG30" i="14" s="1"/>
  <c r="AB31" i="14" s="1"/>
  <c r="AG67" i="15" l="1"/>
  <c r="AB68" i="15" s="1"/>
  <c r="AC68" i="15" s="1"/>
  <c r="Z32" i="13"/>
  <c r="AA32" i="13" s="1"/>
  <c r="AB32" i="13" s="1"/>
  <c r="V33" i="13" s="1"/>
  <c r="W33" i="13" s="1"/>
  <c r="Y32" i="13"/>
  <c r="AD32" i="15"/>
  <c r="AE32" i="15" s="1"/>
  <c r="AG32" i="15" s="1"/>
  <c r="AB33" i="15" s="1"/>
  <c r="AH32" i="15"/>
  <c r="AC31" i="14"/>
  <c r="AF30" i="14"/>
  <c r="Z31" i="14" s="1"/>
  <c r="C56" i="12"/>
  <c r="C55" i="12"/>
  <c r="C51" i="12"/>
  <c r="C50" i="12"/>
  <c r="AN44" i="12"/>
  <c r="AM44" i="12"/>
  <c r="AN43" i="12"/>
  <c r="AM43" i="12"/>
  <c r="AN42" i="12"/>
  <c r="AM42" i="12"/>
  <c r="AN41" i="12"/>
  <c r="AM41" i="12"/>
  <c r="AN40" i="12"/>
  <c r="AM40" i="12"/>
  <c r="C41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O22" i="12" s="1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K11" i="12" s="1"/>
  <c r="AN15" i="12"/>
  <c r="AM15" i="12"/>
  <c r="AN14" i="12"/>
  <c r="AM14" i="12"/>
  <c r="AN13" i="12"/>
  <c r="AM13" i="12"/>
  <c r="AN12" i="12"/>
  <c r="AM12" i="12"/>
  <c r="C11" i="12"/>
  <c r="C30" i="12" s="1"/>
  <c r="AN11" i="12"/>
  <c r="AM11" i="12"/>
  <c r="AN10" i="12"/>
  <c r="AM10" i="12"/>
  <c r="C23" i="12"/>
  <c r="AN9" i="12"/>
  <c r="AM9" i="12"/>
  <c r="AN8" i="12"/>
  <c r="AM8" i="12"/>
  <c r="AN7" i="12"/>
  <c r="AM7" i="12"/>
  <c r="AN6" i="12"/>
  <c r="AM6" i="12"/>
  <c r="AO5" i="12"/>
  <c r="AN5" i="12"/>
  <c r="AM5" i="12"/>
  <c r="AK5" i="12"/>
  <c r="G5" i="12"/>
  <c r="AD4" i="12"/>
  <c r="Z4" i="12"/>
  <c r="G4" i="12"/>
  <c r="AR9" i="9"/>
  <c r="AR19" i="9" s="1"/>
  <c r="G24" i="10"/>
  <c r="G23" i="10"/>
  <c r="G5" i="10"/>
  <c r="G4" i="10"/>
  <c r="AR3" i="10" s="1"/>
  <c r="G16" i="10"/>
  <c r="K11" i="10" s="1"/>
  <c r="C17" i="10"/>
  <c r="G23" i="9"/>
  <c r="G24" i="9"/>
  <c r="G4" i="9"/>
  <c r="AR3" i="9" s="1"/>
  <c r="G5" i="9"/>
  <c r="G16" i="9"/>
  <c r="AR46" i="9"/>
  <c r="AR45" i="9"/>
  <c r="O4" i="9"/>
  <c r="C13" i="9"/>
  <c r="O5" i="10"/>
  <c r="CA107" i="9"/>
  <c r="CC107" i="9"/>
  <c r="O21" i="10"/>
  <c r="O19" i="9"/>
  <c r="AD68" i="15" l="1"/>
  <c r="AE68" i="15" s="1"/>
  <c r="AH68" i="15"/>
  <c r="AG6" i="12"/>
  <c r="AC32" i="13"/>
  <c r="X33" i="13" s="1"/>
  <c r="Z33" i="13" s="1"/>
  <c r="AA33" i="13" s="1"/>
  <c r="AB33" i="13" s="1"/>
  <c r="V34" i="13" s="1"/>
  <c r="AF32" i="15"/>
  <c r="Z33" i="15" s="1"/>
  <c r="AA33" i="15" s="1"/>
  <c r="AC33" i="15"/>
  <c r="G14" i="12"/>
  <c r="G15" i="12" s="1"/>
  <c r="O25" i="12"/>
  <c r="AA31" i="14"/>
  <c r="AD31" i="14"/>
  <c r="AH31" i="14"/>
  <c r="G6" i="12"/>
  <c r="AI6" i="12"/>
  <c r="G25" i="12"/>
  <c r="K42" i="12"/>
  <c r="G17" i="9"/>
  <c r="G18" i="9" s="1"/>
  <c r="S26" i="15" l="1"/>
  <c r="S27" i="15" s="1"/>
  <c r="G21" i="15" s="1"/>
  <c r="G22" i="15" s="1"/>
  <c r="AF68" i="15"/>
  <c r="AG68" i="15"/>
  <c r="AO6" i="12"/>
  <c r="Y33" i="13"/>
  <c r="AC33" i="13" s="1"/>
  <c r="X34" i="13" s="1"/>
  <c r="Z34" i="13" s="1"/>
  <c r="AD33" i="13"/>
  <c r="AH33" i="15"/>
  <c r="AD33" i="15"/>
  <c r="AE33" i="15" s="1"/>
  <c r="AG33" i="15" s="1"/>
  <c r="AB34" i="15" s="1"/>
  <c r="AE31" i="14"/>
  <c r="AG31" i="14" s="1"/>
  <c r="AB32" i="14" s="1"/>
  <c r="AK6" i="12"/>
  <c r="AG7" i="12" s="1"/>
  <c r="W34" i="13"/>
  <c r="C57" i="10"/>
  <c r="C56" i="10"/>
  <c r="C52" i="10"/>
  <c r="C51" i="10"/>
  <c r="K42" i="10"/>
  <c r="AR9" i="10"/>
  <c r="AR10" i="10" s="1"/>
  <c r="K21" i="9"/>
  <c r="K20" i="9"/>
  <c r="C33" i="9"/>
  <c r="AN79" i="10"/>
  <c r="AM79" i="10"/>
  <c r="AN78" i="10"/>
  <c r="AM78" i="10"/>
  <c r="AN77" i="10"/>
  <c r="AM77" i="10"/>
  <c r="AN76" i="10"/>
  <c r="AM76" i="10"/>
  <c r="AN75" i="10"/>
  <c r="AM75" i="10"/>
  <c r="AN74" i="10"/>
  <c r="AM74" i="10"/>
  <c r="AN73" i="10"/>
  <c r="AM73" i="10"/>
  <c r="AN72" i="10"/>
  <c r="AM72" i="10"/>
  <c r="AN71" i="10"/>
  <c r="AM71" i="10"/>
  <c r="AN70" i="10"/>
  <c r="AM70" i="10"/>
  <c r="AN69" i="10"/>
  <c r="AM69" i="10"/>
  <c r="AN68" i="10"/>
  <c r="AM68" i="10"/>
  <c r="AN67" i="10"/>
  <c r="AM67" i="10"/>
  <c r="AN66" i="10"/>
  <c r="AM66" i="10"/>
  <c r="AN65" i="10"/>
  <c r="AM65" i="10"/>
  <c r="AN64" i="10"/>
  <c r="AM64" i="10"/>
  <c r="AN63" i="10"/>
  <c r="AM63" i="10"/>
  <c r="AN62" i="10"/>
  <c r="AM62" i="10"/>
  <c r="AN61" i="10"/>
  <c r="AM61" i="10"/>
  <c r="AN60" i="10"/>
  <c r="AM60" i="10"/>
  <c r="AN59" i="10"/>
  <c r="AM59" i="10"/>
  <c r="AN58" i="10"/>
  <c r="AM58" i="10"/>
  <c r="AN57" i="10"/>
  <c r="AM57" i="10"/>
  <c r="AN56" i="10"/>
  <c r="AM56" i="10"/>
  <c r="AN55" i="10"/>
  <c r="AM55" i="10"/>
  <c r="AN54" i="10"/>
  <c r="AM54" i="10"/>
  <c r="AN53" i="10"/>
  <c r="AM53" i="10"/>
  <c r="AN52" i="10"/>
  <c r="AM52" i="10"/>
  <c r="AN51" i="10"/>
  <c r="AM51" i="10"/>
  <c r="AO50" i="10"/>
  <c r="AN50" i="10"/>
  <c r="AM50" i="10"/>
  <c r="AK50" i="10"/>
  <c r="AR46" i="10"/>
  <c r="C12" i="10"/>
  <c r="C31" i="10" s="1"/>
  <c r="C10" i="10"/>
  <c r="C24" i="10" s="1"/>
  <c r="CH136" i="10"/>
  <c r="CG136" i="10"/>
  <c r="BW136" i="10"/>
  <c r="BV136" i="10"/>
  <c r="CH135" i="10"/>
  <c r="CG135" i="10"/>
  <c r="BW135" i="10"/>
  <c r="BV135" i="10"/>
  <c r="CH134" i="10"/>
  <c r="CG134" i="10"/>
  <c r="BW134" i="10"/>
  <c r="BV134" i="10"/>
  <c r="CH133" i="10"/>
  <c r="CG133" i="10"/>
  <c r="BW133" i="10"/>
  <c r="BV133" i="10"/>
  <c r="CH132" i="10"/>
  <c r="CG132" i="10"/>
  <c r="BW132" i="10"/>
  <c r="BV132" i="10"/>
  <c r="CH131" i="10"/>
  <c r="CG131" i="10"/>
  <c r="BW131" i="10"/>
  <c r="BV131" i="10"/>
  <c r="CH130" i="10"/>
  <c r="CG130" i="10"/>
  <c r="BW130" i="10"/>
  <c r="BV130" i="10"/>
  <c r="CH129" i="10"/>
  <c r="CG129" i="10"/>
  <c r="BW129" i="10"/>
  <c r="BV129" i="10"/>
  <c r="CH128" i="10"/>
  <c r="CG128" i="10"/>
  <c r="BW128" i="10"/>
  <c r="BV128" i="10"/>
  <c r="CH127" i="10"/>
  <c r="CG127" i="10"/>
  <c r="BW127" i="10"/>
  <c r="BV127" i="10"/>
  <c r="CH126" i="10"/>
  <c r="CG126" i="10"/>
  <c r="BW126" i="10"/>
  <c r="BV126" i="10"/>
  <c r="CH125" i="10"/>
  <c r="CG125" i="10"/>
  <c r="BW125" i="10"/>
  <c r="BV125" i="10"/>
  <c r="CH124" i="10"/>
  <c r="CG124" i="10"/>
  <c r="BW124" i="10"/>
  <c r="BV124" i="10"/>
  <c r="CH123" i="10"/>
  <c r="CG123" i="10"/>
  <c r="BW123" i="10"/>
  <c r="BV123" i="10"/>
  <c r="CH122" i="10"/>
  <c r="CG122" i="10"/>
  <c r="BW122" i="10"/>
  <c r="BV122" i="10"/>
  <c r="CH121" i="10"/>
  <c r="CG121" i="10"/>
  <c r="BW121" i="10"/>
  <c r="BV121" i="10"/>
  <c r="CH120" i="10"/>
  <c r="CG120" i="10"/>
  <c r="BW120" i="10"/>
  <c r="BV120" i="10"/>
  <c r="CH119" i="10"/>
  <c r="CG119" i="10"/>
  <c r="BW119" i="10"/>
  <c r="BV119" i="10"/>
  <c r="CH118" i="10"/>
  <c r="CG118" i="10"/>
  <c r="BW118" i="10"/>
  <c r="BV118" i="10"/>
  <c r="CH117" i="10"/>
  <c r="CG117" i="10"/>
  <c r="BW117" i="10"/>
  <c r="BV117" i="10"/>
  <c r="CH116" i="10"/>
  <c r="CG116" i="10"/>
  <c r="BW116" i="10"/>
  <c r="BV116" i="10"/>
  <c r="CH115" i="10"/>
  <c r="CG115" i="10"/>
  <c r="BW115" i="10"/>
  <c r="BV115" i="10"/>
  <c r="CH114" i="10"/>
  <c r="CG114" i="10"/>
  <c r="BW114" i="10"/>
  <c r="BV114" i="10"/>
  <c r="CH113" i="10"/>
  <c r="CG113" i="10"/>
  <c r="BW113" i="10"/>
  <c r="BV113" i="10"/>
  <c r="CH112" i="10"/>
  <c r="CG112" i="10"/>
  <c r="BW112" i="10"/>
  <c r="BV112" i="10"/>
  <c r="CH111" i="10"/>
  <c r="CG111" i="10"/>
  <c r="BW111" i="10"/>
  <c r="BV111" i="10"/>
  <c r="CH110" i="10"/>
  <c r="CG110" i="10"/>
  <c r="BW110" i="10"/>
  <c r="BV110" i="10"/>
  <c r="CH109" i="10"/>
  <c r="CG109" i="10"/>
  <c r="BW109" i="10"/>
  <c r="BV109" i="10"/>
  <c r="CH108" i="10"/>
  <c r="CG108" i="10"/>
  <c r="BW108" i="10"/>
  <c r="BV108" i="10"/>
  <c r="CH107" i="10"/>
  <c r="CG107" i="10"/>
  <c r="CC107" i="10"/>
  <c r="CA107" i="10"/>
  <c r="BW107" i="10"/>
  <c r="BV107" i="10"/>
  <c r="BR107" i="10"/>
  <c r="BP107" i="10"/>
  <c r="CH102" i="10"/>
  <c r="CG102" i="10"/>
  <c r="BW102" i="10"/>
  <c r="BV102" i="10"/>
  <c r="CH101" i="10"/>
  <c r="CG101" i="10"/>
  <c r="BW101" i="10"/>
  <c r="BV101" i="10"/>
  <c r="CH100" i="10"/>
  <c r="CG100" i="10"/>
  <c r="BW100" i="10"/>
  <c r="BV100" i="10"/>
  <c r="CH99" i="10"/>
  <c r="CG99" i="10"/>
  <c r="BW99" i="10"/>
  <c r="BV99" i="10"/>
  <c r="CH98" i="10"/>
  <c r="CG98" i="10"/>
  <c r="BW98" i="10"/>
  <c r="BV98" i="10"/>
  <c r="CH97" i="10"/>
  <c r="CG97" i="10"/>
  <c r="BW97" i="10"/>
  <c r="BV97" i="10"/>
  <c r="CH96" i="10"/>
  <c r="CG96" i="10"/>
  <c r="BW96" i="10"/>
  <c r="BV96" i="10"/>
  <c r="CH95" i="10"/>
  <c r="CG95" i="10"/>
  <c r="BW95" i="10"/>
  <c r="BV95" i="10"/>
  <c r="CH94" i="10"/>
  <c r="CG94" i="10"/>
  <c r="BW94" i="10"/>
  <c r="BV94" i="10"/>
  <c r="CH93" i="10"/>
  <c r="CG93" i="10"/>
  <c r="BW93" i="10"/>
  <c r="BV93" i="10"/>
  <c r="CH92" i="10"/>
  <c r="CG92" i="10"/>
  <c r="BW92" i="10"/>
  <c r="BV92" i="10"/>
  <c r="CH91" i="10"/>
  <c r="CG91" i="10"/>
  <c r="BW91" i="10"/>
  <c r="BV91" i="10"/>
  <c r="CH90" i="10"/>
  <c r="CG90" i="10"/>
  <c r="BW90" i="10"/>
  <c r="BV90" i="10"/>
  <c r="CH89" i="10"/>
  <c r="CG89" i="10"/>
  <c r="BW89" i="10"/>
  <c r="BV89" i="10"/>
  <c r="CH88" i="10"/>
  <c r="CG88" i="10"/>
  <c r="BW88" i="10"/>
  <c r="BV88" i="10"/>
  <c r="CH87" i="10"/>
  <c r="CG87" i="10"/>
  <c r="BW87" i="10"/>
  <c r="BV87" i="10"/>
  <c r="CH86" i="10"/>
  <c r="CG86" i="10"/>
  <c r="BW86" i="10"/>
  <c r="BV86" i="10"/>
  <c r="CH85" i="10"/>
  <c r="CG85" i="10"/>
  <c r="BW85" i="10"/>
  <c r="BV85" i="10"/>
  <c r="CH84" i="10"/>
  <c r="CG84" i="10"/>
  <c r="BW84" i="10"/>
  <c r="BV84" i="10"/>
  <c r="CH83" i="10"/>
  <c r="CG83" i="10"/>
  <c r="BW83" i="10"/>
  <c r="BV83" i="10"/>
  <c r="CH82" i="10"/>
  <c r="CG82" i="10"/>
  <c r="BW82" i="10"/>
  <c r="BV82" i="10"/>
  <c r="CH81" i="10"/>
  <c r="CG81" i="10"/>
  <c r="BW81" i="10"/>
  <c r="BV81" i="10"/>
  <c r="CH80" i="10"/>
  <c r="CG80" i="10"/>
  <c r="BW80" i="10"/>
  <c r="BV80" i="10"/>
  <c r="CH79" i="10"/>
  <c r="CG79" i="10"/>
  <c r="BW79" i="10"/>
  <c r="BV79" i="10"/>
  <c r="CH78" i="10"/>
  <c r="CG78" i="10"/>
  <c r="BW78" i="10"/>
  <c r="BV78" i="10"/>
  <c r="CH77" i="10"/>
  <c r="CG77" i="10"/>
  <c r="BW77" i="10"/>
  <c r="BV77" i="10"/>
  <c r="CH76" i="10"/>
  <c r="CG76" i="10"/>
  <c r="BW76" i="10"/>
  <c r="BV76" i="10"/>
  <c r="CH75" i="10"/>
  <c r="CG75" i="10"/>
  <c r="BW75" i="10"/>
  <c r="BV75" i="10"/>
  <c r="CH74" i="10"/>
  <c r="CG74" i="10"/>
  <c r="BW74" i="10"/>
  <c r="BV74" i="10"/>
  <c r="CH73" i="10"/>
  <c r="CG73" i="10"/>
  <c r="CC73" i="10"/>
  <c r="CA73" i="10"/>
  <c r="BW73" i="10"/>
  <c r="BV73" i="10"/>
  <c r="BR73" i="10"/>
  <c r="BP73" i="10"/>
  <c r="CH68" i="10"/>
  <c r="CG68" i="10"/>
  <c r="BW68" i="10"/>
  <c r="BV68" i="10"/>
  <c r="CH67" i="10"/>
  <c r="CG67" i="10"/>
  <c r="BW67" i="10"/>
  <c r="BV67" i="10"/>
  <c r="CH66" i="10"/>
  <c r="CG66" i="10"/>
  <c r="BW66" i="10"/>
  <c r="BV66" i="10"/>
  <c r="CH65" i="10"/>
  <c r="CG65" i="10"/>
  <c r="BW65" i="10"/>
  <c r="BV65" i="10"/>
  <c r="CH64" i="10"/>
  <c r="CG64" i="10"/>
  <c r="BW64" i="10"/>
  <c r="BV64" i="10"/>
  <c r="CH63" i="10"/>
  <c r="CG63" i="10"/>
  <c r="BW63" i="10"/>
  <c r="BV63" i="10"/>
  <c r="CH62" i="10"/>
  <c r="CG62" i="10"/>
  <c r="BW62" i="10"/>
  <c r="BV62" i="10"/>
  <c r="BL62" i="10"/>
  <c r="BH62" i="10"/>
  <c r="CH61" i="10"/>
  <c r="CG61" i="10"/>
  <c r="BW61" i="10"/>
  <c r="BV61" i="10"/>
  <c r="CH60" i="10"/>
  <c r="CG60" i="10"/>
  <c r="BW60" i="10"/>
  <c r="BV60" i="10"/>
  <c r="CH59" i="10"/>
  <c r="CG59" i="10"/>
  <c r="BW59" i="10"/>
  <c r="BV59" i="10"/>
  <c r="CH58" i="10"/>
  <c r="CG58" i="10"/>
  <c r="BW58" i="10"/>
  <c r="BV58" i="10"/>
  <c r="CH57" i="10"/>
  <c r="CG57" i="10"/>
  <c r="BW57" i="10"/>
  <c r="BV57" i="10"/>
  <c r="CH56" i="10"/>
  <c r="CG56" i="10"/>
  <c r="BW56" i="10"/>
  <c r="BV56" i="10"/>
  <c r="CH55" i="10"/>
  <c r="CG55" i="10"/>
  <c r="BW55" i="10"/>
  <c r="BV55" i="10"/>
  <c r="CH54" i="10"/>
  <c r="CG54" i="10"/>
  <c r="BW54" i="10"/>
  <c r="BV54" i="10"/>
  <c r="CH53" i="10"/>
  <c r="CG53" i="10"/>
  <c r="BW53" i="10"/>
  <c r="BV53" i="10"/>
  <c r="CH52" i="10"/>
  <c r="CG52" i="10"/>
  <c r="BW52" i="10"/>
  <c r="BV52" i="10"/>
  <c r="CH51" i="10"/>
  <c r="CG51" i="10"/>
  <c r="BW51" i="10"/>
  <c r="BV51" i="10"/>
  <c r="CH50" i="10"/>
  <c r="CG50" i="10"/>
  <c r="BW50" i="10"/>
  <c r="BV50" i="10"/>
  <c r="CH49" i="10"/>
  <c r="CG49" i="10"/>
  <c r="BW49" i="10"/>
  <c r="BV49" i="10"/>
  <c r="CH48" i="10"/>
  <c r="CG48" i="10"/>
  <c r="BW48" i="10"/>
  <c r="BV48" i="10"/>
  <c r="CH47" i="10"/>
  <c r="CG47" i="10"/>
  <c r="BW47" i="10"/>
  <c r="BV47" i="10"/>
  <c r="CH46" i="10"/>
  <c r="CG46" i="10"/>
  <c r="BW46" i="10"/>
  <c r="BV46" i="10"/>
  <c r="CH45" i="10"/>
  <c r="CG45" i="10"/>
  <c r="BW45" i="10"/>
  <c r="BV45" i="10"/>
  <c r="AR45" i="10"/>
  <c r="CH44" i="10"/>
  <c r="CG44" i="10"/>
  <c r="BW44" i="10"/>
  <c r="BV44" i="10"/>
  <c r="CH43" i="10"/>
  <c r="CG43" i="10"/>
  <c r="BW43" i="10"/>
  <c r="BV43" i="10"/>
  <c r="BL43" i="10"/>
  <c r="BH43" i="10"/>
  <c r="CH42" i="10"/>
  <c r="CG42" i="10"/>
  <c r="BW42" i="10"/>
  <c r="BV42" i="10"/>
  <c r="CH41" i="10"/>
  <c r="CG41" i="10"/>
  <c r="BW41" i="10"/>
  <c r="BV41" i="10"/>
  <c r="CH40" i="10"/>
  <c r="CG40" i="10"/>
  <c r="BW40" i="10"/>
  <c r="BV40" i="10"/>
  <c r="CH39" i="10"/>
  <c r="CG39" i="10"/>
  <c r="CC39" i="10"/>
  <c r="CA39" i="10"/>
  <c r="BW39" i="10"/>
  <c r="BV39" i="10"/>
  <c r="BR39" i="10"/>
  <c r="BP39" i="10"/>
  <c r="CH34" i="10"/>
  <c r="CG34" i="10"/>
  <c r="BW34" i="10"/>
  <c r="BV34" i="10"/>
  <c r="CH33" i="10"/>
  <c r="CG33" i="10"/>
  <c r="BW33" i="10"/>
  <c r="BV33" i="10"/>
  <c r="CH32" i="10"/>
  <c r="CG32" i="10"/>
  <c r="BW32" i="10"/>
  <c r="BV32" i="10"/>
  <c r="CH31" i="10"/>
  <c r="CG31" i="10"/>
  <c r="BW31" i="10"/>
  <c r="BV31" i="10"/>
  <c r="CH30" i="10"/>
  <c r="CG30" i="10"/>
  <c r="BW30" i="10"/>
  <c r="BV30" i="10"/>
  <c r="CH29" i="10"/>
  <c r="CG29" i="10"/>
  <c r="BW29" i="10"/>
  <c r="BV29" i="10"/>
  <c r="CH28" i="10"/>
  <c r="CG28" i="10"/>
  <c r="BW28" i="10"/>
  <c r="BV28" i="10"/>
  <c r="CH27" i="10"/>
  <c r="CG27" i="10"/>
  <c r="BW27" i="10"/>
  <c r="BV27" i="10"/>
  <c r="CH26" i="10"/>
  <c r="CG26" i="10"/>
  <c r="BW26" i="10"/>
  <c r="BV26" i="10"/>
  <c r="CH25" i="10"/>
  <c r="CG25" i="10"/>
  <c r="BW25" i="10"/>
  <c r="BV25" i="10"/>
  <c r="CH24" i="10"/>
  <c r="CG24" i="10"/>
  <c r="BW24" i="10"/>
  <c r="BV24" i="10"/>
  <c r="BL24" i="10"/>
  <c r="BH24" i="10"/>
  <c r="CH23" i="10"/>
  <c r="CG23" i="10"/>
  <c r="BW23" i="10"/>
  <c r="BV23" i="10"/>
  <c r="CH22" i="10"/>
  <c r="CG22" i="10"/>
  <c r="BW22" i="10"/>
  <c r="BV22" i="10"/>
  <c r="CH21" i="10"/>
  <c r="CG21" i="10"/>
  <c r="BW21" i="10"/>
  <c r="BV21" i="10"/>
  <c r="CH20" i="10"/>
  <c r="CG20" i="10"/>
  <c r="BW20" i="10"/>
  <c r="BV20" i="10"/>
  <c r="CH19" i="10"/>
  <c r="CG19" i="10"/>
  <c r="BW19" i="10"/>
  <c r="BV19" i="10"/>
  <c r="CH18" i="10"/>
  <c r="CG18" i="10"/>
  <c r="BW18" i="10"/>
  <c r="BV18" i="10"/>
  <c r="CH17" i="10"/>
  <c r="CG17" i="10"/>
  <c r="BW17" i="10"/>
  <c r="BV17" i="10"/>
  <c r="CH16" i="10"/>
  <c r="CG16" i="10"/>
  <c r="BW16" i="10"/>
  <c r="BV16" i="10"/>
  <c r="CH15" i="10"/>
  <c r="CG15" i="10"/>
  <c r="BW15" i="10"/>
  <c r="BV15" i="10"/>
  <c r="CH14" i="10"/>
  <c r="CG14" i="10"/>
  <c r="BW14" i="10"/>
  <c r="BV14" i="10"/>
  <c r="CH13" i="10"/>
  <c r="CG13" i="10"/>
  <c r="BW13" i="10"/>
  <c r="BV13" i="10"/>
  <c r="CH12" i="10"/>
  <c r="CG12" i="10"/>
  <c r="BW12" i="10"/>
  <c r="BV12" i="10"/>
  <c r="CH11" i="10"/>
  <c r="CG11" i="10"/>
  <c r="BW11" i="10"/>
  <c r="BV11" i="10"/>
  <c r="CH10" i="10"/>
  <c r="CG10" i="10"/>
  <c r="BW10" i="10"/>
  <c r="BV10" i="10"/>
  <c r="CH9" i="10"/>
  <c r="CG9" i="10"/>
  <c r="BW9" i="10"/>
  <c r="BV9" i="10"/>
  <c r="CH8" i="10"/>
  <c r="CG8" i="10"/>
  <c r="BW8" i="10"/>
  <c r="BV8" i="10"/>
  <c r="AR8" i="10"/>
  <c r="CH7" i="10"/>
  <c r="CG7" i="10"/>
  <c r="BW7" i="10"/>
  <c r="BV7" i="10"/>
  <c r="CH6" i="10"/>
  <c r="CG6" i="10"/>
  <c r="BW6" i="10"/>
  <c r="BV6" i="10"/>
  <c r="CH5" i="10"/>
  <c r="CG5" i="10"/>
  <c r="CC5" i="10"/>
  <c r="CA5" i="10"/>
  <c r="BW5" i="10"/>
  <c r="BV5" i="10"/>
  <c r="BR5" i="10"/>
  <c r="BP5" i="10"/>
  <c r="BL5" i="10"/>
  <c r="BH5" i="10"/>
  <c r="G24" i="15" l="1"/>
  <c r="G37" i="15" s="1"/>
  <c r="AI7" i="12"/>
  <c r="AO7" i="12" s="1"/>
  <c r="AF33" i="15"/>
  <c r="Z34" i="15" s="1"/>
  <c r="AD34" i="15" s="1"/>
  <c r="AC34" i="15"/>
  <c r="AC32" i="14"/>
  <c r="AF31" i="14"/>
  <c r="Z32" i="14" s="1"/>
  <c r="O24" i="13"/>
  <c r="O25" i="13" s="1"/>
  <c r="G19" i="13" s="1"/>
  <c r="AA34" i="13"/>
  <c r="AB34" i="13" s="1"/>
  <c r="AD34" i="13"/>
  <c r="Y34" i="13"/>
  <c r="BX39" i="10"/>
  <c r="G17" i="10"/>
  <c r="G18" i="10" s="1"/>
  <c r="AG51" i="10"/>
  <c r="BT5" i="10"/>
  <c r="BR6" i="10" s="1"/>
  <c r="CE73" i="10"/>
  <c r="AR32" i="10"/>
  <c r="BX73" i="10"/>
  <c r="BP108" i="10"/>
  <c r="BP109" i="10" s="1"/>
  <c r="AI51" i="10"/>
  <c r="G6" i="9"/>
  <c r="CC74" i="10"/>
  <c r="CA40" i="10"/>
  <c r="CA41" i="10" s="1"/>
  <c r="BT107" i="10"/>
  <c r="BR108" i="10" s="1"/>
  <c r="BP6" i="10"/>
  <c r="BT73" i="10"/>
  <c r="BP40" i="10"/>
  <c r="BP41" i="10" s="1"/>
  <c r="BT39" i="10"/>
  <c r="BR40" i="10" s="1"/>
  <c r="BP74" i="10"/>
  <c r="BP75" i="10" s="1"/>
  <c r="AR22" i="10"/>
  <c r="AR33" i="10"/>
  <c r="AR28" i="10"/>
  <c r="BR74" i="10"/>
  <c r="BX107" i="10"/>
  <c r="AR26" i="10"/>
  <c r="BD31" i="10" s="1"/>
  <c r="CA74" i="10"/>
  <c r="CA75" i="10" s="1"/>
  <c r="AR31" i="10"/>
  <c r="AR24" i="10"/>
  <c r="BX5" i="10"/>
  <c r="AR19" i="10"/>
  <c r="CI39" i="10"/>
  <c r="CI73" i="10"/>
  <c r="AR20" i="10"/>
  <c r="AR30" i="10"/>
  <c r="AV3" i="10"/>
  <c r="AV4" i="10" s="1"/>
  <c r="CE5" i="10"/>
  <c r="CC6" i="10" s="1"/>
  <c r="AR21" i="10"/>
  <c r="AR23" i="10"/>
  <c r="AR25" i="10"/>
  <c r="CI5" i="10"/>
  <c r="CA6" i="10"/>
  <c r="CA7" i="10" s="1"/>
  <c r="CE107" i="10"/>
  <c r="CC108" i="10" s="1"/>
  <c r="CA108" i="10"/>
  <c r="CI107" i="10"/>
  <c r="CE39" i="10"/>
  <c r="CC40" i="10" s="1"/>
  <c r="AR34" i="10"/>
  <c r="AR27" i="10"/>
  <c r="AR29" i="10"/>
  <c r="K6" i="15" l="1"/>
  <c r="K7" i="15" s="1"/>
  <c r="AK7" i="12"/>
  <c r="AI8" i="12" s="1"/>
  <c r="AH34" i="15"/>
  <c r="AA34" i="15"/>
  <c r="AE34" i="15"/>
  <c r="AG34" i="15" s="1"/>
  <c r="O26" i="15"/>
  <c r="AA32" i="14"/>
  <c r="AD32" i="14"/>
  <c r="AH32" i="14"/>
  <c r="AC34" i="13"/>
  <c r="G20" i="13"/>
  <c r="G22" i="13"/>
  <c r="AO51" i="10"/>
  <c r="BT108" i="10"/>
  <c r="BR109" i="10" s="1"/>
  <c r="BX109" i="10" s="1"/>
  <c r="AK51" i="10"/>
  <c r="AI52" i="10" s="1"/>
  <c r="CI40" i="10"/>
  <c r="BX108" i="10"/>
  <c r="CE74" i="10"/>
  <c r="CC75" i="10" s="1"/>
  <c r="CE75" i="10" s="1"/>
  <c r="CC76" i="10" s="1"/>
  <c r="BX40" i="10"/>
  <c r="BT6" i="10"/>
  <c r="BR7" i="10" s="1"/>
  <c r="BX6" i="10"/>
  <c r="BP7" i="10"/>
  <c r="BH65" i="10"/>
  <c r="BX74" i="10"/>
  <c r="AZ22" i="10"/>
  <c r="BL27" i="10"/>
  <c r="BT74" i="10"/>
  <c r="BR75" i="10" s="1"/>
  <c r="BT75" i="10" s="1"/>
  <c r="BR76" i="10" s="1"/>
  <c r="CI6" i="10"/>
  <c r="BL65" i="10"/>
  <c r="AZ31" i="10"/>
  <c r="BH46" i="10"/>
  <c r="CI108" i="10"/>
  <c r="BT40" i="10"/>
  <c r="BR41" i="10" s="1"/>
  <c r="BT41" i="10" s="1"/>
  <c r="BR42" i="10" s="1"/>
  <c r="BL46" i="10"/>
  <c r="CI74" i="10"/>
  <c r="AZ4" i="10"/>
  <c r="BD4" i="10"/>
  <c r="BH27" i="10"/>
  <c r="BH8" i="10"/>
  <c r="BL8" i="10"/>
  <c r="BD13" i="10"/>
  <c r="AZ13" i="10"/>
  <c r="BD22" i="10"/>
  <c r="CE6" i="10"/>
  <c r="CC7" i="10" s="1"/>
  <c r="CI7" i="10" s="1"/>
  <c r="CE108" i="10"/>
  <c r="CC109" i="10" s="1"/>
  <c r="CA109" i="10"/>
  <c r="CE40" i="10"/>
  <c r="CC41" i="10" s="1"/>
  <c r="CI41" i="10" s="1"/>
  <c r="CA76" i="10" l="1"/>
  <c r="CI76" i="10" s="1"/>
  <c r="BP76" i="10"/>
  <c r="BX76" i="10" s="1"/>
  <c r="AG8" i="12"/>
  <c r="AO8" i="12" s="1"/>
  <c r="G35" i="13"/>
  <c r="K4" i="13" s="1"/>
  <c r="K5" i="13" s="1"/>
  <c r="O27" i="15"/>
  <c r="G10" i="15" s="1"/>
  <c r="AF34" i="15"/>
  <c r="AE32" i="14"/>
  <c r="AG32" i="14" s="1"/>
  <c r="AB33" i="14" s="1"/>
  <c r="BP42" i="10"/>
  <c r="BX42" i="10" s="1"/>
  <c r="BT109" i="10"/>
  <c r="AG52" i="10"/>
  <c r="AK52" i="10" s="1"/>
  <c r="AG53" i="10" s="1"/>
  <c r="BT7" i="10"/>
  <c r="BP8" i="10" s="1"/>
  <c r="BX7" i="10"/>
  <c r="CI75" i="10"/>
  <c r="BX75" i="10"/>
  <c r="BX41" i="10"/>
  <c r="CE41" i="10"/>
  <c r="CE7" i="10"/>
  <c r="CE109" i="10"/>
  <c r="CC110" i="10" s="1"/>
  <c r="CA110" i="10"/>
  <c r="CI109" i="10"/>
  <c r="CE76" i="10" l="1"/>
  <c r="CA77" i="10" s="1"/>
  <c r="BT76" i="10"/>
  <c r="BP77" i="10" s="1"/>
  <c r="BR110" i="10"/>
  <c r="BP110" i="10"/>
  <c r="CC42" i="10"/>
  <c r="CA42" i="10"/>
  <c r="AK8" i="12"/>
  <c r="AI9" i="12" s="1"/>
  <c r="K8" i="13"/>
  <c r="K13" i="13" s="1"/>
  <c r="K48" i="13" s="1"/>
  <c r="G11" i="15"/>
  <c r="G14" i="15"/>
  <c r="K25" i="15" s="1"/>
  <c r="AC33" i="14"/>
  <c r="AF32" i="14"/>
  <c r="Z33" i="14" s="1"/>
  <c r="K17" i="13"/>
  <c r="K16" i="13"/>
  <c r="BT42" i="10"/>
  <c r="BP43" i="10" s="1"/>
  <c r="BR8" i="10"/>
  <c r="BT8" i="10" s="1"/>
  <c r="BR9" i="10" s="1"/>
  <c r="CC77" i="10"/>
  <c r="CI77" i="10" s="1"/>
  <c r="AI53" i="10"/>
  <c r="AO53" i="10" s="1"/>
  <c r="AO52" i="10"/>
  <c r="CC8" i="10"/>
  <c r="CA8" i="10"/>
  <c r="BR77" i="10"/>
  <c r="CE110" i="10"/>
  <c r="CA111" i="10" s="1"/>
  <c r="CI110" i="10"/>
  <c r="BT77" i="10" l="1"/>
  <c r="BR78" i="10" s="1"/>
  <c r="CI42" i="10"/>
  <c r="BX110" i="10"/>
  <c r="BT110" i="10"/>
  <c r="CE42" i="10"/>
  <c r="AG9" i="12"/>
  <c r="AO9" i="12" s="1"/>
  <c r="K4" i="15"/>
  <c r="K10" i="15"/>
  <c r="K15" i="15" s="1"/>
  <c r="K32" i="13"/>
  <c r="K40" i="13"/>
  <c r="G12" i="15"/>
  <c r="AA33" i="14"/>
  <c r="AD33" i="14"/>
  <c r="AH33" i="14"/>
  <c r="K41" i="13"/>
  <c r="K49" i="13"/>
  <c r="K50" i="13" s="1"/>
  <c r="K33" i="13"/>
  <c r="K27" i="13"/>
  <c r="BR43" i="10"/>
  <c r="BT43" i="10" s="1"/>
  <c r="BR44" i="10" s="1"/>
  <c r="AK53" i="10"/>
  <c r="AG54" i="10" s="1"/>
  <c r="BX8" i="10"/>
  <c r="BP78" i="10"/>
  <c r="CE77" i="10"/>
  <c r="CC78" i="10" s="1"/>
  <c r="BP9" i="10"/>
  <c r="BX9" i="10" s="1"/>
  <c r="CI8" i="10"/>
  <c r="CE8" i="10"/>
  <c r="CA9" i="10" s="1"/>
  <c r="BX77" i="10"/>
  <c r="CC111" i="10"/>
  <c r="CI111" i="10" s="1"/>
  <c r="BT78" i="10" l="1"/>
  <c r="BP79" i="10" s="1"/>
  <c r="BP111" i="10"/>
  <c r="BR111" i="10"/>
  <c r="CA43" i="10"/>
  <c r="CC43" i="10"/>
  <c r="AK9" i="12"/>
  <c r="AI10" i="12" s="1"/>
  <c r="K36" i="13"/>
  <c r="K44" i="13"/>
  <c r="BP44" i="10"/>
  <c r="BX44" i="10" s="1"/>
  <c r="K35" i="15"/>
  <c r="K43" i="15"/>
  <c r="K5" i="15"/>
  <c r="K19" i="15"/>
  <c r="K18" i="15"/>
  <c r="K37" i="15"/>
  <c r="K45" i="15"/>
  <c r="AE33" i="14"/>
  <c r="AG33" i="14" s="1"/>
  <c r="AB34" i="14" s="1"/>
  <c r="AJ4" i="13"/>
  <c r="K28" i="13"/>
  <c r="AH4" i="13"/>
  <c r="AL4" i="13"/>
  <c r="BX43" i="10"/>
  <c r="CC9" i="10"/>
  <c r="CE9" i="10" s="1"/>
  <c r="CA10" i="10" s="1"/>
  <c r="AI54" i="10"/>
  <c r="AK54" i="10" s="1"/>
  <c r="AI55" i="10" s="1"/>
  <c r="BX78" i="10"/>
  <c r="BT9" i="10"/>
  <c r="BR10" i="10" s="1"/>
  <c r="CA78" i="10"/>
  <c r="CE111" i="10"/>
  <c r="CC112" i="10" s="1"/>
  <c r="BR79" i="10"/>
  <c r="BX79" i="10" s="1"/>
  <c r="AG10" i="12" l="1"/>
  <c r="AO10" i="12" s="1"/>
  <c r="CI43" i="10"/>
  <c r="BX111" i="10"/>
  <c r="BT111" i="10"/>
  <c r="CE43" i="10"/>
  <c r="BT44" i="10"/>
  <c r="BR45" i="10" s="1"/>
  <c r="K44" i="15"/>
  <c r="K47" i="15" s="1"/>
  <c r="K36" i="15"/>
  <c r="K39" i="15" s="1"/>
  <c r="K30" i="15"/>
  <c r="AC34" i="14"/>
  <c r="AF33" i="14"/>
  <c r="Z34" i="14" s="1"/>
  <c r="CI9" i="10"/>
  <c r="AG55" i="10"/>
  <c r="AK55" i="10" s="1"/>
  <c r="AG56" i="10" s="1"/>
  <c r="AO54" i="10"/>
  <c r="CA112" i="10"/>
  <c r="CE112" i="10" s="1"/>
  <c r="CC113" i="10" s="1"/>
  <c r="BP10" i="10"/>
  <c r="CI78" i="10"/>
  <c r="CE78" i="10"/>
  <c r="CC10" i="10"/>
  <c r="CI10" i="10" s="1"/>
  <c r="BT79" i="10"/>
  <c r="BR80" i="10" s="1"/>
  <c r="BP45" i="10" l="1"/>
  <c r="BT45" i="10" s="1"/>
  <c r="BP46" i="10" s="1"/>
  <c r="AK10" i="12"/>
  <c r="BR112" i="10"/>
  <c r="BP112" i="10"/>
  <c r="CA44" i="10"/>
  <c r="CC44" i="10"/>
  <c r="AH34" i="14"/>
  <c r="AD34" i="14"/>
  <c r="AE34" i="14" s="1"/>
  <c r="K31" i="15"/>
  <c r="AN4" i="15"/>
  <c r="AP4" i="15"/>
  <c r="AL4" i="15"/>
  <c r="AA34" i="14"/>
  <c r="AI56" i="10"/>
  <c r="AK56" i="10" s="1"/>
  <c r="AI57" i="10" s="1"/>
  <c r="AO55" i="10"/>
  <c r="CA113" i="10"/>
  <c r="CI113" i="10" s="1"/>
  <c r="CI112" i="10"/>
  <c r="BX10" i="10"/>
  <c r="BT10" i="10"/>
  <c r="CC79" i="10"/>
  <c r="CA79" i="10"/>
  <c r="CE10" i="10"/>
  <c r="CA11" i="10" s="1"/>
  <c r="BP80" i="10"/>
  <c r="BX80" i="10" s="1"/>
  <c r="BX45" i="10"/>
  <c r="AG11" i="12" l="1"/>
  <c r="AI11" i="12"/>
  <c r="CI44" i="10"/>
  <c r="BX112" i="10"/>
  <c r="BT112" i="10"/>
  <c r="BR46" i="10"/>
  <c r="BX46" i="10" s="1"/>
  <c r="CE44" i="10"/>
  <c r="CC45" i="10" s="1"/>
  <c r="AG34" i="14"/>
  <c r="O24" i="14"/>
  <c r="AO56" i="10"/>
  <c r="AG57" i="10"/>
  <c r="AO57" i="10" s="1"/>
  <c r="CE113" i="10"/>
  <c r="CC114" i="10" s="1"/>
  <c r="BP11" i="10"/>
  <c r="BR11" i="10"/>
  <c r="CE79" i="10"/>
  <c r="CA80" i="10" s="1"/>
  <c r="CI79" i="10"/>
  <c r="CC11" i="10"/>
  <c r="CI11" i="10" s="1"/>
  <c r="BT80" i="10"/>
  <c r="BP81" i="10" s="1"/>
  <c r="AO11" i="12" l="1"/>
  <c r="AK11" i="12"/>
  <c r="BT46" i="10"/>
  <c r="BR47" i="10" s="1"/>
  <c r="CA45" i="10"/>
  <c r="CE45" i="10" s="1"/>
  <c r="CA46" i="10" s="1"/>
  <c r="BR113" i="10"/>
  <c r="BP113" i="10"/>
  <c r="O25" i="14"/>
  <c r="G10" i="14" s="1"/>
  <c r="AF34" i="14"/>
  <c r="CA114" i="10"/>
  <c r="CI114" i="10" s="1"/>
  <c r="AK57" i="10"/>
  <c r="AG58" i="10" s="1"/>
  <c r="CC80" i="10"/>
  <c r="CE80" i="10" s="1"/>
  <c r="CC81" i="10" s="1"/>
  <c r="BT11" i="10"/>
  <c r="BR12" i="10" s="1"/>
  <c r="BX11" i="10"/>
  <c r="CE11" i="10"/>
  <c r="CA12" i="10" s="1"/>
  <c r="BR81" i="10"/>
  <c r="BX81" i="10" s="1"/>
  <c r="BP47" i="10" l="1"/>
  <c r="AI12" i="12"/>
  <c r="AG12" i="12"/>
  <c r="CI45" i="10"/>
  <c r="BX47" i="10"/>
  <c r="CC46" i="10"/>
  <c r="CE46" i="10" s="1"/>
  <c r="CA47" i="10" s="1"/>
  <c r="BT113" i="10"/>
  <c r="BP114" i="10" s="1"/>
  <c r="BR114" i="10"/>
  <c r="BX113" i="10"/>
  <c r="G11" i="14"/>
  <c r="G14" i="14"/>
  <c r="CA81" i="10"/>
  <c r="CI81" i="10" s="1"/>
  <c r="CE114" i="10"/>
  <c r="CC115" i="10" s="1"/>
  <c r="AI58" i="10"/>
  <c r="AK58" i="10" s="1"/>
  <c r="AI59" i="10" s="1"/>
  <c r="BP12" i="10"/>
  <c r="BX12" i="10" s="1"/>
  <c r="CI80" i="10"/>
  <c r="CC12" i="10"/>
  <c r="CI12" i="10" s="1"/>
  <c r="BT81" i="10"/>
  <c r="BR82" i="10" s="1"/>
  <c r="BT47" i="10"/>
  <c r="BP48" i="10" s="1"/>
  <c r="CC47" i="10" l="1"/>
  <c r="AO12" i="12"/>
  <c r="AK12" i="12"/>
  <c r="BX114" i="10"/>
  <c r="CI46" i="10"/>
  <c r="BT114" i="10"/>
  <c r="BR115" i="10" s="1"/>
  <c r="K4" i="14"/>
  <c r="K8" i="14"/>
  <c r="K13" i="14" s="1"/>
  <c r="G12" i="14"/>
  <c r="K22" i="14"/>
  <c r="CE81" i="10"/>
  <c r="CA82" i="10" s="1"/>
  <c r="CA115" i="10"/>
  <c r="CE115" i="10" s="1"/>
  <c r="CA116" i="10" s="1"/>
  <c r="AG59" i="10"/>
  <c r="AK59" i="10" s="1"/>
  <c r="AG60" i="10" s="1"/>
  <c r="AO58" i="10"/>
  <c r="BT12" i="10"/>
  <c r="BR13" i="10" s="1"/>
  <c r="CE12" i="10"/>
  <c r="CC13" i="10" s="1"/>
  <c r="BP82" i="10"/>
  <c r="BT82" i="10" s="1"/>
  <c r="BR48" i="10"/>
  <c r="BX48" i="10" s="1"/>
  <c r="CE47" i="10"/>
  <c r="CI47" i="10"/>
  <c r="BP115" i="10" l="1"/>
  <c r="BT115" i="10" s="1"/>
  <c r="BR116" i="10" s="1"/>
  <c r="AG13" i="12"/>
  <c r="AI13" i="12"/>
  <c r="K5" i="14"/>
  <c r="K16" i="14"/>
  <c r="K17" i="14"/>
  <c r="K48" i="14"/>
  <c r="K40" i="14"/>
  <c r="K32" i="14"/>
  <c r="K34" i="14"/>
  <c r="K42" i="14"/>
  <c r="BX115" i="10"/>
  <c r="CC82" i="10"/>
  <c r="CI82" i="10" s="1"/>
  <c r="CC116" i="10"/>
  <c r="CI116" i="10" s="1"/>
  <c r="CI115" i="10"/>
  <c r="CA13" i="10"/>
  <c r="CE13" i="10" s="1"/>
  <c r="BP13" i="10"/>
  <c r="BX13" i="10" s="1"/>
  <c r="AO59" i="10"/>
  <c r="AI60" i="10"/>
  <c r="AO60" i="10" s="1"/>
  <c r="BX82" i="10"/>
  <c r="BP83" i="10"/>
  <c r="BR83" i="10"/>
  <c r="BT48" i="10"/>
  <c r="BR49" i="10" s="1"/>
  <c r="CA48" i="10"/>
  <c r="CC48" i="10"/>
  <c r="BP116" i="10" l="1"/>
  <c r="BT116" i="10" s="1"/>
  <c r="BP117" i="10" s="1"/>
  <c r="AK13" i="12"/>
  <c r="AO13" i="12"/>
  <c r="K27" i="14"/>
  <c r="AP4" i="14" s="1"/>
  <c r="K49" i="14"/>
  <c r="K50" i="14" s="1"/>
  <c r="K33" i="14"/>
  <c r="K36" i="14" s="1"/>
  <c r="K41" i="14"/>
  <c r="K44" i="14" s="1"/>
  <c r="CE82" i="10"/>
  <c r="CC83" i="10" s="1"/>
  <c r="CE116" i="10"/>
  <c r="CC117" i="10" s="1"/>
  <c r="CI13" i="10"/>
  <c r="BT13" i="10"/>
  <c r="BR14" i="10" s="1"/>
  <c r="BX116" i="10"/>
  <c r="AK60" i="10"/>
  <c r="AG61" i="10" s="1"/>
  <c r="BT83" i="10"/>
  <c r="BR84" i="10" s="1"/>
  <c r="BX83" i="10"/>
  <c r="CC14" i="10"/>
  <c r="CA14" i="10"/>
  <c r="BP49" i="10"/>
  <c r="BX49" i="10" s="1"/>
  <c r="CI48" i="10"/>
  <c r="CE48" i="10"/>
  <c r="CC49" i="10" s="1"/>
  <c r="BR117" i="10" l="1"/>
  <c r="BT117" i="10" s="1"/>
  <c r="BP118" i="10" s="1"/>
  <c r="AI14" i="12"/>
  <c r="AG14" i="12"/>
  <c r="AL4" i="14"/>
  <c r="AN4" i="14"/>
  <c r="K28" i="14"/>
  <c r="CA83" i="10"/>
  <c r="CI83" i="10" s="1"/>
  <c r="BP14" i="10"/>
  <c r="BX14" i="10" s="1"/>
  <c r="CA117" i="10"/>
  <c r="CE117" i="10" s="1"/>
  <c r="BP84" i="10"/>
  <c r="BT84" i="10" s="1"/>
  <c r="BR85" i="10" s="1"/>
  <c r="AI61" i="10"/>
  <c r="AO61" i="10" s="1"/>
  <c r="BX117" i="10"/>
  <c r="CI14" i="10"/>
  <c r="CE14" i="10"/>
  <c r="CA15" i="10" s="1"/>
  <c r="BT49" i="10"/>
  <c r="BR50" i="10" s="1"/>
  <c r="BR118" i="10"/>
  <c r="CA49" i="10"/>
  <c r="CE49" i="10" s="1"/>
  <c r="AK14" i="12" l="1"/>
  <c r="AG15" i="12" s="1"/>
  <c r="AI15" i="12"/>
  <c r="AO14" i="12"/>
  <c r="CE83" i="10"/>
  <c r="CA84" i="10" s="1"/>
  <c r="BT14" i="10"/>
  <c r="BR15" i="10" s="1"/>
  <c r="CI117" i="10"/>
  <c r="BX84" i="10"/>
  <c r="CC15" i="10"/>
  <c r="CI15" i="10" s="1"/>
  <c r="AK61" i="10"/>
  <c r="AI62" i="10" s="1"/>
  <c r="BP85" i="10"/>
  <c r="BT85" i="10" s="1"/>
  <c r="BP50" i="10"/>
  <c r="BT50" i="10" s="1"/>
  <c r="BX118" i="10"/>
  <c r="BT118" i="10"/>
  <c r="CA118" i="10"/>
  <c r="CC118" i="10"/>
  <c r="CA50" i="10"/>
  <c r="CC50" i="10"/>
  <c r="CI49" i="10"/>
  <c r="AO15" i="12" l="1"/>
  <c r="AK15" i="12"/>
  <c r="BP15" i="10"/>
  <c r="BT15" i="10" s="1"/>
  <c r="BR16" i="10" s="1"/>
  <c r="CC84" i="10"/>
  <c r="CI84" i="10" s="1"/>
  <c r="CE15" i="10"/>
  <c r="CA16" i="10" s="1"/>
  <c r="AG62" i="10"/>
  <c r="AK62" i="10" s="1"/>
  <c r="AG63" i="10" s="1"/>
  <c r="BX85" i="10"/>
  <c r="BP86" i="10"/>
  <c r="BR86" i="10"/>
  <c r="BR51" i="10"/>
  <c r="BP51" i="10"/>
  <c r="BX50" i="10"/>
  <c r="BP119" i="10"/>
  <c r="BR119" i="10"/>
  <c r="CI118" i="10"/>
  <c r="CI50" i="10"/>
  <c r="CE118" i="10"/>
  <c r="CC119" i="10" s="1"/>
  <c r="CE50" i="10"/>
  <c r="AG16" i="12" l="1"/>
  <c r="AI16" i="12"/>
  <c r="BX15" i="10"/>
  <c r="CE84" i="10"/>
  <c r="CA85" i="10" s="1"/>
  <c r="CC16" i="10"/>
  <c r="CE16" i="10" s="1"/>
  <c r="CA17" i="10" s="1"/>
  <c r="BP16" i="10"/>
  <c r="BT16" i="10" s="1"/>
  <c r="AO62" i="10"/>
  <c r="AI63" i="10"/>
  <c r="AO63" i="10" s="1"/>
  <c r="BT86" i="10"/>
  <c r="BP87" i="10" s="1"/>
  <c r="BX86" i="10"/>
  <c r="BX51" i="10"/>
  <c r="BT51" i="10"/>
  <c r="BP52" i="10" s="1"/>
  <c r="BX119" i="10"/>
  <c r="BT119" i="10"/>
  <c r="CA119" i="10"/>
  <c r="CE119" i="10" s="1"/>
  <c r="CC51" i="10"/>
  <c r="CA51" i="10"/>
  <c r="AO16" i="12" l="1"/>
  <c r="AK16" i="12"/>
  <c r="CC85" i="10"/>
  <c r="CE85" i="10" s="1"/>
  <c r="CI16" i="10"/>
  <c r="BX16" i="10"/>
  <c r="BR17" i="10"/>
  <c r="BP17" i="10"/>
  <c r="AK63" i="10"/>
  <c r="AI64" i="10" s="1"/>
  <c r="BR87" i="10"/>
  <c r="BT87" i="10" s="1"/>
  <c r="CC17" i="10"/>
  <c r="CE17" i="10" s="1"/>
  <c r="CC18" i="10" s="1"/>
  <c r="BR52" i="10"/>
  <c r="BX52" i="10" s="1"/>
  <c r="BR120" i="10"/>
  <c r="BP120" i="10"/>
  <c r="CE51" i="10"/>
  <c r="CC52" i="10" s="1"/>
  <c r="CA120" i="10"/>
  <c r="CC120" i="10"/>
  <c r="CI119" i="10"/>
  <c r="CI51" i="10"/>
  <c r="AG17" i="12" l="1"/>
  <c r="AI17" i="12"/>
  <c r="CI85" i="10"/>
  <c r="BT17" i="10"/>
  <c r="BP18" i="10" s="1"/>
  <c r="BX17" i="10"/>
  <c r="CA18" i="10"/>
  <c r="CE18" i="10" s="1"/>
  <c r="CC19" i="10" s="1"/>
  <c r="AG64" i="10"/>
  <c r="AK64" i="10" s="1"/>
  <c r="AG65" i="10" s="1"/>
  <c r="BX87" i="10"/>
  <c r="BR88" i="10"/>
  <c r="BP88" i="10"/>
  <c r="CI17" i="10"/>
  <c r="CC86" i="10"/>
  <c r="CA86" i="10"/>
  <c r="BT52" i="10"/>
  <c r="BR53" i="10" s="1"/>
  <c r="BT120" i="10"/>
  <c r="BP121" i="10" s="1"/>
  <c r="BX120" i="10"/>
  <c r="CA52" i="10"/>
  <c r="CE52" i="10" s="1"/>
  <c r="CI120" i="10"/>
  <c r="CE120" i="10"/>
  <c r="AK17" i="12" l="1"/>
  <c r="AO17" i="12"/>
  <c r="BR18" i="10"/>
  <c r="CI18" i="10"/>
  <c r="AI65" i="10"/>
  <c r="AO65" i="10" s="1"/>
  <c r="AO64" i="10"/>
  <c r="BX88" i="10"/>
  <c r="BT88" i="10"/>
  <c r="CI86" i="10"/>
  <c r="CE86" i="10"/>
  <c r="CA19" i="10"/>
  <c r="CI19" i="10" s="1"/>
  <c r="BP53" i="10"/>
  <c r="BX53" i="10" s="1"/>
  <c r="BR121" i="10"/>
  <c r="BT121" i="10" s="1"/>
  <c r="BP122" i="10" s="1"/>
  <c r="CI52" i="10"/>
  <c r="CA121" i="10"/>
  <c r="CC121" i="10"/>
  <c r="CA53" i="10"/>
  <c r="CC53" i="10"/>
  <c r="AI18" i="12" l="1"/>
  <c r="AG18" i="12"/>
  <c r="BX18" i="10"/>
  <c r="BT18" i="10"/>
  <c r="AK65" i="10"/>
  <c r="AG66" i="10" s="1"/>
  <c r="BR89" i="10"/>
  <c r="BP89" i="10"/>
  <c r="CC87" i="10"/>
  <c r="CA87" i="10"/>
  <c r="CE19" i="10"/>
  <c r="CC20" i="10" s="1"/>
  <c r="BT53" i="10"/>
  <c r="BR54" i="10" s="1"/>
  <c r="BX121" i="10"/>
  <c r="BR122" i="10"/>
  <c r="BX122" i="10" s="1"/>
  <c r="CI53" i="10"/>
  <c r="CE121" i="10"/>
  <c r="CI121" i="10"/>
  <c r="CE53" i="10"/>
  <c r="AK18" i="12" l="1"/>
  <c r="AI19" i="12" s="1"/>
  <c r="AG19" i="12"/>
  <c r="AO18" i="12"/>
  <c r="BR19" i="10"/>
  <c r="BP19" i="10"/>
  <c r="AI66" i="10"/>
  <c r="AO66" i="10" s="1"/>
  <c r="BT89" i="10"/>
  <c r="BR90" i="10" s="1"/>
  <c r="BX89" i="10"/>
  <c r="CE87" i="10"/>
  <c r="CC88" i="10" s="1"/>
  <c r="CA20" i="10"/>
  <c r="CI20" i="10" s="1"/>
  <c r="CI87" i="10"/>
  <c r="BP54" i="10"/>
  <c r="BX54" i="10" s="1"/>
  <c r="BT122" i="10"/>
  <c r="BP123" i="10" s="1"/>
  <c r="CA122" i="10"/>
  <c r="CC122" i="10"/>
  <c r="CC54" i="10"/>
  <c r="CA54" i="10"/>
  <c r="AK19" i="12" l="1"/>
  <c r="AO19" i="12"/>
  <c r="BT19" i="10"/>
  <c r="BX19" i="10"/>
  <c r="BP90" i="10"/>
  <c r="BX90" i="10" s="1"/>
  <c r="AK66" i="10"/>
  <c r="AI67" i="10" s="1"/>
  <c r="CA88" i="10"/>
  <c r="CI88" i="10" s="1"/>
  <c r="CE20" i="10"/>
  <c r="CA21" i="10" s="1"/>
  <c r="BR123" i="10"/>
  <c r="BT123" i="10" s="1"/>
  <c r="BR124" i="10" s="1"/>
  <c r="BT54" i="10"/>
  <c r="BP55" i="10" s="1"/>
  <c r="CI122" i="10"/>
  <c r="CE122" i="10"/>
  <c r="CE54" i="10"/>
  <c r="CA55" i="10" s="1"/>
  <c r="CI54" i="10"/>
  <c r="AI20" i="12" l="1"/>
  <c r="AG20" i="12"/>
  <c r="BR20" i="10"/>
  <c r="BP20" i="10"/>
  <c r="BT90" i="10"/>
  <c r="BP91" i="10" s="1"/>
  <c r="AG67" i="10"/>
  <c r="AO67" i="10" s="1"/>
  <c r="CE88" i="10"/>
  <c r="CC21" i="10"/>
  <c r="CE21" i="10" s="1"/>
  <c r="CA22" i="10" s="1"/>
  <c r="BX123" i="10"/>
  <c r="BP124" i="10"/>
  <c r="BT124" i="10" s="1"/>
  <c r="BR55" i="10"/>
  <c r="BT55" i="10" s="1"/>
  <c r="BR56" i="10" s="1"/>
  <c r="CC55" i="10"/>
  <c r="CI55" i="10" s="1"/>
  <c r="CA123" i="10"/>
  <c r="CC123" i="10"/>
  <c r="AK20" i="12" l="1"/>
  <c r="AI21" i="12" s="1"/>
  <c r="AG21" i="12"/>
  <c r="AO20" i="12"/>
  <c r="BT20" i="10"/>
  <c r="BR21" i="10" s="1"/>
  <c r="BX20" i="10"/>
  <c r="BR91" i="10"/>
  <c r="BT91" i="10" s="1"/>
  <c r="AK67" i="10"/>
  <c r="AG68" i="10" s="1"/>
  <c r="CA89" i="10"/>
  <c r="CC89" i="10"/>
  <c r="CI21" i="10"/>
  <c r="CC22" i="10"/>
  <c r="CI22" i="10" s="1"/>
  <c r="BX124" i="10"/>
  <c r="BP56" i="10"/>
  <c r="BT56" i="10" s="1"/>
  <c r="BX55" i="10"/>
  <c r="BP125" i="10"/>
  <c r="BR125" i="10"/>
  <c r="CE55" i="10"/>
  <c r="CC56" i="10" s="1"/>
  <c r="CI123" i="10"/>
  <c r="CE123" i="10"/>
  <c r="AK21" i="12" l="1"/>
  <c r="AG22" i="12" s="1"/>
  <c r="AI22" i="12"/>
  <c r="AO21" i="12"/>
  <c r="BP21" i="10"/>
  <c r="BX21" i="10" s="1"/>
  <c r="BR92" i="10"/>
  <c r="BP92" i="10"/>
  <c r="BX91" i="10"/>
  <c r="AI68" i="10"/>
  <c r="AO68" i="10" s="1"/>
  <c r="CI89" i="10"/>
  <c r="CE89" i="10"/>
  <c r="CA90" i="10" s="1"/>
  <c r="CE22" i="10"/>
  <c r="CC23" i="10" s="1"/>
  <c r="BX56" i="10"/>
  <c r="BX125" i="10"/>
  <c r="CA56" i="10"/>
  <c r="CI56" i="10" s="1"/>
  <c r="BT125" i="10"/>
  <c r="BR57" i="10"/>
  <c r="BP57" i="10"/>
  <c r="CA124" i="10"/>
  <c r="CC124" i="10"/>
  <c r="AO22" i="12" l="1"/>
  <c r="AK22" i="12"/>
  <c r="BT21" i="10"/>
  <c r="BP22" i="10" s="1"/>
  <c r="BX92" i="10"/>
  <c r="BT92" i="10"/>
  <c r="AK68" i="10"/>
  <c r="AG69" i="10" s="1"/>
  <c r="CC90" i="10"/>
  <c r="CI90" i="10" s="1"/>
  <c r="CA23" i="10"/>
  <c r="CE23" i="10" s="1"/>
  <c r="CC24" i="10" s="1"/>
  <c r="CE56" i="10"/>
  <c r="CA57" i="10" s="1"/>
  <c r="BR126" i="10"/>
  <c r="BP126" i="10"/>
  <c r="BT57" i="10"/>
  <c r="BP58" i="10" s="1"/>
  <c r="CI124" i="10"/>
  <c r="BX57" i="10"/>
  <c r="CE124" i="10"/>
  <c r="AG23" i="12" l="1"/>
  <c r="AI23" i="12"/>
  <c r="BR22" i="10"/>
  <c r="BT22" i="10" s="1"/>
  <c r="BR23" i="10" s="1"/>
  <c r="AI69" i="10"/>
  <c r="AO69" i="10" s="1"/>
  <c r="BR93" i="10"/>
  <c r="BP93" i="10"/>
  <c r="CE90" i="10"/>
  <c r="CC91" i="10" s="1"/>
  <c r="CI23" i="10"/>
  <c r="CA24" i="10"/>
  <c r="CI24" i="10" s="1"/>
  <c r="CC57" i="10"/>
  <c r="CI57" i="10" s="1"/>
  <c r="BR58" i="10"/>
  <c r="BT58" i="10" s="1"/>
  <c r="BP59" i="10" s="1"/>
  <c r="BT126" i="10"/>
  <c r="BP127" i="10" s="1"/>
  <c r="BX126" i="10"/>
  <c r="CC125" i="10"/>
  <c r="CA125" i="10"/>
  <c r="AK23" i="12" l="1"/>
  <c r="AO23" i="12"/>
  <c r="BX22" i="10"/>
  <c r="BP23" i="10"/>
  <c r="BT23" i="10" s="1"/>
  <c r="BR24" i="10" s="1"/>
  <c r="AK69" i="10"/>
  <c r="AG70" i="10" s="1"/>
  <c r="BX93" i="10"/>
  <c r="BT93" i="10"/>
  <c r="CA91" i="10"/>
  <c r="CI91" i="10" s="1"/>
  <c r="BR127" i="10"/>
  <c r="BX127" i="10" s="1"/>
  <c r="CE24" i="10"/>
  <c r="CA25" i="10" s="1"/>
  <c r="CE57" i="10"/>
  <c r="CA58" i="10" s="1"/>
  <c r="BX58" i="10"/>
  <c r="BR59" i="10"/>
  <c r="BT59" i="10" s="1"/>
  <c r="BR60" i="10" s="1"/>
  <c r="CE125" i="10"/>
  <c r="CA126" i="10" s="1"/>
  <c r="CI125" i="10"/>
  <c r="AI24" i="12" l="1"/>
  <c r="AG24" i="12"/>
  <c r="BX23" i="10"/>
  <c r="BP24" i="10"/>
  <c r="BT24" i="10" s="1"/>
  <c r="BR25" i="10" s="1"/>
  <c r="AI70" i="10"/>
  <c r="AK70" i="10" s="1"/>
  <c r="AG71" i="10" s="1"/>
  <c r="BR94" i="10"/>
  <c r="BP94" i="10"/>
  <c r="CE91" i="10"/>
  <c r="BT127" i="10"/>
  <c r="BP128" i="10" s="1"/>
  <c r="CC25" i="10"/>
  <c r="CE25" i="10" s="1"/>
  <c r="CA26" i="10" s="1"/>
  <c r="CC58" i="10"/>
  <c r="CI58" i="10" s="1"/>
  <c r="BX59" i="10"/>
  <c r="CC126" i="10"/>
  <c r="CI126" i="10" s="1"/>
  <c r="BP60" i="10"/>
  <c r="BT60" i="10" s="1"/>
  <c r="BR61" i="10" s="1"/>
  <c r="AO24" i="12" l="1"/>
  <c r="AK24" i="12"/>
  <c r="BX24" i="10"/>
  <c r="BP25" i="10"/>
  <c r="BX25" i="10" s="1"/>
  <c r="AO70" i="10"/>
  <c r="AI71" i="10"/>
  <c r="AK71" i="10" s="1"/>
  <c r="AI72" i="10" s="1"/>
  <c r="BX94" i="10"/>
  <c r="BT94" i="10"/>
  <c r="CA92" i="10"/>
  <c r="CC92" i="10"/>
  <c r="BR128" i="10"/>
  <c r="BX128" i="10" s="1"/>
  <c r="CI25" i="10"/>
  <c r="CC26" i="10"/>
  <c r="CI26" i="10" s="1"/>
  <c r="CE58" i="10"/>
  <c r="CA59" i="10" s="1"/>
  <c r="CE126" i="10"/>
  <c r="CC127" i="10" s="1"/>
  <c r="BX60" i="10"/>
  <c r="BP61" i="10"/>
  <c r="BT61" i="10" s="1"/>
  <c r="AG25" i="12" l="1"/>
  <c r="AI25" i="12"/>
  <c r="BT25" i="10"/>
  <c r="BR26" i="10" s="1"/>
  <c r="AO71" i="10"/>
  <c r="BR95" i="10"/>
  <c r="BP95" i="10"/>
  <c r="AG72" i="10"/>
  <c r="AK72" i="10" s="1"/>
  <c r="CE92" i="10"/>
  <c r="CA93" i="10" s="1"/>
  <c r="CI92" i="10"/>
  <c r="BT128" i="10"/>
  <c r="BR129" i="10" s="1"/>
  <c r="CE26" i="10"/>
  <c r="CA27" i="10" s="1"/>
  <c r="CC59" i="10"/>
  <c r="CE59" i="10" s="1"/>
  <c r="CA60" i="10" s="1"/>
  <c r="CA127" i="10"/>
  <c r="CI127" i="10" s="1"/>
  <c r="BX61" i="10"/>
  <c r="BR62" i="10"/>
  <c r="BP62" i="10"/>
  <c r="AK25" i="12" l="1"/>
  <c r="AO25" i="12"/>
  <c r="BP26" i="10"/>
  <c r="BT26" i="10" s="1"/>
  <c r="BR27" i="10" s="1"/>
  <c r="BT95" i="10"/>
  <c r="BP96" i="10" s="1"/>
  <c r="BX95" i="10"/>
  <c r="AO72" i="10"/>
  <c r="CC93" i="10"/>
  <c r="CI93" i="10" s="1"/>
  <c r="AG73" i="10"/>
  <c r="AI73" i="10"/>
  <c r="BP129" i="10"/>
  <c r="BX129" i="10" s="1"/>
  <c r="CC27" i="10"/>
  <c r="CE27" i="10" s="1"/>
  <c r="CC60" i="10"/>
  <c r="CE60" i="10" s="1"/>
  <c r="CA61" i="10" s="1"/>
  <c r="CI59" i="10"/>
  <c r="CE127" i="10"/>
  <c r="CC128" i="10" s="1"/>
  <c r="BX62" i="10"/>
  <c r="BT62" i="10"/>
  <c r="AG26" i="12" l="1"/>
  <c r="AI26" i="12"/>
  <c r="BX26" i="10"/>
  <c r="BP27" i="10"/>
  <c r="BT27" i="10" s="1"/>
  <c r="BR96" i="10"/>
  <c r="BT96" i="10" s="1"/>
  <c r="BP97" i="10" s="1"/>
  <c r="AK73" i="10"/>
  <c r="AG74" i="10" s="1"/>
  <c r="AO73" i="10"/>
  <c r="CE93" i="10"/>
  <c r="CC94" i="10" s="1"/>
  <c r="BT129" i="10"/>
  <c r="BP130" i="10" s="1"/>
  <c r="CI27" i="10"/>
  <c r="CA128" i="10"/>
  <c r="CE128" i="10" s="1"/>
  <c r="CA129" i="10" s="1"/>
  <c r="CI60" i="10"/>
  <c r="CC61" i="10"/>
  <c r="CI61" i="10" s="1"/>
  <c r="CC28" i="10"/>
  <c r="CA28" i="10"/>
  <c r="BR63" i="10"/>
  <c r="BP63" i="10"/>
  <c r="AO26" i="12" l="1"/>
  <c r="AK26" i="12"/>
  <c r="BX27" i="10"/>
  <c r="BR28" i="10"/>
  <c r="BP28" i="10"/>
  <c r="BR97" i="10"/>
  <c r="BX97" i="10" s="1"/>
  <c r="BX96" i="10"/>
  <c r="AI74" i="10"/>
  <c r="AK74" i="10" s="1"/>
  <c r="AI75" i="10" s="1"/>
  <c r="CA94" i="10"/>
  <c r="CI94" i="10" s="1"/>
  <c r="BR130" i="10"/>
  <c r="BT130" i="10" s="1"/>
  <c r="BR131" i="10" s="1"/>
  <c r="CI128" i="10"/>
  <c r="CE61" i="10"/>
  <c r="CA62" i="10" s="1"/>
  <c r="CC129" i="10"/>
  <c r="CI129" i="10" s="1"/>
  <c r="CE28" i="10"/>
  <c r="CA29" i="10" s="1"/>
  <c r="CI28" i="10"/>
  <c r="BT63" i="10"/>
  <c r="BR64" i="10" s="1"/>
  <c r="BX63" i="10"/>
  <c r="AG27" i="12" l="1"/>
  <c r="AI27" i="12"/>
  <c r="BT28" i="10"/>
  <c r="BX28" i="10"/>
  <c r="BT97" i="10"/>
  <c r="BR98" i="10" s="1"/>
  <c r="AO74" i="10"/>
  <c r="AG75" i="10"/>
  <c r="AO75" i="10" s="1"/>
  <c r="CE94" i="10"/>
  <c r="CC95" i="10" s="1"/>
  <c r="BP131" i="10"/>
  <c r="BX131" i="10" s="1"/>
  <c r="BX130" i="10"/>
  <c r="CC62" i="10"/>
  <c r="CI62" i="10" s="1"/>
  <c r="CC29" i="10"/>
  <c r="CI29" i="10" s="1"/>
  <c r="CE129" i="10"/>
  <c r="CC130" i="10" s="1"/>
  <c r="BP64" i="10"/>
  <c r="BT64" i="10" s="1"/>
  <c r="BR65" i="10" s="1"/>
  <c r="AO27" i="12" l="1"/>
  <c r="AK27" i="12"/>
  <c r="BR29" i="10"/>
  <c r="BP29" i="10"/>
  <c r="BP98" i="10"/>
  <c r="BT98" i="10" s="1"/>
  <c r="BR99" i="10" s="1"/>
  <c r="AK75" i="10"/>
  <c r="AG76" i="10" s="1"/>
  <c r="CA95" i="10"/>
  <c r="CI95" i="10" s="1"/>
  <c r="BT131" i="10"/>
  <c r="BR132" i="10" s="1"/>
  <c r="CE62" i="10"/>
  <c r="CA63" i="10" s="1"/>
  <c r="CE29" i="10"/>
  <c r="CA30" i="10" s="1"/>
  <c r="CA130" i="10"/>
  <c r="CE130" i="10" s="1"/>
  <c r="BX64" i="10"/>
  <c r="BP65" i="10"/>
  <c r="BX65" i="10" s="1"/>
  <c r="AI28" i="12" l="1"/>
  <c r="AG28" i="12"/>
  <c r="BT29" i="10"/>
  <c r="BR30" i="10" s="1"/>
  <c r="BX29" i="10"/>
  <c r="BX98" i="10"/>
  <c r="AI76" i="10"/>
  <c r="AK76" i="10" s="1"/>
  <c r="AG77" i="10" s="1"/>
  <c r="BP99" i="10"/>
  <c r="BX99" i="10" s="1"/>
  <c r="BP132" i="10"/>
  <c r="BT132" i="10" s="1"/>
  <c r="BR133" i="10" s="1"/>
  <c r="CE95" i="10"/>
  <c r="CC63" i="10"/>
  <c r="CI63" i="10" s="1"/>
  <c r="CC30" i="10"/>
  <c r="CI30" i="10" s="1"/>
  <c r="CI130" i="10"/>
  <c r="CA131" i="10"/>
  <c r="CC131" i="10"/>
  <c r="BT65" i="10"/>
  <c r="BR66" i="10" s="1"/>
  <c r="AO28" i="12" l="1"/>
  <c r="AK28" i="12"/>
  <c r="BP30" i="10"/>
  <c r="AO76" i="10"/>
  <c r="AI77" i="10"/>
  <c r="AO77" i="10" s="1"/>
  <c r="BT99" i="10"/>
  <c r="BR100" i="10" s="1"/>
  <c r="BX132" i="10"/>
  <c r="BP133" i="10"/>
  <c r="BX133" i="10" s="1"/>
  <c r="CA96" i="10"/>
  <c r="CC96" i="10"/>
  <c r="CE63" i="10"/>
  <c r="CC64" i="10" s="1"/>
  <c r="CE30" i="10"/>
  <c r="CC31" i="10" s="1"/>
  <c r="CE131" i="10"/>
  <c r="CA132" i="10" s="1"/>
  <c r="CI131" i="10"/>
  <c r="BP66" i="10"/>
  <c r="BX66" i="10" s="1"/>
  <c r="G25" i="10"/>
  <c r="AN44" i="10"/>
  <c r="AM44" i="10"/>
  <c r="AN43" i="10"/>
  <c r="AM43" i="10"/>
  <c r="C42" i="10"/>
  <c r="AN42" i="10"/>
  <c r="AM42" i="10"/>
  <c r="AN41" i="10"/>
  <c r="AM41" i="10"/>
  <c r="AN40" i="10"/>
  <c r="AM40" i="10"/>
  <c r="AN39" i="10"/>
  <c r="AM39" i="10"/>
  <c r="AN38" i="10"/>
  <c r="AM38" i="10"/>
  <c r="AN37" i="10"/>
  <c r="AM37" i="10"/>
  <c r="AN36" i="10"/>
  <c r="AM36" i="10"/>
  <c r="AN35" i="10"/>
  <c r="AM35" i="10"/>
  <c r="AN34" i="10"/>
  <c r="AM34" i="10"/>
  <c r="AN33" i="10"/>
  <c r="AM33" i="10"/>
  <c r="AN32" i="10"/>
  <c r="AM32" i="10"/>
  <c r="AN31" i="10"/>
  <c r="AM31" i="10"/>
  <c r="AN30" i="10"/>
  <c r="AM30" i="10"/>
  <c r="AN29" i="10"/>
  <c r="AM29" i="10"/>
  <c r="AN28" i="10"/>
  <c r="AM28" i="10"/>
  <c r="AN27" i="10"/>
  <c r="AM27" i="10"/>
  <c r="AN26" i="10"/>
  <c r="AM26" i="10"/>
  <c r="AN25" i="10"/>
  <c r="AM25" i="10"/>
  <c r="AN24" i="10"/>
  <c r="AM24" i="10"/>
  <c r="AN23" i="10"/>
  <c r="AM23" i="10"/>
  <c r="AN22" i="10"/>
  <c r="AM22" i="10"/>
  <c r="AN21" i="10"/>
  <c r="AM21" i="10"/>
  <c r="AN20" i="10"/>
  <c r="AM20" i="10"/>
  <c r="AN19" i="10"/>
  <c r="AM19" i="10"/>
  <c r="O19" i="10"/>
  <c r="O22" i="10" s="1"/>
  <c r="O25" i="10" s="1"/>
  <c r="AN18" i="10"/>
  <c r="AM18" i="10"/>
  <c r="AN17" i="10"/>
  <c r="AM17" i="10"/>
  <c r="AN16" i="10"/>
  <c r="AM16" i="10"/>
  <c r="AN15" i="10"/>
  <c r="AM15" i="10"/>
  <c r="AN14" i="10"/>
  <c r="AM14" i="10"/>
  <c r="AN13" i="10"/>
  <c r="AM13" i="10"/>
  <c r="AN12" i="10"/>
  <c r="AM12" i="10"/>
  <c r="AN11" i="10"/>
  <c r="AM11" i="10"/>
  <c r="O11" i="10"/>
  <c r="AN10" i="10"/>
  <c r="AM10" i="10"/>
  <c r="AN9" i="10"/>
  <c r="AM9" i="10"/>
  <c r="AN8" i="10"/>
  <c r="AM8" i="10"/>
  <c r="G6" i="10"/>
  <c r="AN7" i="10"/>
  <c r="AM7" i="10"/>
  <c r="AN6" i="10"/>
  <c r="AM6" i="10"/>
  <c r="AO5" i="10"/>
  <c r="AN5" i="10"/>
  <c r="AM5" i="10"/>
  <c r="AK5" i="10"/>
  <c r="AD4" i="10"/>
  <c r="Z4" i="10"/>
  <c r="AI29" i="12" l="1"/>
  <c r="AG29" i="12"/>
  <c r="BT30" i="10"/>
  <c r="BX30" i="10"/>
  <c r="BP100" i="10"/>
  <c r="BT100" i="10" s="1"/>
  <c r="AK77" i="10"/>
  <c r="AG78" i="10" s="1"/>
  <c r="BT133" i="10"/>
  <c r="BP134" i="10" s="1"/>
  <c r="CI96" i="10"/>
  <c r="CE96" i="10"/>
  <c r="CA64" i="10"/>
  <c r="CE64" i="10" s="1"/>
  <c r="CA65" i="10" s="1"/>
  <c r="CA31" i="10"/>
  <c r="CE31" i="10" s="1"/>
  <c r="CC132" i="10"/>
  <c r="CI132" i="10" s="1"/>
  <c r="AG6" i="10"/>
  <c r="BT66" i="10"/>
  <c r="BR67" i="10" s="1"/>
  <c r="AI6" i="10"/>
  <c r="AK29" i="12" l="1"/>
  <c r="AI30" i="12" s="1"/>
  <c r="AG30" i="12"/>
  <c r="AO29" i="12"/>
  <c r="BP31" i="10"/>
  <c r="BR31" i="10"/>
  <c r="BX100" i="10"/>
  <c r="BR134" i="10"/>
  <c r="BX134" i="10" s="1"/>
  <c r="AI78" i="10"/>
  <c r="AK78" i="10" s="1"/>
  <c r="BP101" i="10"/>
  <c r="BR101" i="10"/>
  <c r="CC97" i="10"/>
  <c r="CA97" i="10"/>
  <c r="CI64" i="10"/>
  <c r="CI31" i="10"/>
  <c r="AO6" i="10"/>
  <c r="CE132" i="10"/>
  <c r="CA133" i="10" s="1"/>
  <c r="BP67" i="10"/>
  <c r="BX67" i="10" s="1"/>
  <c r="CC32" i="10"/>
  <c r="CA32" i="10"/>
  <c r="CC65" i="10"/>
  <c r="CE65" i="10" s="1"/>
  <c r="AK6" i="10"/>
  <c r="AG7" i="10" s="1"/>
  <c r="AO30" i="12" l="1"/>
  <c r="AK30" i="12"/>
  <c r="BX31" i="10"/>
  <c r="BT31" i="10"/>
  <c r="BT134" i="10"/>
  <c r="BP135" i="10" s="1"/>
  <c r="AO78" i="10"/>
  <c r="BX101" i="10"/>
  <c r="BT101" i="10"/>
  <c r="CE97" i="10"/>
  <c r="CI97" i="10"/>
  <c r="AG79" i="10"/>
  <c r="AI79" i="10"/>
  <c r="CC133" i="10"/>
  <c r="CI133" i="10" s="1"/>
  <c r="AI7" i="10"/>
  <c r="AK7" i="10" s="1"/>
  <c r="AI8" i="10" s="1"/>
  <c r="BT67" i="10"/>
  <c r="BR68" i="10" s="1"/>
  <c r="CE32" i="10"/>
  <c r="CA33" i="10" s="1"/>
  <c r="CI32" i="10"/>
  <c r="CI65" i="10"/>
  <c r="CA66" i="10"/>
  <c r="CC66" i="10"/>
  <c r="AG31" i="12" l="1"/>
  <c r="AI31" i="12"/>
  <c r="BR32" i="10"/>
  <c r="BP32" i="10"/>
  <c r="BR135" i="10"/>
  <c r="BT135" i="10" s="1"/>
  <c r="BP136" i="10" s="1"/>
  <c r="BP102" i="10"/>
  <c r="BR102" i="10"/>
  <c r="CC98" i="10"/>
  <c r="CA98" i="10"/>
  <c r="AK79" i="10"/>
  <c r="AO79" i="10"/>
  <c r="CE133" i="10"/>
  <c r="CC134" i="10" s="1"/>
  <c r="AO7" i="10"/>
  <c r="CC33" i="10"/>
  <c r="CE33" i="10" s="1"/>
  <c r="CA34" i="10" s="1"/>
  <c r="BP68" i="10"/>
  <c r="BX68" i="10" s="1"/>
  <c r="CI66" i="10"/>
  <c r="CE66" i="10"/>
  <c r="AG8" i="10"/>
  <c r="AK8" i="10" s="1"/>
  <c r="AO31" i="12" l="1"/>
  <c r="AK31" i="12"/>
  <c r="BT32" i="10"/>
  <c r="BX32" i="10"/>
  <c r="BR136" i="10"/>
  <c r="BX136" i="10" s="1"/>
  <c r="BX135" i="10"/>
  <c r="BX102" i="10"/>
  <c r="BT102" i="10"/>
  <c r="BH42" i="10" s="1"/>
  <c r="CI98" i="10"/>
  <c r="CE98" i="10"/>
  <c r="CA134" i="10"/>
  <c r="CE134" i="10" s="1"/>
  <c r="CA135" i="10" s="1"/>
  <c r="G7" i="10"/>
  <c r="AR4" i="10"/>
  <c r="CI33" i="10"/>
  <c r="CC34" i="10"/>
  <c r="CE34" i="10" s="1"/>
  <c r="BL4" i="10" s="1"/>
  <c r="BT68" i="10"/>
  <c r="BH23" i="10" s="1"/>
  <c r="BH25" i="10" s="1"/>
  <c r="BH26" i="10" s="1"/>
  <c r="CC67" i="10"/>
  <c r="CA67" i="10"/>
  <c r="AO8" i="10"/>
  <c r="AG9" i="10"/>
  <c r="AI9" i="10"/>
  <c r="AG32" i="12" l="1"/>
  <c r="AI32" i="12"/>
  <c r="BR33" i="10"/>
  <c r="BP33" i="10"/>
  <c r="BH31" i="10"/>
  <c r="BH32" i="10"/>
  <c r="BT136" i="10"/>
  <c r="BH61" i="10" s="1"/>
  <c r="BH63" i="10" s="1"/>
  <c r="BH64" i="10" s="1"/>
  <c r="BH44" i="10"/>
  <c r="BH45" i="10" s="1"/>
  <c r="BH48" i="10"/>
  <c r="BH47" i="10"/>
  <c r="CC99" i="10"/>
  <c r="CA99" i="10"/>
  <c r="CI134" i="10"/>
  <c r="G8" i="10"/>
  <c r="AV6" i="10"/>
  <c r="AV7" i="10" s="1"/>
  <c r="AV5" i="10"/>
  <c r="CC135" i="10"/>
  <c r="CE135" i="10" s="1"/>
  <c r="CA136" i="10" s="1"/>
  <c r="BH29" i="10"/>
  <c r="CI34" i="10"/>
  <c r="BH28" i="10"/>
  <c r="BL9" i="10"/>
  <c r="BL10" i="10"/>
  <c r="BL6" i="10"/>
  <c r="BL7" i="10" s="1"/>
  <c r="CE67" i="10"/>
  <c r="CA68" i="10" s="1"/>
  <c r="CI67" i="10"/>
  <c r="AO9" i="10"/>
  <c r="AK9" i="10"/>
  <c r="AI10" i="10" s="1"/>
  <c r="AO32" i="12" l="1"/>
  <c r="AK32" i="12"/>
  <c r="BT33" i="10"/>
  <c r="BX33" i="10"/>
  <c r="BH69" i="10"/>
  <c r="BH70" i="10"/>
  <c r="BH50" i="10"/>
  <c r="BH51" i="10"/>
  <c r="BL12" i="10"/>
  <c r="BL13" i="10"/>
  <c r="BH66" i="10"/>
  <c r="BH67" i="10"/>
  <c r="BH49" i="10"/>
  <c r="CE99" i="10"/>
  <c r="CC100" i="10" s="1"/>
  <c r="CI99" i="10"/>
  <c r="CI135" i="10"/>
  <c r="CC136" i="10"/>
  <c r="CI136" i="10" s="1"/>
  <c r="BH30" i="10"/>
  <c r="BL11" i="10"/>
  <c r="AG10" i="10"/>
  <c r="AO10" i="10" s="1"/>
  <c r="CC68" i="10"/>
  <c r="CE68" i="10" s="1"/>
  <c r="BL23" i="10" s="1"/>
  <c r="BL25" i="10" s="1"/>
  <c r="BL26" i="10" s="1"/>
  <c r="BH34" i="10"/>
  <c r="BH33" i="10"/>
  <c r="AI33" i="12" l="1"/>
  <c r="AG33" i="12"/>
  <c r="BR34" i="10"/>
  <c r="BP34" i="10"/>
  <c r="BH71" i="10"/>
  <c r="BL31" i="10"/>
  <c r="BL32" i="10"/>
  <c r="BH72" i="10"/>
  <c r="BH68" i="10"/>
  <c r="CA100" i="10"/>
  <c r="CE100" i="10" s="1"/>
  <c r="CC101" i="10" s="1"/>
  <c r="BH53" i="10"/>
  <c r="BH55" i="10" s="1"/>
  <c r="BH57" i="10" s="1"/>
  <c r="AZ24" i="10" s="1"/>
  <c r="BH52" i="10"/>
  <c r="BH54" i="10" s="1"/>
  <c r="BH56" i="10" s="1"/>
  <c r="CE136" i="10"/>
  <c r="BL61" i="10" s="1"/>
  <c r="BL67" i="10" s="1"/>
  <c r="BH35" i="10"/>
  <c r="BH37" i="10" s="1"/>
  <c r="AZ14" i="10" s="1"/>
  <c r="BH36" i="10"/>
  <c r="BH38" i="10" s="1"/>
  <c r="AZ15" i="10" s="1"/>
  <c r="AK10" i="10"/>
  <c r="AI11" i="10" s="1"/>
  <c r="BL14" i="10"/>
  <c r="BL16" i="10" s="1"/>
  <c r="BL18" i="10" s="1"/>
  <c r="BL15" i="10"/>
  <c r="BL17" i="10" s="1"/>
  <c r="BL19" i="10" s="1"/>
  <c r="BD6" i="10" s="1"/>
  <c r="CI68" i="10"/>
  <c r="BL29" i="10"/>
  <c r="BL28" i="10"/>
  <c r="AK33" i="12" l="1"/>
  <c r="AI34" i="12" s="1"/>
  <c r="AG34" i="12"/>
  <c r="AO33" i="12"/>
  <c r="BX34" i="10"/>
  <c r="BT34" i="10"/>
  <c r="BH4" i="10" s="1"/>
  <c r="BH73" i="10"/>
  <c r="BH75" i="10" s="1"/>
  <c r="AZ32" i="10" s="1"/>
  <c r="BH74" i="10"/>
  <c r="BH76" i="10" s="1"/>
  <c r="AZ33" i="10" s="1"/>
  <c r="CI100" i="10"/>
  <c r="CA101" i="10"/>
  <c r="CI101" i="10" s="1"/>
  <c r="AZ23" i="10"/>
  <c r="AZ25" i="10" s="1"/>
  <c r="BH58" i="10"/>
  <c r="BL66" i="10"/>
  <c r="BL68" i="10" s="1"/>
  <c r="BL63" i="10"/>
  <c r="BL64" i="10" s="1"/>
  <c r="AG11" i="10"/>
  <c r="AK11" i="10" s="1"/>
  <c r="AG12" i="10" s="1"/>
  <c r="AZ16" i="10"/>
  <c r="AZ19" i="10" s="1"/>
  <c r="BH39" i="10"/>
  <c r="BS38" i="10" s="1"/>
  <c r="BD5" i="10"/>
  <c r="BD7" i="10" s="1"/>
  <c r="BL20" i="10"/>
  <c r="BL30" i="10"/>
  <c r="BL33" i="10"/>
  <c r="BL34" i="10"/>
  <c r="AK34" i="12" l="1"/>
  <c r="AG35" i="12" s="1"/>
  <c r="AI35" i="12"/>
  <c r="AO34" i="12"/>
  <c r="BH6" i="10"/>
  <c r="BH7" i="10" s="1"/>
  <c r="BH10" i="10"/>
  <c r="BH9" i="10"/>
  <c r="BL69" i="10"/>
  <c r="BL70" i="10"/>
  <c r="BH77" i="10"/>
  <c r="AZ34" i="10"/>
  <c r="AZ37" i="10" s="1"/>
  <c r="CE101" i="10"/>
  <c r="CA102" i="10" s="1"/>
  <c r="BS72" i="10"/>
  <c r="AV27" i="10"/>
  <c r="BU72" i="10"/>
  <c r="BQ72" i="10"/>
  <c r="AZ28" i="10"/>
  <c r="AZ26" i="10"/>
  <c r="AZ27" i="10"/>
  <c r="AO11" i="10"/>
  <c r="AZ18" i="10"/>
  <c r="AZ17" i="10"/>
  <c r="BU38" i="10"/>
  <c r="AV25" i="10"/>
  <c r="BQ38" i="10"/>
  <c r="CD4" i="10"/>
  <c r="CF4" i="10"/>
  <c r="CB4" i="10"/>
  <c r="AV24" i="10"/>
  <c r="BD9" i="10"/>
  <c r="BD8" i="10"/>
  <c r="BD10" i="10"/>
  <c r="BL36" i="10"/>
  <c r="BL38" i="10" s="1"/>
  <c r="BD15" i="10" s="1"/>
  <c r="BL35" i="10"/>
  <c r="BL37" i="10" s="1"/>
  <c r="BD14" i="10" s="1"/>
  <c r="AI12" i="10"/>
  <c r="AO12" i="10" s="1"/>
  <c r="AO35" i="12" l="1"/>
  <c r="AK35" i="12"/>
  <c r="BH11" i="10"/>
  <c r="BH13" i="10"/>
  <c r="BH12" i="10"/>
  <c r="BL71" i="10"/>
  <c r="BL73" i="10" s="1"/>
  <c r="BL75" i="10" s="1"/>
  <c r="BD32" i="10" s="1"/>
  <c r="AZ35" i="10"/>
  <c r="CC102" i="10"/>
  <c r="CE102" i="10" s="1"/>
  <c r="BL42" i="10" s="1"/>
  <c r="BL48" i="10" s="1"/>
  <c r="AZ36" i="10"/>
  <c r="AV29" i="10"/>
  <c r="BU106" i="10"/>
  <c r="BS106" i="10"/>
  <c r="BQ106" i="10"/>
  <c r="BL72" i="10"/>
  <c r="BL74" i="10" s="1"/>
  <c r="BL76" i="10" s="1"/>
  <c r="BD33" i="10" s="1"/>
  <c r="BD16" i="10"/>
  <c r="BD17" i="10" s="1"/>
  <c r="BL39" i="10"/>
  <c r="CD38" i="10" s="1"/>
  <c r="AK12" i="10"/>
  <c r="AG13" i="10" s="1"/>
  <c r="AG36" i="12" l="1"/>
  <c r="AI36" i="12"/>
  <c r="BH15" i="10"/>
  <c r="BH17" i="10" s="1"/>
  <c r="BH19" i="10" s="1"/>
  <c r="AZ6" i="10" s="1"/>
  <c r="BH14" i="10"/>
  <c r="BH16" i="10" s="1"/>
  <c r="BH18" i="10" s="1"/>
  <c r="CI102" i="10"/>
  <c r="BL44" i="10"/>
  <c r="BL45" i="10" s="1"/>
  <c r="BL47" i="10"/>
  <c r="BL49" i="10" s="1"/>
  <c r="AI13" i="10"/>
  <c r="AO13" i="10" s="1"/>
  <c r="BL77" i="10"/>
  <c r="CF106" i="10" s="1"/>
  <c r="BD34" i="10"/>
  <c r="BD37" i="10" s="1"/>
  <c r="BD19" i="10"/>
  <c r="BD18" i="10"/>
  <c r="CF38" i="10"/>
  <c r="AV26" i="10"/>
  <c r="CB38" i="10"/>
  <c r="AO36" i="12" l="1"/>
  <c r="AK36" i="12"/>
  <c r="AZ5" i="10"/>
  <c r="AZ7" i="10" s="1"/>
  <c r="BH20" i="10"/>
  <c r="BL50" i="10"/>
  <c r="BL51" i="10"/>
  <c r="AK13" i="10"/>
  <c r="AI14" i="10" s="1"/>
  <c r="BD36" i="10"/>
  <c r="BD35" i="10"/>
  <c r="CB106" i="10"/>
  <c r="CD106" i="10"/>
  <c r="AG37" i="12" l="1"/>
  <c r="AI37" i="12"/>
  <c r="AV23" i="10"/>
  <c r="BQ4" i="10"/>
  <c r="BS4" i="10"/>
  <c r="BU4" i="10"/>
  <c r="AZ10" i="10"/>
  <c r="AZ8" i="10"/>
  <c r="AZ9" i="10"/>
  <c r="BL52" i="10"/>
  <c r="BL54" i="10" s="1"/>
  <c r="BL56" i="10" s="1"/>
  <c r="BD23" i="10" s="1"/>
  <c r="BL53" i="10"/>
  <c r="BL55" i="10" s="1"/>
  <c r="BL57" i="10" s="1"/>
  <c r="BD24" i="10" s="1"/>
  <c r="AG14" i="10"/>
  <c r="AK14" i="10" s="1"/>
  <c r="AG15" i="10" s="1"/>
  <c r="AO37" i="12" l="1"/>
  <c r="AK37" i="12"/>
  <c r="BL58" i="10"/>
  <c r="CF72" i="10" s="1"/>
  <c r="BD25" i="10"/>
  <c r="BD27" i="10" s="1"/>
  <c r="AV10" i="10" s="1"/>
  <c r="AV15" i="10" s="1"/>
  <c r="AO14" i="10"/>
  <c r="AI15" i="10"/>
  <c r="AO15" i="10" s="1"/>
  <c r="AI38" i="12" l="1"/>
  <c r="AG38" i="12"/>
  <c r="CB72" i="10"/>
  <c r="BD28" i="10"/>
  <c r="AV11" i="10" s="1"/>
  <c r="AV12" i="10" s="1"/>
  <c r="BD26" i="10"/>
  <c r="AV28" i="10"/>
  <c r="AV30" i="10" s="1"/>
  <c r="CD72" i="10"/>
  <c r="AV17" i="10"/>
  <c r="G10" i="10"/>
  <c r="AK15" i="10"/>
  <c r="AI16" i="10" s="1"/>
  <c r="AK38" i="12" l="1"/>
  <c r="AG39" i="12" s="1"/>
  <c r="AI39" i="12"/>
  <c r="AO38" i="12"/>
  <c r="AV16" i="10"/>
  <c r="G13" i="10"/>
  <c r="AV18" i="10"/>
  <c r="AV19" i="10" s="1"/>
  <c r="AV20" i="10" s="1"/>
  <c r="AG16" i="10"/>
  <c r="AK16" i="10" s="1"/>
  <c r="AG17" i="10" s="1"/>
  <c r="AO39" i="12" l="1"/>
  <c r="AK39" i="12"/>
  <c r="K25" i="10"/>
  <c r="AO16" i="10"/>
  <c r="AI17" i="10"/>
  <c r="AO17" i="10" s="1"/>
  <c r="AG40" i="12" l="1"/>
  <c r="AI40" i="12"/>
  <c r="AK17" i="10"/>
  <c r="AI18" i="10" s="1"/>
  <c r="AO40" i="12" l="1"/>
  <c r="AK40" i="12"/>
  <c r="AG18" i="10"/>
  <c r="AK18" i="10" s="1"/>
  <c r="AG19" i="10" s="1"/>
  <c r="AI41" i="12" l="1"/>
  <c r="AG41" i="12"/>
  <c r="AO18" i="10"/>
  <c r="AI19" i="10"/>
  <c r="AK19" i="10" s="1"/>
  <c r="AG20" i="10" s="1"/>
  <c r="AK41" i="12" l="1"/>
  <c r="AI42" i="12"/>
  <c r="AG42" i="12"/>
  <c r="AO41" i="12"/>
  <c r="AO19" i="10"/>
  <c r="AI20" i="10"/>
  <c r="AO20" i="10" s="1"/>
  <c r="AO42" i="12" l="1"/>
  <c r="AK42" i="12"/>
  <c r="AK20" i="10"/>
  <c r="AG21" i="10" s="1"/>
  <c r="AG43" i="12" l="1"/>
  <c r="AI43" i="12"/>
  <c r="AI21" i="10"/>
  <c r="AO21" i="10" s="1"/>
  <c r="AO43" i="12" l="1"/>
  <c r="AK43" i="12"/>
  <c r="AK21" i="10"/>
  <c r="AI22" i="10" s="1"/>
  <c r="AG44" i="12" l="1"/>
  <c r="AI44" i="12"/>
  <c r="AG22" i="10"/>
  <c r="AK22" i="10" s="1"/>
  <c r="AO44" i="12" l="1"/>
  <c r="AK44" i="12"/>
  <c r="AO22" i="10"/>
  <c r="AG23" i="10"/>
  <c r="AI23" i="10"/>
  <c r="G29" i="12" l="1"/>
  <c r="G27" i="12" s="1"/>
  <c r="K29" i="12"/>
  <c r="K24" i="12"/>
  <c r="K27" i="12"/>
  <c r="O4" i="12"/>
  <c r="G7" i="12"/>
  <c r="G26" i="12"/>
  <c r="G10" i="12"/>
  <c r="K14" i="12"/>
  <c r="K34" i="12"/>
  <c r="K20" i="12"/>
  <c r="K23" i="12"/>
  <c r="K26" i="12"/>
  <c r="K21" i="12"/>
  <c r="O6" i="12"/>
  <c r="K22" i="12"/>
  <c r="K28" i="12"/>
  <c r="AK23" i="10"/>
  <c r="AI24" i="10" s="1"/>
  <c r="AO23" i="10"/>
  <c r="G28" i="12" l="1"/>
  <c r="K25" i="12"/>
  <c r="K45" i="12" s="1"/>
  <c r="G8" i="12"/>
  <c r="G9" i="12" s="1"/>
  <c r="K4" i="12"/>
  <c r="K5" i="12" s="1"/>
  <c r="O12" i="12"/>
  <c r="O13" i="12" s="1"/>
  <c r="K38" i="12"/>
  <c r="K46" i="12"/>
  <c r="AG24" i="10"/>
  <c r="AO24" i="10" s="1"/>
  <c r="O16" i="12" l="1"/>
  <c r="O14" i="12"/>
  <c r="K37" i="12"/>
  <c r="AK24" i="10"/>
  <c r="AI25" i="10" s="1"/>
  <c r="O20" i="12" l="1"/>
  <c r="O15" i="12"/>
  <c r="AG25" i="10"/>
  <c r="AK25" i="10" s="1"/>
  <c r="AI26" i="10" s="1"/>
  <c r="O23" i="12" l="1"/>
  <c r="O28" i="12"/>
  <c r="O30" i="12" s="1"/>
  <c r="G16" i="12"/>
  <c r="K16" i="12"/>
  <c r="AO25" i="10"/>
  <c r="AG26" i="10"/>
  <c r="AO26" i="10" s="1"/>
  <c r="G19" i="12" l="1"/>
  <c r="AA4" i="12"/>
  <c r="Y4" i="12"/>
  <c r="W4" i="12"/>
  <c r="AK26" i="10"/>
  <c r="AI27" i="10" s="1"/>
  <c r="AB4" i="12" l="1"/>
  <c r="V5" i="12" s="1"/>
  <c r="W5" i="12" s="1"/>
  <c r="AC4" i="12"/>
  <c r="X5" i="12" s="1"/>
  <c r="Y5" i="12" s="1"/>
  <c r="AG27" i="10"/>
  <c r="AK27" i="10" s="1"/>
  <c r="AI28" i="10" s="1"/>
  <c r="Z5" i="12" l="1"/>
  <c r="AA5" i="12" s="1"/>
  <c r="AC5" i="12" s="1"/>
  <c r="X6" i="12" s="1"/>
  <c r="Y6" i="12" s="1"/>
  <c r="AD5" i="12"/>
  <c r="AO27" i="10"/>
  <c r="AG28" i="10"/>
  <c r="AO28" i="10" s="1"/>
  <c r="AB5" i="12" l="1"/>
  <c r="V6" i="12" s="1"/>
  <c r="W6" i="12" s="1"/>
  <c r="AK28" i="10"/>
  <c r="AG29" i="10" s="1"/>
  <c r="AD6" i="12" l="1"/>
  <c r="Z6" i="12"/>
  <c r="AA6" i="12" s="1"/>
  <c r="AC6" i="12" s="1"/>
  <c r="X7" i="12" s="1"/>
  <c r="Y7" i="12" s="1"/>
  <c r="AI29" i="10"/>
  <c r="AO29" i="10" s="1"/>
  <c r="AB6" i="12" l="1"/>
  <c r="V7" i="12" s="1"/>
  <c r="Z7" i="12" s="1"/>
  <c r="AA7" i="12" s="1"/>
  <c r="AC7" i="12" s="1"/>
  <c r="X8" i="12" s="1"/>
  <c r="AK29" i="10"/>
  <c r="AI30" i="10" s="1"/>
  <c r="AD7" i="12" l="1"/>
  <c r="W7" i="12"/>
  <c r="AB7" i="12" s="1"/>
  <c r="V8" i="12" s="1"/>
  <c r="Z8" i="12" s="1"/>
  <c r="AA8" i="12" s="1"/>
  <c r="Y8" i="12"/>
  <c r="AG30" i="10"/>
  <c r="AO30" i="10" s="1"/>
  <c r="AD8" i="12" l="1"/>
  <c r="W8" i="12"/>
  <c r="AB8" i="12" s="1"/>
  <c r="V9" i="12" s="1"/>
  <c r="W9" i="12" s="1"/>
  <c r="AC8" i="12"/>
  <c r="X9" i="12" s="1"/>
  <c r="Y9" i="12" s="1"/>
  <c r="AK30" i="10"/>
  <c r="AG31" i="10" s="1"/>
  <c r="AD9" i="12" l="1"/>
  <c r="Z9" i="12"/>
  <c r="AA9" i="12" s="1"/>
  <c r="AB9" i="12" s="1"/>
  <c r="V10" i="12" s="1"/>
  <c r="W10" i="12" s="1"/>
  <c r="AI31" i="10"/>
  <c r="AK31" i="10" s="1"/>
  <c r="AG32" i="10" s="1"/>
  <c r="AC9" i="12" l="1"/>
  <c r="X10" i="12" s="1"/>
  <c r="Z10" i="12" s="1"/>
  <c r="AA10" i="12" s="1"/>
  <c r="AB10" i="12" s="1"/>
  <c r="V11" i="12" s="1"/>
  <c r="W11" i="12" s="1"/>
  <c r="AO31" i="10"/>
  <c r="AI32" i="10"/>
  <c r="AO32" i="10" s="1"/>
  <c r="AD10" i="12" l="1"/>
  <c r="Y10" i="12"/>
  <c r="AC10" i="12" s="1"/>
  <c r="X11" i="12" s="1"/>
  <c r="Y11" i="12" s="1"/>
  <c r="AK32" i="10"/>
  <c r="AG33" i="10" s="1"/>
  <c r="Z11" i="12" l="1"/>
  <c r="AA11" i="12" s="1"/>
  <c r="AB11" i="12" s="1"/>
  <c r="V12" i="12" s="1"/>
  <c r="W12" i="12" s="1"/>
  <c r="AD11" i="12"/>
  <c r="AI33" i="10"/>
  <c r="AO33" i="10" s="1"/>
  <c r="AC11" i="12" l="1"/>
  <c r="X12" i="12" s="1"/>
  <c r="AD12" i="12" s="1"/>
  <c r="AK33" i="10"/>
  <c r="AI34" i="10" s="1"/>
  <c r="Z12" i="12" l="1"/>
  <c r="AA12" i="12" s="1"/>
  <c r="AB12" i="12" s="1"/>
  <c r="V13" i="12" s="1"/>
  <c r="W13" i="12" s="1"/>
  <c r="Y12" i="12"/>
  <c r="AG34" i="10"/>
  <c r="AO34" i="10" s="1"/>
  <c r="AC12" i="12" l="1"/>
  <c r="X13" i="12" s="1"/>
  <c r="Z13" i="12" s="1"/>
  <c r="AA13" i="12" s="1"/>
  <c r="AB13" i="12" s="1"/>
  <c r="V14" i="12" s="1"/>
  <c r="W14" i="12" s="1"/>
  <c r="AK34" i="10"/>
  <c r="AG35" i="10" s="1"/>
  <c r="AD13" i="12" l="1"/>
  <c r="Y13" i="12"/>
  <c r="AC13" i="12" s="1"/>
  <c r="X14" i="12" s="1"/>
  <c r="AD14" i="12" s="1"/>
  <c r="AI35" i="10"/>
  <c r="AO35" i="10" s="1"/>
  <c r="Z14" i="12" l="1"/>
  <c r="AA14" i="12" s="1"/>
  <c r="AB14" i="12" s="1"/>
  <c r="V15" i="12" s="1"/>
  <c r="W15" i="12" s="1"/>
  <c r="Y14" i="12"/>
  <c r="AK35" i="10"/>
  <c r="AI36" i="10" s="1"/>
  <c r="AC14" i="12" l="1"/>
  <c r="X15" i="12" s="1"/>
  <c r="Z15" i="12" s="1"/>
  <c r="AA15" i="12" s="1"/>
  <c r="AB15" i="12" s="1"/>
  <c r="V16" i="12" s="1"/>
  <c r="AG36" i="10"/>
  <c r="AO36" i="10" s="1"/>
  <c r="Y15" i="12" l="1"/>
  <c r="AC15" i="12" s="1"/>
  <c r="X16" i="12" s="1"/>
  <c r="Z16" i="12" s="1"/>
  <c r="AA16" i="12" s="1"/>
  <c r="AD15" i="12"/>
  <c r="W16" i="12"/>
  <c r="AK36" i="10"/>
  <c r="AI37" i="10" s="1"/>
  <c r="AB16" i="12" l="1"/>
  <c r="V17" i="12" s="1"/>
  <c r="W17" i="12" s="1"/>
  <c r="AD16" i="12"/>
  <c r="Y16" i="12"/>
  <c r="AC16" i="12" s="1"/>
  <c r="X17" i="12" s="1"/>
  <c r="AG37" i="10"/>
  <c r="AK37" i="10" s="1"/>
  <c r="AI38" i="10" s="1"/>
  <c r="Y17" i="12" l="1"/>
  <c r="AD17" i="12"/>
  <c r="Z17" i="12"/>
  <c r="AA17" i="12" s="1"/>
  <c r="AB17" i="12" s="1"/>
  <c r="V18" i="12" s="1"/>
  <c r="W18" i="12" s="1"/>
  <c r="AO37" i="10"/>
  <c r="AG38" i="10"/>
  <c r="AK38" i="10" s="1"/>
  <c r="AG39" i="10" s="1"/>
  <c r="AC17" i="12" l="1"/>
  <c r="X18" i="12" s="1"/>
  <c r="AO38" i="10"/>
  <c r="AI39" i="10"/>
  <c r="AK39" i="10" s="1"/>
  <c r="Y18" i="12" l="1"/>
  <c r="AD18" i="12"/>
  <c r="Z18" i="12"/>
  <c r="AA18" i="12" s="1"/>
  <c r="AB18" i="12" s="1"/>
  <c r="V19" i="12" s="1"/>
  <c r="W19" i="12" s="1"/>
  <c r="AO39" i="10"/>
  <c r="AI40" i="10"/>
  <c r="AG40" i="10"/>
  <c r="AC18" i="12" l="1"/>
  <c r="X19" i="12" s="1"/>
  <c r="AK40" i="10"/>
  <c r="AO40" i="10"/>
  <c r="Z19" i="12" l="1"/>
  <c r="AA19" i="12" s="1"/>
  <c r="AB19" i="12" s="1"/>
  <c r="V20" i="12" s="1"/>
  <c r="AD19" i="12"/>
  <c r="Y19" i="12"/>
  <c r="AI41" i="10"/>
  <c r="AG41" i="10"/>
  <c r="AC19" i="12" l="1"/>
  <c r="X20" i="12" s="1"/>
  <c r="Y20" i="12" s="1"/>
  <c r="W20" i="12"/>
  <c r="AK41" i="10"/>
  <c r="AI42" i="10" s="1"/>
  <c r="AO41" i="10"/>
  <c r="Z20" i="12" l="1"/>
  <c r="AA20" i="12" s="1"/>
  <c r="AB20" i="12" s="1"/>
  <c r="V21" i="12" s="1"/>
  <c r="W21" i="12" s="1"/>
  <c r="AD20" i="12"/>
  <c r="AG42" i="10"/>
  <c r="AK42" i="10" s="1"/>
  <c r="AG43" i="10" s="1"/>
  <c r="AC20" i="12" l="1"/>
  <c r="X21" i="12" s="1"/>
  <c r="Z21" i="12" s="1"/>
  <c r="AA21" i="12" s="1"/>
  <c r="AB21" i="12" s="1"/>
  <c r="V22" i="12" s="1"/>
  <c r="AI43" i="10"/>
  <c r="AK43" i="10" s="1"/>
  <c r="AI44" i="10" s="1"/>
  <c r="AO42" i="10"/>
  <c r="Y21" i="12" l="1"/>
  <c r="AC21" i="12" s="1"/>
  <c r="X22" i="12" s="1"/>
  <c r="Z22" i="12" s="1"/>
  <c r="AA22" i="12" s="1"/>
  <c r="AD21" i="12"/>
  <c r="W22" i="12"/>
  <c r="AO43" i="10"/>
  <c r="AG44" i="10"/>
  <c r="AO44" i="10" s="1"/>
  <c r="Y22" i="12" l="1"/>
  <c r="AC22" i="12" s="1"/>
  <c r="X23" i="12" s="1"/>
  <c r="Y23" i="12" s="1"/>
  <c r="AD22" i="12"/>
  <c r="AB22" i="12"/>
  <c r="V23" i="12" s="1"/>
  <c r="W23" i="12" s="1"/>
  <c r="AK44" i="10"/>
  <c r="Z23" i="12" l="1"/>
  <c r="AA23" i="12" s="1"/>
  <c r="AB23" i="12" s="1"/>
  <c r="V24" i="12" s="1"/>
  <c r="AD23" i="12"/>
  <c r="O4" i="10"/>
  <c r="K27" i="10"/>
  <c r="K28" i="10"/>
  <c r="G26" i="10"/>
  <c r="W24" i="12" l="1"/>
  <c r="AC23" i="12"/>
  <c r="X24" i="12" s="1"/>
  <c r="K21" i="10"/>
  <c r="K22" i="10"/>
  <c r="K23" i="10"/>
  <c r="K26" i="10"/>
  <c r="K14" i="10"/>
  <c r="G9" i="10"/>
  <c r="G27" i="10"/>
  <c r="K4" i="10" s="1"/>
  <c r="K24" i="10"/>
  <c r="O6" i="10"/>
  <c r="K20" i="10"/>
  <c r="K29" i="10"/>
  <c r="O12" i="10"/>
  <c r="O13" i="10" s="1"/>
  <c r="K34" i="10"/>
  <c r="Y24" i="12" l="1"/>
  <c r="AD24" i="12"/>
  <c r="Z24" i="12"/>
  <c r="AA24" i="12" s="1"/>
  <c r="AB24" i="12" s="1"/>
  <c r="V25" i="12" s="1"/>
  <c r="G11" i="10"/>
  <c r="AH49" i="10" s="1"/>
  <c r="K45" i="10"/>
  <c r="K38" i="10"/>
  <c r="K37" i="10"/>
  <c r="K5" i="10"/>
  <c r="K46" i="10"/>
  <c r="W25" i="12" l="1"/>
  <c r="AC24" i="12"/>
  <c r="X25" i="12" s="1"/>
  <c r="AL49" i="10"/>
  <c r="AJ49" i="10"/>
  <c r="G12" i="10"/>
  <c r="AD25" i="12" l="1"/>
  <c r="Y25" i="12"/>
  <c r="Z25" i="12"/>
  <c r="AA25" i="12" s="1"/>
  <c r="AB25" i="12" s="1"/>
  <c r="V26" i="12" s="1"/>
  <c r="O16" i="10"/>
  <c r="O14" i="10"/>
  <c r="W26" i="12" l="1"/>
  <c r="AC25" i="12"/>
  <c r="X26" i="12" s="1"/>
  <c r="Z26" i="12" s="1"/>
  <c r="AA26" i="12" s="1"/>
  <c r="O20" i="10"/>
  <c r="K16" i="10" s="1"/>
  <c r="O15" i="10"/>
  <c r="Y26" i="12" l="1"/>
  <c r="AC26" i="12" s="1"/>
  <c r="X27" i="12" s="1"/>
  <c r="AD26" i="12"/>
  <c r="AB26" i="12"/>
  <c r="V27" i="12" s="1"/>
  <c r="O23" i="10"/>
  <c r="W4" i="10" s="1"/>
  <c r="O28" i="10"/>
  <c r="O30" i="10" s="1"/>
  <c r="W27" i="12" l="1"/>
  <c r="Z27" i="12"/>
  <c r="AA27" i="12" s="1"/>
  <c r="Y27" i="12"/>
  <c r="AD27" i="12"/>
  <c r="Y4" i="10"/>
  <c r="AA4" i="10"/>
  <c r="AB27" i="12" l="1"/>
  <c r="V28" i="12" s="1"/>
  <c r="W28" i="12" s="1"/>
  <c r="AC27" i="12"/>
  <c r="X28" i="12" s="1"/>
  <c r="AB4" i="10"/>
  <c r="V5" i="10" s="1"/>
  <c r="W5" i="10" s="1"/>
  <c r="AC4" i="10"/>
  <c r="X5" i="10" s="1"/>
  <c r="Z28" i="12" l="1"/>
  <c r="AA28" i="12" s="1"/>
  <c r="AB28" i="12" s="1"/>
  <c r="V29" i="12" s="1"/>
  <c r="AD28" i="12"/>
  <c r="Y28" i="12"/>
  <c r="Z5" i="10"/>
  <c r="AA5" i="10" s="1"/>
  <c r="AB5" i="10" s="1"/>
  <c r="V6" i="10" s="1"/>
  <c r="W6" i="10" s="1"/>
  <c r="AD5" i="10"/>
  <c r="Y5" i="10"/>
  <c r="AC28" i="12" l="1"/>
  <c r="X29" i="12" s="1"/>
  <c r="Y29" i="12" s="1"/>
  <c r="W29" i="12"/>
  <c r="AC5" i="10"/>
  <c r="X6" i="10" s="1"/>
  <c r="AD6" i="10" s="1"/>
  <c r="Z29" i="12" l="1"/>
  <c r="AA29" i="12" s="1"/>
  <c r="AB29" i="12" s="1"/>
  <c r="V30" i="12" s="1"/>
  <c r="W30" i="12" s="1"/>
  <c r="AD29" i="12"/>
  <c r="Z6" i="10"/>
  <c r="AA6" i="10" s="1"/>
  <c r="AB6" i="10" s="1"/>
  <c r="V7" i="10" s="1"/>
  <c r="W7" i="10" s="1"/>
  <c r="Y6" i="10"/>
  <c r="AC29" i="12" l="1"/>
  <c r="X30" i="12" s="1"/>
  <c r="Z30" i="12" s="1"/>
  <c r="AA30" i="12" s="1"/>
  <c r="AB30" i="12" s="1"/>
  <c r="V31" i="12" s="1"/>
  <c r="AC6" i="10"/>
  <c r="X7" i="10" s="1"/>
  <c r="Z7" i="10" s="1"/>
  <c r="AA7" i="10" s="1"/>
  <c r="AB7" i="10" s="1"/>
  <c r="V8" i="10" s="1"/>
  <c r="W8" i="10" s="1"/>
  <c r="AD30" i="12" l="1"/>
  <c r="Y30" i="12"/>
  <c r="AC30" i="12" s="1"/>
  <c r="X31" i="12" s="1"/>
  <c r="Y31" i="12" s="1"/>
  <c r="W31" i="12"/>
  <c r="Y7" i="10"/>
  <c r="AC7" i="10" s="1"/>
  <c r="X8" i="10" s="1"/>
  <c r="Y8" i="10" s="1"/>
  <c r="AD7" i="10"/>
  <c r="Z31" i="12" l="1"/>
  <c r="AA31" i="12" s="1"/>
  <c r="AB31" i="12" s="1"/>
  <c r="V32" i="12" s="1"/>
  <c r="W32" i="12" s="1"/>
  <c r="AD31" i="12"/>
  <c r="Z8" i="10"/>
  <c r="AA8" i="10" s="1"/>
  <c r="AC8" i="10" s="1"/>
  <c r="X9" i="10" s="1"/>
  <c r="AD8" i="10"/>
  <c r="AC31" i="12" l="1"/>
  <c r="X32" i="12" s="1"/>
  <c r="Y32" i="12" s="1"/>
  <c r="AB8" i="10"/>
  <c r="V9" i="10" s="1"/>
  <c r="Z9" i="10" s="1"/>
  <c r="AA9" i="10" s="1"/>
  <c r="Y9" i="10"/>
  <c r="Z32" i="12" l="1"/>
  <c r="AA32" i="12" s="1"/>
  <c r="AB32" i="12" s="1"/>
  <c r="V33" i="12" s="1"/>
  <c r="W33" i="12" s="1"/>
  <c r="AD32" i="12"/>
  <c r="AD9" i="10"/>
  <c r="W9" i="10"/>
  <c r="AB9" i="10" s="1"/>
  <c r="V10" i="10" s="1"/>
  <c r="AC9" i="10"/>
  <c r="X10" i="10" s="1"/>
  <c r="Y10" i="10" s="1"/>
  <c r="AC32" i="12" l="1"/>
  <c r="X33" i="12" s="1"/>
  <c r="AD33" i="12" s="1"/>
  <c r="Z10" i="10"/>
  <c r="AA10" i="10" s="1"/>
  <c r="AC10" i="10" s="1"/>
  <c r="X11" i="10" s="1"/>
  <c r="Y11" i="10" s="1"/>
  <c r="AD10" i="10"/>
  <c r="W10" i="10"/>
  <c r="Z33" i="12" l="1"/>
  <c r="AA33" i="12" s="1"/>
  <c r="AB33" i="12" s="1"/>
  <c r="V34" i="12" s="1"/>
  <c r="W34" i="12" s="1"/>
  <c r="Y33" i="12"/>
  <c r="AB10" i="10"/>
  <c r="V11" i="10" s="1"/>
  <c r="AD11" i="10" s="1"/>
  <c r="AC33" i="12" l="1"/>
  <c r="X34" i="12" s="1"/>
  <c r="Z34" i="12" s="1"/>
  <c r="O26" i="12" s="1"/>
  <c r="O27" i="12" s="1"/>
  <c r="G17" i="12" s="1"/>
  <c r="Z11" i="10"/>
  <c r="AA11" i="10" s="1"/>
  <c r="AC11" i="10" s="1"/>
  <c r="X12" i="10" s="1"/>
  <c r="W11" i="10"/>
  <c r="Y34" i="12" l="1"/>
  <c r="AD34" i="12"/>
  <c r="AA34" i="12"/>
  <c r="AB34" i="12" s="1"/>
  <c r="G18" i="12"/>
  <c r="G20" i="12"/>
  <c r="AB11" i="10"/>
  <c r="V12" i="10" s="1"/>
  <c r="AD12" i="10" s="1"/>
  <c r="Y12" i="10"/>
  <c r="AC34" i="12" l="1"/>
  <c r="G33" i="12"/>
  <c r="K10" i="12" s="1"/>
  <c r="K15" i="12" s="1"/>
  <c r="K6" i="12"/>
  <c r="Z12" i="10"/>
  <c r="AA12" i="10" s="1"/>
  <c r="AC12" i="10" s="1"/>
  <c r="X13" i="10" s="1"/>
  <c r="W12" i="10"/>
  <c r="K7" i="12" l="1"/>
  <c r="K18" i="12"/>
  <c r="K19" i="12"/>
  <c r="K43" i="12"/>
  <c r="K35" i="12"/>
  <c r="K30" i="12"/>
  <c r="AB12" i="10"/>
  <c r="V13" i="10" s="1"/>
  <c r="W13" i="10" s="1"/>
  <c r="Y13" i="10"/>
  <c r="K31" i="12" l="1"/>
  <c r="AJ4" i="12"/>
  <c r="AH4" i="12"/>
  <c r="AL4" i="12"/>
  <c r="K36" i="12"/>
  <c r="K39" i="12" s="1"/>
  <c r="K44" i="12"/>
  <c r="K47" i="12" s="1"/>
  <c r="Z13" i="10"/>
  <c r="AA13" i="10" s="1"/>
  <c r="AB13" i="10" s="1"/>
  <c r="V14" i="10" s="1"/>
  <c r="W14" i="10" s="1"/>
  <c r="AD13" i="10"/>
  <c r="AC13" i="10" l="1"/>
  <c r="X14" i="10" s="1"/>
  <c r="AD14" i="10" s="1"/>
  <c r="Z14" i="10" l="1"/>
  <c r="AA14" i="10" s="1"/>
  <c r="AB14" i="10" s="1"/>
  <c r="V15" i="10" s="1"/>
  <c r="W15" i="10" s="1"/>
  <c r="Y14" i="10"/>
  <c r="AC14" i="10" l="1"/>
  <c r="X15" i="10" s="1"/>
  <c r="Z15" i="10" s="1"/>
  <c r="AA15" i="10" s="1"/>
  <c r="AB15" i="10" s="1"/>
  <c r="V16" i="10" s="1"/>
  <c r="AD15" i="10" l="1"/>
  <c r="Y15" i="10"/>
  <c r="AC15" i="10" s="1"/>
  <c r="X16" i="10" s="1"/>
  <c r="AD16" i="10" s="1"/>
  <c r="W16" i="10"/>
  <c r="Z16" i="10" l="1"/>
  <c r="AA16" i="10" s="1"/>
  <c r="AB16" i="10" s="1"/>
  <c r="V17" i="10" s="1"/>
  <c r="Y16" i="10"/>
  <c r="AC16" i="10" l="1"/>
  <c r="X17" i="10" s="1"/>
  <c r="AD17" i="10" s="1"/>
  <c r="W17" i="10"/>
  <c r="Z17" i="10" l="1"/>
  <c r="AA17" i="10" s="1"/>
  <c r="AB17" i="10" s="1"/>
  <c r="V18" i="10" s="1"/>
  <c r="W18" i="10" s="1"/>
  <c r="Y17" i="10"/>
  <c r="AC17" i="10" l="1"/>
  <c r="X18" i="10" s="1"/>
  <c r="AD18" i="10" s="1"/>
  <c r="Y18" i="10" l="1"/>
  <c r="Z18" i="10"/>
  <c r="AA18" i="10" s="1"/>
  <c r="AB18" i="10" s="1"/>
  <c r="V19" i="10" s="1"/>
  <c r="W19" i="10" s="1"/>
  <c r="AC18" i="10" l="1"/>
  <c r="X19" i="10" s="1"/>
  <c r="Y19" i="10" s="1"/>
  <c r="AD19" i="10" l="1"/>
  <c r="Z19" i="10"/>
  <c r="AA19" i="10" s="1"/>
  <c r="AB19" i="10" s="1"/>
  <c r="V20" i="10" s="1"/>
  <c r="W20" i="10" s="1"/>
  <c r="AC19" i="10" l="1"/>
  <c r="X20" i="10" s="1"/>
  <c r="AD20" i="10" s="1"/>
  <c r="Z20" i="10" l="1"/>
  <c r="AA20" i="10" s="1"/>
  <c r="AB20" i="10" s="1"/>
  <c r="V21" i="10" s="1"/>
  <c r="W21" i="10" s="1"/>
  <c r="Y20" i="10"/>
  <c r="AC20" i="10" l="1"/>
  <c r="X21" i="10" s="1"/>
  <c r="Z21" i="10" s="1"/>
  <c r="AA21" i="10" s="1"/>
  <c r="AB21" i="10" s="1"/>
  <c r="V22" i="10" s="1"/>
  <c r="Y21" i="10" l="1"/>
  <c r="AC21" i="10" s="1"/>
  <c r="X22" i="10" s="1"/>
  <c r="Y22" i="10" s="1"/>
  <c r="AD21" i="10"/>
  <c r="W22" i="10"/>
  <c r="Z22" i="10" l="1"/>
  <c r="AA22" i="10" s="1"/>
  <c r="AB22" i="10" s="1"/>
  <c r="V23" i="10" s="1"/>
  <c r="W23" i="10" s="1"/>
  <c r="AD22" i="10"/>
  <c r="AC22" i="10" l="1"/>
  <c r="X23" i="10" s="1"/>
  <c r="Y23" i="10" s="1"/>
  <c r="Z23" i="10" l="1"/>
  <c r="AA23" i="10" s="1"/>
  <c r="AB23" i="10" s="1"/>
  <c r="V24" i="10" s="1"/>
  <c r="W24" i="10" s="1"/>
  <c r="AD23" i="10"/>
  <c r="AC23" i="10" l="1"/>
  <c r="X24" i="10" s="1"/>
  <c r="AD24" i="10" s="1"/>
  <c r="BH5" i="9"/>
  <c r="C10" i="9"/>
  <c r="C20" i="9" s="1"/>
  <c r="Y24" i="10" l="1"/>
  <c r="Z24" i="10"/>
  <c r="AA24" i="10" s="1"/>
  <c r="AB24" i="10" s="1"/>
  <c r="V25" i="10" s="1"/>
  <c r="W25" i="10" s="1"/>
  <c r="BL62" i="9"/>
  <c r="BL43" i="9"/>
  <c r="CH136" i="9"/>
  <c r="CG136" i="9"/>
  <c r="CH135" i="9"/>
  <c r="CG135" i="9"/>
  <c r="CH134" i="9"/>
  <c r="CG134" i="9"/>
  <c r="CH133" i="9"/>
  <c r="CG133" i="9"/>
  <c r="CH132" i="9"/>
  <c r="CG132" i="9"/>
  <c r="CH131" i="9"/>
  <c r="CG131" i="9"/>
  <c r="CH130" i="9"/>
  <c r="CG130" i="9"/>
  <c r="CH129" i="9"/>
  <c r="CG129" i="9"/>
  <c r="CH128" i="9"/>
  <c r="CG128" i="9"/>
  <c r="CH127" i="9"/>
  <c r="CG127" i="9"/>
  <c r="CH126" i="9"/>
  <c r="CG126" i="9"/>
  <c r="CH125" i="9"/>
  <c r="CG125" i="9"/>
  <c r="CH124" i="9"/>
  <c r="CG124" i="9"/>
  <c r="CH123" i="9"/>
  <c r="CG123" i="9"/>
  <c r="CH122" i="9"/>
  <c r="CG122" i="9"/>
  <c r="CH121" i="9"/>
  <c r="CG121" i="9"/>
  <c r="CH120" i="9"/>
  <c r="CG120" i="9"/>
  <c r="CH119" i="9"/>
  <c r="CG119" i="9"/>
  <c r="CH118" i="9"/>
  <c r="CG118" i="9"/>
  <c r="CH117" i="9"/>
  <c r="CG117" i="9"/>
  <c r="CH116" i="9"/>
  <c r="CG116" i="9"/>
  <c r="CH115" i="9"/>
  <c r="CG115" i="9"/>
  <c r="CH114" i="9"/>
  <c r="CG114" i="9"/>
  <c r="CH113" i="9"/>
  <c r="CG113" i="9"/>
  <c r="CH112" i="9"/>
  <c r="CG112" i="9"/>
  <c r="CH111" i="9"/>
  <c r="CG111" i="9"/>
  <c r="CH110" i="9"/>
  <c r="CG110" i="9"/>
  <c r="CH109" i="9"/>
  <c r="CG109" i="9"/>
  <c r="CH108" i="9"/>
  <c r="CG108" i="9"/>
  <c r="CH107" i="9"/>
  <c r="CG107" i="9"/>
  <c r="AC24" i="10" l="1"/>
  <c r="X25" i="10" s="1"/>
  <c r="Y25" i="10" s="1"/>
  <c r="CE107" i="9"/>
  <c r="CC108" i="9"/>
  <c r="CI107" i="9"/>
  <c r="CA108" i="9"/>
  <c r="C31" i="9"/>
  <c r="AN79" i="9"/>
  <c r="AM79" i="9"/>
  <c r="AN78" i="9"/>
  <c r="AM78" i="9"/>
  <c r="AN77" i="9"/>
  <c r="AM77" i="9"/>
  <c r="AN76" i="9"/>
  <c r="AM76" i="9"/>
  <c r="AN75" i="9"/>
  <c r="AM75" i="9"/>
  <c r="AN74" i="9"/>
  <c r="AM74" i="9"/>
  <c r="AN73" i="9"/>
  <c r="AM73" i="9"/>
  <c r="AN72" i="9"/>
  <c r="AM72" i="9"/>
  <c r="AN71" i="9"/>
  <c r="AM71" i="9"/>
  <c r="AN70" i="9"/>
  <c r="AM70" i="9"/>
  <c r="AN69" i="9"/>
  <c r="AM69" i="9"/>
  <c r="AN68" i="9"/>
  <c r="AM68" i="9"/>
  <c r="AN67" i="9"/>
  <c r="AM67" i="9"/>
  <c r="AN66" i="9"/>
  <c r="AM66" i="9"/>
  <c r="AN65" i="9"/>
  <c r="AM65" i="9"/>
  <c r="AN64" i="9"/>
  <c r="AM64" i="9"/>
  <c r="AN63" i="9"/>
  <c r="AM63" i="9"/>
  <c r="AN62" i="9"/>
  <c r="AM62" i="9"/>
  <c r="AN61" i="9"/>
  <c r="AM61" i="9"/>
  <c r="AN60" i="9"/>
  <c r="AM60" i="9"/>
  <c r="AN59" i="9"/>
  <c r="AM59" i="9"/>
  <c r="AN58" i="9"/>
  <c r="AM58" i="9"/>
  <c r="AN57" i="9"/>
  <c r="AM57" i="9"/>
  <c r="AN56" i="9"/>
  <c r="AM56" i="9"/>
  <c r="AN55" i="9"/>
  <c r="AM55" i="9"/>
  <c r="AN54" i="9"/>
  <c r="AM54" i="9"/>
  <c r="AN53" i="9"/>
  <c r="AM53" i="9"/>
  <c r="AN52" i="9"/>
  <c r="AM52" i="9"/>
  <c r="AN51" i="9"/>
  <c r="AM51" i="9"/>
  <c r="AO50" i="9"/>
  <c r="AN50" i="9"/>
  <c r="AM50" i="9"/>
  <c r="AK50" i="9"/>
  <c r="AR8" i="9"/>
  <c r="Z25" i="10" l="1"/>
  <c r="AA25" i="10" s="1"/>
  <c r="AB25" i="10" s="1"/>
  <c r="V26" i="10" s="1"/>
  <c r="AD25" i="10"/>
  <c r="CE108" i="9"/>
  <c r="CC109" i="9" s="1"/>
  <c r="CI108" i="9"/>
  <c r="AR32" i="9"/>
  <c r="AR25" i="9"/>
  <c r="AR34" i="9"/>
  <c r="BL65" i="9" s="1"/>
  <c r="AR31" i="9"/>
  <c r="AR24" i="9"/>
  <c r="AR30" i="9"/>
  <c r="AR23" i="9"/>
  <c r="AR27" i="9"/>
  <c r="BH8" i="9" s="1"/>
  <c r="AR29" i="9"/>
  <c r="AR22" i="9"/>
  <c r="AR26" i="9"/>
  <c r="BD31" i="9" s="1"/>
  <c r="AR28" i="9"/>
  <c r="AR21" i="9"/>
  <c r="AR20" i="9"/>
  <c r="AR10" i="9"/>
  <c r="AR33" i="9"/>
  <c r="AI51" i="9"/>
  <c r="AG51" i="9"/>
  <c r="AV3" i="9"/>
  <c r="AV4" i="9" s="1"/>
  <c r="BL5" i="9"/>
  <c r="BP5" i="9"/>
  <c r="BR5" i="9"/>
  <c r="BV5" i="9"/>
  <c r="BW5" i="9"/>
  <c r="CA5" i="9"/>
  <c r="CC5" i="9"/>
  <c r="CG5" i="9"/>
  <c r="CH5" i="9"/>
  <c r="BV6" i="9"/>
  <c r="BW6" i="9"/>
  <c r="CG6" i="9"/>
  <c r="CH6" i="9"/>
  <c r="BV7" i="9"/>
  <c r="BW7" i="9"/>
  <c r="CG7" i="9"/>
  <c r="CH7" i="9"/>
  <c r="BV8" i="9"/>
  <c r="BW8" i="9"/>
  <c r="CG8" i="9"/>
  <c r="CH8" i="9"/>
  <c r="BV9" i="9"/>
  <c r="BW9" i="9"/>
  <c r="CG9" i="9"/>
  <c r="CH9" i="9"/>
  <c r="BV10" i="9"/>
  <c r="BW10" i="9"/>
  <c r="CG10" i="9"/>
  <c r="CH10" i="9"/>
  <c r="BV11" i="9"/>
  <c r="BW11" i="9"/>
  <c r="CG11" i="9"/>
  <c r="CH11" i="9"/>
  <c r="BV12" i="9"/>
  <c r="BW12" i="9"/>
  <c r="CG12" i="9"/>
  <c r="CH12" i="9"/>
  <c r="BV13" i="9"/>
  <c r="BW13" i="9"/>
  <c r="CG13" i="9"/>
  <c r="CH13" i="9"/>
  <c r="BV14" i="9"/>
  <c r="BW14" i="9"/>
  <c r="CG14" i="9"/>
  <c r="CH14" i="9"/>
  <c r="BV15" i="9"/>
  <c r="BW15" i="9"/>
  <c r="CG15" i="9"/>
  <c r="CH15" i="9"/>
  <c r="BV16" i="9"/>
  <c r="BW16" i="9"/>
  <c r="CG16" i="9"/>
  <c r="CH16" i="9"/>
  <c r="BV17" i="9"/>
  <c r="BW17" i="9"/>
  <c r="CG17" i="9"/>
  <c r="CH17" i="9"/>
  <c r="BV18" i="9"/>
  <c r="BW18" i="9"/>
  <c r="CG18" i="9"/>
  <c r="CH18" i="9"/>
  <c r="BV19" i="9"/>
  <c r="BW19" i="9"/>
  <c r="CG19" i="9"/>
  <c r="CH19" i="9"/>
  <c r="BV20" i="9"/>
  <c r="BW20" i="9"/>
  <c r="CG20" i="9"/>
  <c r="CH20" i="9"/>
  <c r="BV21" i="9"/>
  <c r="BW21" i="9"/>
  <c r="CG21" i="9"/>
  <c r="CH21" i="9"/>
  <c r="BV22" i="9"/>
  <c r="BW22" i="9"/>
  <c r="CG22" i="9"/>
  <c r="CH22" i="9"/>
  <c r="BV23" i="9"/>
  <c r="BW23" i="9"/>
  <c r="CG23" i="9"/>
  <c r="CH23" i="9"/>
  <c r="BH24" i="9"/>
  <c r="BL24" i="9"/>
  <c r="BV24" i="9"/>
  <c r="BW24" i="9"/>
  <c r="CG24" i="9"/>
  <c r="CH24" i="9"/>
  <c r="BV25" i="9"/>
  <c r="BW25" i="9"/>
  <c r="CG25" i="9"/>
  <c r="CH25" i="9"/>
  <c r="BV26" i="9"/>
  <c r="BW26" i="9"/>
  <c r="CG26" i="9"/>
  <c r="CH26" i="9"/>
  <c r="BV27" i="9"/>
  <c r="BW27" i="9"/>
  <c r="CG27" i="9"/>
  <c r="CH27" i="9"/>
  <c r="BV28" i="9"/>
  <c r="BW28" i="9"/>
  <c r="CG28" i="9"/>
  <c r="CH28" i="9"/>
  <c r="BV29" i="9"/>
  <c r="BW29" i="9"/>
  <c r="CG29" i="9"/>
  <c r="CH29" i="9"/>
  <c r="BV30" i="9"/>
  <c r="BW30" i="9"/>
  <c r="CG30" i="9"/>
  <c r="CH30" i="9"/>
  <c r="BV31" i="9"/>
  <c r="BW31" i="9"/>
  <c r="CG31" i="9"/>
  <c r="CH31" i="9"/>
  <c r="BV32" i="9"/>
  <c r="BW32" i="9"/>
  <c r="CG32" i="9"/>
  <c r="CH32" i="9"/>
  <c r="BV33" i="9"/>
  <c r="BW33" i="9"/>
  <c r="CG33" i="9"/>
  <c r="CH33" i="9"/>
  <c r="BV34" i="9"/>
  <c r="BW34" i="9"/>
  <c r="CG34" i="9"/>
  <c r="CH34" i="9"/>
  <c r="BP39" i="9"/>
  <c r="BR39" i="9"/>
  <c r="BV39" i="9"/>
  <c r="BW39" i="9"/>
  <c r="CA39" i="9"/>
  <c r="CC39" i="9"/>
  <c r="CG39" i="9"/>
  <c r="CH39" i="9"/>
  <c r="BV40" i="9"/>
  <c r="BW40" i="9"/>
  <c r="CG40" i="9"/>
  <c r="CH40" i="9"/>
  <c r="BV41" i="9"/>
  <c r="BW41" i="9"/>
  <c r="CG41" i="9"/>
  <c r="CH41" i="9"/>
  <c r="BV42" i="9"/>
  <c r="BW42" i="9"/>
  <c r="CG42" i="9"/>
  <c r="CH42" i="9"/>
  <c r="BH43" i="9"/>
  <c r="BV43" i="9"/>
  <c r="BW43" i="9"/>
  <c r="CG43" i="9"/>
  <c r="CH43" i="9"/>
  <c r="BV44" i="9"/>
  <c r="BW44" i="9"/>
  <c r="CG44" i="9"/>
  <c r="CH44" i="9"/>
  <c r="BV45" i="9"/>
  <c r="BW45" i="9"/>
  <c r="CG45" i="9"/>
  <c r="CH45" i="9"/>
  <c r="BV46" i="9"/>
  <c r="BW46" i="9"/>
  <c r="CG46" i="9"/>
  <c r="CH46" i="9"/>
  <c r="BV47" i="9"/>
  <c r="BW47" i="9"/>
  <c r="CG47" i="9"/>
  <c r="CH47" i="9"/>
  <c r="BV48" i="9"/>
  <c r="BW48" i="9"/>
  <c r="CG48" i="9"/>
  <c r="CH48" i="9"/>
  <c r="BV49" i="9"/>
  <c r="BW49" i="9"/>
  <c r="CG49" i="9"/>
  <c r="CH49" i="9"/>
  <c r="BV50" i="9"/>
  <c r="BW50" i="9"/>
  <c r="CG50" i="9"/>
  <c r="CH50" i="9"/>
  <c r="BV51" i="9"/>
  <c r="BW51" i="9"/>
  <c r="CG51" i="9"/>
  <c r="CH51" i="9"/>
  <c r="BV52" i="9"/>
  <c r="BW52" i="9"/>
  <c r="CG52" i="9"/>
  <c r="CH52" i="9"/>
  <c r="BV53" i="9"/>
  <c r="BW53" i="9"/>
  <c r="CG53" i="9"/>
  <c r="CH53" i="9"/>
  <c r="BV54" i="9"/>
  <c r="BW54" i="9"/>
  <c r="CG54" i="9"/>
  <c r="CH54" i="9"/>
  <c r="BV55" i="9"/>
  <c r="BW55" i="9"/>
  <c r="CG55" i="9"/>
  <c r="CH55" i="9"/>
  <c r="BV56" i="9"/>
  <c r="BW56" i="9"/>
  <c r="CG56" i="9"/>
  <c r="CH56" i="9"/>
  <c r="BV57" i="9"/>
  <c r="BW57" i="9"/>
  <c r="CG57" i="9"/>
  <c r="CH57" i="9"/>
  <c r="BV58" i="9"/>
  <c r="BW58" i="9"/>
  <c r="CG58" i="9"/>
  <c r="CH58" i="9"/>
  <c r="BV59" i="9"/>
  <c r="BW59" i="9"/>
  <c r="CG59" i="9"/>
  <c r="CH59" i="9"/>
  <c r="BV60" i="9"/>
  <c r="BW60" i="9"/>
  <c r="CG60" i="9"/>
  <c r="CH60" i="9"/>
  <c r="BV61" i="9"/>
  <c r="BW61" i="9"/>
  <c r="CG61" i="9"/>
  <c r="CH61" i="9"/>
  <c r="BH62" i="9"/>
  <c r="BV62" i="9"/>
  <c r="BW62" i="9"/>
  <c r="CG62" i="9"/>
  <c r="CH62" i="9"/>
  <c r="BV63" i="9"/>
  <c r="BW63" i="9"/>
  <c r="CG63" i="9"/>
  <c r="CH63" i="9"/>
  <c r="BV64" i="9"/>
  <c r="BW64" i="9"/>
  <c r="CG64" i="9"/>
  <c r="CH64" i="9"/>
  <c r="BV65" i="9"/>
  <c r="BW65" i="9"/>
  <c r="CG65" i="9"/>
  <c r="CH65" i="9"/>
  <c r="BV66" i="9"/>
  <c r="BW66" i="9"/>
  <c r="CG66" i="9"/>
  <c r="CH66" i="9"/>
  <c r="BV67" i="9"/>
  <c r="BW67" i="9"/>
  <c r="CG67" i="9"/>
  <c r="CH67" i="9"/>
  <c r="BV68" i="9"/>
  <c r="BW68" i="9"/>
  <c r="CG68" i="9"/>
  <c r="CH68" i="9"/>
  <c r="BP73" i="9"/>
  <c r="BR73" i="9"/>
  <c r="BV73" i="9"/>
  <c r="BW73" i="9"/>
  <c r="CA73" i="9"/>
  <c r="CC73" i="9"/>
  <c r="CG73" i="9"/>
  <c r="CH73" i="9"/>
  <c r="BV74" i="9"/>
  <c r="BW74" i="9"/>
  <c r="CG74" i="9"/>
  <c r="CH74" i="9"/>
  <c r="BV75" i="9"/>
  <c r="BW75" i="9"/>
  <c r="CG75" i="9"/>
  <c r="CH75" i="9"/>
  <c r="BV76" i="9"/>
  <c r="BW76" i="9"/>
  <c r="CG76" i="9"/>
  <c r="CH76" i="9"/>
  <c r="BV77" i="9"/>
  <c r="BW77" i="9"/>
  <c r="CG77" i="9"/>
  <c r="CH77" i="9"/>
  <c r="BV78" i="9"/>
  <c r="BW78" i="9"/>
  <c r="CG78" i="9"/>
  <c r="CH78" i="9"/>
  <c r="BV79" i="9"/>
  <c r="BW79" i="9"/>
  <c r="CG79" i="9"/>
  <c r="CH79" i="9"/>
  <c r="BV80" i="9"/>
  <c r="BW80" i="9"/>
  <c r="CG80" i="9"/>
  <c r="CH80" i="9"/>
  <c r="BV81" i="9"/>
  <c r="BW81" i="9"/>
  <c r="CG81" i="9"/>
  <c r="CH81" i="9"/>
  <c r="BV82" i="9"/>
  <c r="BW82" i="9"/>
  <c r="CG82" i="9"/>
  <c r="CH82" i="9"/>
  <c r="BV83" i="9"/>
  <c r="BW83" i="9"/>
  <c r="CG83" i="9"/>
  <c r="CH83" i="9"/>
  <c r="BV84" i="9"/>
  <c r="BW84" i="9"/>
  <c r="CG84" i="9"/>
  <c r="CH84" i="9"/>
  <c r="BV85" i="9"/>
  <c r="BW85" i="9"/>
  <c r="CG85" i="9"/>
  <c r="CH85" i="9"/>
  <c r="BV86" i="9"/>
  <c r="BW86" i="9"/>
  <c r="CG86" i="9"/>
  <c r="CH86" i="9"/>
  <c r="BV87" i="9"/>
  <c r="BW87" i="9"/>
  <c r="CG87" i="9"/>
  <c r="CH87" i="9"/>
  <c r="BV88" i="9"/>
  <c r="BW88" i="9"/>
  <c r="CG88" i="9"/>
  <c r="CH88" i="9"/>
  <c r="BV89" i="9"/>
  <c r="BW89" i="9"/>
  <c r="CG89" i="9"/>
  <c r="CH89" i="9"/>
  <c r="BV90" i="9"/>
  <c r="BW90" i="9"/>
  <c r="CG90" i="9"/>
  <c r="CH90" i="9"/>
  <c r="BV91" i="9"/>
  <c r="BW91" i="9"/>
  <c r="CG91" i="9"/>
  <c r="CH91" i="9"/>
  <c r="BV92" i="9"/>
  <c r="BW92" i="9"/>
  <c r="CG92" i="9"/>
  <c r="CH92" i="9"/>
  <c r="BV93" i="9"/>
  <c r="BW93" i="9"/>
  <c r="CG93" i="9"/>
  <c r="CH93" i="9"/>
  <c r="BV94" i="9"/>
  <c r="BW94" i="9"/>
  <c r="CG94" i="9"/>
  <c r="CH94" i="9"/>
  <c r="BV95" i="9"/>
  <c r="BW95" i="9"/>
  <c r="CG95" i="9"/>
  <c r="CH95" i="9"/>
  <c r="BV96" i="9"/>
  <c r="BW96" i="9"/>
  <c r="CG96" i="9"/>
  <c r="CH96" i="9"/>
  <c r="BV97" i="9"/>
  <c r="BW97" i="9"/>
  <c r="CG97" i="9"/>
  <c r="CH97" i="9"/>
  <c r="BV98" i="9"/>
  <c r="BW98" i="9"/>
  <c r="CG98" i="9"/>
  <c r="CH98" i="9"/>
  <c r="BV99" i="9"/>
  <c r="BW99" i="9"/>
  <c r="CG99" i="9"/>
  <c r="CH99" i="9"/>
  <c r="BV100" i="9"/>
  <c r="BW100" i="9"/>
  <c r="CG100" i="9"/>
  <c r="CH100" i="9"/>
  <c r="BV101" i="9"/>
  <c r="BW101" i="9"/>
  <c r="CG101" i="9"/>
  <c r="CH101" i="9"/>
  <c r="BV102" i="9"/>
  <c r="BW102" i="9"/>
  <c r="CG102" i="9"/>
  <c r="CH102" i="9"/>
  <c r="BP107" i="9"/>
  <c r="BR107" i="9"/>
  <c r="BV107" i="9"/>
  <c r="BW107" i="9"/>
  <c r="BV108" i="9"/>
  <c r="BW108" i="9"/>
  <c r="BV109" i="9"/>
  <c r="BW109" i="9"/>
  <c r="BV110" i="9"/>
  <c r="BW110" i="9"/>
  <c r="BV111" i="9"/>
  <c r="BW111" i="9"/>
  <c r="BV112" i="9"/>
  <c r="BW112" i="9"/>
  <c r="BV113" i="9"/>
  <c r="BW113" i="9"/>
  <c r="BV114" i="9"/>
  <c r="BW114" i="9"/>
  <c r="BV115" i="9"/>
  <c r="BW115" i="9"/>
  <c r="BV116" i="9"/>
  <c r="BW116" i="9"/>
  <c r="BV117" i="9"/>
  <c r="BW117" i="9"/>
  <c r="BV118" i="9"/>
  <c r="BW118" i="9"/>
  <c r="BV119" i="9"/>
  <c r="BW119" i="9"/>
  <c r="BV120" i="9"/>
  <c r="BW120" i="9"/>
  <c r="BV121" i="9"/>
  <c r="BW121" i="9"/>
  <c r="BV122" i="9"/>
  <c r="BW122" i="9"/>
  <c r="BV123" i="9"/>
  <c r="BW123" i="9"/>
  <c r="BV124" i="9"/>
  <c r="BW124" i="9"/>
  <c r="BV125" i="9"/>
  <c r="BW125" i="9"/>
  <c r="BV126" i="9"/>
  <c r="BW126" i="9"/>
  <c r="BV127" i="9"/>
  <c r="BW127" i="9"/>
  <c r="BV128" i="9"/>
  <c r="BW128" i="9"/>
  <c r="BV129" i="9"/>
  <c r="BW129" i="9"/>
  <c r="BV130" i="9"/>
  <c r="BW130" i="9"/>
  <c r="BV131" i="9"/>
  <c r="BW131" i="9"/>
  <c r="BV132" i="9"/>
  <c r="BW132" i="9"/>
  <c r="BV133" i="9"/>
  <c r="BW133" i="9"/>
  <c r="BV134" i="9"/>
  <c r="BW134" i="9"/>
  <c r="BV135" i="9"/>
  <c r="BW135" i="9"/>
  <c r="BV136" i="9"/>
  <c r="BW136" i="9"/>
  <c r="G25" i="9"/>
  <c r="K9" i="9" s="1"/>
  <c r="AN44" i="9"/>
  <c r="AM44" i="9"/>
  <c r="AN43" i="9"/>
  <c r="AM43" i="9"/>
  <c r="AN42" i="9"/>
  <c r="AM42" i="9"/>
  <c r="AN41" i="9"/>
  <c r="AM41" i="9"/>
  <c r="AN40" i="9"/>
  <c r="AM40" i="9"/>
  <c r="AN39" i="9"/>
  <c r="AM39" i="9"/>
  <c r="AN38" i="9"/>
  <c r="AM38" i="9"/>
  <c r="AN37" i="9"/>
  <c r="AM37" i="9"/>
  <c r="AN36" i="9"/>
  <c r="AM36" i="9"/>
  <c r="AN35" i="9"/>
  <c r="AM35" i="9"/>
  <c r="AN34" i="9"/>
  <c r="AM34" i="9"/>
  <c r="AN33" i="9"/>
  <c r="AM33" i="9"/>
  <c r="AN32" i="9"/>
  <c r="AM32" i="9"/>
  <c r="AN31" i="9"/>
  <c r="AM31" i="9"/>
  <c r="AN30" i="9"/>
  <c r="AM30" i="9"/>
  <c r="AN29" i="9"/>
  <c r="AM29" i="9"/>
  <c r="AN28" i="9"/>
  <c r="AM28" i="9"/>
  <c r="AN27" i="9"/>
  <c r="AM27" i="9"/>
  <c r="AN26" i="9"/>
  <c r="AM26" i="9"/>
  <c r="AN25" i="9"/>
  <c r="AM25" i="9"/>
  <c r="AN24" i="9"/>
  <c r="AM24" i="9"/>
  <c r="AN23" i="9"/>
  <c r="AM23" i="9"/>
  <c r="AN22" i="9"/>
  <c r="AM22" i="9"/>
  <c r="AN21" i="9"/>
  <c r="AM21" i="9"/>
  <c r="AN20" i="9"/>
  <c r="AM20" i="9"/>
  <c r="AN19" i="9"/>
  <c r="AM19" i="9"/>
  <c r="AN18" i="9"/>
  <c r="AM18" i="9"/>
  <c r="AN17" i="9"/>
  <c r="AM17" i="9"/>
  <c r="AN16" i="9"/>
  <c r="AM16" i="9"/>
  <c r="AN15" i="9"/>
  <c r="AM15" i="9"/>
  <c r="AN14" i="9"/>
  <c r="AM14" i="9"/>
  <c r="AN13" i="9"/>
  <c r="AM13" i="9"/>
  <c r="K31" i="9"/>
  <c r="AN12" i="9"/>
  <c r="AM12" i="9"/>
  <c r="AN11" i="9"/>
  <c r="AM11" i="9"/>
  <c r="AN10" i="9"/>
  <c r="AM10" i="9"/>
  <c r="AN9" i="9"/>
  <c r="AM9" i="9"/>
  <c r="AN8" i="9"/>
  <c r="AM8" i="9"/>
  <c r="AN7" i="9"/>
  <c r="AM7" i="9"/>
  <c r="AN6" i="9"/>
  <c r="AM6" i="9"/>
  <c r="AO5" i="9"/>
  <c r="AN5" i="9"/>
  <c r="AM5" i="9"/>
  <c r="AK5" i="9"/>
  <c r="AD4" i="9"/>
  <c r="Z4" i="9"/>
  <c r="AZ13" i="9" l="1"/>
  <c r="AC25" i="10"/>
  <c r="X26" i="10" s="1"/>
  <c r="AD26" i="10" s="1"/>
  <c r="W26" i="10"/>
  <c r="BL46" i="9"/>
  <c r="BL8" i="9"/>
  <c r="BH65" i="9"/>
  <c r="BL27" i="9"/>
  <c r="AZ4" i="9"/>
  <c r="CA109" i="9"/>
  <c r="AZ31" i="9"/>
  <c r="BH46" i="9"/>
  <c r="BH27" i="9"/>
  <c r="BX107" i="9"/>
  <c r="BD13" i="9"/>
  <c r="CA74" i="9"/>
  <c r="AG6" i="9"/>
  <c r="BD22" i="9"/>
  <c r="BD4" i="9"/>
  <c r="AZ22" i="9"/>
  <c r="AO51" i="9"/>
  <c r="AK51" i="9"/>
  <c r="AI52" i="9" s="1"/>
  <c r="CI5" i="9"/>
  <c r="CE73" i="9"/>
  <c r="CC74" i="9" s="1"/>
  <c r="BP6" i="9"/>
  <c r="BT5" i="9"/>
  <c r="BR6" i="9" s="1"/>
  <c r="BP40" i="9"/>
  <c r="BX5" i="9"/>
  <c r="CI39" i="9"/>
  <c r="BT107" i="9"/>
  <c r="BR108" i="9" s="1"/>
  <c r="CE39" i="9"/>
  <c r="CC40" i="9" s="1"/>
  <c r="BT39" i="9"/>
  <c r="BR40" i="9" s="1"/>
  <c r="BP108" i="9"/>
  <c r="CI73" i="9"/>
  <c r="CA40" i="9"/>
  <c r="BP74" i="9"/>
  <c r="BT73" i="9"/>
  <c r="BR74" i="9" s="1"/>
  <c r="BX73" i="9"/>
  <c r="CE5" i="9"/>
  <c r="CC6" i="9" s="1"/>
  <c r="BX39" i="9"/>
  <c r="CA6" i="9"/>
  <c r="AI6" i="9"/>
  <c r="Z26" i="10" l="1"/>
  <c r="AA26" i="10" s="1"/>
  <c r="AB26" i="10" s="1"/>
  <c r="V27" i="10" s="1"/>
  <c r="W27" i="10" s="1"/>
  <c r="Y26" i="10"/>
  <c r="CE109" i="9"/>
  <c r="CI109" i="9"/>
  <c r="AO6" i="9"/>
  <c r="CI74" i="9"/>
  <c r="AG52" i="9"/>
  <c r="AO52" i="9" s="1"/>
  <c r="BT40" i="9"/>
  <c r="BR41" i="9" s="1"/>
  <c r="BT6" i="9"/>
  <c r="BR7" i="9" s="1"/>
  <c r="BX6" i="9"/>
  <c r="BX108" i="9"/>
  <c r="CE40" i="9"/>
  <c r="CC41" i="9" s="1"/>
  <c r="BT108" i="9"/>
  <c r="BR109" i="9" s="1"/>
  <c r="CI40" i="9"/>
  <c r="CE6" i="9"/>
  <c r="CC7" i="9" s="1"/>
  <c r="BX74" i="9"/>
  <c r="CA7" i="9"/>
  <c r="BX40" i="9"/>
  <c r="CE74" i="9"/>
  <c r="CI6" i="9"/>
  <c r="BT74" i="9"/>
  <c r="BR75" i="9" s="1"/>
  <c r="AK6" i="9"/>
  <c r="AG7" i="9" s="1"/>
  <c r="AC26" i="10" l="1"/>
  <c r="X27" i="10" s="1"/>
  <c r="Y27" i="10" s="1"/>
  <c r="CA110" i="9"/>
  <c r="CC110" i="9"/>
  <c r="AI7" i="9"/>
  <c r="AO7" i="9" s="1"/>
  <c r="AK52" i="9"/>
  <c r="AG53" i="9" s="1"/>
  <c r="BP41" i="9"/>
  <c r="BX41" i="9" s="1"/>
  <c r="BP7" i="9"/>
  <c r="BT7" i="9" s="1"/>
  <c r="BR8" i="9" s="1"/>
  <c r="BP109" i="9"/>
  <c r="BT109" i="9" s="1"/>
  <c r="CA41" i="9"/>
  <c r="CI41" i="9" s="1"/>
  <c r="CC75" i="9"/>
  <c r="CA75" i="9"/>
  <c r="BP75" i="9"/>
  <c r="BT75" i="9" s="1"/>
  <c r="BR76" i="9" s="1"/>
  <c r="CE7" i="9"/>
  <c r="CC8" i="9" s="1"/>
  <c r="CI7" i="9"/>
  <c r="Z27" i="10" l="1"/>
  <c r="AA27" i="10" s="1"/>
  <c r="AB27" i="10" s="1"/>
  <c r="V28" i="10" s="1"/>
  <c r="W28" i="10" s="1"/>
  <c r="AD27" i="10"/>
  <c r="CI110" i="9"/>
  <c r="CE110" i="9"/>
  <c r="AK7" i="9"/>
  <c r="AG8" i="9" s="1"/>
  <c r="AI53" i="9"/>
  <c r="AO53" i="9" s="1"/>
  <c r="CE75" i="9"/>
  <c r="CC76" i="9" s="1"/>
  <c r="BT41" i="9"/>
  <c r="BR42" i="9" s="1"/>
  <c r="BP42" i="9"/>
  <c r="BX109" i="9"/>
  <c r="CA8" i="9"/>
  <c r="CE8" i="9" s="1"/>
  <c r="CC9" i="9" s="1"/>
  <c r="BP8" i="9"/>
  <c r="BX8" i="9" s="1"/>
  <c r="BX7" i="9"/>
  <c r="BR110" i="9"/>
  <c r="BP110" i="9"/>
  <c r="CE41" i="9"/>
  <c r="CC42" i="9" s="1"/>
  <c r="CI75" i="9"/>
  <c r="BP76" i="9"/>
  <c r="BT76" i="9" s="1"/>
  <c r="BR77" i="9" s="1"/>
  <c r="BX75" i="9"/>
  <c r="AC27" i="10" l="1"/>
  <c r="X28" i="10" s="1"/>
  <c r="AD28" i="10" s="1"/>
  <c r="CC111" i="9"/>
  <c r="CA111" i="9"/>
  <c r="AI8" i="9"/>
  <c r="AK8" i="9" s="1"/>
  <c r="AI9" i="9" s="1"/>
  <c r="AK53" i="9"/>
  <c r="AI54" i="9" s="1"/>
  <c r="CA76" i="9"/>
  <c r="CI76" i="9" s="1"/>
  <c r="BX42" i="9"/>
  <c r="BT110" i="9"/>
  <c r="BR111" i="9" s="1"/>
  <c r="CI8" i="9"/>
  <c r="BT8" i="9"/>
  <c r="BT42" i="9"/>
  <c r="BX76" i="9"/>
  <c r="BP111" i="9"/>
  <c r="BX110" i="9"/>
  <c r="CA42" i="9"/>
  <c r="CE42" i="9" s="1"/>
  <c r="BP77" i="9"/>
  <c r="BX77" i="9" s="1"/>
  <c r="CA9" i="9"/>
  <c r="CI9" i="9" s="1"/>
  <c r="Y28" i="10" l="1"/>
  <c r="Z28" i="10"/>
  <c r="AA28" i="10" s="1"/>
  <c r="AB28" i="10" s="1"/>
  <c r="V29" i="10" s="1"/>
  <c r="W29" i="10" s="1"/>
  <c r="CE111" i="9"/>
  <c r="CA112" i="9" s="1"/>
  <c r="CI111" i="9"/>
  <c r="AO8" i="9"/>
  <c r="AG9" i="9"/>
  <c r="AO9" i="9" s="1"/>
  <c r="AG54" i="9"/>
  <c r="AK54" i="9" s="1"/>
  <c r="AG55" i="9" s="1"/>
  <c r="CE76" i="9"/>
  <c r="CC77" i="9" s="1"/>
  <c r="CA77" i="9"/>
  <c r="BT111" i="9"/>
  <c r="BP112" i="9" s="1"/>
  <c r="CA43" i="9"/>
  <c r="CC43" i="9"/>
  <c r="BP9" i="9"/>
  <c r="BR9" i="9"/>
  <c r="BR43" i="9"/>
  <c r="BP43" i="9"/>
  <c r="BX111" i="9"/>
  <c r="CI42" i="9"/>
  <c r="BT77" i="9"/>
  <c r="CE9" i="9"/>
  <c r="CA10" i="9" s="1"/>
  <c r="AC28" i="10" l="1"/>
  <c r="X29" i="10" s="1"/>
  <c r="AD29" i="10" s="1"/>
  <c r="CC112" i="9"/>
  <c r="CE112" i="9" s="1"/>
  <c r="AK9" i="9"/>
  <c r="AI10" i="9" s="1"/>
  <c r="AO54" i="9"/>
  <c r="AI55" i="9"/>
  <c r="AO55" i="9" s="1"/>
  <c r="CI77" i="9"/>
  <c r="CE77" i="9"/>
  <c r="CA78" i="9" s="1"/>
  <c r="BR112" i="9"/>
  <c r="BT112" i="9" s="1"/>
  <c r="CI43" i="9"/>
  <c r="BX9" i="9"/>
  <c r="BT9" i="9"/>
  <c r="BR10" i="9" s="1"/>
  <c r="BP78" i="9"/>
  <c r="BR78" i="9"/>
  <c r="CE43" i="9"/>
  <c r="BX43" i="9"/>
  <c r="BT43" i="9"/>
  <c r="CC10" i="9"/>
  <c r="CI10" i="9" s="1"/>
  <c r="Y29" i="10" l="1"/>
  <c r="Z29" i="10"/>
  <c r="AA29" i="10" s="1"/>
  <c r="AB29" i="10" s="1"/>
  <c r="V30" i="10" s="1"/>
  <c r="W30" i="10" s="1"/>
  <c r="CI112" i="9"/>
  <c r="CC113" i="9"/>
  <c r="CA113" i="9"/>
  <c r="CC78" i="9"/>
  <c r="CI78" i="9" s="1"/>
  <c r="AG10" i="9"/>
  <c r="AK10" i="9" s="1"/>
  <c r="AG11" i="9" s="1"/>
  <c r="AK55" i="9"/>
  <c r="AI56" i="9" s="1"/>
  <c r="BX112" i="9"/>
  <c r="BP10" i="9"/>
  <c r="BX10" i="9" s="1"/>
  <c r="CC44" i="9"/>
  <c r="CA44" i="9"/>
  <c r="BX78" i="9"/>
  <c r="BT78" i="9"/>
  <c r="BR113" i="9"/>
  <c r="BP113" i="9"/>
  <c r="BP44" i="9"/>
  <c r="BR44" i="9"/>
  <c r="CE10" i="9"/>
  <c r="CA11" i="9" s="1"/>
  <c r="AC29" i="10" l="1"/>
  <c r="X30" i="10" s="1"/>
  <c r="Z30" i="10" s="1"/>
  <c r="AA30" i="10" s="1"/>
  <c r="AB30" i="10" s="1"/>
  <c r="V31" i="10" s="1"/>
  <c r="W31" i="10" s="1"/>
  <c r="CE113" i="9"/>
  <c r="CA114" i="9" s="1"/>
  <c r="CE78" i="9"/>
  <c r="CA79" i="9" s="1"/>
  <c r="CI113" i="9"/>
  <c r="AO10" i="9"/>
  <c r="AG56" i="9"/>
  <c r="AK56" i="9" s="1"/>
  <c r="AI57" i="9" s="1"/>
  <c r="BT10" i="9"/>
  <c r="BR11" i="9" s="1"/>
  <c r="CI44" i="9"/>
  <c r="CE44" i="9"/>
  <c r="AI11" i="9"/>
  <c r="AO11" i="9" s="1"/>
  <c r="BT113" i="9"/>
  <c r="BP114" i="9" s="1"/>
  <c r="BR79" i="9"/>
  <c r="BP79" i="9"/>
  <c r="BX113" i="9"/>
  <c r="BT44" i="9"/>
  <c r="BX44" i="9"/>
  <c r="CC11" i="9"/>
  <c r="CI11" i="9" s="1"/>
  <c r="Y30" i="10" l="1"/>
  <c r="AC30" i="10" s="1"/>
  <c r="X31" i="10" s="1"/>
  <c r="AD30" i="10"/>
  <c r="CC114" i="9"/>
  <c r="CI114" i="9" s="1"/>
  <c r="CC79" i="9"/>
  <c r="CI79" i="9" s="1"/>
  <c r="AG57" i="9"/>
  <c r="AO57" i="9" s="1"/>
  <c r="AO56" i="9"/>
  <c r="BP11" i="9"/>
  <c r="BT11" i="9" s="1"/>
  <c r="BR12" i="9" s="1"/>
  <c r="BR114" i="9"/>
  <c r="BX114" i="9" s="1"/>
  <c r="CA45" i="9"/>
  <c r="CC45" i="9"/>
  <c r="AK11" i="9"/>
  <c r="AI12" i="9" s="1"/>
  <c r="BT79" i="9"/>
  <c r="BP80" i="9" s="1"/>
  <c r="BX79" i="9"/>
  <c r="BP45" i="9"/>
  <c r="BR45" i="9"/>
  <c r="CE11" i="9"/>
  <c r="CA12" i="9" s="1"/>
  <c r="Z31" i="10" l="1"/>
  <c r="AA31" i="10" s="1"/>
  <c r="AB31" i="10" s="1"/>
  <c r="V32" i="10" s="1"/>
  <c r="W32" i="10" s="1"/>
  <c r="Y31" i="10"/>
  <c r="AD31" i="10"/>
  <c r="CE114" i="9"/>
  <c r="CC115" i="9" s="1"/>
  <c r="CE79" i="9"/>
  <c r="CC80" i="9" s="1"/>
  <c r="CC12" i="9"/>
  <c r="CE12" i="9" s="1"/>
  <c r="CA13" i="9" s="1"/>
  <c r="AK57" i="9"/>
  <c r="AI58" i="9" s="1"/>
  <c r="BP12" i="9"/>
  <c r="BT12" i="9" s="1"/>
  <c r="BR13" i="9" s="1"/>
  <c r="BX11" i="9"/>
  <c r="AG12" i="9"/>
  <c r="AO12" i="9" s="1"/>
  <c r="BR80" i="9"/>
  <c r="BX80" i="9" s="1"/>
  <c r="BT114" i="9"/>
  <c r="BR115" i="9" s="1"/>
  <c r="CI45" i="9"/>
  <c r="CE45" i="9"/>
  <c r="BX45" i="9"/>
  <c r="BT45" i="9"/>
  <c r="CA115" i="9" l="1"/>
  <c r="CE115" i="9" s="1"/>
  <c r="CC116" i="9" s="1"/>
  <c r="AC31" i="10"/>
  <c r="X32" i="10" s="1"/>
  <c r="Z32" i="10" s="1"/>
  <c r="AA32" i="10" s="1"/>
  <c r="AB32" i="10" s="1"/>
  <c r="V33" i="10" s="1"/>
  <c r="W33" i="10" s="1"/>
  <c r="CA80" i="9"/>
  <c r="CI80" i="9" s="1"/>
  <c r="CI12" i="9"/>
  <c r="AG58" i="9"/>
  <c r="AO58" i="9" s="1"/>
  <c r="BX12" i="9"/>
  <c r="BP13" i="9"/>
  <c r="BX13" i="9" s="1"/>
  <c r="AK12" i="9"/>
  <c r="AI13" i="9" s="1"/>
  <c r="BT80" i="9"/>
  <c r="BP81" i="9" s="1"/>
  <c r="BP115" i="9"/>
  <c r="BX115" i="9" s="1"/>
  <c r="CA46" i="9"/>
  <c r="CC46" i="9"/>
  <c r="CC13" i="9"/>
  <c r="CI13" i="9" s="1"/>
  <c r="BP46" i="9"/>
  <c r="BR46" i="9"/>
  <c r="CI115" i="9" l="1"/>
  <c r="AD32" i="10"/>
  <c r="Y32" i="10"/>
  <c r="AC32" i="10" s="1"/>
  <c r="X33" i="10" s="1"/>
  <c r="AD33" i="10" s="1"/>
  <c r="CA116" i="9"/>
  <c r="CI116" i="9" s="1"/>
  <c r="CE80" i="9"/>
  <c r="CC81" i="9" s="1"/>
  <c r="AK58" i="9"/>
  <c r="AI59" i="9" s="1"/>
  <c r="BT13" i="9"/>
  <c r="BP14" i="9" s="1"/>
  <c r="AG13" i="9"/>
  <c r="AK13" i="9" s="1"/>
  <c r="AG14" i="9" s="1"/>
  <c r="BR81" i="9"/>
  <c r="BX81" i="9" s="1"/>
  <c r="BT115" i="9"/>
  <c r="BR116" i="9" s="1"/>
  <c r="CI46" i="9"/>
  <c r="CE13" i="9"/>
  <c r="CC14" i="9" s="1"/>
  <c r="CE46" i="9"/>
  <c r="BT46" i="9"/>
  <c r="BX46" i="9"/>
  <c r="CA81" i="9" l="1"/>
  <c r="CI81" i="9" s="1"/>
  <c r="Z33" i="10"/>
  <c r="AA33" i="10" s="1"/>
  <c r="AB33" i="10" s="1"/>
  <c r="V34" i="10" s="1"/>
  <c r="W34" i="10" s="1"/>
  <c r="Y33" i="10"/>
  <c r="CE116" i="9"/>
  <c r="CC117" i="9" s="1"/>
  <c r="AG59" i="9"/>
  <c r="AO59" i="9" s="1"/>
  <c r="BR14" i="9"/>
  <c r="BT14" i="9" s="1"/>
  <c r="BP15" i="9" s="1"/>
  <c r="AO13" i="9"/>
  <c r="AI14" i="9"/>
  <c r="AK14" i="9" s="1"/>
  <c r="AI15" i="9" s="1"/>
  <c r="BT81" i="9"/>
  <c r="BP82" i="9" s="1"/>
  <c r="CA14" i="9"/>
  <c r="CI14" i="9" s="1"/>
  <c r="BP116" i="9"/>
  <c r="BT116" i="9" s="1"/>
  <c r="BR117" i="9" s="1"/>
  <c r="CC47" i="9"/>
  <c r="CA47" i="9"/>
  <c r="BP47" i="9"/>
  <c r="BR47" i="9"/>
  <c r="CA117" i="9" l="1"/>
  <c r="CE117" i="9" s="1"/>
  <c r="CA118" i="9" s="1"/>
  <c r="CE81" i="9"/>
  <c r="CA82" i="9" s="1"/>
  <c r="AC33" i="10"/>
  <c r="X34" i="10" s="1"/>
  <c r="Z34" i="10" s="1"/>
  <c r="AK59" i="9"/>
  <c r="AI60" i="9" s="1"/>
  <c r="BX14" i="9"/>
  <c r="BR15" i="9"/>
  <c r="BX15" i="9" s="1"/>
  <c r="AO14" i="9"/>
  <c r="AG15" i="9"/>
  <c r="AO15" i="9" s="1"/>
  <c r="BR82" i="9"/>
  <c r="BX82" i="9" s="1"/>
  <c r="CE14" i="9"/>
  <c r="CC15" i="9" s="1"/>
  <c r="BX116" i="9"/>
  <c r="BP117" i="9"/>
  <c r="BT117" i="9" s="1"/>
  <c r="BP118" i="9" s="1"/>
  <c r="CE47" i="9"/>
  <c r="CC48" i="9" s="1"/>
  <c r="CI47" i="9"/>
  <c r="BT47" i="9"/>
  <c r="BX47" i="9"/>
  <c r="CI117" i="9" l="1"/>
  <c r="CC82" i="9"/>
  <c r="CE82" i="9" s="1"/>
  <c r="CC83" i="9" s="1"/>
  <c r="Y34" i="10"/>
  <c r="AD34" i="10"/>
  <c r="O26" i="10"/>
  <c r="AA34" i="10"/>
  <c r="AB34" i="10" s="1"/>
  <c r="CC118" i="9"/>
  <c r="CE118" i="9" s="1"/>
  <c r="CC119" i="9" s="1"/>
  <c r="AG60" i="9"/>
  <c r="AK60" i="9" s="1"/>
  <c r="AG61" i="9" s="1"/>
  <c r="BT15" i="9"/>
  <c r="BR16" i="9" s="1"/>
  <c r="AK15" i="9"/>
  <c r="AI16" i="9" s="1"/>
  <c r="CA15" i="9"/>
  <c r="CI15" i="9" s="1"/>
  <c r="BT82" i="9"/>
  <c r="BR83" i="9" s="1"/>
  <c r="CA48" i="9"/>
  <c r="CI48" i="9" s="1"/>
  <c r="BR118" i="9"/>
  <c r="BT118" i="9" s="1"/>
  <c r="BX117" i="9"/>
  <c r="BP48" i="9"/>
  <c r="BR48" i="9"/>
  <c r="CI82" i="9" l="1"/>
  <c r="O27" i="10"/>
  <c r="G19" i="10" s="1"/>
  <c r="G20" i="10" s="1"/>
  <c r="AC34" i="10"/>
  <c r="CI118" i="9"/>
  <c r="CA119" i="9"/>
  <c r="CE119" i="9" s="1"/>
  <c r="AO60" i="9"/>
  <c r="CA83" i="9"/>
  <c r="CE83" i="9" s="1"/>
  <c r="CA84" i="9" s="1"/>
  <c r="BP83" i="9"/>
  <c r="BX83" i="9" s="1"/>
  <c r="BP16" i="9"/>
  <c r="BX16" i="9" s="1"/>
  <c r="AG16" i="9"/>
  <c r="AO16" i="9" s="1"/>
  <c r="CE15" i="9"/>
  <c r="CC16" i="9" s="1"/>
  <c r="CE48" i="9"/>
  <c r="CC49" i="9" s="1"/>
  <c r="BX118" i="9"/>
  <c r="AI61" i="9"/>
  <c r="AO61" i="9" s="1"/>
  <c r="BR119" i="9"/>
  <c r="BP119" i="9"/>
  <c r="BX48" i="9"/>
  <c r="BT48" i="9"/>
  <c r="G31" i="10" l="1"/>
  <c r="K10" i="10" s="1"/>
  <c r="K15" i="10" s="1"/>
  <c r="K6" i="10"/>
  <c r="K18" i="10" s="1"/>
  <c r="CI119" i="9"/>
  <c r="CA120" i="9"/>
  <c r="CC120" i="9"/>
  <c r="CI83" i="9"/>
  <c r="CC84" i="9"/>
  <c r="CI84" i="9" s="1"/>
  <c r="BT83" i="9"/>
  <c r="BR84" i="9" s="1"/>
  <c r="CA16" i="9"/>
  <c r="CE16" i="9" s="1"/>
  <c r="CA17" i="9" s="1"/>
  <c r="BT16" i="9"/>
  <c r="BR17" i="9" s="1"/>
  <c r="AK16" i="9"/>
  <c r="AG17" i="9" s="1"/>
  <c r="CA49" i="9"/>
  <c r="CE49" i="9" s="1"/>
  <c r="AK61" i="9"/>
  <c r="AG62" i="9" s="1"/>
  <c r="BT119" i="9"/>
  <c r="BP120" i="9" s="1"/>
  <c r="BX119" i="9"/>
  <c r="BR49" i="9"/>
  <c r="BP49" i="9"/>
  <c r="K19" i="10" l="1"/>
  <c r="K7" i="10"/>
  <c r="K35" i="10"/>
  <c r="K43" i="10"/>
  <c r="CI120" i="9"/>
  <c r="CE120" i="9"/>
  <c r="AI17" i="9"/>
  <c r="AO17" i="9" s="1"/>
  <c r="BP17" i="9"/>
  <c r="BX17" i="9" s="1"/>
  <c r="BP84" i="9"/>
  <c r="BT84" i="9" s="1"/>
  <c r="CE84" i="9"/>
  <c r="CC85" i="9" s="1"/>
  <c r="CI16" i="9"/>
  <c r="AI62" i="9"/>
  <c r="AO62" i="9" s="1"/>
  <c r="CI49" i="9"/>
  <c r="CC17" i="9"/>
  <c r="CE17" i="9" s="1"/>
  <c r="CA18" i="9" s="1"/>
  <c r="BR120" i="9"/>
  <c r="BX120" i="9" s="1"/>
  <c r="CA50" i="9"/>
  <c r="CC50" i="9"/>
  <c r="BT49" i="9"/>
  <c r="BP50" i="9" s="1"/>
  <c r="BX49" i="9"/>
  <c r="K44" i="10" l="1"/>
  <c r="K47" i="10" s="1"/>
  <c r="K36" i="10"/>
  <c r="K39" i="10" s="1"/>
  <c r="K30" i="10"/>
  <c r="K31" i="10" s="1"/>
  <c r="CA121" i="9"/>
  <c r="CC121" i="9"/>
  <c r="CA85" i="9"/>
  <c r="CE85" i="9" s="1"/>
  <c r="CA86" i="9" s="1"/>
  <c r="AK17" i="9"/>
  <c r="AG18" i="9" s="1"/>
  <c r="BT17" i="9"/>
  <c r="BR18" i="9" s="1"/>
  <c r="BX84" i="9"/>
  <c r="AK62" i="9"/>
  <c r="AG63" i="9" s="1"/>
  <c r="CI17" i="9"/>
  <c r="BT120" i="9"/>
  <c r="BR121" i="9" s="1"/>
  <c r="CI50" i="9"/>
  <c r="CE50" i="9"/>
  <c r="CC18" i="9"/>
  <c r="CI18" i="9" s="1"/>
  <c r="BR50" i="9"/>
  <c r="BT50" i="9" s="1"/>
  <c r="BR85" i="9"/>
  <c r="BP85" i="9"/>
  <c r="AJ4" i="10" l="1"/>
  <c r="AH4" i="10"/>
  <c r="AL4" i="10"/>
  <c r="CE121" i="9"/>
  <c r="CI121" i="9"/>
  <c r="BP18" i="9"/>
  <c r="BT18" i="9" s="1"/>
  <c r="BP19" i="9" s="1"/>
  <c r="CI85" i="9"/>
  <c r="AI18" i="9"/>
  <c r="AK18" i="9" s="1"/>
  <c r="AI63" i="9"/>
  <c r="AO63" i="9" s="1"/>
  <c r="CC86" i="9"/>
  <c r="CI86" i="9" s="1"/>
  <c r="BP121" i="9"/>
  <c r="BT121" i="9" s="1"/>
  <c r="BX50" i="9"/>
  <c r="CC51" i="9"/>
  <c r="CA51" i="9"/>
  <c r="CE18" i="9"/>
  <c r="CC19" i="9" s="1"/>
  <c r="BT85" i="9"/>
  <c r="BR86" i="9" s="1"/>
  <c r="BX85" i="9"/>
  <c r="BP51" i="9"/>
  <c r="BR51" i="9"/>
  <c r="CA122" i="9" l="1"/>
  <c r="CC122" i="9"/>
  <c r="BR19" i="9"/>
  <c r="BX19" i="9" s="1"/>
  <c r="BX18" i="9"/>
  <c r="AO18" i="9"/>
  <c r="AG19" i="9"/>
  <c r="AI19" i="9"/>
  <c r="BP86" i="9"/>
  <c r="BT86" i="9" s="1"/>
  <c r="AK63" i="9"/>
  <c r="AI64" i="9" s="1"/>
  <c r="CE86" i="9"/>
  <c r="CC87" i="9" s="1"/>
  <c r="BX121" i="9"/>
  <c r="CA19" i="9"/>
  <c r="CE19" i="9" s="1"/>
  <c r="CC20" i="9" s="1"/>
  <c r="CE51" i="9"/>
  <c r="CI51" i="9"/>
  <c r="BR122" i="9"/>
  <c r="BP122" i="9"/>
  <c r="BX51" i="9"/>
  <c r="BT51" i="9"/>
  <c r="CE122" i="9" l="1"/>
  <c r="CI122" i="9"/>
  <c r="BT19" i="9"/>
  <c r="BP20" i="9" s="1"/>
  <c r="AG64" i="9"/>
  <c r="AK64" i="9" s="1"/>
  <c r="AG65" i="9" s="1"/>
  <c r="AK19" i="9"/>
  <c r="AI20" i="9" s="1"/>
  <c r="AO19" i="9"/>
  <c r="BX86" i="9"/>
  <c r="CA87" i="9"/>
  <c r="CI87" i="9" s="1"/>
  <c r="CI19" i="9"/>
  <c r="CC52" i="9"/>
  <c r="CA52" i="9"/>
  <c r="BX122" i="9"/>
  <c r="BT122" i="9"/>
  <c r="BP87" i="9"/>
  <c r="BR87" i="9"/>
  <c r="BR52" i="9"/>
  <c r="BP52" i="9"/>
  <c r="CA20" i="9"/>
  <c r="CI20" i="9" s="1"/>
  <c r="BR20" i="9" l="1"/>
  <c r="BX20" i="9" s="1"/>
  <c r="CC123" i="9"/>
  <c r="CA123" i="9"/>
  <c r="AO64" i="9"/>
  <c r="AG20" i="9"/>
  <c r="AO20" i="9" s="1"/>
  <c r="CE87" i="9"/>
  <c r="AI65" i="9"/>
  <c r="AK65" i="9" s="1"/>
  <c r="CE52" i="9"/>
  <c r="CC53" i="9" s="1"/>
  <c r="CI52" i="9"/>
  <c r="BR123" i="9"/>
  <c r="BP123" i="9"/>
  <c r="BT52" i="9"/>
  <c r="BR53" i="9" s="1"/>
  <c r="BT87" i="9"/>
  <c r="BX87" i="9"/>
  <c r="BX52" i="9"/>
  <c r="CE20" i="9"/>
  <c r="CA21" i="9" s="1"/>
  <c r="BT20" i="9" l="1"/>
  <c r="BP21" i="9" s="1"/>
  <c r="CE123" i="9"/>
  <c r="CA124" i="9" s="1"/>
  <c r="CI123" i="9"/>
  <c r="AK20" i="9"/>
  <c r="AI21" i="9" s="1"/>
  <c r="CA53" i="9"/>
  <c r="CI53" i="9" s="1"/>
  <c r="CA88" i="9"/>
  <c r="CC88" i="9"/>
  <c r="AO65" i="9"/>
  <c r="AG66" i="9"/>
  <c r="AI66" i="9"/>
  <c r="BP53" i="9"/>
  <c r="BT53" i="9" s="1"/>
  <c r="BR54" i="9" s="1"/>
  <c r="BX123" i="9"/>
  <c r="BT123" i="9"/>
  <c r="BP88" i="9"/>
  <c r="BR88" i="9"/>
  <c r="CC21" i="9"/>
  <c r="CI21" i="9" s="1"/>
  <c r="BR21" i="9" l="1"/>
  <c r="BT21" i="9" s="1"/>
  <c r="BR22" i="9" s="1"/>
  <c r="CC124" i="9"/>
  <c r="CE124" i="9" s="1"/>
  <c r="AG21" i="9"/>
  <c r="AO21" i="9" s="1"/>
  <c r="CE53" i="9"/>
  <c r="CA54" i="9" s="1"/>
  <c r="CI88" i="9"/>
  <c r="CE88" i="9"/>
  <c r="AO66" i="9"/>
  <c r="AK66" i="9"/>
  <c r="BX88" i="9"/>
  <c r="BP54" i="9"/>
  <c r="BX54" i="9" s="1"/>
  <c r="BX53" i="9"/>
  <c r="BP124" i="9"/>
  <c r="BR124" i="9"/>
  <c r="BT88" i="9"/>
  <c r="CE21" i="9"/>
  <c r="CA22" i="9" s="1"/>
  <c r="BX21" i="9" l="1"/>
  <c r="CI124" i="9"/>
  <c r="CA125" i="9"/>
  <c r="CC125" i="9"/>
  <c r="AK21" i="9"/>
  <c r="AI22" i="9" s="1"/>
  <c r="CC54" i="9"/>
  <c r="CE54" i="9" s="1"/>
  <c r="CA55" i="9" s="1"/>
  <c r="CA89" i="9"/>
  <c r="CC89" i="9"/>
  <c r="BP22" i="9"/>
  <c r="BT22" i="9" s="1"/>
  <c r="AI67" i="9"/>
  <c r="AG67" i="9"/>
  <c r="BT54" i="9"/>
  <c r="BR55" i="9" s="1"/>
  <c r="CC22" i="9"/>
  <c r="CE22" i="9" s="1"/>
  <c r="CA23" i="9" s="1"/>
  <c r="BX124" i="9"/>
  <c r="BT124" i="9"/>
  <c r="BP89" i="9"/>
  <c r="BR89" i="9"/>
  <c r="CE125" i="9" l="1"/>
  <c r="CI125" i="9"/>
  <c r="AG22" i="9"/>
  <c r="AO22" i="9" s="1"/>
  <c r="CI54" i="9"/>
  <c r="CI89" i="9"/>
  <c r="CE89" i="9"/>
  <c r="BX22" i="9"/>
  <c r="CC55" i="9"/>
  <c r="CI55" i="9" s="1"/>
  <c r="BP23" i="9"/>
  <c r="BR23" i="9"/>
  <c r="AK67" i="9"/>
  <c r="AI68" i="9" s="1"/>
  <c r="AO67" i="9"/>
  <c r="BP55" i="9"/>
  <c r="BX55" i="9" s="1"/>
  <c r="CI22" i="9"/>
  <c r="CC23" i="9"/>
  <c r="CE23" i="9" s="1"/>
  <c r="CA24" i="9" s="1"/>
  <c r="BR125" i="9"/>
  <c r="BP125" i="9"/>
  <c r="BX89" i="9"/>
  <c r="BT89" i="9"/>
  <c r="CC126" i="9" l="1"/>
  <c r="CA126" i="9"/>
  <c r="AK22" i="9"/>
  <c r="AG23" i="9" s="1"/>
  <c r="CA90" i="9"/>
  <c r="CC90" i="9"/>
  <c r="AG68" i="9"/>
  <c r="AK68" i="9" s="1"/>
  <c r="AI69" i="9" s="1"/>
  <c r="CE55" i="9"/>
  <c r="CA56" i="9" s="1"/>
  <c r="BX23" i="9"/>
  <c r="BT23" i="9"/>
  <c r="BP24" i="9" s="1"/>
  <c r="BT55" i="9"/>
  <c r="BP56" i="9" s="1"/>
  <c r="BT125" i="9"/>
  <c r="BR126" i="9" s="1"/>
  <c r="CI23" i="9"/>
  <c r="BX125" i="9"/>
  <c r="CC24" i="9"/>
  <c r="CI24" i="9" s="1"/>
  <c r="BP90" i="9"/>
  <c r="BR90" i="9"/>
  <c r="CI126" i="9" l="1"/>
  <c r="CE126" i="9"/>
  <c r="AI23" i="9"/>
  <c r="AO23" i="9" s="1"/>
  <c r="CI90" i="9"/>
  <c r="CE90" i="9"/>
  <c r="AO68" i="9"/>
  <c r="CC56" i="9"/>
  <c r="CE56" i="9" s="1"/>
  <c r="CC57" i="9" s="1"/>
  <c r="AG69" i="9"/>
  <c r="AK69" i="9" s="1"/>
  <c r="AG70" i="9" s="1"/>
  <c r="BR24" i="9"/>
  <c r="BX24" i="9" s="1"/>
  <c r="BR56" i="9"/>
  <c r="BX56" i="9" s="1"/>
  <c r="BP126" i="9"/>
  <c r="BX126" i="9" s="1"/>
  <c r="CE24" i="9"/>
  <c r="CA25" i="9" s="1"/>
  <c r="BT90" i="9"/>
  <c r="BX90" i="9"/>
  <c r="CA127" i="9" l="1"/>
  <c r="CC127" i="9"/>
  <c r="AK23" i="9"/>
  <c r="AI24" i="9" s="1"/>
  <c r="CC91" i="9"/>
  <c r="CA91" i="9"/>
  <c r="CI56" i="9"/>
  <c r="AO69" i="9"/>
  <c r="CA57" i="9"/>
  <c r="CE57" i="9" s="1"/>
  <c r="CA58" i="9" s="1"/>
  <c r="AI70" i="9"/>
  <c r="AK70" i="9" s="1"/>
  <c r="BT24" i="9"/>
  <c r="BR25" i="9" s="1"/>
  <c r="BT56" i="9"/>
  <c r="BP57" i="9" s="1"/>
  <c r="BT126" i="9"/>
  <c r="BR127" i="9" s="1"/>
  <c r="CC25" i="9"/>
  <c r="CI25" i="9" s="1"/>
  <c r="BP91" i="9"/>
  <c r="BR91" i="9"/>
  <c r="CI127" i="9" l="1"/>
  <c r="CE127" i="9"/>
  <c r="AG24" i="9"/>
  <c r="AK24" i="9" s="1"/>
  <c r="CE91" i="9"/>
  <c r="CA92" i="9" s="1"/>
  <c r="CI91" i="9"/>
  <c r="CI57" i="9"/>
  <c r="BP25" i="9"/>
  <c r="BX25" i="9" s="1"/>
  <c r="AO70" i="9"/>
  <c r="CC58" i="9"/>
  <c r="CI58" i="9" s="1"/>
  <c r="BR57" i="9"/>
  <c r="BT57" i="9" s="1"/>
  <c r="BP58" i="9" s="1"/>
  <c r="BP127" i="9"/>
  <c r="BX127" i="9" s="1"/>
  <c r="AI71" i="9"/>
  <c r="AG71" i="9"/>
  <c r="CE25" i="9"/>
  <c r="CA26" i="9" s="1"/>
  <c r="BX91" i="9"/>
  <c r="BT91" i="9"/>
  <c r="CC128" i="9" l="1"/>
  <c r="CA128" i="9"/>
  <c r="AO24" i="9"/>
  <c r="CC92" i="9"/>
  <c r="CI92" i="9" s="1"/>
  <c r="CE58" i="9"/>
  <c r="CC59" i="9" s="1"/>
  <c r="BT25" i="9"/>
  <c r="BP26" i="9" s="1"/>
  <c r="AG25" i="9"/>
  <c r="AI25" i="9"/>
  <c r="BX57" i="9"/>
  <c r="BR58" i="9"/>
  <c r="BT58" i="9" s="1"/>
  <c r="BR59" i="9" s="1"/>
  <c r="BT127" i="9"/>
  <c r="BP128" i="9" s="1"/>
  <c r="AK71" i="9"/>
  <c r="AO71" i="9"/>
  <c r="CC26" i="9"/>
  <c r="CI26" i="9" s="1"/>
  <c r="BP92" i="9"/>
  <c r="BR92" i="9"/>
  <c r="CI128" i="9" l="1"/>
  <c r="CE128" i="9"/>
  <c r="CE92" i="9"/>
  <c r="CA59" i="9"/>
  <c r="CE59" i="9" s="1"/>
  <c r="CA60" i="9" s="1"/>
  <c r="BR26" i="9"/>
  <c r="BX26" i="9" s="1"/>
  <c r="AK25" i="9"/>
  <c r="AO25" i="9"/>
  <c r="BP59" i="9"/>
  <c r="BX59" i="9" s="1"/>
  <c r="BX58" i="9"/>
  <c r="BR128" i="9"/>
  <c r="BT128" i="9" s="1"/>
  <c r="AI72" i="9"/>
  <c r="AG72" i="9"/>
  <c r="CE26" i="9"/>
  <c r="BX92" i="9"/>
  <c r="BT92" i="9"/>
  <c r="CA129" i="9" l="1"/>
  <c r="CC129" i="9"/>
  <c r="CA93" i="9"/>
  <c r="CC93" i="9"/>
  <c r="CI59" i="9"/>
  <c r="CC60" i="9"/>
  <c r="CI60" i="9" s="1"/>
  <c r="BT26" i="9"/>
  <c r="BT59" i="9"/>
  <c r="BP60" i="9" s="1"/>
  <c r="AI26" i="9"/>
  <c r="AG26" i="9"/>
  <c r="BX128" i="9"/>
  <c r="AK72" i="9"/>
  <c r="AI73" i="9" s="1"/>
  <c r="AO72" i="9"/>
  <c r="CA27" i="9"/>
  <c r="CC27" i="9"/>
  <c r="BR129" i="9"/>
  <c r="BP129" i="9"/>
  <c r="BR93" i="9"/>
  <c r="BP93" i="9"/>
  <c r="CE129" i="9" l="1"/>
  <c r="CI129" i="9"/>
  <c r="BR60" i="9"/>
  <c r="BX60" i="9" s="1"/>
  <c r="CI93" i="9"/>
  <c r="CE93" i="9"/>
  <c r="CE60" i="9"/>
  <c r="CC61" i="9" s="1"/>
  <c r="AG73" i="9"/>
  <c r="AK73" i="9" s="1"/>
  <c r="AI74" i="9" s="1"/>
  <c r="BR27" i="9"/>
  <c r="BP27" i="9"/>
  <c r="AK26" i="9"/>
  <c r="AG27" i="9" s="1"/>
  <c r="AO26" i="9"/>
  <c r="BT129" i="9"/>
  <c r="BP130" i="9" s="1"/>
  <c r="CI27" i="9"/>
  <c r="CE27" i="9"/>
  <c r="BX129" i="9"/>
  <c r="BT93" i="9"/>
  <c r="BR94" i="9" s="1"/>
  <c r="BX93" i="9"/>
  <c r="CA130" i="9" l="1"/>
  <c r="CC130" i="9"/>
  <c r="BT60" i="9"/>
  <c r="BR61" i="9" s="1"/>
  <c r="AI27" i="9"/>
  <c r="AK27" i="9" s="1"/>
  <c r="AG28" i="9" s="1"/>
  <c r="CA94" i="9"/>
  <c r="CC94" i="9"/>
  <c r="CA61" i="9"/>
  <c r="CI61" i="9" s="1"/>
  <c r="AO73" i="9"/>
  <c r="BT27" i="9"/>
  <c r="BR28" i="9" s="1"/>
  <c r="BX27" i="9"/>
  <c r="AG74" i="9"/>
  <c r="AO74" i="9" s="1"/>
  <c r="BR130" i="9"/>
  <c r="BX130" i="9" s="1"/>
  <c r="CC28" i="9"/>
  <c r="CA28" i="9"/>
  <c r="BP94" i="9"/>
  <c r="BT94" i="9" s="1"/>
  <c r="CI130" i="9" l="1"/>
  <c r="CE130" i="9"/>
  <c r="BP61" i="9"/>
  <c r="BX61" i="9" s="1"/>
  <c r="AO27" i="9"/>
  <c r="CI94" i="9"/>
  <c r="CE94" i="9"/>
  <c r="AI28" i="9"/>
  <c r="AO28" i="9" s="1"/>
  <c r="CE61" i="9"/>
  <c r="CC62" i="9" s="1"/>
  <c r="BP28" i="9"/>
  <c r="BX28" i="9" s="1"/>
  <c r="AK74" i="9"/>
  <c r="AG75" i="9" s="1"/>
  <c r="BT130" i="9"/>
  <c r="BR131" i="9" s="1"/>
  <c r="CE28" i="9"/>
  <c r="CI28" i="9"/>
  <c r="BX94" i="9"/>
  <c r="BR95" i="9"/>
  <c r="BP95" i="9"/>
  <c r="CA131" i="9" l="1"/>
  <c r="CC131" i="9"/>
  <c r="BT61" i="9"/>
  <c r="BP62" i="9" s="1"/>
  <c r="CC95" i="9"/>
  <c r="CA95" i="9"/>
  <c r="CA62" i="9"/>
  <c r="CI62" i="9" s="1"/>
  <c r="AK28" i="9"/>
  <c r="AG29" i="9" s="1"/>
  <c r="BT28" i="9"/>
  <c r="BR29" i="9" s="1"/>
  <c r="AI75" i="9"/>
  <c r="AO75" i="9" s="1"/>
  <c r="BP131" i="9"/>
  <c r="BT131" i="9" s="1"/>
  <c r="CA29" i="9"/>
  <c r="CC29" i="9"/>
  <c r="BX95" i="9"/>
  <c r="BT95" i="9"/>
  <c r="BP96" i="9" s="1"/>
  <c r="CI131" i="9" l="1"/>
  <c r="CE131" i="9"/>
  <c r="BR62" i="9"/>
  <c r="BT62" i="9" s="1"/>
  <c r="BP63" i="9" s="1"/>
  <c r="AI29" i="9"/>
  <c r="AO29" i="9" s="1"/>
  <c r="CE62" i="9"/>
  <c r="CA63" i="9" s="1"/>
  <c r="CE95" i="9"/>
  <c r="CI95" i="9"/>
  <c r="BP29" i="9"/>
  <c r="BX29" i="9" s="1"/>
  <c r="AK75" i="9"/>
  <c r="BX131" i="9"/>
  <c r="BR96" i="9"/>
  <c r="BX96" i="9" s="1"/>
  <c r="CI29" i="9"/>
  <c r="CE29" i="9"/>
  <c r="BP132" i="9"/>
  <c r="BR132" i="9"/>
  <c r="CC132" i="9" l="1"/>
  <c r="CA132" i="9"/>
  <c r="BX62" i="9"/>
  <c r="AK29" i="9"/>
  <c r="AI30" i="9" s="1"/>
  <c r="CC63" i="9"/>
  <c r="CI63" i="9" s="1"/>
  <c r="CC96" i="9"/>
  <c r="CA96" i="9"/>
  <c r="BT29" i="9"/>
  <c r="BR30" i="9" s="1"/>
  <c r="AG76" i="9"/>
  <c r="AI76" i="9"/>
  <c r="BT96" i="9"/>
  <c r="BR97" i="9" s="1"/>
  <c r="BR63" i="9"/>
  <c r="BX63" i="9" s="1"/>
  <c r="CC30" i="9"/>
  <c r="CA30" i="9"/>
  <c r="BX132" i="9"/>
  <c r="BT132" i="9"/>
  <c r="CE132" i="9" l="1"/>
  <c r="CC133" i="9" s="1"/>
  <c r="CI132" i="9"/>
  <c r="AG30" i="9"/>
  <c r="AK30" i="9" s="1"/>
  <c r="AI31" i="9" s="1"/>
  <c r="CE63" i="9"/>
  <c r="CA64" i="9" s="1"/>
  <c r="CE96" i="9"/>
  <c r="CC97" i="9" s="1"/>
  <c r="CI96" i="9"/>
  <c r="BP30" i="9"/>
  <c r="BX30" i="9" s="1"/>
  <c r="AO76" i="9"/>
  <c r="BP97" i="9"/>
  <c r="BX97" i="9" s="1"/>
  <c r="AK76" i="9"/>
  <c r="BT63" i="9"/>
  <c r="BP64" i="9" s="1"/>
  <c r="CE30" i="9"/>
  <c r="CC31" i="9" s="1"/>
  <c r="CI30" i="9"/>
  <c r="BP133" i="9"/>
  <c r="BR133" i="9"/>
  <c r="CA133" i="9" l="1"/>
  <c r="CE133" i="9" s="1"/>
  <c r="CC134" i="9" s="1"/>
  <c r="AO30" i="9"/>
  <c r="CC64" i="9"/>
  <c r="CI64" i="9" s="1"/>
  <c r="CA97" i="9"/>
  <c r="CI97" i="9" s="1"/>
  <c r="BT30" i="9"/>
  <c r="BR31" i="9" s="1"/>
  <c r="BT97" i="9"/>
  <c r="BR98" i="9" s="1"/>
  <c r="AI77" i="9"/>
  <c r="AG77" i="9"/>
  <c r="AG31" i="9"/>
  <c r="AO31" i="9" s="1"/>
  <c r="BR64" i="9"/>
  <c r="BT64" i="9" s="1"/>
  <c r="BP65" i="9" s="1"/>
  <c r="CA31" i="9"/>
  <c r="CI31" i="9" s="1"/>
  <c r="BX133" i="9"/>
  <c r="BT133" i="9"/>
  <c r="CI133" i="9" l="1"/>
  <c r="CA134" i="9"/>
  <c r="CI134" i="9" s="1"/>
  <c r="CE64" i="9"/>
  <c r="CC65" i="9" s="1"/>
  <c r="CE97" i="9"/>
  <c r="CC98" i="9" s="1"/>
  <c r="BP31" i="9"/>
  <c r="BT31" i="9" s="1"/>
  <c r="BR32" i="9" s="1"/>
  <c r="BP98" i="9"/>
  <c r="BT98" i="9" s="1"/>
  <c r="BP99" i="9" s="1"/>
  <c r="AK77" i="9"/>
  <c r="AG78" i="9" s="1"/>
  <c r="AO77" i="9"/>
  <c r="BX64" i="9"/>
  <c r="AK31" i="9"/>
  <c r="AI32" i="9" s="1"/>
  <c r="CE31" i="9"/>
  <c r="CC32" i="9" s="1"/>
  <c r="BR65" i="9"/>
  <c r="BX65" i="9" s="1"/>
  <c r="BP134" i="9"/>
  <c r="BR134" i="9"/>
  <c r="CE134" i="9" l="1"/>
  <c r="CA135" i="9" s="1"/>
  <c r="CA65" i="9"/>
  <c r="CI65" i="9" s="1"/>
  <c r="CA98" i="9"/>
  <c r="CE98" i="9" s="1"/>
  <c r="CC99" i="9" s="1"/>
  <c r="AI78" i="9"/>
  <c r="AO78" i="9" s="1"/>
  <c r="BX98" i="9"/>
  <c r="BX31" i="9"/>
  <c r="BP32" i="9"/>
  <c r="BX32" i="9" s="1"/>
  <c r="AG32" i="9"/>
  <c r="AK32" i="9" s="1"/>
  <c r="CA32" i="9"/>
  <c r="CE32" i="9" s="1"/>
  <c r="BR99" i="9"/>
  <c r="BT99" i="9" s="1"/>
  <c r="BP100" i="9" s="1"/>
  <c r="BT65" i="9"/>
  <c r="BR66" i="9" s="1"/>
  <c r="BX134" i="9"/>
  <c r="BT134" i="9"/>
  <c r="CC135" i="9" l="1"/>
  <c r="CI135" i="9" s="1"/>
  <c r="CE65" i="9"/>
  <c r="CC66" i="9" s="1"/>
  <c r="CA99" i="9"/>
  <c r="CI99" i="9" s="1"/>
  <c r="CI98" i="9"/>
  <c r="AK78" i="9"/>
  <c r="AG79" i="9" s="1"/>
  <c r="AO32" i="9"/>
  <c r="BT32" i="9"/>
  <c r="BR33" i="9" s="1"/>
  <c r="CI32" i="9"/>
  <c r="BX99" i="9"/>
  <c r="AG33" i="9"/>
  <c r="AI33" i="9"/>
  <c r="BR100" i="9"/>
  <c r="BX100" i="9" s="1"/>
  <c r="BP66" i="9"/>
  <c r="BT66" i="9" s="1"/>
  <c r="BP67" i="9" s="1"/>
  <c r="CA33" i="9"/>
  <c r="CC33" i="9"/>
  <c r="BP135" i="9"/>
  <c r="BR135" i="9"/>
  <c r="CE135" i="9" l="1"/>
  <c r="CC136" i="9" s="1"/>
  <c r="CA66" i="9"/>
  <c r="CE66" i="9" s="1"/>
  <c r="CE99" i="9"/>
  <c r="CA100" i="9" s="1"/>
  <c r="AI79" i="9"/>
  <c r="AO79" i="9" s="1"/>
  <c r="BP33" i="9"/>
  <c r="BT33" i="9" s="1"/>
  <c r="BR34" i="9" s="1"/>
  <c r="AO33" i="9"/>
  <c r="AK33" i="9"/>
  <c r="BT100" i="9"/>
  <c r="BR101" i="9" s="1"/>
  <c r="BR67" i="9"/>
  <c r="BX67" i="9" s="1"/>
  <c r="BX66" i="9"/>
  <c r="CI33" i="9"/>
  <c r="CE33" i="9"/>
  <c r="BX135" i="9"/>
  <c r="BT135" i="9"/>
  <c r="CA136" i="9" l="1"/>
  <c r="CE136" i="9" s="1"/>
  <c r="BL61" i="9" s="1"/>
  <c r="CI66" i="9"/>
  <c r="CA67" i="9"/>
  <c r="CC67" i="9"/>
  <c r="BP101" i="9"/>
  <c r="BX101" i="9" s="1"/>
  <c r="CC100" i="9"/>
  <c r="CI100" i="9" s="1"/>
  <c r="AK79" i="9"/>
  <c r="BP34" i="9"/>
  <c r="BT34" i="9" s="1"/>
  <c r="BH4" i="9" s="1"/>
  <c r="BX33" i="9"/>
  <c r="AI34" i="9"/>
  <c r="AG34" i="9"/>
  <c r="BT67" i="9"/>
  <c r="BR68" i="9" s="1"/>
  <c r="CC34" i="9"/>
  <c r="CA34" i="9"/>
  <c r="BP136" i="9"/>
  <c r="BR136" i="9"/>
  <c r="BL63" i="9" l="1"/>
  <c r="BL64" i="9" s="1"/>
  <c r="G7" i="9"/>
  <c r="CI136" i="9"/>
  <c r="BL66" i="9"/>
  <c r="BL67" i="9"/>
  <c r="CI67" i="9"/>
  <c r="CE67" i="9"/>
  <c r="CA68" i="9" s="1"/>
  <c r="BT101" i="9"/>
  <c r="BP102" i="9" s="1"/>
  <c r="CE100" i="9"/>
  <c r="CA101" i="9" s="1"/>
  <c r="BX34" i="9"/>
  <c r="BH10" i="9"/>
  <c r="BH9" i="9"/>
  <c r="BH6" i="9"/>
  <c r="BH7" i="9" s="1"/>
  <c r="BP68" i="9"/>
  <c r="BT68" i="9" s="1"/>
  <c r="BH23" i="9" s="1"/>
  <c r="BH29" i="9" s="1"/>
  <c r="AK34" i="9"/>
  <c r="AG35" i="9" s="1"/>
  <c r="AO34" i="9"/>
  <c r="CI34" i="9"/>
  <c r="CE34" i="9"/>
  <c r="BL4" i="9" s="1"/>
  <c r="BX136" i="9"/>
  <c r="BT136" i="9"/>
  <c r="BH61" i="9" s="1"/>
  <c r="G8" i="9" l="1"/>
  <c r="BH12" i="9"/>
  <c r="BH13" i="9"/>
  <c r="BL69" i="9"/>
  <c r="BL70" i="9"/>
  <c r="BL68" i="9"/>
  <c r="CC68" i="9"/>
  <c r="CI68" i="9" s="1"/>
  <c r="BR102" i="9"/>
  <c r="BT102" i="9" s="1"/>
  <c r="BH42" i="9" s="1"/>
  <c r="BH48" i="9" s="1"/>
  <c r="CC101" i="9"/>
  <c r="CI101" i="9" s="1"/>
  <c r="BH11" i="9"/>
  <c r="BX68" i="9"/>
  <c r="AI35" i="9"/>
  <c r="AK35" i="9" s="1"/>
  <c r="AG36" i="9" s="1"/>
  <c r="BH28" i="9"/>
  <c r="BH30" i="9" s="1"/>
  <c r="BH25" i="9"/>
  <c r="BH26" i="9" s="1"/>
  <c r="BL6" i="9"/>
  <c r="BL7" i="9" s="1"/>
  <c r="BL13" i="9" s="1"/>
  <c r="BL9" i="9"/>
  <c r="BL10" i="9"/>
  <c r="BH67" i="9"/>
  <c r="BH66" i="9"/>
  <c r="BH63" i="9"/>
  <c r="BH64" i="9" s="1"/>
  <c r="BH15" i="9" l="1"/>
  <c r="BH17" i="9" s="1"/>
  <c r="BH19" i="9" s="1"/>
  <c r="BH69" i="9"/>
  <c r="BH70" i="9"/>
  <c r="BH31" i="9"/>
  <c r="BH32" i="9"/>
  <c r="BL12" i="9"/>
  <c r="BL71" i="9"/>
  <c r="BL72" i="9"/>
  <c r="CE68" i="9"/>
  <c r="BL23" i="9" s="1"/>
  <c r="BL28" i="9" s="1"/>
  <c r="BX102" i="9"/>
  <c r="CE101" i="9"/>
  <c r="CA102" i="9" s="1"/>
  <c r="BH44" i="9"/>
  <c r="BH45" i="9" s="1"/>
  <c r="BH47" i="9"/>
  <c r="BH49" i="9" s="1"/>
  <c r="BH14" i="9"/>
  <c r="BH16" i="9" s="1"/>
  <c r="BH18" i="9" s="1"/>
  <c r="AZ5" i="9" s="1"/>
  <c r="AO35" i="9"/>
  <c r="AI36" i="9"/>
  <c r="AK36" i="9" s="1"/>
  <c r="AG37" i="9" s="1"/>
  <c r="BL11" i="9"/>
  <c r="BH68" i="9"/>
  <c r="BH33" i="9" l="1"/>
  <c r="BH35" i="9" s="1"/>
  <c r="BH37" i="9" s="1"/>
  <c r="AZ14" i="9" s="1"/>
  <c r="BH50" i="9"/>
  <c r="BH51" i="9"/>
  <c r="BL29" i="9"/>
  <c r="BL30" i="9" s="1"/>
  <c r="BL25" i="9"/>
  <c r="BL26" i="9" s="1"/>
  <c r="CC102" i="9"/>
  <c r="CI102" i="9" s="1"/>
  <c r="AI37" i="9"/>
  <c r="AO37" i="9" s="1"/>
  <c r="AO36" i="9"/>
  <c r="BH34" i="9"/>
  <c r="BH36" i="9" s="1"/>
  <c r="BH38" i="9" s="1"/>
  <c r="BL74" i="9"/>
  <c r="BL76" i="9" s="1"/>
  <c r="BL73" i="9"/>
  <c r="BL75" i="9" s="1"/>
  <c r="BL15" i="9"/>
  <c r="BL17" i="9" s="1"/>
  <c r="BL19" i="9" s="1"/>
  <c r="BL14" i="9"/>
  <c r="BL16" i="9" s="1"/>
  <c r="BL18" i="9" s="1"/>
  <c r="BD5" i="9" s="1"/>
  <c r="BH72" i="9"/>
  <c r="BH74" i="9" s="1"/>
  <c r="BH76" i="9" s="1"/>
  <c r="BH71" i="9"/>
  <c r="BH73" i="9" s="1"/>
  <c r="BH75" i="9" s="1"/>
  <c r="BH53" i="9" l="1"/>
  <c r="BH55" i="9" s="1"/>
  <c r="BH57" i="9" s="1"/>
  <c r="BL31" i="9"/>
  <c r="BL32" i="9"/>
  <c r="CE102" i="9"/>
  <c r="BL42" i="9" s="1"/>
  <c r="BH52" i="9"/>
  <c r="BH54" i="9" s="1"/>
  <c r="BH56" i="9" s="1"/>
  <c r="AZ23" i="9" s="1"/>
  <c r="AK37" i="9"/>
  <c r="AI38" i="9" s="1"/>
  <c r="BD32" i="9"/>
  <c r="AZ32" i="9"/>
  <c r="BL33" i="9" l="1"/>
  <c r="BL35" i="9" s="1"/>
  <c r="BL37" i="9" s="1"/>
  <c r="BD14" i="9" s="1"/>
  <c r="BL47" i="9"/>
  <c r="BL44" i="9"/>
  <c r="BL34" i="9"/>
  <c r="BL36" i="9" s="1"/>
  <c r="BL38" i="9" s="1"/>
  <c r="BL48" i="9"/>
  <c r="AG38" i="9"/>
  <c r="AK38" i="9" s="1"/>
  <c r="AI39" i="9" s="1"/>
  <c r="BL49" i="9" l="1"/>
  <c r="BL45" i="9"/>
  <c r="AO38" i="9"/>
  <c r="AG39" i="9"/>
  <c r="AK39" i="9" s="1"/>
  <c r="AI40" i="9" s="1"/>
  <c r="BL50" i="9" l="1"/>
  <c r="BL51" i="9"/>
  <c r="AO39" i="9"/>
  <c r="AG40" i="9"/>
  <c r="AK40" i="9" s="1"/>
  <c r="BL52" i="9" l="1"/>
  <c r="BL54" i="9" s="1"/>
  <c r="BL56" i="9" s="1"/>
  <c r="BD23" i="9" s="1"/>
  <c r="BL53" i="9"/>
  <c r="BL55" i="9" s="1"/>
  <c r="BL57" i="9" s="1"/>
  <c r="AO40" i="9"/>
  <c r="AI41" i="9"/>
  <c r="AG41" i="9"/>
  <c r="AK41" i="9" l="1"/>
  <c r="AG42" i="9" s="1"/>
  <c r="AO41" i="9"/>
  <c r="AI42" i="9" l="1"/>
  <c r="AO42" i="9" s="1"/>
  <c r="AK42" i="9" l="1"/>
  <c r="AG43" i="9" s="1"/>
  <c r="AR4" i="9"/>
  <c r="AV6" i="9" s="1"/>
  <c r="AV7" i="9" s="1"/>
  <c r="AI43" i="9" l="1"/>
  <c r="AV5" i="9"/>
  <c r="BL77" i="9" l="1"/>
  <c r="CF106" i="9" s="1"/>
  <c r="BH20" i="9"/>
  <c r="AK43" i="9"/>
  <c r="AO43" i="9"/>
  <c r="BD33" i="9"/>
  <c r="BD34" i="9" s="1"/>
  <c r="BD37" i="9" s="1"/>
  <c r="AZ15" i="9"/>
  <c r="AZ16" i="9" s="1"/>
  <c r="AZ19" i="9" s="1"/>
  <c r="BH39" i="9"/>
  <c r="AZ24" i="9"/>
  <c r="AZ25" i="9" s="1"/>
  <c r="BH58" i="9"/>
  <c r="BD24" i="9"/>
  <c r="BD25" i="9" s="1"/>
  <c r="AZ6" i="9"/>
  <c r="AZ7" i="9" s="1"/>
  <c r="AZ10" i="9" s="1"/>
  <c r="BL58" i="9"/>
  <c r="CB72" i="9" s="1"/>
  <c r="AZ33" i="9"/>
  <c r="AZ34" i="9" s="1"/>
  <c r="BH77" i="9"/>
  <c r="BD6" i="9"/>
  <c r="BD7" i="9" s="1"/>
  <c r="BL20" i="9"/>
  <c r="BD15" i="9"/>
  <c r="BD16" i="9" s="1"/>
  <c r="BL39" i="9"/>
  <c r="AZ36" i="9" l="1"/>
  <c r="AZ37" i="9"/>
  <c r="BD27" i="9"/>
  <c r="BD28" i="9"/>
  <c r="AZ27" i="9"/>
  <c r="AZ28" i="9"/>
  <c r="BD18" i="9"/>
  <c r="BD19" i="9"/>
  <c r="AZ18" i="9"/>
  <c r="BD9" i="9"/>
  <c r="BD10" i="9"/>
  <c r="AZ9" i="9"/>
  <c r="AG44" i="9"/>
  <c r="AI44" i="9"/>
  <c r="BD36" i="9"/>
  <c r="BD35" i="9"/>
  <c r="CB106" i="9"/>
  <c r="CD106" i="9"/>
  <c r="AV29" i="9"/>
  <c r="BQ106" i="9"/>
  <c r="BU106" i="9"/>
  <c r="BS106" i="9"/>
  <c r="BD8" i="9"/>
  <c r="AV28" i="9"/>
  <c r="CD72" i="9"/>
  <c r="CF72" i="9"/>
  <c r="AZ26" i="9"/>
  <c r="AZ35" i="9"/>
  <c r="AZ8" i="9"/>
  <c r="BU38" i="9"/>
  <c r="BQ38" i="9"/>
  <c r="BS38" i="9"/>
  <c r="AV25" i="9"/>
  <c r="AV24" i="9"/>
  <c r="CF4" i="9"/>
  <c r="CB4" i="9"/>
  <c r="CD4" i="9"/>
  <c r="BU4" i="9"/>
  <c r="BQ4" i="9"/>
  <c r="BS4" i="9"/>
  <c r="AV23" i="9"/>
  <c r="BD26" i="9"/>
  <c r="BQ72" i="9"/>
  <c r="BS72" i="9"/>
  <c r="AV27" i="9"/>
  <c r="BU72" i="9"/>
  <c r="CF38" i="9"/>
  <c r="CD38" i="9"/>
  <c r="CB38" i="9"/>
  <c r="AV26" i="9"/>
  <c r="BD17" i="9"/>
  <c r="AZ17" i="9"/>
  <c r="AV11" i="9" l="1"/>
  <c r="AV12" i="9" s="1"/>
  <c r="AV10" i="9"/>
  <c r="AV15" i="9" s="1"/>
  <c r="AO44" i="9"/>
  <c r="AK44" i="9"/>
  <c r="AV30" i="9"/>
  <c r="G27" i="9" l="1"/>
  <c r="AV16" i="9"/>
  <c r="K18" i="9"/>
  <c r="K19" i="9"/>
  <c r="G13" i="9"/>
  <c r="AV18" i="9"/>
  <c r="AV19" i="9" s="1"/>
  <c r="G10" i="9"/>
  <c r="AV17" i="9"/>
  <c r="O5" i="9" l="1"/>
  <c r="O7" i="9" s="1"/>
  <c r="K24" i="9"/>
  <c r="K23" i="9"/>
  <c r="K26" i="9"/>
  <c r="K25" i="9"/>
  <c r="K22" i="9"/>
  <c r="G9" i="9"/>
  <c r="K12" i="9"/>
  <c r="G26" i="9"/>
  <c r="K39" i="9"/>
  <c r="AV20" i="9"/>
  <c r="O8" i="9" l="1"/>
  <c r="O10" i="9"/>
  <c r="G11" i="9"/>
  <c r="G12" i="9" s="1"/>
  <c r="K34" i="9"/>
  <c r="K35" i="9"/>
  <c r="K42" i="9"/>
  <c r="K43" i="9"/>
  <c r="AL49" i="9" l="1"/>
  <c r="O9" i="9"/>
  <c r="O13" i="9" s="1"/>
  <c r="O14" i="9" s="1"/>
  <c r="AJ49" i="9"/>
  <c r="AH49" i="9"/>
  <c r="O18" i="9" l="1"/>
  <c r="K14" i="9" s="1"/>
  <c r="K15" i="9" s="1"/>
  <c r="O21" i="9" l="1"/>
  <c r="O17" i="9"/>
  <c r="O15" i="9" s="1"/>
  <c r="O20" i="9" l="1"/>
  <c r="O23" i="9" s="1"/>
  <c r="O26" i="9" s="1"/>
  <c r="O28" i="9" l="1"/>
  <c r="AA4" i="9" l="1"/>
  <c r="Y4" i="9"/>
  <c r="W4" i="9"/>
  <c r="AC4" i="9" l="1"/>
  <c r="X5" i="9" s="1"/>
  <c r="Y5" i="9" s="1"/>
  <c r="AB4" i="9"/>
  <c r="V5" i="9" s="1"/>
  <c r="W5" i="9" s="1"/>
  <c r="Z5" i="9" l="1"/>
  <c r="AA5" i="9" s="1"/>
  <c r="AD5" i="9"/>
  <c r="AB5" i="9" l="1"/>
  <c r="V6" i="9" s="1"/>
  <c r="W6" i="9" s="1"/>
  <c r="AC5" i="9"/>
  <c r="X6" i="9" s="1"/>
  <c r="Y6" i="9" s="1"/>
  <c r="AD6" i="9" l="1"/>
  <c r="Z6" i="9"/>
  <c r="AA6" i="9" l="1"/>
  <c r="AB6" i="9" s="1"/>
  <c r="V7" i="9" s="1"/>
  <c r="W7" i="9" s="1"/>
  <c r="AC6" i="9" l="1"/>
  <c r="X7" i="9" s="1"/>
  <c r="Y7" i="9" s="1"/>
  <c r="Z7" i="9" l="1"/>
  <c r="AA7" i="9" s="1"/>
  <c r="AB7" i="9" s="1"/>
  <c r="V8" i="9" s="1"/>
  <c r="W8" i="9" s="1"/>
  <c r="AD7" i="9"/>
  <c r="AC7" i="9" l="1"/>
  <c r="X8" i="9" s="1"/>
  <c r="Y8" i="9" s="1"/>
  <c r="Z8" i="9" l="1"/>
  <c r="AA8" i="9" s="1"/>
  <c r="AB8" i="9" s="1"/>
  <c r="V9" i="9" s="1"/>
  <c r="W9" i="9" s="1"/>
  <c r="AD8" i="9"/>
  <c r="AC8" i="9" l="1"/>
  <c r="X9" i="9" s="1"/>
  <c r="Y9" i="9" s="1"/>
  <c r="AD9" i="9" l="1"/>
  <c r="Z9" i="9"/>
  <c r="AA9" i="9" l="1"/>
  <c r="AC9" i="9" s="1"/>
  <c r="X10" i="9" s="1"/>
  <c r="Y10" i="9" s="1"/>
  <c r="AB9" i="9" l="1"/>
  <c r="V10" i="9" s="1"/>
  <c r="W10" i="9" l="1"/>
  <c r="Z10" i="9"/>
  <c r="AD10" i="9"/>
  <c r="AA10" i="9" l="1"/>
  <c r="AC10" i="9" s="1"/>
  <c r="X11" i="9" s="1"/>
  <c r="Y11" i="9" l="1"/>
  <c r="AB10" i="9"/>
  <c r="V11" i="9" s="1"/>
  <c r="AD11" i="9" s="1"/>
  <c r="W11" i="9" l="1"/>
  <c r="Z11" i="9"/>
  <c r="AA11" i="9" l="1"/>
  <c r="AC11" i="9" s="1"/>
  <c r="X12" i="9" s="1"/>
  <c r="Y12" i="9" l="1"/>
  <c r="AB11" i="9"/>
  <c r="V12" i="9" s="1"/>
  <c r="W12" i="9" l="1"/>
  <c r="Z12" i="9"/>
  <c r="AD12" i="9"/>
  <c r="AA12" i="9" l="1"/>
  <c r="AC12" i="9" s="1"/>
  <c r="X13" i="9" s="1"/>
  <c r="Y13" i="9" l="1"/>
  <c r="AB12" i="9"/>
  <c r="V13" i="9" s="1"/>
  <c r="AD13" i="9" s="1"/>
  <c r="W13" i="9" l="1"/>
  <c r="Z13" i="9"/>
  <c r="AA13" i="9" l="1"/>
  <c r="AC13" i="9" s="1"/>
  <c r="X14" i="9" s="1"/>
  <c r="Y14" i="9" l="1"/>
  <c r="AB13" i="9"/>
  <c r="V14" i="9" s="1"/>
  <c r="AD14" i="9" s="1"/>
  <c r="W14" i="9" l="1"/>
  <c r="Z14" i="9"/>
  <c r="AA14" i="9" l="1"/>
  <c r="AC14" i="9" s="1"/>
  <c r="X15" i="9" s="1"/>
  <c r="Y15" i="9" l="1"/>
  <c r="AB14" i="9"/>
  <c r="V15" i="9" s="1"/>
  <c r="AD15" i="9" s="1"/>
  <c r="W15" i="9" l="1"/>
  <c r="Z15" i="9"/>
  <c r="AA15" i="9" l="1"/>
  <c r="AC15" i="9" s="1"/>
  <c r="X16" i="9" s="1"/>
  <c r="Y16" i="9" l="1"/>
  <c r="AB15" i="9"/>
  <c r="V16" i="9" s="1"/>
  <c r="AD16" i="9" s="1"/>
  <c r="W16" i="9" l="1"/>
  <c r="Z16" i="9"/>
  <c r="AA16" i="9" l="1"/>
  <c r="AC16" i="9" s="1"/>
  <c r="X17" i="9" s="1"/>
  <c r="Y17" i="9" l="1"/>
  <c r="AB16" i="9"/>
  <c r="V17" i="9" s="1"/>
  <c r="W17" i="9" l="1"/>
  <c r="Z17" i="9"/>
  <c r="AD17" i="9"/>
  <c r="AA17" i="9" l="1"/>
  <c r="AC17" i="9" s="1"/>
  <c r="X18" i="9" s="1"/>
  <c r="Y18" i="9" l="1"/>
  <c r="AB17" i="9"/>
  <c r="V18" i="9" s="1"/>
  <c r="AD18" i="9" s="1"/>
  <c r="W18" i="9" l="1"/>
  <c r="Z18" i="9"/>
  <c r="AA18" i="9" l="1"/>
  <c r="AC18" i="9" s="1"/>
  <c r="X19" i="9" s="1"/>
  <c r="Y19" i="9" l="1"/>
  <c r="AB18" i="9"/>
  <c r="V19" i="9" s="1"/>
  <c r="W19" i="9" l="1"/>
  <c r="Z19" i="9"/>
  <c r="AD19" i="9"/>
  <c r="AA19" i="9" l="1"/>
  <c r="AC19" i="9" s="1"/>
  <c r="X20" i="9" s="1"/>
  <c r="Y20" i="9" l="1"/>
  <c r="AB19" i="9"/>
  <c r="V20" i="9" s="1"/>
  <c r="W20" i="9" l="1"/>
  <c r="Z20" i="9"/>
  <c r="AD20" i="9"/>
  <c r="AA20" i="9" l="1"/>
  <c r="AC20" i="9" s="1"/>
  <c r="X21" i="9" s="1"/>
  <c r="Y21" i="9" l="1"/>
  <c r="AB20" i="9"/>
  <c r="V21" i="9" s="1"/>
  <c r="AD21" i="9" s="1"/>
  <c r="W21" i="9" l="1"/>
  <c r="Z21" i="9"/>
  <c r="AA21" i="9" s="1"/>
  <c r="AC21" i="9" s="1"/>
  <c r="X22" i="9" s="1"/>
  <c r="Y22" i="9" l="1"/>
  <c r="AB21" i="9"/>
  <c r="V22" i="9" s="1"/>
  <c r="AD22" i="9" s="1"/>
  <c r="W22" i="9" l="1"/>
  <c r="Z22" i="9"/>
  <c r="AA22" i="9" s="1"/>
  <c r="AC22" i="9" s="1"/>
  <c r="X23" i="9" s="1"/>
  <c r="Y23" i="9" l="1"/>
  <c r="AB22" i="9"/>
  <c r="V23" i="9" s="1"/>
  <c r="AD23" i="9" s="1"/>
  <c r="W23" i="9" l="1"/>
  <c r="Z23" i="9"/>
  <c r="AA23" i="9" s="1"/>
  <c r="AC23" i="9" s="1"/>
  <c r="X24" i="9" s="1"/>
  <c r="Y24" i="9" l="1"/>
  <c r="AB23" i="9"/>
  <c r="V24" i="9" s="1"/>
  <c r="AD24" i="9" s="1"/>
  <c r="W24" i="9" l="1"/>
  <c r="Z24" i="9"/>
  <c r="AA24" i="9" s="1"/>
  <c r="AC24" i="9" s="1"/>
  <c r="X25" i="9" s="1"/>
  <c r="Y25" i="9" l="1"/>
  <c r="AB24" i="9"/>
  <c r="V25" i="9" s="1"/>
  <c r="AD25" i="9" s="1"/>
  <c r="W25" i="9" l="1"/>
  <c r="Z25" i="9"/>
  <c r="AA25" i="9" s="1"/>
  <c r="AC25" i="9" s="1"/>
  <c r="X26" i="9" s="1"/>
  <c r="Y26" i="9" l="1"/>
  <c r="AB25" i="9"/>
  <c r="V26" i="9" s="1"/>
  <c r="AD26" i="9" s="1"/>
  <c r="Z26" i="9" l="1"/>
  <c r="AA26" i="9" s="1"/>
  <c r="AC26" i="9" s="1"/>
  <c r="X27" i="9" s="1"/>
  <c r="W26" i="9"/>
  <c r="AB26" i="9" l="1"/>
  <c r="V27" i="9" s="1"/>
  <c r="W27" i="9" s="1"/>
  <c r="Y27" i="9"/>
  <c r="AD27" i="9" l="1"/>
  <c r="Z27" i="9"/>
  <c r="AA27" i="9" s="1"/>
  <c r="AC27" i="9" s="1"/>
  <c r="X28" i="9" s="1"/>
  <c r="AB27" i="9" l="1"/>
  <c r="V28" i="9" s="1"/>
  <c r="W28" i="9" s="1"/>
  <c r="Y28" i="9"/>
  <c r="AD28" i="9" l="1"/>
  <c r="Z28" i="9"/>
  <c r="AA28" i="9" s="1"/>
  <c r="AC28" i="9" s="1"/>
  <c r="X29" i="9" s="1"/>
  <c r="AB28" i="9" l="1"/>
  <c r="V29" i="9" s="1"/>
  <c r="W29" i="9" s="1"/>
  <c r="Y29" i="9"/>
  <c r="AD29" i="9" l="1"/>
  <c r="Z29" i="9"/>
  <c r="AA29" i="9" s="1"/>
  <c r="AC29" i="9" s="1"/>
  <c r="X30" i="9" s="1"/>
  <c r="AB29" i="9" l="1"/>
  <c r="V30" i="9" s="1"/>
  <c r="W30" i="9" s="1"/>
  <c r="Y30" i="9"/>
  <c r="AD30" i="9" l="1"/>
  <c r="Z30" i="9"/>
  <c r="AA30" i="9" s="1"/>
  <c r="AC30" i="9" s="1"/>
  <c r="X31" i="9" s="1"/>
  <c r="Y31" i="9" s="1"/>
  <c r="AB30" i="9" l="1"/>
  <c r="V31" i="9" s="1"/>
  <c r="AD31" i="9" s="1"/>
  <c r="Z31" i="9" l="1"/>
  <c r="AA31" i="9" s="1"/>
  <c r="AC31" i="9" s="1"/>
  <c r="X32" i="9" s="1"/>
  <c r="Y32" i="9" s="1"/>
  <c r="W31" i="9"/>
  <c r="AB31" i="9" l="1"/>
  <c r="V32" i="9" s="1"/>
  <c r="AD32" i="9" s="1"/>
  <c r="W32" i="9" l="1"/>
  <c r="Z32" i="9"/>
  <c r="AA32" i="9" s="1"/>
  <c r="AC32" i="9" s="1"/>
  <c r="X33" i="9" s="1"/>
  <c r="Y33" i="9" s="1"/>
  <c r="AB32" i="9" l="1"/>
  <c r="V33" i="9" s="1"/>
  <c r="W33" i="9" s="1"/>
  <c r="AD33" i="9" l="1"/>
  <c r="Z33" i="9"/>
  <c r="AA33" i="9" s="1"/>
  <c r="AB33" i="9" s="1"/>
  <c r="V34" i="9" s="1"/>
  <c r="W34" i="9" s="1"/>
  <c r="AC33" i="9" l="1"/>
  <c r="X34" i="9" s="1"/>
  <c r="Y34" i="9" s="1"/>
  <c r="AD34" i="9" l="1"/>
  <c r="Z34" i="9"/>
  <c r="AA34" i="9" s="1"/>
  <c r="O24" i="9" l="1"/>
  <c r="O25" i="9" s="1"/>
  <c r="G19" i="9" s="1"/>
  <c r="AC34" i="9"/>
  <c r="AB34" i="9"/>
  <c r="G20" i="9" l="1"/>
  <c r="G31" i="9" l="1"/>
  <c r="K8" i="9" s="1"/>
  <c r="K4" i="9" l="1"/>
  <c r="K16" i="9" s="1"/>
  <c r="K17" i="9" l="1"/>
  <c r="K41" i="9" s="1"/>
  <c r="K5" i="9"/>
  <c r="K13" i="9"/>
  <c r="K33" i="9" l="1"/>
  <c r="K40" i="9"/>
  <c r="K44" i="9" s="1"/>
  <c r="K27" i="9"/>
  <c r="K32" i="9"/>
  <c r="K36" i="9" l="1"/>
  <c r="AL4" i="9"/>
  <c r="K28" i="9"/>
  <c r="AJ4" i="9"/>
  <c r="AH4" i="9"/>
</calcChain>
</file>

<file path=xl/sharedStrings.xml><?xml version="1.0" encoding="utf-8"?>
<sst xmlns="http://schemas.openxmlformats.org/spreadsheetml/2006/main" count="2718" uniqueCount="295">
  <si>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</si>
  <si>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</si>
  <si>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</si>
  <si>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</si>
  <si>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</si>
  <si>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</si>
  <si>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</si>
  <si>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</si>
  <si>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</si>
  <si>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</si>
  <si>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</si>
  <si>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</si>
  <si>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</si>
  <si>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</si>
  <si>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</si>
  <si>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</si>
  <si>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</si>
  <si>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</si>
  <si>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</si>
  <si>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rho</t>
  </si>
  <si>
    <t>W</t>
  </si>
  <si>
    <t>thrust_each</t>
  </si>
  <si>
    <t>N</t>
  </si>
  <si>
    <t>Energy and time</t>
  </si>
  <si>
    <t>flight_time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</si>
  <si>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</si>
  <si>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</si>
  <si>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</si>
  <si>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</si>
  <si>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</si>
  <si>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</si>
  <si>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</si>
  <si>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</si>
  <si>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</si>
  <si>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</si>
  <si>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</si>
  <si>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</si>
  <si>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</si>
  <si>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</si>
  <si>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</si>
  <si>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</si>
  <si>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</si>
  <si>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</si>
  <si>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</si>
  <si>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</si>
  <si>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</si>
  <si>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</si>
  <si>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</si>
  <si>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</si>
  <si>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</si>
  <si>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</si>
  <si>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</si>
  <si>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</si>
  <si>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</si>
  <si>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</si>
  <si>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</si>
  <si>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</si>
  <si>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</si>
  <si>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</si>
  <si>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</si>
  <si>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</si>
  <si>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</si>
  <si>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</si>
  <si>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</si>
  <si>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</si>
  <si>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</si>
  <si>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</si>
  <si>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</si>
  <si>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</si>
  <si>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</si>
  <si>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</si>
  <si>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</si>
  <si>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</si>
  <si>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</si>
  <si>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</si>
  <si>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</si>
  <si>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</si>
  <si>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</si>
  <si>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</si>
  <si>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</si>
  <si>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</si>
  <si>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</si>
  <si>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</si>
  <si>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</si>
  <si>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</si>
  <si>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</si>
  <si>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</si>
  <si>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</si>
  <si>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</si>
  <si>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</si>
  <si>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</si>
  <si>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</si>
  <si>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</si>
  <si>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</si>
  <si>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</si>
  <si>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</si>
  <si>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</si>
  <si>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</si>
  <si>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</si>
  <si>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</si>
  <si>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</si>
  <si>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</si>
  <si>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</si>
  <si>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</si>
  <si>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</si>
  <si>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</si>
  <si>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</si>
  <si>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</si>
  <si>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</si>
  <si>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</si>
  <si>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</si>
  <si>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</si>
  <si>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</si>
  <si>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</si>
  <si>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</si>
  <si>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</si>
  <si>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</si>
  <si>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</si>
  <si>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</si>
  <si>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</si>
  <si>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</si>
  <si>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CD0_hubs</t>
  </si>
  <si>
    <t>CD0_total</t>
  </si>
  <si>
    <t>CD0_non_hubs</t>
  </si>
  <si>
    <t>type</t>
  </si>
  <si>
    <t>wheeled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</si>
  <si>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</si>
  <si>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</si>
  <si>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</si>
  <si>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</si>
  <si>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</si>
  <si>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</si>
  <si>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</si>
  <si>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</si>
  <si>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</si>
  <si>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</si>
  <si>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</si>
  <si>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[case]</t>
  </si>
  <si>
    <t>[Precalculated properties]</t>
  </si>
  <si>
    <t>[Sectional forces]</t>
  </si>
  <si>
    <t>[Iterations to determine phi per airfoil section]</t>
  </si>
  <si>
    <t>[Bisection method for inflow angle at section 1]</t>
  </si>
  <si>
    <t>[Bisection method for inflow angle at section 2]</t>
  </si>
  <si>
    <t>Airfoil</t>
  </si>
  <si>
    <t>v_inf</t>
  </si>
  <si>
    <t>blade_radius</t>
  </si>
  <si>
    <t>Section 1</t>
  </si>
  <si>
    <t>Section 2</t>
  </si>
  <si>
    <t>Region 1</t>
  </si>
  <si>
    <t>Region 2</t>
  </si>
  <si>
    <t>Region 3</t>
  </si>
  <si>
    <t>rpm</t>
  </si>
  <si>
    <t>area</t>
  </si>
  <si>
    <t>width</t>
  </si>
  <si>
    <t>phi</t>
  </si>
  <si>
    <t>rad</t>
  </si>
  <si>
    <t>Range</t>
  </si>
  <si>
    <t>global_twist</t>
  </si>
  <si>
    <t>v</t>
  </si>
  <si>
    <t>pitch</t>
  </si>
  <si>
    <t>Cl=f(alpha)</t>
  </si>
  <si>
    <t>n</t>
  </si>
  <si>
    <t>rev/s</t>
  </si>
  <si>
    <t>vp</t>
  </si>
  <si>
    <t>Cd=f(alpha)</t>
  </si>
  <si>
    <t>[rotor]</t>
  </si>
  <si>
    <t>J</t>
  </si>
  <si>
    <t>U</t>
  </si>
  <si>
    <t>alpha_deg</t>
  </si>
  <si>
    <t>nblades</t>
  </si>
  <si>
    <t>Re</t>
  </si>
  <si>
    <t>sigma</t>
  </si>
  <si>
    <t>diameter</t>
  </si>
  <si>
    <t>[Main results]</t>
  </si>
  <si>
    <t>dT</t>
  </si>
  <si>
    <t>Ftip</t>
  </si>
  <si>
    <t>radius_hub</t>
  </si>
  <si>
    <t>Thrust</t>
  </si>
  <si>
    <t>dQ</t>
  </si>
  <si>
    <t>Nm</t>
  </si>
  <si>
    <t>Fhub</t>
  </si>
  <si>
    <t>sections</t>
  </si>
  <si>
    <t>Torque</t>
  </si>
  <si>
    <t>F</t>
  </si>
  <si>
    <t>Power</t>
  </si>
  <si>
    <t>Section 3</t>
  </si>
  <si>
    <t>Section 4</t>
  </si>
  <si>
    <t>Cl</t>
  </si>
  <si>
    <t>Cd</t>
  </si>
  <si>
    <t>[Performance summary]</t>
  </si>
  <si>
    <t>CT</t>
  </si>
  <si>
    <t>Ideal Power</t>
  </si>
  <si>
    <t>CQ</t>
  </si>
  <si>
    <t>Figure of Merit</t>
  </si>
  <si>
    <t>kappap</t>
  </si>
  <si>
    <t>radii</t>
  </si>
  <si>
    <t>CP</t>
  </si>
  <si>
    <t>ap</t>
  </si>
  <si>
    <t>eta</t>
  </si>
  <si>
    <t>residual</t>
  </si>
  <si>
    <t>Section 5</t>
  </si>
  <si>
    <t>Section 6</t>
  </si>
  <si>
    <t>[Convergence]</t>
  </si>
  <si>
    <t>residuals</t>
  </si>
  <si>
    <t>chords</t>
  </si>
  <si>
    <t>is_converged</t>
  </si>
  <si>
    <t>Section 7</t>
  </si>
  <si>
    <t>[Bisection method for inflow angle at section 3]</t>
  </si>
  <si>
    <t>[Bisection method for inflow angle at section 4]</t>
  </si>
  <si>
    <t>[fluid]</t>
  </si>
  <si>
    <t>Pa s</t>
  </si>
  <si>
    <t>[Bisection method for inflow angle at section 5]</t>
  </si>
  <si>
    <t>[Bisection method for inflow angle at section 6]</t>
  </si>
  <si>
    <t>[Bisection method for inflow angle at section 7]</t>
  </si>
  <si>
    <t>mu_air</t>
  </si>
  <si>
    <t>thrust_each_calc</t>
  </si>
  <si>
    <t>thrust_residual</t>
  </si>
  <si>
    <t>is_trimmed</t>
  </si>
  <si>
    <t>boeing_vertol-vr12</t>
  </si>
  <si>
    <t>VR12</t>
  </si>
  <si>
    <t>Section 8</t>
  </si>
  <si>
    <t>[Bisection method for inflow angle at section 8]</t>
  </si>
  <si>
    <t>Bisection method for solving RPM_hover</t>
  </si>
  <si>
    <t>local_twist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</si>
  <si>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</si>
  <si>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</si>
  <si>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</si>
  <si>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</si>
  <si>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</si>
  <si>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</si>
  <si>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</si>
  <si>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</si>
  <si>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</si>
  <si>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</si>
  <si>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</si>
  <si>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</si>
  <si>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</si>
  <si>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</si>
  <si>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</si>
  <si>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</si>
  <si>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</si>
  <si>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</si>
  <si>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</si>
  <si>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</si>
  <si>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</si>
  <si>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</si>
  <si>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</si>
  <si>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</si>
  <si>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</si>
  <si>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</si>
  <si>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</si>
  <si>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</si>
  <si>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</si>
  <si>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</si>
  <si>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</si>
  <si>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</si>
  <si>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</si>
  <si>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</si>
  <si>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</si>
  <si>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</si>
  <si>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</si>
  <si>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</si>
  <si>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</si>
  <si>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</si>
  <si>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</si>
  <si>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</si>
  <si>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</si>
  <si>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</si>
  <si>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</si>
  <si>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</si>
  <si>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</si>
  <si>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Propeller|RPM_cruise</t>
  </si>
  <si>
    <t>Environment at 5500 ft</t>
  </si>
  <si>
    <t>Environment at 6500 ft</t>
  </si>
  <si>
    <t>efficiency T/P</t>
  </si>
  <si>
    <t>g/W</t>
  </si>
  <si>
    <t>CT/sigma</t>
  </si>
  <si>
    <t>W_empty</t>
  </si>
  <si>
    <t>Bisection method for solving RotorInflow lambda in hover climb</t>
  </si>
  <si>
    <t>Aerodynamics in hover climb</t>
  </si>
  <si>
    <t>-</t>
  </si>
  <si>
    <t>figure_of_merit_calc</t>
  </si>
  <si>
    <t>power_ideal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</si>
  <si>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</si>
  <si>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</si>
  <si>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</si>
  <si>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</si>
  <si>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</si>
  <si>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</si>
  <si>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</si>
  <si>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</si>
  <si>
    <t>f_e_non_hubs</t>
  </si>
  <si>
    <t>f_e_total</t>
  </si>
  <si>
    <t>CD0_wing</t>
  </si>
  <si>
    <t>f_e_non_hub_non_wing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</si>
</sst>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  <font>
      <sz val="12"/>
      <color rgb="FFFFFF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11" fontId="0" fillId="4" borderId="0" xfId="0" applyNumberFormat="1" applyFill="1" applyAlignment="1">
      <alignment vertical="center"/>
    </xf>
    <xf numFmtId="0" fontId="0" fillId="12" borderId="0" xfId="0" applyFill="1"/>
    <xf numFmtId="0" fontId="0" fillId="12" borderId="0" xfId="0" applyFill="1" applyAlignment="1">
      <alignment vertical="center"/>
    </xf>
    <xf numFmtId="0" fontId="3" fillId="1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11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multirotor_MT!$J$39:$J$43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multirotor_MT!$K$39:$K$43</c:f>
              <c:numCache>
                <c:formatCode>General</c:formatCode>
                <c:ptCount val="5"/>
                <c:pt idx="0">
                  <c:v>14.56</c:v>
                </c:pt>
                <c:pt idx="1">
                  <c:v>51.1</c:v>
                </c:pt>
                <c:pt idx="2">
                  <c:v>23.72</c:v>
                </c:pt>
                <c:pt idx="3">
                  <c:v>5.57</c:v>
                </c:pt>
                <c:pt idx="4">
                  <c:v>5.04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multirotor_MT!$J$31:$J$35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multirotor_MT!$K$31:$K$35</c:f>
              <c:numCache>
                <c:formatCode>General</c:formatCode>
                <c:ptCount val="5"/>
                <c:pt idx="0">
                  <c:v>600</c:v>
                </c:pt>
                <c:pt idx="1">
                  <c:v>2106</c:v>
                </c:pt>
                <c:pt idx="2">
                  <c:v>977.54</c:v>
                </c:pt>
                <c:pt idx="3">
                  <c:v>229.7</c:v>
                </c:pt>
                <c:pt idx="4">
                  <c:v>207.91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AE-794C-8627-DAE87CB9744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AE-794C-8627-DAE87CB9744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AE-794C-8627-DAE87CB9744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AE-794C-8627-DAE87CB9744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AE-794C-8627-DAE87CB974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multirotor_MMT!$J$39:$J$43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multirotor_MMT!$K$39:$K$43</c:f>
              <c:numCache>
                <c:formatCode>General</c:formatCode>
                <c:ptCount val="5"/>
                <c:pt idx="0">
                  <c:v>14.59</c:v>
                </c:pt>
                <c:pt idx="1">
                  <c:v>51.12</c:v>
                </c:pt>
                <c:pt idx="2">
                  <c:v>23.67</c:v>
                </c:pt>
                <c:pt idx="3">
                  <c:v>5.57</c:v>
                </c:pt>
                <c:pt idx="4">
                  <c:v>5.04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CAE-794C-8627-DAE87CB974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727-7146-881B-EDFBA99A988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727-7146-881B-EDFBA99A988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727-7146-881B-EDFBA99A988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727-7146-881B-EDFBA99A988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727-7146-881B-EDFBA99A98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multirotor_MMT!$J$31:$J$35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multirotor_MMT!$K$31:$K$35</c:f>
              <c:numCache>
                <c:formatCode>General</c:formatCode>
                <c:ptCount val="5"/>
                <c:pt idx="0">
                  <c:v>600</c:v>
                </c:pt>
                <c:pt idx="1">
                  <c:v>2102.36</c:v>
                </c:pt>
                <c:pt idx="2">
                  <c:v>973.47</c:v>
                </c:pt>
                <c:pt idx="3">
                  <c:v>229.06</c:v>
                </c:pt>
                <c:pt idx="4">
                  <c:v>207.43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727-7146-881B-EDFBA99A988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C8-D841-920A-DC59971DC95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C8-D841-920A-DC59971DC95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DC8-D841-920A-DC59971DC95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DC8-D841-920A-DC59971DC95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DC8-D841-920A-DC59971DC9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multirotor_BEMT!$J$39:$J$43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multirotor_BEMT!$K$39:$K$43</c:f>
              <c:numCache>
                <c:formatCode>General</c:formatCode>
                <c:ptCount val="5"/>
                <c:pt idx="0">
                  <c:v>15.3</c:v>
                </c:pt>
                <c:pt idx="1">
                  <c:v>52.06</c:v>
                </c:pt>
                <c:pt idx="2">
                  <c:v>21.98</c:v>
                </c:pt>
                <c:pt idx="3">
                  <c:v>5.64</c:v>
                </c:pt>
                <c:pt idx="4">
                  <c:v>5.0199999999999996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DC8-D841-920A-DC59971DC95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6A5-B347-89CE-5C0D51C4FD6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A5-B347-89CE-5C0D51C4FD6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A5-B347-89CE-5C0D51C4FD6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6A5-B347-89CE-5C0D51C4FD6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6A5-B347-89CE-5C0D51C4FD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multirotor_BEMT!$J$31:$J$35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multirotor_BEMT!$K$31:$K$35</c:f>
              <c:numCache>
                <c:formatCode>General</c:formatCode>
                <c:ptCount val="5"/>
                <c:pt idx="0">
                  <c:v>600</c:v>
                </c:pt>
                <c:pt idx="1">
                  <c:v>2041.32</c:v>
                </c:pt>
                <c:pt idx="2">
                  <c:v>861.72</c:v>
                </c:pt>
                <c:pt idx="3">
                  <c:v>221.02</c:v>
                </c:pt>
                <c:pt idx="4">
                  <c:v>196.93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A5-B347-89CE-5C0D51C4FD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'lift+cruise_MT'!$J$42:$J$46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'lift+cruise_MT'!$K$42:$K$46</c:f>
              <c:numCache>
                <c:formatCode>General</c:formatCode>
                <c:ptCount val="5"/>
                <c:pt idx="0">
                  <c:v>600</c:v>
                </c:pt>
                <c:pt idx="1">
                  <c:v>819.95</c:v>
                </c:pt>
                <c:pt idx="2">
                  <c:v>502.25</c:v>
                </c:pt>
                <c:pt idx="3">
                  <c:v>796.73</c:v>
                </c:pt>
                <c:pt idx="4">
                  <c:v>139.96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'lift+cruise_MT'!$J$34:$J$38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'lift+cruise_MT'!$K$34:$K$38</c:f>
              <c:numCache>
                <c:formatCode>General</c:formatCode>
                <c:ptCount val="5"/>
                <c:pt idx="0">
                  <c:v>20.99</c:v>
                </c:pt>
                <c:pt idx="1">
                  <c:v>28.68</c:v>
                </c:pt>
                <c:pt idx="2">
                  <c:v>17.57</c:v>
                </c:pt>
                <c:pt idx="3">
                  <c:v>27.87</c:v>
                </c:pt>
                <c:pt idx="4">
                  <c:v>4.9000000000000004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4E-9149-A337-58005F2E9B5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4E-9149-A337-58005F2E9B5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4E-9149-A337-58005F2E9B5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A4E-9149-A337-58005F2E9B5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A4E-9149-A337-58005F2E9B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'lift+cruise_MMT'!$J$42:$J$46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'lift+cruise_MMT'!$K$42:$K$46</c:f>
              <c:numCache>
                <c:formatCode>General</c:formatCode>
                <c:ptCount val="5"/>
                <c:pt idx="0">
                  <c:v>600</c:v>
                </c:pt>
                <c:pt idx="1">
                  <c:v>802.45</c:v>
                </c:pt>
                <c:pt idx="2">
                  <c:v>484.54</c:v>
                </c:pt>
                <c:pt idx="3">
                  <c:v>789.59</c:v>
                </c:pt>
                <c:pt idx="4">
                  <c:v>137.61000000000001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A4E-9149-A337-58005F2E9B5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5AF-AB42-A2FA-1A8A79D3F45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AF-AB42-A2FA-1A8A79D3F45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5AF-AB42-A2FA-1A8A79D3F45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5AF-AB42-A2FA-1A8A79D3F45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5AF-AB42-A2FA-1A8A79D3F4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'lift+cruise_MMT'!$J$34:$J$38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'lift+cruise_MMT'!$K$34:$K$38</c:f>
              <c:numCache>
                <c:formatCode>General</c:formatCode>
                <c:ptCount val="5"/>
                <c:pt idx="0">
                  <c:v>21.32</c:v>
                </c:pt>
                <c:pt idx="1">
                  <c:v>28.51</c:v>
                </c:pt>
                <c:pt idx="2">
                  <c:v>17.22</c:v>
                </c:pt>
                <c:pt idx="3">
                  <c:v>28.06</c:v>
                </c:pt>
                <c:pt idx="4">
                  <c:v>4.8899999999999997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AF-AB42-A2FA-1A8A79D3F45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C6-C447-912E-4427BAE6F8E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C6-C447-912E-4427BAE6F8E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7C6-C447-912E-4427BAE6F8E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7C6-C447-912E-4427BAE6F8E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7C6-C447-912E-4427BAE6F8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'lift+cruise_BEMT'!$J$42:$J$46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'lift+cruise_BEMT'!$K$42:$K$46</c:f>
              <c:numCache>
                <c:formatCode>General</c:formatCode>
                <c:ptCount val="5"/>
                <c:pt idx="0">
                  <c:v>600</c:v>
                </c:pt>
                <c:pt idx="1">
                  <c:v>854.05</c:v>
                </c:pt>
                <c:pt idx="2">
                  <c:v>452.24</c:v>
                </c:pt>
                <c:pt idx="3">
                  <c:v>808.45</c:v>
                </c:pt>
                <c:pt idx="4">
                  <c:v>139.71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C6-C447-912E-4427BAE6F8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A7-7D46-B981-01BD362088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CA7-7D46-B981-01BD362088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CA7-7D46-B981-01BD362088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CA7-7D46-B981-01BD362088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CA7-7D46-B981-01BD362088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'lift+cruise_BEMT'!$J$34:$J$38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'lift+cruise_BEMT'!$K$34:$K$38</c:f>
              <c:numCache>
                <c:formatCode>General</c:formatCode>
                <c:ptCount val="5"/>
                <c:pt idx="0">
                  <c:v>21.02</c:v>
                </c:pt>
                <c:pt idx="1">
                  <c:v>29.92</c:v>
                </c:pt>
                <c:pt idx="2">
                  <c:v>15.84</c:v>
                </c:pt>
                <c:pt idx="3">
                  <c:v>28.32</c:v>
                </c:pt>
                <c:pt idx="4">
                  <c:v>4.8899999999999997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CA7-7D46-B981-01BD362088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441910</xdr:colOff>
      <xdr:row>30</xdr:row>
      <xdr:rowOff>70539</xdr:rowOff>
    </xdr:from>
    <xdr:to>
      <xdr:col>17</xdr:col>
      <xdr:colOff>93717</xdr:colOff>
      <xdr:row>42</xdr:row>
      <xdr:rowOff>41228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07513D-49D6-AA48-9350-801DA9722D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344289</xdr:colOff>
      <xdr:row>39</xdr:row>
      <xdr:rowOff>16000</xdr:rowOff>
    </xdr:from>
    <xdr:to>
      <xdr:col>8</xdr:col>
      <xdr:colOff>181756</xdr:colOff>
      <xdr:row>50</xdr:row>
      <xdr:rowOff>109133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7A8925-0881-784B-9A81-49442A6B8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276810</xdr:colOff>
      <xdr:row>29</xdr:row>
      <xdr:rowOff>159439</xdr:rowOff>
    </xdr:from>
    <xdr:to>
      <xdr:col>17</xdr:col>
      <xdr:colOff>93717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C9B272-495C-584B-9385-72EE03F97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293489</xdr:colOff>
      <xdr:row>33</xdr:row>
      <xdr:rowOff>193800</xdr:rowOff>
    </xdr:from>
    <xdr:to>
      <xdr:col>8</xdr:col>
      <xdr:colOff>130956</xdr:colOff>
      <xdr:row>45</xdr:row>
      <xdr:rowOff>83733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E123E1-F43F-4C41-963D-EE46FFD80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95B303-FA41-714F-9295-E2307B248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3F6C2B-EBC6-F848-9097-717A680AC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CCD21-002A-8741-926C-817623265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087AFF-C185-9D4C-BB32-4F09A99B0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6"/>
  <sheetViews>
    <sheetView topLeftCell="C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57" t="s">
        <v>0</v>
      </c>
      <c r="C1" s="57"/>
      <c r="D1" s="57"/>
    </row>
    <row r="2" spans="2:41" x14ac:dyDescent="0.2">
      <c r="U2" s="16" t="s">
        <v>96</v>
      </c>
      <c r="AF2" s="16" t="s">
        <v>79</v>
      </c>
    </row>
    <row r="3" spans="2:41" x14ac:dyDescent="0.2">
      <c r="B3" s="55" t="s">
        <v>127</v>
      </c>
      <c r="C3" s="58"/>
      <c r="D3" s="58"/>
      <c r="F3" s="55" t="s">
        <v>83</v>
      </c>
      <c r="G3" s="58"/>
      <c r="H3" s="58"/>
      <c r="J3" s="59" t="s">
        <v>101</v>
      </c>
      <c r="K3" s="59"/>
      <c r="L3" s="59"/>
      <c r="N3" s="59" t="s">
        <v>95</v>
      </c>
      <c r="O3" s="59"/>
      <c r="P3" s="59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(1+$C$22/100)*MAX(G12,G22,G31,G35)</f>
        <v>864.65478830959796</v>
      </c>
      <c r="L4" s="6" t="s">
        <v>104</v>
      </c>
      <c r="N4" s="6" t="s">
        <v>25</v>
      </c>
      <c r="O4" s="6">
        <f xml:space="preserve"> 0.5 * $C$47 * $C$8^2</f>
        <v>2267.4637855940923</v>
      </c>
      <c r="P4" s="6" t="s">
        <v>26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2.9093317191603262E-2</v>
      </c>
      <c r="X4" s="3">
        <v>1</v>
      </c>
      <c r="Y4" s="2">
        <f t="shared" ref="Y4:Y34" si="1" xml:space="preserve"> $O$20 * TAN($O$17/180*PI()) + $O$21 / (2 * SQRT($O$20^2 + X4^2)) - X4</f>
        <v>-0.97553556355803395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-0.47390419187940036</v>
      </c>
      <c r="AB4" s="2">
        <f>W4*AA4</f>
        <v>-1.3787444972777809E-2</v>
      </c>
      <c r="AC4" s="2">
        <f>Y4*AA4</f>
        <v>0.46231039289758546</v>
      </c>
      <c r="AD4" s="2">
        <f>X4-V4</f>
        <v>1</v>
      </c>
      <c r="AF4" s="2">
        <v>0</v>
      </c>
      <c r="AG4" s="2"/>
      <c r="AH4" s="2">
        <f>K27</f>
        <v>-7.203894822850998E-3</v>
      </c>
      <c r="AI4" s="2"/>
      <c r="AJ4" s="2">
        <f>K27</f>
        <v>-7.203894822850998E-3</v>
      </c>
      <c r="AK4" s="2"/>
      <c r="AL4" s="2">
        <f>K27</f>
        <v>-7.203894822850998E-3</v>
      </c>
      <c r="AM4" s="2"/>
      <c r="AN4" s="2"/>
      <c r="AO4" s="2"/>
    </row>
    <row r="5" spans="2:41" x14ac:dyDescent="0.2">
      <c r="B5" s="10" t="s">
        <v>40</v>
      </c>
      <c r="C5" s="10">
        <v>4121.1399736200001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216.16369707739949</v>
      </c>
      <c r="L5" s="6" t="s">
        <v>104</v>
      </c>
      <c r="N5" s="6" t="s">
        <v>119</v>
      </c>
      <c r="O5" s="6">
        <f xml:space="preserve"> $C$18 * 0.85 * ($C$5/$C$18 *2.20462/1000)^(2/3) * 0.3048^2</f>
        <v>0.54580342145914751</v>
      </c>
      <c r="P5" s="6" t="s">
        <v>120</v>
      </c>
      <c r="U5" s="2">
        <v>1</v>
      </c>
      <c r="V5" s="2">
        <f>IF(AB4&gt;0, Z4, V4)</f>
        <v>0</v>
      </c>
      <c r="W5" s="2">
        <f t="shared" si="0"/>
        <v>2.9093317191603262E-2</v>
      </c>
      <c r="X5" s="2">
        <f>IF(AC4&gt;0, Z4, X4)</f>
        <v>0.5</v>
      </c>
      <c r="Y5" s="2">
        <f t="shared" si="1"/>
        <v>-0.47390419187940036</v>
      </c>
      <c r="Z5" s="2">
        <f t="shared" ref="Z5:Z34" si="3" xml:space="preserve"> (V5 + X5)/2</f>
        <v>0.25</v>
      </c>
      <c r="AA5" s="2">
        <f t="shared" si="2"/>
        <v>-0.22224320273670062</v>
      </c>
      <c r="AB5" s="2">
        <f t="shared" ref="AB5:AB34" si="4">W5*AA5</f>
        <v>-6.4657919908966211E-3</v>
      </c>
      <c r="AC5" s="2">
        <f t="shared" ref="AC5:AC34" si="5">Y5*AA5</f>
        <v>0.10532198539362585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-1811.1257419457706</v>
      </c>
      <c r="AI5" s="3">
        <v>5000</v>
      </c>
      <c r="AJ5" s="2">
        <f t="dataTable" ref="AJ5:AJ44" dt2D="0" dtr="0" r1="C5"/>
        <v>347.27555258469647</v>
      </c>
      <c r="AK5" s="2">
        <f>(AG5+AI5)/2</f>
        <v>2750</v>
      </c>
      <c r="AL5" s="2">
        <f t="dataTable" ref="AL5:AL44" dt2D="0" dtr="0" r1="C5" ca="1"/>
        <v>-625.24768066308388</v>
      </c>
      <c r="AM5" s="2">
        <f>AH5*AL5</f>
        <v>1132402.1695408002</v>
      </c>
      <c r="AN5" s="2">
        <f>AJ5*AL5</f>
        <v>-217133.23380457229</v>
      </c>
      <c r="AO5" s="2">
        <f>AI5-AG5</f>
        <v>4500</v>
      </c>
    </row>
    <row r="6" spans="2:41" x14ac:dyDescent="0.2">
      <c r="B6" s="6" t="s">
        <v>270</v>
      </c>
      <c r="C6" s="17">
        <v>400</v>
      </c>
      <c r="D6" s="6" t="s">
        <v>134</v>
      </c>
      <c r="F6" t="s">
        <v>91</v>
      </c>
      <c r="G6" s="8">
        <f>$G$5/$G$4</f>
        <v>120</v>
      </c>
      <c r="H6" s="6" t="s">
        <v>14</v>
      </c>
      <c r="N6" t="s">
        <v>291</v>
      </c>
      <c r="O6" s="17">
        <v>0.63027662333509604</v>
      </c>
      <c r="P6" s="6" t="s">
        <v>120</v>
      </c>
      <c r="U6" s="2">
        <v>2</v>
      </c>
      <c r="V6" s="2">
        <f t="shared" ref="V6:V34" si="7">IF(AB5&gt;0, Z5, V5)</f>
        <v>0</v>
      </c>
      <c r="W6" s="2">
        <f t="shared" si="0"/>
        <v>2.9093317191603262E-2</v>
      </c>
      <c r="X6" s="2">
        <f t="shared" ref="X6:X34" si="8">IF(AC5&gt;0, Z5, X5)</f>
        <v>0.25</v>
      </c>
      <c r="Y6" s="2">
        <f t="shared" si="1"/>
        <v>-0.22224320273670062</v>
      </c>
      <c r="Z6" s="2">
        <f t="shared" si="3"/>
        <v>0.125</v>
      </c>
      <c r="AA6" s="2">
        <f t="shared" si="2"/>
        <v>-9.6330185686015452E-2</v>
      </c>
      <c r="AB6" s="2">
        <f t="shared" si="4"/>
        <v>-2.8025646472892877E-3</v>
      </c>
      <c r="AC6" s="2">
        <f t="shared" si="5"/>
        <v>2.1408728987081148E-2</v>
      </c>
      <c r="AD6" s="2">
        <f t="shared" si="6"/>
        <v>0.25</v>
      </c>
      <c r="AF6" s="2">
        <v>2</v>
      </c>
      <c r="AG6" s="2">
        <f>IF(AM5&gt;0, AK5, AG5)</f>
        <v>2750</v>
      </c>
      <c r="AH6" s="2">
        <v>-625.24768066308388</v>
      </c>
      <c r="AI6" s="2">
        <f>IF(AN5&gt;0, AK5, AI5)</f>
        <v>5000</v>
      </c>
      <c r="AJ6" s="2">
        <v>347.27555258469647</v>
      </c>
      <c r="AK6" s="2">
        <f t="shared" ref="AK6:AK43" si="9">(AG6+AI6)/2</f>
        <v>3875</v>
      </c>
      <c r="AL6" s="2">
        <v>-103.25330469383789</v>
      </c>
      <c r="AM6" s="2">
        <f t="shared" ref="AM6:AM44" si="10">AH6*AL6</f>
        <v>64558.889280620853</v>
      </c>
      <c r="AN6" s="2">
        <f t="shared" ref="AN6:AN44" si="11">AJ6*AL6</f>
        <v>-35857.348443748589</v>
      </c>
      <c r="AO6" s="2">
        <f t="shared" ref="AO6:AO44" si="12">AI6-AG6</f>
        <v>2250</v>
      </c>
    </row>
    <row r="7" spans="2:41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$C$6*2*PI()/60*$C$9</f>
        <v>176.19056910980711</v>
      </c>
      <c r="H7" s="6" t="s">
        <v>10</v>
      </c>
      <c r="J7" s="59" t="s">
        <v>23</v>
      </c>
      <c r="K7" s="59"/>
      <c r="L7" s="59"/>
      <c r="N7" s="6" t="s">
        <v>292</v>
      </c>
      <c r="O7" s="6">
        <f>O5+$O$6</f>
        <v>1.1760800447942437</v>
      </c>
      <c r="P7" s="6" t="s">
        <v>120</v>
      </c>
      <c r="U7" s="2">
        <v>3</v>
      </c>
      <c r="V7" s="2">
        <f t="shared" si="7"/>
        <v>0</v>
      </c>
      <c r="W7" s="2">
        <f t="shared" si="0"/>
        <v>2.9093317191603262E-2</v>
      </c>
      <c r="X7" s="2">
        <f t="shared" si="8"/>
        <v>0.125</v>
      </c>
      <c r="Y7" s="2">
        <f t="shared" si="1"/>
        <v>-9.6330185686015452E-2</v>
      </c>
      <c r="Z7" s="2">
        <f t="shared" si="3"/>
        <v>6.25E-2</v>
      </c>
      <c r="AA7" s="2">
        <f t="shared" si="2"/>
        <v>-3.3520414465702489E-2</v>
      </c>
      <c r="AB7" s="2">
        <f t="shared" si="4"/>
        <v>-9.7522005044468885E-4</v>
      </c>
      <c r="AC7" s="2">
        <f t="shared" si="5"/>
        <v>3.2290277497533191E-3</v>
      </c>
      <c r="AD7" s="2">
        <f t="shared" si="6"/>
        <v>0.125</v>
      </c>
      <c r="AF7" s="2">
        <v>3</v>
      </c>
      <c r="AG7" s="2">
        <f t="shared" ref="AG7:AG44" si="13">IF(AM6&gt;0, AK6, AG6)</f>
        <v>3875</v>
      </c>
      <c r="AH7" s="2">
        <v>-103.25330469383789</v>
      </c>
      <c r="AI7" s="2">
        <f t="shared" ref="AI7:AI44" si="14">IF(AN6&gt;0, AK6, AI6)</f>
        <v>5000</v>
      </c>
      <c r="AJ7" s="2">
        <v>347.27555258469647</v>
      </c>
      <c r="AK7" s="2">
        <f t="shared" si="9"/>
        <v>4437.5</v>
      </c>
      <c r="AL7" s="2">
        <v>128.87422936476423</v>
      </c>
      <c r="AM7" s="2">
        <f t="shared" si="10"/>
        <v>-13306.690071783552</v>
      </c>
      <c r="AN7" s="2">
        <f t="shared" si="11"/>
        <v>44754.869216575418</v>
      </c>
      <c r="AO7" s="2">
        <f t="shared" si="12"/>
        <v>1125</v>
      </c>
    </row>
    <row r="8" spans="2:41" x14ac:dyDescent="0.2">
      <c r="B8" s="6" t="s">
        <v>9</v>
      </c>
      <c r="C8" s="17">
        <f>150 * 1609.344 / 3600</f>
        <v>67.055999999999997</v>
      </c>
      <c r="D8" s="6" t="s">
        <v>10</v>
      </c>
      <c r="F8" t="s">
        <v>133</v>
      </c>
      <c r="G8" s="8">
        <f>G7/$C$43</f>
        <v>0.52764788361167103</v>
      </c>
      <c r="H8" s="6" t="s">
        <v>131</v>
      </c>
      <c r="J8" s="6" t="s">
        <v>99</v>
      </c>
      <c r="K8" s="6">
        <f xml:space="preserve"> $C$15 * (G12*G6 + G22*G15 + G31*G27 +G35*G34)/3600</f>
        <v>358.01916000499261</v>
      </c>
      <c r="L8" s="6" t="s">
        <v>105</v>
      </c>
      <c r="N8" s="6" t="s">
        <v>41</v>
      </c>
      <c r="O8" s="6">
        <f xml:space="preserve"> O4 *O7</f>
        <v>2666.7189105308253</v>
      </c>
      <c r="P8" s="6" t="s">
        <v>22</v>
      </c>
      <c r="U8" s="2">
        <v>4</v>
      </c>
      <c r="V8" s="2">
        <f t="shared" si="7"/>
        <v>0</v>
      </c>
      <c r="W8" s="2">
        <f t="shared" si="0"/>
        <v>2.9093317191603262E-2</v>
      </c>
      <c r="X8" s="2">
        <f t="shared" si="8"/>
        <v>6.25E-2</v>
      </c>
      <c r="Y8" s="2">
        <f t="shared" si="1"/>
        <v>-3.3520414465702489E-2</v>
      </c>
      <c r="Z8" s="2">
        <f t="shared" si="3"/>
        <v>3.125E-2</v>
      </c>
      <c r="AA8" s="2">
        <f t="shared" si="2"/>
        <v>-2.1856585746910101E-3</v>
      </c>
      <c r="AB8" s="2">
        <f t="shared" si="4"/>
        <v>-6.3588058186033047E-5</v>
      </c>
      <c r="AC8" s="2">
        <f t="shared" si="5"/>
        <v>7.3264181304159222E-5</v>
      </c>
      <c r="AD8" s="2">
        <f t="shared" si="6"/>
        <v>6.25E-2</v>
      </c>
      <c r="AF8" s="2">
        <v>4</v>
      </c>
      <c r="AG8" s="2">
        <f t="shared" si="13"/>
        <v>3875</v>
      </c>
      <c r="AH8" s="2">
        <v>-103.25330469383789</v>
      </c>
      <c r="AI8" s="2">
        <f t="shared" si="14"/>
        <v>4437.5</v>
      </c>
      <c r="AJ8" s="2">
        <v>128.87422936476423</v>
      </c>
      <c r="AK8" s="2">
        <f t="shared" si="9"/>
        <v>4156.25</v>
      </c>
      <c r="AL8" s="2">
        <v>14.508908931221868</v>
      </c>
      <c r="AM8" s="2">
        <f t="shared" si="10"/>
        <v>-1498.0927946505974</v>
      </c>
      <c r="AN8" s="2">
        <f t="shared" si="11"/>
        <v>1869.8244574347632</v>
      </c>
      <c r="AO8" s="2">
        <f t="shared" si="12"/>
        <v>562.5</v>
      </c>
    </row>
    <row r="9" spans="2:41" x14ac:dyDescent="0.2">
      <c r="B9" s="6" t="s">
        <v>98</v>
      </c>
      <c r="C9" s="17">
        <v>4.2062400000000002</v>
      </c>
      <c r="D9" s="6" t="s">
        <v>8</v>
      </c>
      <c r="F9" t="s">
        <v>21</v>
      </c>
      <c r="G9" s="6">
        <f xml:space="preserve"> $C$5 * $C$44 / $C$18</f>
        <v>10098.329288521969</v>
      </c>
      <c r="H9" s="6" t="s">
        <v>22</v>
      </c>
      <c r="J9" s="6" t="s">
        <v>265</v>
      </c>
      <c r="K9" s="6">
        <f xml:space="preserve"> $C$15 * (G6 + G15 + G27 + G34)/60</f>
        <v>49.333333333333336</v>
      </c>
      <c r="L9" s="6" t="s">
        <v>106</v>
      </c>
      <c r="N9" s="6" t="s">
        <v>42</v>
      </c>
      <c r="O9" s="6">
        <f xml:space="preserve"> O8</f>
        <v>2666.7189105308253</v>
      </c>
      <c r="P9" s="6" t="s">
        <v>22</v>
      </c>
      <c r="U9" s="2">
        <v>5</v>
      </c>
      <c r="V9" s="2">
        <f t="shared" si="7"/>
        <v>0</v>
      </c>
      <c r="W9" s="2">
        <f t="shared" si="0"/>
        <v>2.9093317191603262E-2</v>
      </c>
      <c r="X9" s="2">
        <f t="shared" si="8"/>
        <v>3.125E-2</v>
      </c>
      <c r="Y9" s="2">
        <f t="shared" si="1"/>
        <v>-2.1856585746910101E-3</v>
      </c>
      <c r="Z9" s="2">
        <f t="shared" si="3"/>
        <v>1.5625E-2</v>
      </c>
      <c r="AA9" s="2">
        <f t="shared" si="2"/>
        <v>1.3461038416428078E-2</v>
      </c>
      <c r="AB9" s="2">
        <f t="shared" si="4"/>
        <v>3.9162626037749892E-4</v>
      </c>
      <c r="AC9" s="2">
        <f t="shared" si="5"/>
        <v>-2.9421234039111125E-5</v>
      </c>
      <c r="AD9" s="2">
        <f t="shared" si="6"/>
        <v>3.125E-2</v>
      </c>
      <c r="AF9" s="2">
        <v>5</v>
      </c>
      <c r="AG9" s="2">
        <f t="shared" si="13"/>
        <v>3875</v>
      </c>
      <c r="AH9" s="2">
        <v>-103.25330469383789</v>
      </c>
      <c r="AI9" s="2">
        <f t="shared" si="14"/>
        <v>4156.25</v>
      </c>
      <c r="AJ9" s="2">
        <v>14.508908931221868</v>
      </c>
      <c r="AK9" s="2">
        <f t="shared" si="9"/>
        <v>4015.625</v>
      </c>
      <c r="AL9" s="2">
        <v>-43.949875832019643</v>
      </c>
      <c r="AM9" s="2">
        <f t="shared" si="10"/>
        <v>4537.9699205398665</v>
      </c>
      <c r="AN9" s="2">
        <f t="shared" si="11"/>
        <v>-637.66474598528191</v>
      </c>
      <c r="AO9" s="2">
        <f t="shared" si="12"/>
        <v>281.25</v>
      </c>
    </row>
    <row r="10" spans="2:41" x14ac:dyDescent="0.2">
      <c r="B10" s="6" t="s">
        <v>224</v>
      </c>
      <c r="C10" s="17">
        <f>(0.071475+0.069425+0.067375+0.065325+0.063275+0.061225+0.059175+0.057125)/8</f>
        <v>6.4299999999999982E-2</v>
      </c>
      <c r="F10" t="s">
        <v>100</v>
      </c>
      <c r="G10" s="6">
        <f>G12/$C$18</f>
        <v>144.10913138493299</v>
      </c>
      <c r="H10" s="6" t="s">
        <v>104</v>
      </c>
      <c r="N10" s="6" t="s">
        <v>118</v>
      </c>
      <c r="O10" s="6">
        <f>O7/(0.3048^2)/($C$5*2.20462/1000)^(2/3)</f>
        <v>2.9074095780071736</v>
      </c>
      <c r="U10" s="2">
        <v>6</v>
      </c>
      <c r="V10" s="2">
        <f t="shared" si="7"/>
        <v>1.5625E-2</v>
      </c>
      <c r="W10" s="2">
        <f t="shared" si="0"/>
        <v>1.3461038416428078E-2</v>
      </c>
      <c r="X10" s="2">
        <f t="shared" si="8"/>
        <v>3.125E-2</v>
      </c>
      <c r="Y10" s="2">
        <f t="shared" si="1"/>
        <v>-2.1856585746910101E-3</v>
      </c>
      <c r="Z10" s="2">
        <f t="shared" si="3"/>
        <v>2.34375E-2</v>
      </c>
      <c r="AA10" s="2">
        <f t="shared" si="2"/>
        <v>5.6394727055223658E-3</v>
      </c>
      <c r="AB10" s="2">
        <f t="shared" si="4"/>
        <v>7.5913158737434157E-5</v>
      </c>
      <c r="AC10" s="2">
        <f t="shared" si="5"/>
        <v>-1.2325961875560868E-5</v>
      </c>
      <c r="AD10" s="2">
        <f t="shared" si="6"/>
        <v>1.5625E-2</v>
      </c>
      <c r="AF10" s="2">
        <v>6</v>
      </c>
      <c r="AG10" s="2">
        <f t="shared" si="13"/>
        <v>4015.625</v>
      </c>
      <c r="AH10" s="2">
        <v>-43.949875832019643</v>
      </c>
      <c r="AI10" s="2">
        <f t="shared" si="14"/>
        <v>4156.25</v>
      </c>
      <c r="AJ10" s="2">
        <v>14.508908931221868</v>
      </c>
      <c r="AK10" s="2">
        <f t="shared" si="9"/>
        <v>4085.9375</v>
      </c>
      <c r="AL10" s="2">
        <v>-14.614622732649423</v>
      </c>
      <c r="AM10" s="2">
        <f t="shared" si="10"/>
        <v>642.31085443175368</v>
      </c>
      <c r="AN10" s="2">
        <f t="shared" si="11"/>
        <v>-212.04223029217533</v>
      </c>
      <c r="AO10" s="2">
        <f t="shared" si="12"/>
        <v>140.625</v>
      </c>
    </row>
    <row r="11" spans="2:41" x14ac:dyDescent="0.2">
      <c r="F11" t="s">
        <v>274</v>
      </c>
      <c r="G11" s="6">
        <f xml:space="preserve"> (G9/$C$44*1000) / ($G$10*1000)</f>
        <v>7.1493387233941741</v>
      </c>
      <c r="H11" s="6" t="s">
        <v>275</v>
      </c>
      <c r="J11" s="55" t="s">
        <v>54</v>
      </c>
      <c r="K11" s="55"/>
      <c r="L11" s="55"/>
      <c r="U11" s="2">
        <v>7</v>
      </c>
      <c r="V11" s="2">
        <f t="shared" si="7"/>
        <v>2.34375E-2</v>
      </c>
      <c r="W11" s="2">
        <f t="shared" si="0"/>
        <v>5.6394727055223658E-3</v>
      </c>
      <c r="X11" s="2">
        <f t="shared" si="8"/>
        <v>3.125E-2</v>
      </c>
      <c r="Y11" s="2">
        <f t="shared" si="1"/>
        <v>-2.1856585746910101E-3</v>
      </c>
      <c r="Z11" s="2">
        <f t="shared" si="3"/>
        <v>2.734375E-2</v>
      </c>
      <c r="AA11" s="2">
        <f t="shared" si="2"/>
        <v>1.7273494056954386E-3</v>
      </c>
      <c r="AB11" s="2">
        <f t="shared" si="4"/>
        <v>9.7413398263197063E-6</v>
      </c>
      <c r="AC11" s="2">
        <f t="shared" si="5"/>
        <v>-3.7753960400456558E-6</v>
      </c>
      <c r="AD11" s="2">
        <f t="shared" si="6"/>
        <v>7.8125E-3</v>
      </c>
      <c r="AF11" s="2">
        <v>7</v>
      </c>
      <c r="AG11" s="2">
        <f t="shared" si="13"/>
        <v>4085.9375</v>
      </c>
      <c r="AH11" s="2">
        <v>-14.614622732649423</v>
      </c>
      <c r="AI11" s="2">
        <f t="shared" si="14"/>
        <v>4156.25</v>
      </c>
      <c r="AJ11" s="2">
        <v>14.508908931221868</v>
      </c>
      <c r="AK11" s="2">
        <f t="shared" si="9"/>
        <v>4121.09375</v>
      </c>
      <c r="AL11" s="2">
        <v>-2.6341516959291766E-2</v>
      </c>
      <c r="AM11" s="2">
        <f t="shared" si="10"/>
        <v>0.38497133256573574</v>
      </c>
      <c r="AN11" s="2">
        <f t="shared" si="11"/>
        <v>-0.38218667067260059</v>
      </c>
      <c r="AO11" s="2">
        <f t="shared" si="12"/>
        <v>70.3125</v>
      </c>
    </row>
    <row r="12" spans="2:41" x14ac:dyDescent="0.2">
      <c r="B12" s="59" t="s">
        <v>12</v>
      </c>
      <c r="C12" s="59"/>
      <c r="D12" s="59"/>
      <c r="F12" s="42" t="s">
        <v>85</v>
      </c>
      <c r="G12" s="43">
        <f xml:space="preserve"> 1/1000 * (($C$5*$C$44)/$C$21 * ( ($G$4/2) + SQRT( ($G$4/2)^2 + ($C$5*$C$44) / (2*$C$41*PI()*$C$9^2 * $C$18) ) ) )</f>
        <v>576.43652553973197</v>
      </c>
      <c r="H12" s="43" t="s">
        <v>104</v>
      </c>
      <c r="J12" s="10" t="s">
        <v>82</v>
      </c>
      <c r="K12" s="6">
        <f>C5</f>
        <v>4121.1399736200001</v>
      </c>
      <c r="L12" s="6" t="s">
        <v>7</v>
      </c>
      <c r="N12" s="55" t="s">
        <v>76</v>
      </c>
      <c r="O12" s="56"/>
      <c r="P12" s="56"/>
      <c r="U12" s="2">
        <v>8</v>
      </c>
      <c r="V12" s="2">
        <f t="shared" si="7"/>
        <v>2.734375E-2</v>
      </c>
      <c r="W12" s="2">
        <f t="shared" si="0"/>
        <v>1.7273494056954386E-3</v>
      </c>
      <c r="X12" s="2">
        <f t="shared" si="8"/>
        <v>3.125E-2</v>
      </c>
      <c r="Y12" s="2">
        <f t="shared" si="1"/>
        <v>-2.1856585746910101E-3</v>
      </c>
      <c r="Z12" s="2">
        <f t="shared" si="3"/>
        <v>2.9296875E-2</v>
      </c>
      <c r="AA12" s="2">
        <f t="shared" si="2"/>
        <v>-2.2904447479528411E-4</v>
      </c>
      <c r="AB12" s="2">
        <f t="shared" si="4"/>
        <v>-3.9563983741545786E-7</v>
      </c>
      <c r="AC12" s="2">
        <f t="shared" si="5"/>
        <v>5.0061302032191162E-7</v>
      </c>
      <c r="AD12" s="2">
        <f t="shared" si="6"/>
        <v>3.90625E-3</v>
      </c>
      <c r="AF12" s="2">
        <v>8</v>
      </c>
      <c r="AG12" s="2">
        <f t="shared" si="13"/>
        <v>4121.09375</v>
      </c>
      <c r="AH12" s="2">
        <v>-2.6341516959291766E-2</v>
      </c>
      <c r="AI12" s="2">
        <f t="shared" si="14"/>
        <v>4156.25</v>
      </c>
      <c r="AJ12" s="2">
        <v>14.508908931221868</v>
      </c>
      <c r="AK12" s="2">
        <f t="shared" si="9"/>
        <v>4138.671875</v>
      </c>
      <c r="AL12" s="2">
        <v>7.2479214540567227</v>
      </c>
      <c r="AM12" s="2">
        <f t="shared" si="10"/>
        <v>-0.1909212459016498</v>
      </c>
      <c r="AN12" s="2">
        <f t="shared" si="11"/>
        <v>105.15943231755817</v>
      </c>
      <c r="AO12" s="2">
        <f t="shared" si="12"/>
        <v>35.15625</v>
      </c>
    </row>
    <row r="13" spans="2:41" x14ac:dyDescent="0.2">
      <c r="B13" s="6" t="s">
        <v>71</v>
      </c>
      <c r="C13" s="6">
        <f>C25*100</f>
        <v>600</v>
      </c>
      <c r="D13" s="6" t="s">
        <v>7</v>
      </c>
      <c r="J13" s="11" t="s">
        <v>55</v>
      </c>
      <c r="K13" s="6">
        <f xml:space="preserve"> K8 * 1000 / ($C$36 * $C$37 * $C$38)</f>
        <v>2105.9950588528977</v>
      </c>
      <c r="L13" s="6" t="s">
        <v>7</v>
      </c>
      <c r="N13" s="6" t="s">
        <v>77</v>
      </c>
      <c r="O13" s="6">
        <f xml:space="preserve"> SQRT( ($C$5*$C$50)^2 + O9^2)</f>
        <v>40477.392967730426</v>
      </c>
      <c r="P13" s="6" t="s">
        <v>22</v>
      </c>
      <c r="U13" s="2">
        <v>9</v>
      </c>
      <c r="V13" s="2">
        <f t="shared" si="7"/>
        <v>2.734375E-2</v>
      </c>
      <c r="W13" s="2">
        <f t="shared" si="0"/>
        <v>1.7273494056954386E-3</v>
      </c>
      <c r="X13" s="2">
        <f t="shared" si="8"/>
        <v>2.9296875E-2</v>
      </c>
      <c r="Y13" s="2">
        <f t="shared" si="1"/>
        <v>-2.2904447479528411E-4</v>
      </c>
      <c r="Z13" s="2">
        <f t="shared" si="3"/>
        <v>2.83203125E-2</v>
      </c>
      <c r="AA13" s="2">
        <f t="shared" si="2"/>
        <v>7.4918005475455018E-4</v>
      </c>
      <c r="AB13" s="2">
        <f t="shared" si="4"/>
        <v>1.2940957223391484E-6</v>
      </c>
      <c r="AC13" s="2">
        <f t="shared" si="5"/>
        <v>-1.7159555216835813E-7</v>
      </c>
      <c r="AD13" s="2">
        <f t="shared" si="6"/>
        <v>1.953125E-3</v>
      </c>
      <c r="AF13" s="2">
        <v>9</v>
      </c>
      <c r="AG13" s="2">
        <f t="shared" si="13"/>
        <v>4121.09375</v>
      </c>
      <c r="AH13" s="2">
        <v>-2.6341516959291766E-2</v>
      </c>
      <c r="AI13" s="2">
        <f t="shared" si="14"/>
        <v>4138.671875</v>
      </c>
      <c r="AJ13" s="2">
        <v>7.2479214540567227</v>
      </c>
      <c r="AK13" s="2">
        <f t="shared" si="9"/>
        <v>4129.8828125</v>
      </c>
      <c r="AL13" s="2">
        <v>3.6124287183147317</v>
      </c>
      <c r="AM13" s="2">
        <f t="shared" si="10"/>
        <v>-9.5156852347720117E-2</v>
      </c>
      <c r="AN13" s="2">
        <f t="shared" si="11"/>
        <v>26.182599608723972</v>
      </c>
      <c r="AO13" s="2">
        <f t="shared" si="12"/>
        <v>17.578125</v>
      </c>
    </row>
    <row r="14" spans="2:41" x14ac:dyDescent="0.2">
      <c r="B14" s="6" t="s">
        <v>13</v>
      </c>
      <c r="C14" s="17">
        <f>60 * 1609.344</f>
        <v>96560.639999999999</v>
      </c>
      <c r="D14" s="6" t="s">
        <v>8</v>
      </c>
      <c r="F14" s="55" t="s">
        <v>89</v>
      </c>
      <c r="G14" s="58"/>
      <c r="H14" s="58"/>
      <c r="J14" s="12" t="s">
        <v>135</v>
      </c>
      <c r="K14" s="6">
        <f xml:space="preserve"> $C$54 * $C$18 * (0.0095 * MAX(G9,O18,G28) - 1.9275)</f>
        <v>301.46018655475126</v>
      </c>
      <c r="L14" s="6" t="s">
        <v>7</v>
      </c>
      <c r="N14" s="6" t="s">
        <v>78</v>
      </c>
      <c r="O14" s="6">
        <f>$C$5*$C$50/O13</f>
        <v>0.9978274416925399</v>
      </c>
      <c r="U14" s="2">
        <v>10</v>
      </c>
      <c r="V14" s="2">
        <f t="shared" si="7"/>
        <v>2.83203125E-2</v>
      </c>
      <c r="W14" s="2">
        <f t="shared" si="0"/>
        <v>7.4918005475455018E-4</v>
      </c>
      <c r="X14" s="2">
        <f t="shared" si="8"/>
        <v>2.9296875E-2</v>
      </c>
      <c r="Y14" s="2">
        <f t="shared" si="1"/>
        <v>-2.2904447479528411E-4</v>
      </c>
      <c r="Z14" s="2">
        <f t="shared" si="3"/>
        <v>2.880859375E-2</v>
      </c>
      <c r="AA14" s="2">
        <f t="shared" si="2"/>
        <v>2.6007467972346751E-4</v>
      </c>
      <c r="AB14" s="2">
        <f t="shared" si="4"/>
        <v>1.9484276279549949E-7</v>
      </c>
      <c r="AC14" s="2">
        <f t="shared" si="5"/>
        <v>-5.9568668424813343E-8</v>
      </c>
      <c r="AD14" s="2">
        <f t="shared" si="6"/>
        <v>9.765625E-4</v>
      </c>
      <c r="AF14" s="2">
        <v>10</v>
      </c>
      <c r="AG14" s="2">
        <f t="shared" si="13"/>
        <v>4121.09375</v>
      </c>
      <c r="AH14" s="2">
        <v>-2.6341516959291766E-2</v>
      </c>
      <c r="AI14" s="2">
        <f t="shared" si="14"/>
        <v>4129.8828125</v>
      </c>
      <c r="AJ14" s="2">
        <v>3.6124287183147317</v>
      </c>
      <c r="AK14" s="2">
        <f t="shared" si="9"/>
        <v>4125.48828125</v>
      </c>
      <c r="AL14" s="2">
        <v>1.7934512863998862</v>
      </c>
      <c r="AM14" s="2">
        <f t="shared" si="10"/>
        <v>-4.7242227476366236E-2</v>
      </c>
      <c r="AN14" s="2">
        <f t="shared" si="11"/>
        <v>6.4787149318894475</v>
      </c>
      <c r="AO14" s="2">
        <f t="shared" si="12"/>
        <v>8.7890625</v>
      </c>
    </row>
    <row r="15" spans="2:41" x14ac:dyDescent="0.2">
      <c r="B15" s="6" t="s">
        <v>263</v>
      </c>
      <c r="C15" s="17">
        <v>1</v>
      </c>
      <c r="F15" s="9" t="s">
        <v>92</v>
      </c>
      <c r="G15" s="6">
        <f xml:space="preserve"> $C$14/$C$8</f>
        <v>1440</v>
      </c>
      <c r="H15" s="6" t="s">
        <v>14</v>
      </c>
      <c r="J15" s="12" t="s">
        <v>136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448.71297669806745</v>
      </c>
      <c r="L15" s="6" t="s">
        <v>7</v>
      </c>
      <c r="U15" s="2">
        <v>11</v>
      </c>
      <c r="V15" s="2">
        <f t="shared" si="7"/>
        <v>2.880859375E-2</v>
      </c>
      <c r="W15" s="2">
        <f t="shared" si="0"/>
        <v>2.6007467972346751E-4</v>
      </c>
      <c r="X15" s="2">
        <f t="shared" si="8"/>
        <v>2.9296875E-2</v>
      </c>
      <c r="Y15" s="2">
        <f t="shared" si="1"/>
        <v>-2.2904447479528411E-4</v>
      </c>
      <c r="Z15" s="2">
        <f t="shared" si="3"/>
        <v>2.9052734375E-2</v>
      </c>
      <c r="AA15" s="2">
        <f t="shared" si="2"/>
        <v>1.5516823938875601E-5</v>
      </c>
      <c r="AB15" s="2">
        <f t="shared" si="4"/>
        <v>4.0355330162285058E-9</v>
      </c>
      <c r="AC15" s="2">
        <f t="shared" si="5"/>
        <v>-3.5540427895706536E-9</v>
      </c>
      <c r="AD15" s="2">
        <f t="shared" si="6"/>
        <v>4.8828125E-4</v>
      </c>
      <c r="AF15" s="2">
        <v>11</v>
      </c>
      <c r="AG15" s="2">
        <f t="shared" si="13"/>
        <v>4121.09375</v>
      </c>
      <c r="AH15" s="2">
        <v>-2.6341516959291766E-2</v>
      </c>
      <c r="AI15" s="2">
        <f t="shared" si="14"/>
        <v>4125.48828125</v>
      </c>
      <c r="AJ15" s="2">
        <v>1.7934512863998862</v>
      </c>
      <c r="AK15" s="2">
        <f t="shared" si="9"/>
        <v>4123.291015625</v>
      </c>
      <c r="AL15" s="2">
        <v>0.88364728409078452</v>
      </c>
      <c r="AM15" s="2">
        <f t="shared" si="10"/>
        <v>-2.327660991990951E-2</v>
      </c>
      <c r="AN15" s="2">
        <f t="shared" si="11"/>
        <v>1.5847783583763833</v>
      </c>
      <c r="AO15" s="2">
        <f t="shared" si="12"/>
        <v>4.39453125</v>
      </c>
    </row>
    <row r="16" spans="2:41" x14ac:dyDescent="0.2">
      <c r="F16" t="s">
        <v>130</v>
      </c>
      <c r="G16" s="8">
        <f>O19*$C$9</f>
        <v>198.21439024853296</v>
      </c>
      <c r="H16" s="6" t="s">
        <v>10</v>
      </c>
      <c r="J16" s="13" t="s">
        <v>56</v>
      </c>
      <c r="K16" s="6">
        <f xml:space="preserve"> $C$54 * 0.2138 * K4</f>
        <v>147.89055499247362</v>
      </c>
      <c r="L16" s="6" t="s">
        <v>7</v>
      </c>
      <c r="N16" s="55" t="s">
        <v>27</v>
      </c>
      <c r="O16" s="56"/>
      <c r="P16" s="56"/>
      <c r="U16" s="2">
        <v>12</v>
      </c>
      <c r="V16" s="2">
        <f t="shared" si="7"/>
        <v>2.9052734375E-2</v>
      </c>
      <c r="W16" s="2">
        <f t="shared" si="0"/>
        <v>1.5516823938875601E-5</v>
      </c>
      <c r="X16" s="2">
        <f t="shared" si="8"/>
        <v>2.9296875E-2</v>
      </c>
      <c r="Y16" s="2">
        <f t="shared" si="1"/>
        <v>-2.2904447479528411E-4</v>
      </c>
      <c r="Z16" s="2">
        <f t="shared" si="3"/>
        <v>2.91748046875E-2</v>
      </c>
      <c r="AA16" s="2">
        <f t="shared" si="2"/>
        <v>-1.0676339518048833E-4</v>
      </c>
      <c r="AB16" s="2">
        <f t="shared" si="4"/>
        <v>-1.6566288061322372E-9</v>
      </c>
      <c r="AC16" s="2">
        <f t="shared" si="5"/>
        <v>2.4453565776476316E-8</v>
      </c>
      <c r="AD16" s="2">
        <f t="shared" si="6"/>
        <v>2.44140625E-4</v>
      </c>
      <c r="AF16" s="2">
        <v>12</v>
      </c>
      <c r="AG16" s="2">
        <f t="shared" si="13"/>
        <v>4121.09375</v>
      </c>
      <c r="AH16" s="2">
        <v>-2.6341516959291766E-2</v>
      </c>
      <c r="AI16" s="2">
        <f t="shared" si="14"/>
        <v>4123.291015625</v>
      </c>
      <c r="AJ16" s="2">
        <v>0.88364728409078452</v>
      </c>
      <c r="AK16" s="2">
        <f t="shared" si="9"/>
        <v>4122.1923828125</v>
      </c>
      <c r="AL16" s="2">
        <v>0.42867595397910918</v>
      </c>
      <c r="AM16" s="2">
        <f t="shared" si="10"/>
        <v>-1.129197491178128E-2</v>
      </c>
      <c r="AN16" s="2">
        <f t="shared" si="11"/>
        <v>0.37879834248866595</v>
      </c>
      <c r="AO16" s="2">
        <f t="shared" si="12"/>
        <v>2.197265625</v>
      </c>
    </row>
    <row r="17" spans="2:41" x14ac:dyDescent="0.2">
      <c r="B17" s="54" t="s">
        <v>115</v>
      </c>
      <c r="C17" s="54"/>
      <c r="D17" s="54"/>
      <c r="F17" s="6" t="s">
        <v>133</v>
      </c>
      <c r="G17" s="6">
        <f>G16/$C$49</f>
        <v>0.59573619388824506</v>
      </c>
      <c r="H17" s="6" t="s">
        <v>131</v>
      </c>
      <c r="J17" s="13" t="s">
        <v>80</v>
      </c>
      <c r="K17" s="6">
        <f xml:space="preserve"> $C$54 * 0.1149 * K4</f>
        <v>79.479068141418253</v>
      </c>
      <c r="L17" s="6" t="s">
        <v>7</v>
      </c>
      <c r="N17" s="6" t="s">
        <v>28</v>
      </c>
      <c r="O17" s="6">
        <f xml:space="preserve"> ACOS(O14)/PI()*180</f>
        <v>3.7774785728800166</v>
      </c>
      <c r="P17" s="6" t="s">
        <v>43</v>
      </c>
      <c r="U17" s="2">
        <v>13</v>
      </c>
      <c r="V17" s="2">
        <f t="shared" si="7"/>
        <v>2.9052734375E-2</v>
      </c>
      <c r="W17" s="2">
        <f t="shared" si="0"/>
        <v>1.5516823938875601E-5</v>
      </c>
      <c r="X17" s="2">
        <f t="shared" si="8"/>
        <v>2.91748046875E-2</v>
      </c>
      <c r="Y17" s="2">
        <f t="shared" si="1"/>
        <v>-1.0676339518048833E-4</v>
      </c>
      <c r="Z17" s="2">
        <f t="shared" si="3"/>
        <v>2.911376953125E-2</v>
      </c>
      <c r="AA17" s="2">
        <f t="shared" si="2"/>
        <v>-4.5623178043716767E-5</v>
      </c>
      <c r="AB17" s="2">
        <f t="shared" si="4"/>
        <v>-7.0792682123632808E-10</v>
      </c>
      <c r="AC17" s="2">
        <f t="shared" si="5"/>
        <v>4.8708853868711118E-9</v>
      </c>
      <c r="AD17" s="2">
        <f t="shared" si="6"/>
        <v>1.220703125E-4</v>
      </c>
      <c r="AF17" s="2">
        <v>13</v>
      </c>
      <c r="AG17" s="2">
        <f t="shared" si="13"/>
        <v>4121.09375</v>
      </c>
      <c r="AH17" s="2">
        <v>-2.6341516959291766E-2</v>
      </c>
      <c r="AI17" s="2">
        <f t="shared" si="14"/>
        <v>4122.1923828125</v>
      </c>
      <c r="AJ17" s="2">
        <v>0.42867595397910918</v>
      </c>
      <c r="AK17" s="2">
        <f t="shared" si="9"/>
        <v>4121.64306640625</v>
      </c>
      <c r="AL17" s="2">
        <v>0.20116371428184721</v>
      </c>
      <c r="AM17" s="2">
        <f t="shared" si="10"/>
        <v>-5.2989573913494016E-3</v>
      </c>
      <c r="AN17" s="2">
        <f t="shared" si="11"/>
        <v>8.6234047125751806E-2</v>
      </c>
      <c r="AO17" s="2">
        <f t="shared" si="12"/>
        <v>1.0986328125</v>
      </c>
    </row>
    <row r="18" spans="2:41" x14ac:dyDescent="0.2">
      <c r="B18" s="6" t="s">
        <v>97</v>
      </c>
      <c r="C18" s="17">
        <v>4</v>
      </c>
      <c r="F18" s="9" t="s">
        <v>21</v>
      </c>
      <c r="G18" s="6">
        <f>O18</f>
        <v>10119.348241932606</v>
      </c>
      <c r="H18" s="6" t="s">
        <v>22</v>
      </c>
      <c r="J18" s="14" t="s">
        <v>63</v>
      </c>
      <c r="K18" s="6">
        <f xml:space="preserve"> $C$55 * (14.86 * ($C$5*2.20462)^0.144 * ($C$26/(PI()*$C$27))^0.778 * ($C$26*3.28084)^0.383 * $C$25^0.455 * 0.453592)</f>
        <v>144.27017571276917</v>
      </c>
      <c r="L18" s="6" t="s">
        <v>7</v>
      </c>
      <c r="N18" s="6" t="s">
        <v>21</v>
      </c>
      <c r="O18" s="6">
        <f xml:space="preserve"> O13 / $C$18</f>
        <v>10119.348241932606</v>
      </c>
      <c r="P18" s="6" t="s">
        <v>22</v>
      </c>
      <c r="U18" s="2">
        <v>14</v>
      </c>
      <c r="V18" s="2">
        <f t="shared" si="7"/>
        <v>2.9052734375E-2</v>
      </c>
      <c r="W18" s="2">
        <f t="shared" si="0"/>
        <v>1.5516823938875601E-5</v>
      </c>
      <c r="X18" s="2">
        <f t="shared" si="8"/>
        <v>2.911376953125E-2</v>
      </c>
      <c r="Y18" s="2">
        <f t="shared" si="1"/>
        <v>-4.5623178043716767E-5</v>
      </c>
      <c r="Z18" s="2">
        <f t="shared" si="3"/>
        <v>2.9083251953125E-2</v>
      </c>
      <c r="AA18" s="2">
        <f t="shared" si="2"/>
        <v>-1.5053150156256467E-5</v>
      </c>
      <c r="AB18" s="2">
        <f t="shared" si="4"/>
        <v>-2.3357708070008933E-10</v>
      </c>
      <c r="AC18" s="2">
        <f t="shared" si="5"/>
        <v>6.8677254969769163E-10</v>
      </c>
      <c r="AD18" s="2">
        <f t="shared" si="6"/>
        <v>6.103515625E-5</v>
      </c>
      <c r="AF18" s="2">
        <v>14</v>
      </c>
      <c r="AG18" s="2">
        <f t="shared" si="13"/>
        <v>4121.09375</v>
      </c>
      <c r="AH18" s="2">
        <v>-2.6341516959291766E-2</v>
      </c>
      <c r="AI18" s="2">
        <f t="shared" si="14"/>
        <v>4121.64306640625</v>
      </c>
      <c r="AJ18" s="2">
        <v>0.20116371428184721</v>
      </c>
      <c r="AK18" s="2">
        <f t="shared" si="9"/>
        <v>4121.368408203125</v>
      </c>
      <c r="AL18" s="2">
        <v>8.7410222605740273E-2</v>
      </c>
      <c r="AM18" s="2">
        <f t="shared" si="10"/>
        <v>-2.3025178611845759E-3</v>
      </c>
      <c r="AN18" s="2">
        <f t="shared" si="11"/>
        <v>1.7583765045573799E-2</v>
      </c>
      <c r="AO18" s="2">
        <f t="shared" si="12"/>
        <v>0.54931640625</v>
      </c>
    </row>
    <row r="19" spans="2:41" x14ac:dyDescent="0.2">
      <c r="B19" t="s">
        <v>114</v>
      </c>
      <c r="C19" s="1">
        <v>3</v>
      </c>
      <c r="D19"/>
      <c r="F19" s="9" t="s">
        <v>100</v>
      </c>
      <c r="G19" s="6">
        <f xml:space="preserve"> 1/1000 * (O23 + O18 * (O25 * O28 + $C$8 * SIN(O17/180*PI())))</f>
        <v>105.9672595451611</v>
      </c>
      <c r="H19" s="6" t="s">
        <v>104</v>
      </c>
      <c r="J19" s="14" t="s">
        <v>64</v>
      </c>
      <c r="K19" s="6">
        <f xml:space="preserve"> $C$55 * C31 * $C$5</f>
        <v>46.156767704544009</v>
      </c>
      <c r="L19" s="6" t="s">
        <v>7</v>
      </c>
      <c r="N19" s="6" t="s">
        <v>29</v>
      </c>
      <c r="O19" s="6">
        <f>$C$7*2*PI()/60</f>
        <v>47.123889803846893</v>
      </c>
      <c r="P19" s="6" t="s">
        <v>30</v>
      </c>
      <c r="U19" s="2">
        <v>15</v>
      </c>
      <c r="V19" s="2">
        <f t="shared" si="7"/>
        <v>2.9052734375E-2</v>
      </c>
      <c r="W19" s="2">
        <f t="shared" si="0"/>
        <v>1.5516823938875601E-5</v>
      </c>
      <c r="X19" s="2">
        <f t="shared" si="8"/>
        <v>2.9083251953125E-2</v>
      </c>
      <c r="Y19" s="2">
        <f t="shared" si="1"/>
        <v>-1.5053150156256467E-5</v>
      </c>
      <c r="Z19" s="2">
        <f t="shared" si="3"/>
        <v>2.90679931640625E-2</v>
      </c>
      <c r="AA19" s="2">
        <f t="shared" si="2"/>
        <v>2.3184361558695188E-7</v>
      </c>
      <c r="AB19" s="2">
        <f t="shared" si="4"/>
        <v>3.5974765644150873E-12</v>
      </c>
      <c r="AC19" s="2">
        <f t="shared" si="5"/>
        <v>-3.4899767581997891E-12</v>
      </c>
      <c r="AD19" s="2">
        <f t="shared" si="6"/>
        <v>3.0517578125E-5</v>
      </c>
      <c r="AF19" s="2">
        <v>15</v>
      </c>
      <c r="AG19" s="2">
        <f t="shared" si="13"/>
        <v>4121.09375</v>
      </c>
      <c r="AH19" s="2">
        <v>-2.6341516959291766E-2</v>
      </c>
      <c r="AI19" s="2">
        <f t="shared" si="14"/>
        <v>4121.368408203125</v>
      </c>
      <c r="AJ19" s="2">
        <v>8.7410222605740273E-2</v>
      </c>
      <c r="AK19" s="2">
        <f t="shared" si="9"/>
        <v>4121.2310791015625</v>
      </c>
      <c r="AL19" s="2">
        <v>3.0515599353748257E-2</v>
      </c>
      <c r="AM19" s="2">
        <f t="shared" si="10"/>
        <v>-8.0382717789971255E-4</v>
      </c>
      <c r="AN19" s="2">
        <f t="shared" si="11"/>
        <v>2.667375332458719E-3</v>
      </c>
      <c r="AO19" s="2">
        <f t="shared" si="12"/>
        <v>0.274658203125</v>
      </c>
    </row>
    <row r="20" spans="2:41" x14ac:dyDescent="0.2">
      <c r="B20" s="6" t="s">
        <v>128</v>
      </c>
      <c r="C20" s="6">
        <f>$C$19*$C$10/PI()</f>
        <v>6.1401977044853208E-2</v>
      </c>
      <c r="F20" t="s">
        <v>274</v>
      </c>
      <c r="G20" s="6">
        <f xml:space="preserve"> (G18/$C$50*1000) / ($G$19*1000)</f>
        <v>9.743841877212521</v>
      </c>
      <c r="H20" s="6" t="s">
        <v>275</v>
      </c>
      <c r="J20" s="14" t="s">
        <v>65</v>
      </c>
      <c r="K20" s="6">
        <f xml:space="preserve"> $C$55 * 0</f>
        <v>0</v>
      </c>
      <c r="L20" s="6" t="s">
        <v>7</v>
      </c>
      <c r="N20" s="6" t="s">
        <v>31</v>
      </c>
      <c r="O20" s="6">
        <f xml:space="preserve"> $C$8 * COS(O17/180*PI()) / (O19 * $C$9)</f>
        <v>0.33756538486554294</v>
      </c>
      <c r="U20" s="2">
        <v>16</v>
      </c>
      <c r="V20" s="2">
        <f t="shared" si="7"/>
        <v>2.90679931640625E-2</v>
      </c>
      <c r="W20" s="2">
        <f t="shared" si="0"/>
        <v>2.3184361558695188E-7</v>
      </c>
      <c r="X20" s="2">
        <f t="shared" si="8"/>
        <v>2.9083251953125E-2</v>
      </c>
      <c r="Y20" s="2">
        <f t="shared" si="1"/>
        <v>-1.5053150156256467E-5</v>
      </c>
      <c r="Z20" s="2">
        <f t="shared" si="3"/>
        <v>2.907562255859375E-2</v>
      </c>
      <c r="AA20" s="2">
        <f t="shared" si="2"/>
        <v>-7.4106515892957692E-6</v>
      </c>
      <c r="AB20" s="2">
        <f t="shared" si="4"/>
        <v>-1.7181122583175223E-12</v>
      </c>
      <c r="AC20" s="2">
        <f t="shared" si="5"/>
        <v>1.1155365112936985E-10</v>
      </c>
      <c r="AD20" s="2">
        <f t="shared" si="6"/>
        <v>1.52587890625E-5</v>
      </c>
      <c r="AF20" s="2">
        <v>16</v>
      </c>
      <c r="AG20" s="2">
        <f t="shared" si="13"/>
        <v>4121.09375</v>
      </c>
      <c r="AH20" s="2">
        <v>-2.6341516959291766E-2</v>
      </c>
      <c r="AI20" s="2">
        <f t="shared" si="14"/>
        <v>4121.2310791015625</v>
      </c>
      <c r="AJ20" s="2">
        <v>3.0515599353748257E-2</v>
      </c>
      <c r="AK20" s="2">
        <f t="shared" si="9"/>
        <v>4121.1624145507812</v>
      </c>
      <c r="AL20" s="2">
        <v>2.0869865975328139E-3</v>
      </c>
      <c r="AM20" s="2">
        <f t="shared" si="10"/>
        <v>-5.4974392852725237E-5</v>
      </c>
      <c r="AN20" s="2">
        <f t="shared" si="11"/>
        <v>6.3685646866953608E-5</v>
      </c>
      <c r="AO20" s="2">
        <f t="shared" si="12"/>
        <v>0.1373291015625</v>
      </c>
    </row>
    <row r="21" spans="2:41" x14ac:dyDescent="0.2">
      <c r="B21" s="6" t="s">
        <v>129</v>
      </c>
      <c r="C21" s="17">
        <v>0.75</v>
      </c>
      <c r="F21" s="9" t="s">
        <v>276</v>
      </c>
      <c r="G21" s="6">
        <f>O21/ ($C$19*$C$10/PI())</f>
        <v>7.4828456340014449E-2</v>
      </c>
      <c r="J21" s="14" t="s">
        <v>66</v>
      </c>
      <c r="K21" s="6">
        <f xml:space="preserve"> $C$55 * 0</f>
        <v>0</v>
      </c>
      <c r="L21" s="6" t="s">
        <v>7</v>
      </c>
      <c r="N21" s="6" t="s">
        <v>32</v>
      </c>
      <c r="O21" s="6">
        <f xml:space="preserve"> O18 / ($C$47 * PI() * $C$9^2 * O19^2 * $C$9^2)</f>
        <v>4.5946151584913674E-3</v>
      </c>
      <c r="U21" s="2">
        <v>17</v>
      </c>
      <c r="V21" s="2">
        <f t="shared" si="7"/>
        <v>2.90679931640625E-2</v>
      </c>
      <c r="W21" s="2">
        <f t="shared" si="0"/>
        <v>2.3184361558695188E-7</v>
      </c>
      <c r="X21" s="2">
        <f t="shared" si="8"/>
        <v>2.907562255859375E-2</v>
      </c>
      <c r="Y21" s="2">
        <f t="shared" si="1"/>
        <v>-7.4106515892957692E-6</v>
      </c>
      <c r="Z21" s="2">
        <f t="shared" si="3"/>
        <v>2.9071807861328125E-2</v>
      </c>
      <c r="AA21" s="2">
        <f t="shared" si="2"/>
        <v>-3.5894035665916257E-6</v>
      </c>
      <c r="AB21" s="2">
        <f t="shared" si="4"/>
        <v>-8.3218030067930286E-13</v>
      </c>
      <c r="AC21" s="2">
        <f t="shared" si="5"/>
        <v>2.6599819245386133E-11</v>
      </c>
      <c r="AD21" s="2">
        <f t="shared" si="6"/>
        <v>7.62939453125E-6</v>
      </c>
      <c r="AF21" s="2">
        <v>17</v>
      </c>
      <c r="AG21" s="2">
        <f t="shared" si="13"/>
        <v>4121.09375</v>
      </c>
      <c r="AH21" s="2">
        <v>-2.6341516959291766E-2</v>
      </c>
      <c r="AI21" s="2">
        <f t="shared" si="14"/>
        <v>4121.1624145507812</v>
      </c>
      <c r="AJ21" s="2">
        <v>2.0869865975328139E-3</v>
      </c>
      <c r="AK21" s="2">
        <f t="shared" si="9"/>
        <v>4121.1280822753906</v>
      </c>
      <c r="AL21" s="2">
        <v>-1.2145812825110625E-2</v>
      </c>
      <c r="AM21" s="2">
        <f t="shared" si="10"/>
        <v>3.1993913451703498E-4</v>
      </c>
      <c r="AN21" s="2">
        <f t="shared" si="11"/>
        <v>-2.5348148582148035E-5</v>
      </c>
      <c r="AO21" s="2">
        <f t="shared" si="12"/>
        <v>6.866455078125E-2</v>
      </c>
    </row>
    <row r="22" spans="2:41" x14ac:dyDescent="0.2">
      <c r="B22" s="6" t="s">
        <v>288</v>
      </c>
      <c r="C22" s="17">
        <v>50</v>
      </c>
      <c r="D22" s="6" t="s">
        <v>61</v>
      </c>
      <c r="F22" s="44" t="s">
        <v>225</v>
      </c>
      <c r="G22" s="43">
        <f>$C$18 * G19</f>
        <v>423.8690381806444</v>
      </c>
      <c r="H22" s="43" t="s">
        <v>104</v>
      </c>
      <c r="J22" s="14" t="s">
        <v>117</v>
      </c>
      <c r="K22" s="6">
        <f>$C$55*(0.14*$G$12*1000/745.7)*0.453592</f>
        <v>39.270891252746722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2.90679931640625E-2</v>
      </c>
      <c r="W22" s="2">
        <f t="shared" si="0"/>
        <v>2.3184361558695188E-7</v>
      </c>
      <c r="X22" s="2">
        <f t="shared" si="8"/>
        <v>2.9071807861328125E-2</v>
      </c>
      <c r="Y22" s="2">
        <f t="shared" si="1"/>
        <v>-3.5894035665916257E-6</v>
      </c>
      <c r="Z22" s="2">
        <f t="shared" si="3"/>
        <v>2.9069900512695312E-2</v>
      </c>
      <c r="AA22" s="2">
        <f t="shared" si="2"/>
        <v>-1.6787798704370749E-6</v>
      </c>
      <c r="AB22" s="2">
        <f t="shared" si="4"/>
        <v>-3.8921439493672607E-13</v>
      </c>
      <c r="AC22" s="2">
        <f t="shared" si="5"/>
        <v>6.0258184544690636E-12</v>
      </c>
      <c r="AD22" s="2">
        <f t="shared" si="6"/>
        <v>3.814697265625E-6</v>
      </c>
      <c r="AF22" s="2">
        <v>18</v>
      </c>
      <c r="AG22" s="2">
        <f t="shared" si="13"/>
        <v>4121.1280822753906</v>
      </c>
      <c r="AH22" s="2">
        <v>-1.2145812825110625E-2</v>
      </c>
      <c r="AI22" s="2">
        <f t="shared" si="14"/>
        <v>4121.1624145507812</v>
      </c>
      <c r="AJ22" s="2">
        <v>2.0869865975328139E-3</v>
      </c>
      <c r="AK22" s="2">
        <f t="shared" si="9"/>
        <v>4121.1452484130859</v>
      </c>
      <c r="AL22" s="2">
        <v>-5.0108824930248375E-3</v>
      </c>
      <c r="AM22" s="2">
        <f t="shared" si="10"/>
        <v>6.0861240848903368E-5</v>
      </c>
      <c r="AN22" s="2">
        <f t="shared" si="11"/>
        <v>-1.045764460475465E-5</v>
      </c>
      <c r="AO22" s="2">
        <f t="shared" si="12"/>
        <v>3.4332275390625E-2</v>
      </c>
    </row>
    <row r="23" spans="2:41" x14ac:dyDescent="0.2">
      <c r="J23" s="15" t="s">
        <v>67</v>
      </c>
      <c r="K23" s="6">
        <f xml:space="preserve"> $C$56 * (0.0268 * $C$5)</f>
        <v>88.357241034412809</v>
      </c>
      <c r="L23" s="6" t="s">
        <v>7</v>
      </c>
      <c r="N23" s="6" t="s">
        <v>33</v>
      </c>
      <c r="O23" s="6">
        <f xml:space="preserve"> ($C$20 * O22 / 8) * (1 + 4.65 *O20^ 2) * ( PI() * $C$47 * O19^3 *$C$9^ 5)</f>
        <v>45622.10170971966</v>
      </c>
      <c r="P23" s="6" t="s">
        <v>20</v>
      </c>
      <c r="U23" s="2">
        <v>19</v>
      </c>
      <c r="V23" s="2">
        <f t="shared" si="7"/>
        <v>2.90679931640625E-2</v>
      </c>
      <c r="W23" s="2">
        <f t="shared" si="0"/>
        <v>2.3184361558695188E-7</v>
      </c>
      <c r="X23" s="2">
        <f t="shared" si="8"/>
        <v>2.9069900512695312E-2</v>
      </c>
      <c r="Y23" s="2">
        <f t="shared" si="1"/>
        <v>-1.6787798704370749E-6</v>
      </c>
      <c r="Z23" s="2">
        <f t="shared" si="3"/>
        <v>2.9068946838378906E-2</v>
      </c>
      <c r="AA23" s="2">
        <f t="shared" si="2"/>
        <v>-7.2346810115614391E-7</v>
      </c>
      <c r="AB23" s="2">
        <f t="shared" si="4"/>
        <v>-1.6773146033386704E-13</v>
      </c>
      <c r="AC23" s="2">
        <f t="shared" si="5"/>
        <v>1.2145436851242679E-12</v>
      </c>
      <c r="AD23" s="2">
        <f t="shared" si="6"/>
        <v>1.9073486328125E-6</v>
      </c>
      <c r="AF23" s="2">
        <v>19</v>
      </c>
      <c r="AG23" s="2">
        <f t="shared" si="13"/>
        <v>4121.1452484130859</v>
      </c>
      <c r="AH23" s="2">
        <v>-5.0108824930248375E-3</v>
      </c>
      <c r="AI23" s="2">
        <f t="shared" si="14"/>
        <v>4121.1624145507812</v>
      </c>
      <c r="AJ23" s="2">
        <v>2.0869865975328139E-3</v>
      </c>
      <c r="AK23" s="2">
        <f t="shared" si="9"/>
        <v>4121.1538314819336</v>
      </c>
      <c r="AL23" s="2">
        <v>-1.461948791074974E-3</v>
      </c>
      <c r="AM23" s="2">
        <f t="shared" si="10"/>
        <v>7.3256536028964133E-6</v>
      </c>
      <c r="AN23" s="2">
        <f t="shared" si="11"/>
        <v>-3.0510675332527705E-6</v>
      </c>
      <c r="AO23" s="2">
        <f t="shared" si="12"/>
        <v>1.71661376953125E-2</v>
      </c>
    </row>
    <row r="24" spans="2:41" x14ac:dyDescent="0.2">
      <c r="B24" s="54" t="s">
        <v>107</v>
      </c>
      <c r="C24" s="54"/>
      <c r="D24" s="54"/>
      <c r="F24" s="55" t="s">
        <v>84</v>
      </c>
      <c r="G24" s="58"/>
      <c r="H24" s="58"/>
      <c r="J24" s="15" t="s">
        <v>68</v>
      </c>
      <c r="K24" s="6">
        <f xml:space="preserve"> $C$56 * (11.5 * ($C$5*2.20462/1000)^0.4 * 0.453592)</f>
        <v>10.087734814667412</v>
      </c>
      <c r="L24" s="6" t="s">
        <v>7</v>
      </c>
      <c r="N24" s="6" t="s">
        <v>34</v>
      </c>
      <c r="O24" s="18">
        <f>Z34</f>
        <v>2.9068224597722292E-2</v>
      </c>
      <c r="U24" s="2">
        <v>20</v>
      </c>
      <c r="V24" s="2">
        <f t="shared" si="7"/>
        <v>2.90679931640625E-2</v>
      </c>
      <c r="W24" s="2">
        <f t="shared" si="0"/>
        <v>2.3184361558695188E-7</v>
      </c>
      <c r="X24" s="2">
        <f t="shared" si="8"/>
        <v>2.9068946838378906E-2</v>
      </c>
      <c r="Y24" s="2">
        <f t="shared" si="1"/>
        <v>-7.2346810115614391E-7</v>
      </c>
      <c r="Z24" s="2">
        <f t="shared" si="3"/>
        <v>2.9068470001220703E-2</v>
      </c>
      <c r="AA24" s="2">
        <f t="shared" si="2"/>
        <v>-2.4581223621866766E-7</v>
      </c>
      <c r="AB24" s="2">
        <f t="shared" si="4"/>
        <v>-5.6989997600449795E-14</v>
      </c>
      <c r="AC24" s="2">
        <f t="shared" si="5"/>
        <v>1.7783731177806498E-13</v>
      </c>
      <c r="AD24" s="2">
        <f t="shared" si="6"/>
        <v>9.5367431640625E-7</v>
      </c>
      <c r="AF24" s="2">
        <v>20</v>
      </c>
      <c r="AG24" s="2">
        <f t="shared" si="13"/>
        <v>4121.1538314819336</v>
      </c>
      <c r="AH24" s="2">
        <v>-1.461948791074974E-3</v>
      </c>
      <c r="AI24" s="2">
        <f t="shared" si="14"/>
        <v>4121.1624145507812</v>
      </c>
      <c r="AJ24" s="2">
        <v>2.0869865975328139E-3</v>
      </c>
      <c r="AK24" s="2">
        <f t="shared" si="9"/>
        <v>4121.1581230163574</v>
      </c>
      <c r="AL24" s="2">
        <v>3.3105282136602909E-4</v>
      </c>
      <c r="AM24" s="2">
        <f t="shared" si="10"/>
        <v>-4.8398227197802554E-7</v>
      </c>
      <c r="AN24" s="2">
        <f t="shared" si="11"/>
        <v>6.9090280126632751E-7</v>
      </c>
      <c r="AO24" s="2">
        <f t="shared" si="12"/>
        <v>8.58306884765625E-3</v>
      </c>
    </row>
    <row r="25" spans="2:41" x14ac:dyDescent="0.2">
      <c r="B25" t="s">
        <v>108</v>
      </c>
      <c r="C25" s="1">
        <v>6</v>
      </c>
      <c r="D25"/>
      <c r="F25" t="s">
        <v>88</v>
      </c>
      <c r="G25" s="1">
        <f>300*0.3048/60</f>
        <v>1.524</v>
      </c>
      <c r="H25" t="s">
        <v>10</v>
      </c>
      <c r="J25" s="15" t="s">
        <v>69</v>
      </c>
      <c r="K25" s="6">
        <f xml:space="preserve"> $C$56 * (8 * ($C$5/1000))</f>
        <v>26.375295831168003</v>
      </c>
      <c r="L25" s="6" t="s">
        <v>7</v>
      </c>
      <c r="N25" s="6" t="s">
        <v>35</v>
      </c>
      <c r="O25" s="6">
        <f xml:space="preserve"> O19 * $C$9 * O24 - $C$8 * SIN(O17/180*PI())</f>
        <v>1.3439780497785607</v>
      </c>
      <c r="P25" s="6" t="s">
        <v>10</v>
      </c>
      <c r="U25" s="2">
        <v>21</v>
      </c>
      <c r="V25" s="2">
        <f t="shared" si="7"/>
        <v>2.90679931640625E-2</v>
      </c>
      <c r="W25" s="2">
        <f t="shared" si="0"/>
        <v>2.3184361558695188E-7</v>
      </c>
      <c r="X25" s="2">
        <f t="shared" si="8"/>
        <v>2.9068470001220703E-2</v>
      </c>
      <c r="Y25" s="2">
        <f t="shared" si="1"/>
        <v>-2.4581223621866766E-7</v>
      </c>
      <c r="Z25" s="2">
        <f t="shared" si="3"/>
        <v>2.9068231582641602E-2</v>
      </c>
      <c r="AA25" s="2">
        <f t="shared" si="2"/>
        <v>-6.9843086730747572E-9</v>
      </c>
      <c r="AB25" s="2">
        <f t="shared" si="4"/>
        <v>-1.6192673751409581E-15</v>
      </c>
      <c r="AC25" s="2">
        <f t="shared" si="5"/>
        <v>1.7168285333699414E-15</v>
      </c>
      <c r="AD25" s="2">
        <f t="shared" si="6"/>
        <v>4.76837158203125E-7</v>
      </c>
      <c r="AF25" s="2">
        <v>21</v>
      </c>
      <c r="AG25" s="2">
        <f t="shared" si="13"/>
        <v>4121.1538314819336</v>
      </c>
      <c r="AH25" s="2">
        <v>-1.461948791074974E-3</v>
      </c>
      <c r="AI25" s="2">
        <f t="shared" si="14"/>
        <v>4121.1581230163574</v>
      </c>
      <c r="AJ25" s="2">
        <v>3.3105282136602909E-4</v>
      </c>
      <c r="AK25" s="2">
        <f t="shared" si="9"/>
        <v>4121.1559772491455</v>
      </c>
      <c r="AL25" s="2">
        <v>-5.6544804328950704E-4</v>
      </c>
      <c r="AM25" s="2">
        <f t="shared" si="10"/>
        <v>8.2665608330280443E-7</v>
      </c>
      <c r="AN25" s="2">
        <f t="shared" si="11"/>
        <v>-1.8719317006689187E-7</v>
      </c>
      <c r="AO25" s="2">
        <f t="shared" si="12"/>
        <v>4.291534423828125E-3</v>
      </c>
    </row>
    <row r="26" spans="2:41" x14ac:dyDescent="0.2">
      <c r="B26" t="s">
        <v>109</v>
      </c>
      <c r="C26" s="1">
        <v>6.4008000000000003</v>
      </c>
      <c r="D26" t="s">
        <v>8</v>
      </c>
      <c r="F26" t="s">
        <v>94</v>
      </c>
      <c r="G26" s="1">
        <f>1000*0.3048</f>
        <v>304.8</v>
      </c>
      <c r="H26" t="s">
        <v>8</v>
      </c>
      <c r="J26" s="15" t="s">
        <v>70</v>
      </c>
      <c r="K26" s="6">
        <f xml:space="preserve"> $C$56 * (13 * ($C$5*2.20462/1000)^1.3 * 0.453592)</f>
        <v>83.091225924906624</v>
      </c>
      <c r="L26" s="6" t="s">
        <v>7</v>
      </c>
      <c r="N26" s="6" t="s">
        <v>36</v>
      </c>
      <c r="O26" s="6">
        <f xml:space="preserve"> 1/$C$21 - O23 * SQRT( (2*$C$47*PI()*$C$9^2) / O18^3 )</f>
        <v>0.85878768726318588</v>
      </c>
      <c r="U26" s="2">
        <v>22</v>
      </c>
      <c r="V26" s="2">
        <f t="shared" si="7"/>
        <v>2.90679931640625E-2</v>
      </c>
      <c r="W26" s="2">
        <f t="shared" si="0"/>
        <v>2.3184361558695188E-7</v>
      </c>
      <c r="X26" s="2">
        <f t="shared" si="8"/>
        <v>2.9068231582641602E-2</v>
      </c>
      <c r="Y26" s="2">
        <f t="shared" si="1"/>
        <v>-6.9843086730747572E-9</v>
      </c>
      <c r="Z26" s="2">
        <f t="shared" si="3"/>
        <v>2.9068112373352051E-2</v>
      </c>
      <c r="AA26" s="2">
        <f t="shared" si="2"/>
        <v>1.1242965386459858E-7</v>
      </c>
      <c r="AB26" s="2">
        <f t="shared" si="4"/>
        <v>2.6066097451158051E-14</v>
      </c>
      <c r="AC26" s="2">
        <f t="shared" si="5"/>
        <v>-7.8524340659730873E-16</v>
      </c>
      <c r="AD26" s="2">
        <f t="shared" si="6"/>
        <v>2.384185791015625E-7</v>
      </c>
      <c r="AF26" s="2">
        <v>22</v>
      </c>
      <c r="AG26" s="2">
        <f t="shared" si="13"/>
        <v>4121.1559772491455</v>
      </c>
      <c r="AH26" s="2">
        <v>-5.6544804328950704E-4</v>
      </c>
      <c r="AI26" s="2">
        <f t="shared" si="14"/>
        <v>4121.1581230163574</v>
      </c>
      <c r="AJ26" s="2">
        <v>3.3105282136602909E-4</v>
      </c>
      <c r="AK26" s="2">
        <f t="shared" si="9"/>
        <v>4121.1570501327515</v>
      </c>
      <c r="AL26" s="2">
        <v>-1.3573174737757654E-4</v>
      </c>
      <c r="AM26" s="2">
        <f t="shared" si="10"/>
        <v>7.6749250966916328E-8</v>
      </c>
      <c r="AN26" s="2">
        <f t="shared" si="11"/>
        <v>-4.4934377918287835E-8</v>
      </c>
      <c r="AO26" s="2">
        <f t="shared" si="12"/>
        <v>2.1457672119140625E-3</v>
      </c>
    </row>
    <row r="27" spans="2:41" x14ac:dyDescent="0.2">
      <c r="B27" t="s">
        <v>110</v>
      </c>
      <c r="C27" s="1">
        <v>2.0560284000000002</v>
      </c>
      <c r="D27" t="s">
        <v>8</v>
      </c>
      <c r="F27" t="s">
        <v>93</v>
      </c>
      <c r="G27" s="8">
        <f>$G$26/$G$25</f>
        <v>200</v>
      </c>
      <c r="H27" t="s">
        <v>14</v>
      </c>
      <c r="J27" s="10" t="s">
        <v>57</v>
      </c>
      <c r="K27" s="10">
        <f>$C$5 - $C$13 - SUM(K13:K26)</f>
        <v>-7.203894822850998E-3</v>
      </c>
      <c r="L27" s="10" t="s">
        <v>7</v>
      </c>
      <c r="N27" s="6" t="s">
        <v>37</v>
      </c>
      <c r="O27" s="17">
        <v>1.1499999999999999</v>
      </c>
      <c r="U27" s="2">
        <v>23</v>
      </c>
      <c r="V27" s="2">
        <f t="shared" si="7"/>
        <v>2.9068112373352051E-2</v>
      </c>
      <c r="W27" s="2">
        <f t="shared" si="0"/>
        <v>1.1242965386459858E-7</v>
      </c>
      <c r="X27" s="2">
        <f t="shared" si="8"/>
        <v>2.9068231582641602E-2</v>
      </c>
      <c r="Y27" s="2">
        <f t="shared" si="1"/>
        <v>-6.9843086730747572E-9</v>
      </c>
      <c r="Z27" s="2">
        <f t="shared" si="3"/>
        <v>2.9068171977996826E-2</v>
      </c>
      <c r="AA27" s="2">
        <f t="shared" si="2"/>
        <v>5.2722672699845319E-8</v>
      </c>
      <c r="AB27" s="2">
        <f t="shared" si="4"/>
        <v>5.92759184246013E-15</v>
      </c>
      <c r="AC27" s="2">
        <f t="shared" si="5"/>
        <v>-3.6823142020521138E-16</v>
      </c>
      <c r="AD27" s="2">
        <f t="shared" si="6"/>
        <v>1.1920928955078125E-7</v>
      </c>
      <c r="AF27" s="2">
        <v>23</v>
      </c>
      <c r="AG27" s="2">
        <f t="shared" si="13"/>
        <v>4121.1570501327515</v>
      </c>
      <c r="AH27" s="2">
        <v>-1.3573174737757654E-4</v>
      </c>
      <c r="AI27" s="2">
        <f t="shared" si="14"/>
        <v>4121.1581230163574</v>
      </c>
      <c r="AJ27" s="2">
        <v>3.3105282136602909E-4</v>
      </c>
      <c r="AK27" s="2">
        <f t="shared" si="9"/>
        <v>4121.1575865745544</v>
      </c>
      <c r="AL27" s="2">
        <v>7.9126406035356922E-5</v>
      </c>
      <c r="AM27" s="2">
        <f t="shared" si="10"/>
        <v>-1.0739965354886613E-8</v>
      </c>
      <c r="AN27" s="2">
        <f t="shared" si="11"/>
        <v>2.6195019962558901E-8</v>
      </c>
      <c r="AO27" s="2">
        <f t="shared" si="12"/>
        <v>1.0728836059570312E-3</v>
      </c>
    </row>
    <row r="28" spans="2:41" x14ac:dyDescent="0.2">
      <c r="F28" t="s">
        <v>21</v>
      </c>
      <c r="G28" s="6">
        <f xml:space="preserve"> $C$5 * $C$44 / $C$18</f>
        <v>10098.329288521969</v>
      </c>
      <c r="H28" t="s">
        <v>22</v>
      </c>
      <c r="J28" s="6" t="s">
        <v>58</v>
      </c>
      <c r="K28" s="4" t="str">
        <f>IF(ABS(K27)&lt;1, "TRUE", "FALSE")</f>
        <v>TRUE</v>
      </c>
      <c r="N28" s="6" t="s">
        <v>38</v>
      </c>
      <c r="O28" s="6">
        <f xml:space="preserve"> 1/$C$53 * LN( EXP($C$53 * O26) + EXP($C$53 * O27) )</f>
        <v>1.1500053541045994</v>
      </c>
      <c r="U28" s="2">
        <v>24</v>
      </c>
      <c r="V28" s="2">
        <f t="shared" si="7"/>
        <v>2.9068171977996826E-2</v>
      </c>
      <c r="W28" s="2">
        <f t="shared" si="0"/>
        <v>5.2722672699845319E-8</v>
      </c>
      <c r="X28" s="2">
        <f t="shared" si="8"/>
        <v>2.9068231582641602E-2</v>
      </c>
      <c r="Y28" s="2">
        <f t="shared" si="1"/>
        <v>-6.9843086730747572E-9</v>
      </c>
      <c r="Z28" s="2">
        <f t="shared" si="3"/>
        <v>2.9068201780319214E-2</v>
      </c>
      <c r="AA28" s="2">
        <f t="shared" si="2"/>
        <v>2.2869182037671409E-8</v>
      </c>
      <c r="AB28" s="2">
        <f t="shared" si="4"/>
        <v>1.2057243994853314E-15</v>
      </c>
      <c r="AC28" s="2">
        <f t="shared" si="5"/>
        <v>-1.5972542645183388E-16</v>
      </c>
      <c r="AD28" s="2">
        <f t="shared" si="6"/>
        <v>5.9604644775390625E-8</v>
      </c>
      <c r="AF28" s="2">
        <v>24</v>
      </c>
      <c r="AG28" s="2">
        <f t="shared" si="13"/>
        <v>4121.1570501327515</v>
      </c>
      <c r="AH28" s="2">
        <v>-1.3573174737757654E-4</v>
      </c>
      <c r="AI28" s="2">
        <f t="shared" si="14"/>
        <v>4121.1575865745544</v>
      </c>
      <c r="AJ28" s="2">
        <v>7.9126406035356922E-5</v>
      </c>
      <c r="AK28" s="2">
        <f t="shared" si="9"/>
        <v>4121.157318353653</v>
      </c>
      <c r="AL28" s="2">
        <v>-9.7685456239560153E-6</v>
      </c>
      <c r="AM28" s="2">
        <f t="shared" si="10"/>
        <v>1.3259017668771287E-9</v>
      </c>
      <c r="AN28" s="2">
        <f t="shared" si="11"/>
        <v>-7.729499074160527E-10</v>
      </c>
      <c r="AO28" s="2">
        <f t="shared" si="12"/>
        <v>5.3644180297851562E-4</v>
      </c>
    </row>
    <row r="29" spans="2:41" x14ac:dyDescent="0.2">
      <c r="B29" s="54" t="s">
        <v>111</v>
      </c>
      <c r="C29" s="54"/>
      <c r="D29" s="54"/>
      <c r="F29" t="s">
        <v>100</v>
      </c>
      <c r="G29" s="6">
        <f>G31/$C$18</f>
        <v>125.8529151953807</v>
      </c>
      <c r="H29" t="s">
        <v>20</v>
      </c>
      <c r="U29" s="2">
        <v>25</v>
      </c>
      <c r="V29" s="2">
        <f t="shared" si="7"/>
        <v>2.9068201780319214E-2</v>
      </c>
      <c r="W29" s="2">
        <f t="shared" si="0"/>
        <v>2.2869182037671409E-8</v>
      </c>
      <c r="X29" s="2">
        <f t="shared" si="8"/>
        <v>2.9068231582641602E-2</v>
      </c>
      <c r="Y29" s="2">
        <f t="shared" si="1"/>
        <v>-6.9843086730747572E-9</v>
      </c>
      <c r="Z29" s="2">
        <f t="shared" si="3"/>
        <v>2.9068216681480408E-2</v>
      </c>
      <c r="AA29" s="2">
        <f t="shared" si="2"/>
        <v>7.9424366875024965E-9</v>
      </c>
      <c r="AB29" s="2">
        <f t="shared" si="4"/>
        <v>1.816370304291745E-16</v>
      </c>
      <c r="AC29" s="2">
        <f t="shared" si="5"/>
        <v>-5.5472429441870832E-17</v>
      </c>
      <c r="AD29" s="2">
        <f t="shared" si="6"/>
        <v>2.9802322387695312E-8</v>
      </c>
      <c r="AF29" s="2">
        <v>25</v>
      </c>
      <c r="AG29" s="2">
        <f t="shared" si="13"/>
        <v>4121.157318353653</v>
      </c>
      <c r="AH29" s="2">
        <v>-9.7685456239560153E-6</v>
      </c>
      <c r="AI29" s="2">
        <f t="shared" si="14"/>
        <v>4121.1575865745544</v>
      </c>
      <c r="AJ29" s="2">
        <v>7.9126406035356922E-5</v>
      </c>
      <c r="AK29" s="2">
        <f t="shared" si="9"/>
        <v>4121.1574524641037</v>
      </c>
      <c r="AL29" s="2">
        <v>3.4678929750953102E-5</v>
      </c>
      <c r="AM29" s="2">
        <f t="shared" si="10"/>
        <v>-3.38762707462151E-10</v>
      </c>
      <c r="AN29" s="2">
        <f t="shared" si="11"/>
        <v>2.7440190763455345E-9</v>
      </c>
      <c r="AO29" s="2">
        <f t="shared" si="12"/>
        <v>2.6822090148925781E-4</v>
      </c>
    </row>
    <row r="30" spans="2:41" x14ac:dyDescent="0.2">
      <c r="B30" s="6" t="s">
        <v>124</v>
      </c>
      <c r="C30" s="21" t="s">
        <v>260</v>
      </c>
      <c r="F30" t="s">
        <v>274</v>
      </c>
      <c r="G30" s="6">
        <f xml:space="preserve"> (G28/$C$44*1000) / (G29*1000)</f>
        <v>8.1864213618375974</v>
      </c>
      <c r="H30" s="6" t="s">
        <v>275</v>
      </c>
      <c r="J30" s="59" t="s">
        <v>116</v>
      </c>
      <c r="K30" s="59"/>
      <c r="L30" s="59"/>
      <c r="U30" s="2">
        <v>26</v>
      </c>
      <c r="V30" s="2">
        <f t="shared" si="7"/>
        <v>2.9068216681480408E-2</v>
      </c>
      <c r="W30" s="2">
        <f t="shared" si="0"/>
        <v>7.9424366875024965E-9</v>
      </c>
      <c r="X30" s="2">
        <f t="shared" si="8"/>
        <v>2.9068231582641602E-2</v>
      </c>
      <c r="Y30" s="2">
        <f t="shared" si="1"/>
        <v>-6.9843086730747572E-9</v>
      </c>
      <c r="Z30" s="2">
        <f t="shared" si="3"/>
        <v>2.9068224132061005E-2</v>
      </c>
      <c r="AA30" s="2">
        <f t="shared" si="2"/>
        <v>4.7906401068331661E-10</v>
      </c>
      <c r="AB30" s="2">
        <f t="shared" si="4"/>
        <v>3.8049355741132618E-18</v>
      </c>
      <c r="AC30" s="2">
        <f t="shared" si="5"/>
        <v>-3.3459309247734664E-18</v>
      </c>
      <c r="AD30" s="2">
        <f t="shared" si="6"/>
        <v>1.4901161193847656E-8</v>
      </c>
      <c r="AF30" s="2">
        <v>26</v>
      </c>
      <c r="AG30" s="2">
        <f t="shared" si="13"/>
        <v>4121.157318353653</v>
      </c>
      <c r="AH30" s="2">
        <v>-9.7685456239560153E-6</v>
      </c>
      <c r="AI30" s="2">
        <f t="shared" si="14"/>
        <v>4121.1574524641037</v>
      </c>
      <c r="AJ30" s="2">
        <v>3.4678929750953102E-5</v>
      </c>
      <c r="AK30" s="2">
        <f t="shared" si="9"/>
        <v>4121.1573854088783</v>
      </c>
      <c r="AL30" s="2">
        <v>1.2455192518245894E-5</v>
      </c>
      <c r="AM30" s="2">
        <f t="shared" si="10"/>
        <v>-1.2166911636964064E-10</v>
      </c>
      <c r="AN30" s="2">
        <f t="shared" si="11"/>
        <v>4.3193274637484604E-10</v>
      </c>
      <c r="AO30" s="2">
        <f t="shared" si="12"/>
        <v>1.3411045074462891E-4</v>
      </c>
    </row>
    <row r="31" spans="2:41" x14ac:dyDescent="0.2">
      <c r="B31" s="6" t="s">
        <v>126</v>
      </c>
      <c r="C31" s="6">
        <f>IF(C30="wheeled",0.0325,0.014)</f>
        <v>1.4E-2</v>
      </c>
      <c r="F31" s="42" t="s">
        <v>86</v>
      </c>
      <c r="G31" s="43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503.41166078152281</v>
      </c>
      <c r="H31" s="42" t="s">
        <v>104</v>
      </c>
      <c r="J31" s="6" t="s">
        <v>60</v>
      </c>
      <c r="K31" s="6">
        <f>ROUND($C$13,2)</f>
        <v>600</v>
      </c>
      <c r="L31" s="6" t="s">
        <v>7</v>
      </c>
      <c r="U31" s="2">
        <v>27</v>
      </c>
      <c r="V31" s="2">
        <f t="shared" si="7"/>
        <v>2.9068224132061005E-2</v>
      </c>
      <c r="W31" s="2">
        <f t="shared" si="0"/>
        <v>4.7906401068331661E-10</v>
      </c>
      <c r="X31" s="2">
        <f t="shared" si="8"/>
        <v>2.9068231582641602E-2</v>
      </c>
      <c r="Y31" s="2">
        <f t="shared" si="1"/>
        <v>-6.9843086730747572E-9</v>
      </c>
      <c r="Z31" s="2">
        <f t="shared" si="3"/>
        <v>2.9068227857351303E-2</v>
      </c>
      <c r="AA31" s="2">
        <f t="shared" si="2"/>
        <v>-3.2526223311957203E-9</v>
      </c>
      <c r="AB31" s="2">
        <f t="shared" si="4"/>
        <v>-1.5582142992207407E-18</v>
      </c>
      <c r="AC31" s="2">
        <f t="shared" si="5"/>
        <v>2.2717318358006904E-17</v>
      </c>
      <c r="AD31" s="2">
        <f t="shared" si="6"/>
        <v>7.4505805969238281E-9</v>
      </c>
      <c r="AF31" s="2">
        <v>27</v>
      </c>
      <c r="AG31" s="2">
        <f t="shared" si="13"/>
        <v>4121.157318353653</v>
      </c>
      <c r="AH31" s="2">
        <v>-9.7685456239560153E-6</v>
      </c>
      <c r="AI31" s="2">
        <f t="shared" si="14"/>
        <v>4121.1573854088783</v>
      </c>
      <c r="AJ31" s="2">
        <v>1.2455192518245894E-5</v>
      </c>
      <c r="AK31" s="2">
        <f t="shared" si="9"/>
        <v>4121.1573518812656</v>
      </c>
      <c r="AL31" s="2">
        <v>1.3433214007818606E-6</v>
      </c>
      <c r="AM31" s="2">
        <f t="shared" si="10"/>
        <v>-1.3122296391174109E-11</v>
      </c>
      <c r="AN31" s="2">
        <f t="shared" si="11"/>
        <v>1.6731326660617824E-11</v>
      </c>
      <c r="AO31" s="2">
        <f t="shared" si="12"/>
        <v>6.7055225372314453E-5</v>
      </c>
    </row>
    <row r="32" spans="2:41" x14ac:dyDescent="0.2">
      <c r="B32" t="s">
        <v>261</v>
      </c>
      <c r="C32" s="1">
        <v>2.8540374719999999</v>
      </c>
      <c r="D32" t="s">
        <v>8</v>
      </c>
      <c r="J32" s="11" t="s">
        <v>55</v>
      </c>
      <c r="K32" s="6">
        <f>ROUND(K13,2)</f>
        <v>2106</v>
      </c>
      <c r="L32" s="6" t="s">
        <v>7</v>
      </c>
      <c r="U32" s="2">
        <v>28</v>
      </c>
      <c r="V32" s="2">
        <f t="shared" si="7"/>
        <v>2.9068224132061005E-2</v>
      </c>
      <c r="W32" s="2">
        <f t="shared" si="0"/>
        <v>4.7906401068331661E-10</v>
      </c>
      <c r="X32" s="2">
        <f t="shared" si="8"/>
        <v>2.9068227857351303E-2</v>
      </c>
      <c r="Y32" s="2">
        <f t="shared" si="1"/>
        <v>-3.2526223311957203E-9</v>
      </c>
      <c r="Z32" s="2">
        <f t="shared" si="3"/>
        <v>2.9068225994706154E-2</v>
      </c>
      <c r="AA32" s="2">
        <f t="shared" si="2"/>
        <v>-1.3867791637256488E-9</v>
      </c>
      <c r="AB32" s="2">
        <f t="shared" si="4"/>
        <v>-6.6435598810646509E-19</v>
      </c>
      <c r="AC32" s="2">
        <f t="shared" si="5"/>
        <v>4.5106688763709715E-18</v>
      </c>
      <c r="AD32" s="2">
        <f t="shared" si="6"/>
        <v>3.7252902984619141E-9</v>
      </c>
      <c r="AF32" s="2">
        <v>28</v>
      </c>
      <c r="AG32" s="2">
        <f t="shared" si="13"/>
        <v>4121.157318353653</v>
      </c>
      <c r="AH32" s="2">
        <v>-9.7685456239560153E-6</v>
      </c>
      <c r="AI32" s="2">
        <f t="shared" si="14"/>
        <v>4121.1573518812656</v>
      </c>
      <c r="AJ32" s="2">
        <v>1.3433214007818606E-6</v>
      </c>
      <c r="AK32" s="2">
        <f t="shared" si="9"/>
        <v>4121.1573351174593</v>
      </c>
      <c r="AL32" s="2">
        <v>-4.2126162043132354E-6</v>
      </c>
      <c r="AM32" s="2">
        <f t="shared" si="10"/>
        <v>4.1151133588050255E-11</v>
      </c>
      <c r="AN32" s="2">
        <f t="shared" si="11"/>
        <v>-5.6588975005344199E-12</v>
      </c>
      <c r="AO32" s="2">
        <f t="shared" si="12"/>
        <v>3.3527612686157227E-5</v>
      </c>
    </row>
    <row r="33" spans="2:41" x14ac:dyDescent="0.2">
      <c r="B33" t="s">
        <v>262</v>
      </c>
      <c r="C33" s="1">
        <f>(0.750222528+0.849998808)/2</f>
        <v>0.80011066800000008</v>
      </c>
      <c r="D33"/>
      <c r="F33" s="55" t="s">
        <v>289</v>
      </c>
      <c r="G33" s="58"/>
      <c r="H33" s="58"/>
      <c r="J33" s="19" t="s">
        <v>81</v>
      </c>
      <c r="K33" s="6">
        <f>ROUND(SUM(K14:K17),2)</f>
        <v>977.54</v>
      </c>
      <c r="L33" s="6" t="s">
        <v>7</v>
      </c>
      <c r="U33" s="2">
        <v>29</v>
      </c>
      <c r="V33" s="2">
        <f t="shared" si="7"/>
        <v>2.9068224132061005E-2</v>
      </c>
      <c r="W33" s="2">
        <f t="shared" si="0"/>
        <v>4.7906401068331661E-10</v>
      </c>
      <c r="X33" s="2">
        <f t="shared" si="8"/>
        <v>2.9068225994706154E-2</v>
      </c>
      <c r="Y33" s="2">
        <f t="shared" si="1"/>
        <v>-1.3867791637256488E-9</v>
      </c>
      <c r="Z33" s="2">
        <f t="shared" si="3"/>
        <v>2.9068225063383579E-2</v>
      </c>
      <c r="AA33" s="2">
        <f t="shared" si="2"/>
        <v>-4.538575765211661E-10</v>
      </c>
      <c r="AB33" s="2">
        <f t="shared" si="4"/>
        <v>-2.174268308872401E-19</v>
      </c>
      <c r="AC33" s="2">
        <f t="shared" si="5"/>
        <v>6.2940023041857237E-19</v>
      </c>
      <c r="AD33" s="2">
        <f t="shared" si="6"/>
        <v>1.862645149230957E-9</v>
      </c>
      <c r="AF33" s="2">
        <v>29</v>
      </c>
      <c r="AG33" s="2">
        <f t="shared" si="13"/>
        <v>4121.1573351174593</v>
      </c>
      <c r="AH33" s="2">
        <v>-4.2126162043132354E-6</v>
      </c>
      <c r="AI33" s="2">
        <f t="shared" si="14"/>
        <v>4121.1573518812656</v>
      </c>
      <c r="AJ33" s="2">
        <v>1.3433214007818606E-6</v>
      </c>
      <c r="AK33" s="2">
        <f t="shared" si="9"/>
        <v>4121.1573434993625</v>
      </c>
      <c r="AL33" s="2">
        <v>-1.4346483112603892E-6</v>
      </c>
      <c r="AM33" s="2">
        <f t="shared" si="10"/>
        <v>6.0436227235061336E-12</v>
      </c>
      <c r="AN33" s="2">
        <f t="shared" si="11"/>
        <v>-1.9271937791116367E-12</v>
      </c>
      <c r="AO33" s="2">
        <f t="shared" si="12"/>
        <v>1.6763806343078613E-5</v>
      </c>
    </row>
    <row r="34" spans="2:41" x14ac:dyDescent="0.2">
      <c r="F34" s="9" t="s">
        <v>290</v>
      </c>
      <c r="G34" s="17">
        <f>20*60</f>
        <v>1200</v>
      </c>
      <c r="H34" s="6" t="s">
        <v>14</v>
      </c>
      <c r="J34" s="20" t="s">
        <v>72</v>
      </c>
      <c r="K34" s="6">
        <f>ROUND(SUM(K18:K22),2)</f>
        <v>229.7</v>
      </c>
      <c r="L34" s="6" t="s">
        <v>7</v>
      </c>
      <c r="U34" s="2">
        <v>30</v>
      </c>
      <c r="V34" s="2">
        <f t="shared" si="7"/>
        <v>2.9068224132061005E-2</v>
      </c>
      <c r="W34" s="2">
        <f t="shared" si="0"/>
        <v>4.7906401068331661E-10</v>
      </c>
      <c r="X34" s="2">
        <f t="shared" si="8"/>
        <v>2.9068225063383579E-2</v>
      </c>
      <c r="Y34" s="2">
        <f t="shared" si="1"/>
        <v>-4.538575765211661E-10</v>
      </c>
      <c r="Z34" s="2">
        <f t="shared" si="3"/>
        <v>2.9068224597722292E-2</v>
      </c>
      <c r="AA34" s="2">
        <f t="shared" si="2"/>
        <v>1.2603217081075258E-11</v>
      </c>
      <c r="AB34" s="2">
        <f t="shared" si="4"/>
        <v>6.0377477223723955E-21</v>
      </c>
      <c r="AC34" s="2">
        <f t="shared" si="5"/>
        <v>-5.7200655607869813E-21</v>
      </c>
      <c r="AD34" s="2">
        <f>X34-V34</f>
        <v>9.3132257461547852E-10</v>
      </c>
      <c r="AF34" s="2">
        <v>30</v>
      </c>
      <c r="AG34" s="2">
        <f t="shared" si="13"/>
        <v>4121.1573434993625</v>
      </c>
      <c r="AH34" s="2">
        <v>-1.4346483112603892E-6</v>
      </c>
      <c r="AI34" s="2">
        <f t="shared" si="14"/>
        <v>4121.1573518812656</v>
      </c>
      <c r="AJ34" s="2">
        <v>1.3433214007818606E-6</v>
      </c>
      <c r="AK34" s="2">
        <f t="shared" si="9"/>
        <v>4121.1573476903141</v>
      </c>
      <c r="AL34" s="2">
        <v>-4.5661636249860749E-8</v>
      </c>
      <c r="AM34" s="2">
        <f t="shared" si="10"/>
        <v>6.5508389335248892E-14</v>
      </c>
      <c r="AN34" s="2">
        <f t="shared" si="11"/>
        <v>-6.1338253169154724E-14</v>
      </c>
      <c r="AO34" s="2">
        <f t="shared" si="12"/>
        <v>8.3819031715393066E-6</v>
      </c>
    </row>
    <row r="35" spans="2:41" x14ac:dyDescent="0.2">
      <c r="B35" s="59" t="s">
        <v>2</v>
      </c>
      <c r="C35" s="59"/>
      <c r="D35" s="59"/>
      <c r="F35" s="44" t="s">
        <v>225</v>
      </c>
      <c r="G35" s="43">
        <f xml:space="preserve"> G22</f>
        <v>423.8690381806444</v>
      </c>
      <c r="H35" s="43" t="s">
        <v>104</v>
      </c>
      <c r="J35" s="15" t="s">
        <v>73</v>
      </c>
      <c r="K35" s="6">
        <f>ROUND(SUM(K23:K26),2)</f>
        <v>207.91</v>
      </c>
      <c r="L35" s="6" t="s">
        <v>7</v>
      </c>
      <c r="AF35" s="2">
        <v>31</v>
      </c>
      <c r="AG35" s="2">
        <f t="shared" si="13"/>
        <v>4121.1573476903141</v>
      </c>
      <c r="AH35" s="2">
        <v>-4.5661636249860749E-8</v>
      </c>
      <c r="AI35" s="2">
        <f t="shared" si="14"/>
        <v>4121.1573518812656</v>
      </c>
      <c r="AJ35" s="2">
        <v>1.3433214007818606E-6</v>
      </c>
      <c r="AK35" s="2">
        <f t="shared" si="9"/>
        <v>4121.1573497857898</v>
      </c>
      <c r="AL35" s="2">
        <v>6.4882942751864903E-7</v>
      </c>
      <c r="AM35" s="2">
        <f t="shared" si="10"/>
        <v>-2.9626613307561942E-14</v>
      </c>
      <c r="AN35" s="2">
        <f t="shared" si="11"/>
        <v>8.7158645544284429E-13</v>
      </c>
      <c r="AO35" s="2">
        <f t="shared" si="12"/>
        <v>4.1909515857696533E-6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62</v>
      </c>
      <c r="K36" s="10">
        <f>SUM(K31:K35)</f>
        <v>4121.1499999999996</v>
      </c>
      <c r="L36" s="6" t="s">
        <v>7</v>
      </c>
      <c r="AF36" s="2">
        <v>32</v>
      </c>
      <c r="AG36" s="2">
        <f t="shared" si="13"/>
        <v>4121.1573476903141</v>
      </c>
      <c r="AH36" s="2">
        <v>-4.5661636249860749E-8</v>
      </c>
      <c r="AI36" s="2">
        <f t="shared" si="14"/>
        <v>4121.1573497857898</v>
      </c>
      <c r="AJ36" s="2">
        <v>6.4882942751864903E-7</v>
      </c>
      <c r="AK36" s="2">
        <f t="shared" si="9"/>
        <v>4121.157348738052</v>
      </c>
      <c r="AL36" s="2">
        <v>3.0158116715028882E-7</v>
      </c>
      <c r="AM36" s="2">
        <f t="shared" si="10"/>
        <v>-1.3770689554224942E-14</v>
      </c>
      <c r="AN36" s="2">
        <f t="shared" si="11"/>
        <v>1.956747360325279E-13</v>
      </c>
      <c r="AO36" s="2">
        <f t="shared" si="12"/>
        <v>2.0954757928848267E-6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4121.1573476903141</v>
      </c>
      <c r="AH37" s="2">
        <v>-4.5661636249860749E-8</v>
      </c>
      <c r="AI37" s="2">
        <f t="shared" si="14"/>
        <v>4121.157348738052</v>
      </c>
      <c r="AJ37" s="2">
        <v>3.0158116715028882E-7</v>
      </c>
      <c r="AK37" s="2">
        <f t="shared" si="9"/>
        <v>4121.157348214183</v>
      </c>
      <c r="AL37" s="2">
        <v>1.2795680959243327E-7</v>
      </c>
      <c r="AM37" s="2">
        <f t="shared" si="10"/>
        <v>-5.8427172953023807E-15</v>
      </c>
      <c r="AN37" s="2">
        <f t="shared" si="11"/>
        <v>3.8589363981713299E-14</v>
      </c>
      <c r="AO37" s="2">
        <f t="shared" si="12"/>
        <v>1.0477378964424133E-6</v>
      </c>
    </row>
    <row r="38" spans="2:41" x14ac:dyDescent="0.2">
      <c r="B38" s="6" t="s">
        <v>6</v>
      </c>
      <c r="C38" s="17">
        <v>0.8</v>
      </c>
      <c r="J38" s="59" t="s">
        <v>59</v>
      </c>
      <c r="K38" s="59"/>
      <c r="L38" s="59"/>
      <c r="AF38" s="2">
        <v>34</v>
      </c>
      <c r="AG38" s="2">
        <f t="shared" si="13"/>
        <v>4121.1573476903141</v>
      </c>
      <c r="AH38" s="2">
        <v>-4.5661636249860749E-8</v>
      </c>
      <c r="AI38" s="2">
        <f t="shared" si="14"/>
        <v>4121.157348214183</v>
      </c>
      <c r="AJ38" s="2">
        <v>1.2795680959243327E-7</v>
      </c>
      <c r="AK38" s="2">
        <f t="shared" si="9"/>
        <v>4121.1573479522485</v>
      </c>
      <c r="AL38" s="2">
        <v>4.1146449802909046E-8</v>
      </c>
      <c r="AM38" s="2">
        <f t="shared" si="10"/>
        <v>-1.8788142238735874E-15</v>
      </c>
      <c r="AN38" s="2">
        <f t="shared" si="11"/>
        <v>5.2649684428354465E-15</v>
      </c>
      <c r="AO38" s="2">
        <f t="shared" si="12"/>
        <v>5.2386894822120667E-7</v>
      </c>
    </row>
    <row r="39" spans="2:41" x14ac:dyDescent="0.2">
      <c r="J39" s="6" t="s">
        <v>60</v>
      </c>
      <c r="K39" s="6">
        <f>ROUND($C$13/$C$5 * 100, 2)</f>
        <v>14.56</v>
      </c>
      <c r="L39" s="6" t="s">
        <v>61</v>
      </c>
      <c r="AF39" s="2">
        <v>35</v>
      </c>
      <c r="AG39" s="2">
        <f t="shared" si="13"/>
        <v>4121.1573476903141</v>
      </c>
      <c r="AH39" s="2">
        <v>-4.5661636249860749E-8</v>
      </c>
      <c r="AI39" s="2">
        <f t="shared" si="14"/>
        <v>4121.1573479522485</v>
      </c>
      <c r="AJ39" s="2">
        <v>4.1146449802909046E-8</v>
      </c>
      <c r="AK39" s="2">
        <f t="shared" si="9"/>
        <v>4121.1573478212813</v>
      </c>
      <c r="AL39" s="2">
        <v>-2.2541826183442026E-9</v>
      </c>
      <c r="AM39" s="2">
        <f t="shared" si="10"/>
        <v>1.0292966675959166E-16</v>
      </c>
      <c r="AN39" s="2">
        <f t="shared" si="11"/>
        <v>-9.2751611952289815E-17</v>
      </c>
      <c r="AO39" s="2">
        <f t="shared" si="12"/>
        <v>2.6193447411060333E-7</v>
      </c>
    </row>
    <row r="40" spans="2:41" x14ac:dyDescent="0.2">
      <c r="B40" s="59" t="s">
        <v>272</v>
      </c>
      <c r="C40" s="60"/>
      <c r="D40" s="60"/>
      <c r="J40" s="11" t="s">
        <v>55</v>
      </c>
      <c r="K40" s="6">
        <f>ROUND(K13/$C$5 * 100, 2)</f>
        <v>51.1</v>
      </c>
      <c r="L40" s="6" t="s">
        <v>61</v>
      </c>
      <c r="AF40" s="2">
        <v>36</v>
      </c>
      <c r="AG40" s="2">
        <f t="shared" si="13"/>
        <v>4121.1573478212813</v>
      </c>
      <c r="AH40" s="2">
        <v>-2.2541826183442026E-9</v>
      </c>
      <c r="AI40" s="2">
        <f t="shared" si="14"/>
        <v>4121.1573479522485</v>
      </c>
      <c r="AJ40" s="2">
        <v>4.1146449802909046E-8</v>
      </c>
      <c r="AK40" s="2">
        <f t="shared" si="9"/>
        <v>4121.1573478867649</v>
      </c>
      <c r="AL40" s="2">
        <v>1.9443632481852546E-8</v>
      </c>
      <c r="AM40" s="2">
        <f t="shared" si="10"/>
        <v>-4.382949837806476E-17</v>
      </c>
      <c r="AN40" s="2">
        <f t="shared" si="11"/>
        <v>8.0003644790075764E-16</v>
      </c>
      <c r="AO40" s="2">
        <f t="shared" si="12"/>
        <v>1.3096723705530167E-7</v>
      </c>
    </row>
    <row r="41" spans="2:41" x14ac:dyDescent="0.2">
      <c r="B41" s="6" t="s">
        <v>15</v>
      </c>
      <c r="C41" s="17">
        <v>1.0397562309141399</v>
      </c>
      <c r="D41" s="6" t="s">
        <v>16</v>
      </c>
      <c r="J41" s="19" t="s">
        <v>81</v>
      </c>
      <c r="K41" s="6">
        <f>ROUND(SUM(K14:K17)/$C$5 * 100, 2)</f>
        <v>23.72</v>
      </c>
      <c r="L41" s="6" t="s">
        <v>61</v>
      </c>
      <c r="AF41" s="2">
        <v>37</v>
      </c>
      <c r="AG41" s="2">
        <f t="shared" si="13"/>
        <v>4121.1573478212813</v>
      </c>
      <c r="AH41" s="2">
        <v>-2.2541826183442026E-9</v>
      </c>
      <c r="AI41" s="2">
        <f t="shared" si="14"/>
        <v>4121.1573478867649</v>
      </c>
      <c r="AJ41" s="2">
        <v>1.9443632481852546E-8</v>
      </c>
      <c r="AK41" s="2">
        <f t="shared" si="9"/>
        <v>4121.1573478540231</v>
      </c>
      <c r="AL41" s="2">
        <v>8.5938154370523989E-9</v>
      </c>
      <c r="AM41" s="2">
        <f t="shared" si="10"/>
        <v>-1.9372029383461605E-17</v>
      </c>
      <c r="AN41" s="2">
        <f t="shared" si="11"/>
        <v>1.6709498897491786E-16</v>
      </c>
      <c r="AO41" s="2">
        <f t="shared" si="12"/>
        <v>6.5483618527650833E-8</v>
      </c>
    </row>
    <row r="42" spans="2:41" x14ac:dyDescent="0.2">
      <c r="B42" s="6" t="s">
        <v>214</v>
      </c>
      <c r="C42" s="41">
        <v>1.7363179204150701E-5</v>
      </c>
      <c r="D42" s="6" t="s">
        <v>210</v>
      </c>
      <c r="J42" s="20" t="s">
        <v>72</v>
      </c>
      <c r="K42" s="6">
        <f>ROUND(SUM(K18:K22)/$C$5 * 100, 2)</f>
        <v>5.57</v>
      </c>
      <c r="L42" s="6" t="s">
        <v>61</v>
      </c>
      <c r="AF42" s="2">
        <v>38</v>
      </c>
      <c r="AG42" s="2">
        <f t="shared" si="13"/>
        <v>4121.1573478212813</v>
      </c>
      <c r="AH42" s="2">
        <v>-2.2541826183442026E-9</v>
      </c>
      <c r="AI42" s="2">
        <f t="shared" si="14"/>
        <v>4121.1573478540231</v>
      </c>
      <c r="AJ42" s="2">
        <v>8.5938154370523989E-9</v>
      </c>
      <c r="AK42" s="2">
        <f t="shared" si="9"/>
        <v>4121.1573478376522</v>
      </c>
      <c r="AL42" s="2">
        <v>3.1691342883277684E-9</v>
      </c>
      <c r="AM42" s="2">
        <f t="shared" si="10"/>
        <v>-7.1438074279470803E-18</v>
      </c>
      <c r="AN42" s="2">
        <f t="shared" si="11"/>
        <v>2.7234955169123245E-17</v>
      </c>
      <c r="AO42" s="2">
        <f t="shared" si="12"/>
        <v>3.2741809263825417E-8</v>
      </c>
    </row>
    <row r="43" spans="2:41" x14ac:dyDescent="0.2">
      <c r="B43" s="6" t="s">
        <v>132</v>
      </c>
      <c r="C43" s="17">
        <v>333.91694458017901</v>
      </c>
      <c r="D43" s="6" t="s">
        <v>10</v>
      </c>
      <c r="J43" s="15" t="s">
        <v>73</v>
      </c>
      <c r="K43" s="6">
        <f>ROUND(SUM(K23:K26)/$C$5*100, 2)</f>
        <v>5.04</v>
      </c>
      <c r="L43" s="6" t="s">
        <v>61</v>
      </c>
      <c r="N43" s="6" t="s">
        <v>284</v>
      </c>
      <c r="O43" s="6">
        <v>3</v>
      </c>
      <c r="AF43" s="2">
        <v>39</v>
      </c>
      <c r="AG43" s="2">
        <f t="shared" si="13"/>
        <v>4121.1573478212813</v>
      </c>
      <c r="AH43" s="2">
        <v>-2.2541826183442026E-9</v>
      </c>
      <c r="AI43" s="2">
        <f t="shared" si="14"/>
        <v>4121.1573478376522</v>
      </c>
      <c r="AJ43" s="2">
        <v>3.1691342883277684E-9</v>
      </c>
      <c r="AK43" s="2">
        <f t="shared" si="9"/>
        <v>4121.1573478294667</v>
      </c>
      <c r="AL43" s="2">
        <v>4.5565684558823705E-10</v>
      </c>
      <c r="AM43" s="2">
        <f t="shared" si="10"/>
        <v>-1.0271337412545522E-18</v>
      </c>
      <c r="AN43" s="2">
        <f t="shared" si="11"/>
        <v>1.4440377330649535E-18</v>
      </c>
      <c r="AO43" s="2">
        <f t="shared" si="12"/>
        <v>1.6370904631912708E-8</v>
      </c>
    </row>
    <row r="44" spans="2:41" x14ac:dyDescent="0.2">
      <c r="B44" s="6" t="s">
        <v>17</v>
      </c>
      <c r="C44" s="1">
        <v>9.80149119240094</v>
      </c>
      <c r="D44" s="6" t="s">
        <v>18</v>
      </c>
      <c r="J44" s="10" t="s">
        <v>62</v>
      </c>
      <c r="K44" s="10">
        <f>SUM(K39:K43)</f>
        <v>99.99</v>
      </c>
      <c r="L44" s="10" t="s">
        <v>61</v>
      </c>
      <c r="N44" s="6" t="s">
        <v>285</v>
      </c>
      <c r="O44" s="6">
        <f>O43*C6</f>
        <v>1200</v>
      </c>
      <c r="P44" s="6" t="s">
        <v>134</v>
      </c>
      <c r="AF44" s="2">
        <v>40</v>
      </c>
      <c r="AG44" s="2">
        <f t="shared" si="13"/>
        <v>4121.1573478212813</v>
      </c>
      <c r="AH44" s="2">
        <v>-2.2541826183442026E-9</v>
      </c>
      <c r="AI44" s="2">
        <f t="shared" si="14"/>
        <v>4121.1573478294667</v>
      </c>
      <c r="AJ44" s="2">
        <v>4.5565684558823705E-10</v>
      </c>
      <c r="AK44" s="5">
        <f>(AG44+AI44)/2</f>
        <v>4121.157347825374</v>
      </c>
      <c r="AL44" s="2">
        <v>-8.9676177594810724E-10</v>
      </c>
      <c r="AM44" s="2">
        <f t="shared" si="10"/>
        <v>2.0214648081377016E-18</v>
      </c>
      <c r="AN44" s="2">
        <f t="shared" si="11"/>
        <v>-4.0861564207261993E-19</v>
      </c>
      <c r="AO44" s="2">
        <f t="shared" si="12"/>
        <v>8.1854523159563541E-9</v>
      </c>
    </row>
    <row r="45" spans="2:41" x14ac:dyDescent="0.2">
      <c r="N45" s="6" t="s">
        <v>283</v>
      </c>
      <c r="O45" s="6">
        <f>O44*2*PI()/60</f>
        <v>125.66370614359172</v>
      </c>
      <c r="P45" s="6" t="s">
        <v>30</v>
      </c>
    </row>
    <row r="46" spans="2:41" x14ac:dyDescent="0.2">
      <c r="B46" s="59" t="s">
        <v>273</v>
      </c>
      <c r="C46" s="60"/>
      <c r="D46" s="60"/>
      <c r="J46" s="59" t="s">
        <v>59</v>
      </c>
      <c r="K46" s="59"/>
      <c r="L46" s="59"/>
      <c r="N46" s="6" t="s">
        <v>286</v>
      </c>
      <c r="O46" s="6">
        <f>G12*1000/O45</f>
        <v>4587.136120918296</v>
      </c>
      <c r="P46" s="6" t="s">
        <v>179</v>
      </c>
    </row>
    <row r="47" spans="2:41" x14ac:dyDescent="0.2">
      <c r="B47" s="6" t="s">
        <v>15</v>
      </c>
      <c r="C47" s="17">
        <v>1.00854450666398</v>
      </c>
      <c r="D47" s="6" t="s">
        <v>16</v>
      </c>
      <c r="J47" s="6" t="s">
        <v>60</v>
      </c>
      <c r="K47" s="6">
        <f>ROUND($C$13/$C$5 * 100, 2)</f>
        <v>14.56</v>
      </c>
      <c r="L47" s="6" t="s">
        <v>61</v>
      </c>
      <c r="N47" s="6" t="s">
        <v>287</v>
      </c>
      <c r="O47" s="6">
        <f>0.377*O46^0.6945</f>
        <v>131.60791555830411</v>
      </c>
    </row>
    <row r="48" spans="2:41" x14ac:dyDescent="0.2">
      <c r="B48" s="6" t="s">
        <v>214</v>
      </c>
      <c r="C48" s="41">
        <v>1.7265641515845801E-5</v>
      </c>
      <c r="D48" s="6" t="s">
        <v>210</v>
      </c>
      <c r="J48" s="11" t="s">
        <v>55</v>
      </c>
      <c r="K48" s="6">
        <f>ROUND(K13/$C$5 * 100, 2)</f>
        <v>51.1</v>
      </c>
      <c r="L48" s="6" t="s">
        <v>61</v>
      </c>
    </row>
    <row r="49" spans="2:12" x14ac:dyDescent="0.2">
      <c r="B49" s="6" t="s">
        <v>132</v>
      </c>
      <c r="C49" s="17">
        <v>332.721752148093</v>
      </c>
      <c r="D49" s="6" t="s">
        <v>10</v>
      </c>
      <c r="J49" s="20" t="s">
        <v>277</v>
      </c>
      <c r="K49" s="6">
        <f>ROUND(SUM(K14:K26)/$C$5 * 100, 2)</f>
        <v>34.340000000000003</v>
      </c>
      <c r="L49" s="6" t="s">
        <v>61</v>
      </c>
    </row>
    <row r="50" spans="2:12" x14ac:dyDescent="0.2">
      <c r="B50" s="6" t="s">
        <v>17</v>
      </c>
      <c r="C50" s="1">
        <v>9.8005536647414697</v>
      </c>
      <c r="D50" s="6" t="s">
        <v>18</v>
      </c>
      <c r="J50" s="10" t="s">
        <v>62</v>
      </c>
      <c r="K50" s="10">
        <f>SUM(K47:K49)</f>
        <v>100</v>
      </c>
      <c r="L50" s="10" t="s">
        <v>61</v>
      </c>
    </row>
    <row r="52" spans="2:12" x14ac:dyDescent="0.2">
      <c r="B52" s="59" t="s">
        <v>74</v>
      </c>
      <c r="C52" s="59"/>
      <c r="D52" s="59"/>
    </row>
    <row r="53" spans="2:12" x14ac:dyDescent="0.2">
      <c r="B53" s="6" t="s">
        <v>264</v>
      </c>
      <c r="C53" s="17">
        <v>30</v>
      </c>
    </row>
    <row r="54" spans="2:12" x14ac:dyDescent="0.2">
      <c r="B54" s="6" t="s">
        <v>266</v>
      </c>
      <c r="C54" s="17">
        <v>0.8</v>
      </c>
    </row>
    <row r="55" spans="2:12" x14ac:dyDescent="0.2">
      <c r="B55" s="6" t="s">
        <v>267</v>
      </c>
      <c r="C55" s="17">
        <v>0.8</v>
      </c>
    </row>
    <row r="56" spans="2:12" x14ac:dyDescent="0.2">
      <c r="B56" s="6" t="s">
        <v>268</v>
      </c>
      <c r="C56" s="17">
        <v>0.8</v>
      </c>
    </row>
  </sheetData>
  <mergeCells count="23">
    <mergeCell ref="B46:D46"/>
    <mergeCell ref="J46:L46"/>
    <mergeCell ref="B52:D52"/>
    <mergeCell ref="B24:D24"/>
    <mergeCell ref="F24:H24"/>
    <mergeCell ref="B29:D29"/>
    <mergeCell ref="J30:L30"/>
    <mergeCell ref="B35:D35"/>
    <mergeCell ref="B40:D40"/>
    <mergeCell ref="J38:L38"/>
    <mergeCell ref="F33:H33"/>
    <mergeCell ref="B17:D17"/>
    <mergeCell ref="N16:P16"/>
    <mergeCell ref="B1:D1"/>
    <mergeCell ref="B3:D3"/>
    <mergeCell ref="F3:H3"/>
    <mergeCell ref="J3:L3"/>
    <mergeCell ref="N3:P3"/>
    <mergeCell ref="J7:L7"/>
    <mergeCell ref="B12:D12"/>
    <mergeCell ref="J11:L11"/>
    <mergeCell ref="F14:H14"/>
    <mergeCell ref="N12:P12"/>
  </mergeCells>
  <conditionalFormatting sqref="K28">
    <cfRule type="containsText" dxfId="47" priority="1" operator="containsText" text="FALSE">
      <formula>NOT(ISERROR(SEARCH("FALSE",K28)))</formula>
    </cfRule>
    <cfRule type="containsText" dxfId="46" priority="2" operator="containsText" text="TRUE">
      <formula>NOT(ISERROR(SEARCH("TRUE",K28)))</formula>
    </cfRule>
    <cfRule type="cellIs" dxfId="45" priority="3" operator="equal">
      <formula>1</formula>
    </cfRule>
    <cfRule type="cellIs" dxfId="44" priority="4" operator="equal">
      <formula>TRUE</formula>
    </cfRule>
    <cfRule type="containsText" dxfId="43" priority="5" operator="containsText" text="YES">
      <formula>NOT(ISERROR(SEARCH("YES",K28)))</formula>
    </cfRule>
    <cfRule type="cellIs" dxfId="42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4AB6-557E-EC41-AEF7-F524A5AEEAA8}">
  <dimension ref="B1:AS68"/>
  <sheetViews>
    <sheetView topLeftCell="C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6" style="6" customWidth="1"/>
    <col min="15" max="15" width="12.83203125" style="6" customWidth="1"/>
    <col min="16" max="16" width="6.1640625" style="6" customWidth="1"/>
    <col min="17" max="17" width="6" style="6" customWidth="1"/>
    <col min="18" max="18" width="15.33203125" style="6" customWidth="1"/>
    <col min="19" max="19" width="11.1640625" style="6" customWidth="1"/>
    <col min="20" max="20" width="6.33203125" style="6" customWidth="1"/>
    <col min="21" max="21" width="6" style="6" customWidth="1"/>
    <col min="22" max="24" width="3.83203125" style="6" customWidth="1"/>
    <col min="25" max="25" width="5.5" style="6" customWidth="1"/>
    <col min="26" max="26" width="8.83203125" style="6" customWidth="1"/>
    <col min="27" max="27" width="9.1640625" style="6" customWidth="1"/>
    <col min="28" max="28" width="6.6640625" style="6" customWidth="1"/>
    <col min="29" max="29" width="9.5" style="6" customWidth="1"/>
    <col min="30" max="30" width="14.6640625" style="6" customWidth="1"/>
    <col min="31" max="31" width="9" style="6" customWidth="1"/>
    <col min="32" max="32" width="10" style="6" customWidth="1"/>
    <col min="33" max="33" width="9.5" style="6" customWidth="1"/>
    <col min="34" max="34" width="13.6640625" style="6" customWidth="1"/>
    <col min="35" max="35" width="10.83203125" style="6"/>
    <col min="36" max="36" width="5.1640625" style="6" customWidth="1"/>
    <col min="37" max="37" width="11.83203125" style="6" bestFit="1" customWidth="1"/>
    <col min="38" max="38" width="16.5" style="6" bestFit="1" customWidth="1"/>
    <col min="39" max="39" width="11.83203125" style="6" bestFit="1" customWidth="1"/>
    <col min="40" max="40" width="14.1640625" style="6" bestFit="1" customWidth="1"/>
    <col min="41" max="41" width="18.33203125" style="6" customWidth="1"/>
    <col min="42" max="45" width="11.83203125" style="6" bestFit="1" customWidth="1"/>
    <col min="46" max="16384" width="10.83203125" style="6"/>
  </cols>
  <sheetData>
    <row r="1" spans="2:45" x14ac:dyDescent="0.2">
      <c r="B1" s="57" t="s">
        <v>0</v>
      </c>
      <c r="C1" s="57"/>
      <c r="D1" s="57"/>
    </row>
    <row r="2" spans="2:45" x14ac:dyDescent="0.2">
      <c r="Y2" s="16" t="s">
        <v>278</v>
      </c>
      <c r="AJ2" s="16" t="s">
        <v>79</v>
      </c>
    </row>
    <row r="3" spans="2:45" x14ac:dyDescent="0.2">
      <c r="B3" s="55" t="s">
        <v>127</v>
      </c>
      <c r="C3" s="58"/>
      <c r="D3" s="58"/>
      <c r="F3" s="55" t="s">
        <v>83</v>
      </c>
      <c r="G3" s="58"/>
      <c r="H3" s="58"/>
      <c r="J3" s="59" t="s">
        <v>101</v>
      </c>
      <c r="K3" s="59"/>
      <c r="L3" s="59"/>
      <c r="N3" s="59" t="s">
        <v>279</v>
      </c>
      <c r="O3" s="59"/>
      <c r="P3" s="59"/>
      <c r="R3" s="59" t="s">
        <v>95</v>
      </c>
      <c r="S3" s="59"/>
      <c r="T3" s="59"/>
      <c r="Y3" s="7" t="s">
        <v>44</v>
      </c>
      <c r="Z3" s="7" t="s">
        <v>45</v>
      </c>
      <c r="AA3" s="7" t="s">
        <v>46</v>
      </c>
      <c r="AB3" s="7" t="s">
        <v>47</v>
      </c>
      <c r="AC3" s="7" t="s">
        <v>48</v>
      </c>
      <c r="AD3" s="7" t="s">
        <v>49</v>
      </c>
      <c r="AE3" s="7" t="s">
        <v>50</v>
      </c>
      <c r="AF3" s="7" t="s">
        <v>51</v>
      </c>
      <c r="AG3" s="7" t="s">
        <v>52</v>
      </c>
      <c r="AH3" s="7" t="s">
        <v>53</v>
      </c>
      <c r="AJ3" s="7" t="s">
        <v>44</v>
      </c>
      <c r="AK3" s="7" t="s">
        <v>45</v>
      </c>
      <c r="AL3" s="7" t="s">
        <v>46</v>
      </c>
      <c r="AM3" s="7" t="s">
        <v>47</v>
      </c>
      <c r="AN3" s="7" t="s">
        <v>48</v>
      </c>
      <c r="AO3" s="7" t="s">
        <v>49</v>
      </c>
      <c r="AP3" s="7" t="s">
        <v>50</v>
      </c>
      <c r="AQ3" s="7" t="s">
        <v>51</v>
      </c>
      <c r="AR3" s="7" t="s">
        <v>52</v>
      </c>
      <c r="AS3" s="7" t="s">
        <v>53</v>
      </c>
    </row>
    <row r="4" spans="2:45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(1+C22/100)*MAX(G14,G24,G33,G37)</f>
        <v>853.66654395537421</v>
      </c>
      <c r="L4" s="6" t="s">
        <v>104</v>
      </c>
      <c r="N4" s="6" t="s">
        <v>25</v>
      </c>
      <c r="O4" s="6">
        <f xml:space="preserve"> 0.5 * $C$41 * $G$4^2</f>
        <v>3.3540456496828326</v>
      </c>
      <c r="P4" s="6" t="s">
        <v>26</v>
      </c>
      <c r="R4" s="6" t="s">
        <v>25</v>
      </c>
      <c r="S4" s="6">
        <f xml:space="preserve"> 0.5 * $C$47 * $C$8^2</f>
        <v>2267.4637855940923</v>
      </c>
      <c r="T4" s="6" t="s">
        <v>26</v>
      </c>
      <c r="Y4" s="2">
        <v>0</v>
      </c>
      <c r="Z4" s="53">
        <v>1.0000000000000001E-15</v>
      </c>
      <c r="AA4" s="37">
        <f t="shared" ref="AA4:AA34" si="0" xml:space="preserve"> $O$20 * TAN($O$17/180*PI()) + $O$21 / (2 * SQRT($O$20^2 + Z4^2)) - Z4</f>
        <v>2808361295712.8936</v>
      </c>
      <c r="AB4" s="3">
        <v>1</v>
      </c>
      <c r="AC4" s="37">
        <f t="shared" ref="AC4:AC34" si="1" xml:space="preserve"> $O$20 * TAN($O$17/180*PI()) + $O$21 / (2 * SQRT($O$20^2 + AB4^2)) - AB4</f>
        <v>-0.98277542899671599</v>
      </c>
      <c r="AD4" s="2">
        <f xml:space="preserve"> (Z4 + AB4)/2</f>
        <v>0.50000000000000056</v>
      </c>
      <c r="AE4" s="37">
        <f t="shared" ref="AE4:AE34" si="2" xml:space="preserve"> $O$20 * TAN($O$17/180*PI()) + $O$21 / (2 * SQRT($O$20^2 + AD4^2)) - AD4</f>
        <v>-0.47996706660682881</v>
      </c>
      <c r="AF4" s="2">
        <f>AA4*AE4</f>
        <v>-1347920933075.4705</v>
      </c>
      <c r="AG4" s="2">
        <f>AC4*AE4</f>
        <v>0.47169983978882152</v>
      </c>
      <c r="AH4" s="2">
        <f>AB4-Z4</f>
        <v>0.999999999999999</v>
      </c>
      <c r="AJ4" s="2">
        <v>0</v>
      </c>
      <c r="AK4" s="2"/>
      <c r="AL4" s="2">
        <f>K27</f>
        <v>-6.4432612730342953E-3</v>
      </c>
      <c r="AM4" s="2"/>
      <c r="AN4" s="2">
        <f>K27</f>
        <v>-6.4432612730342953E-3</v>
      </c>
      <c r="AO4" s="2"/>
      <c r="AP4" s="2">
        <f>K27</f>
        <v>-6.4432612730342953E-3</v>
      </c>
      <c r="AQ4" s="2"/>
      <c r="AR4" s="2"/>
      <c r="AS4" s="2"/>
    </row>
    <row r="5" spans="2:45" x14ac:dyDescent="0.2">
      <c r="B5" s="10" t="s">
        <v>40</v>
      </c>
      <c r="C5" s="10">
        <v>4112.3095703199997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213.41663598884355</v>
      </c>
      <c r="L5" s="6" t="s">
        <v>104</v>
      </c>
      <c r="N5" s="6" t="s">
        <v>119</v>
      </c>
      <c r="O5" s="6">
        <v>0</v>
      </c>
      <c r="P5" s="6" t="s">
        <v>120</v>
      </c>
      <c r="R5" s="6" t="s">
        <v>119</v>
      </c>
      <c r="S5" s="6">
        <f xml:space="preserve"> $C$18 * 0.85 * ($C$5/$C$18 *2.20462/1000)^(2/3) * 0.3048^2</f>
        <v>0.54502347752848035</v>
      </c>
      <c r="T5" s="6" t="s">
        <v>120</v>
      </c>
      <c r="Y5" s="2">
        <v>1</v>
      </c>
      <c r="Z5" s="2">
        <f>IF(AF4&gt;0, AD4, Z4)</f>
        <v>1.0000000000000001E-15</v>
      </c>
      <c r="AA5" s="37">
        <f t="shared" si="0"/>
        <v>2808361295712.8936</v>
      </c>
      <c r="AB5" s="2">
        <f>IF(AG4&gt;0, AD4, AB4)</f>
        <v>0.50000000000000056</v>
      </c>
      <c r="AC5" s="37">
        <f t="shared" si="1"/>
        <v>-0.47996706660682881</v>
      </c>
      <c r="AD5" s="2">
        <f t="shared" ref="AD5:AD33" si="3" xml:space="preserve"> (Z5 + AB5)/2</f>
        <v>0.25000000000000078</v>
      </c>
      <c r="AE5" s="37">
        <f t="shared" si="2"/>
        <v>-0.2243503418270536</v>
      </c>
      <c r="AF5" s="2">
        <f t="shared" ref="AF5:AF34" si="4">AA5*AE5</f>
        <v>-630056816667.05481</v>
      </c>
      <c r="AG5" s="2">
        <f t="shared" ref="AG5:AG34" si="5">AC5*AE5</f>
        <v>0.10768077545897024</v>
      </c>
      <c r="AH5" s="2">
        <f t="shared" ref="AH5:AH33" si="6">AB5-Z5</f>
        <v>0.49999999999999956</v>
      </c>
      <c r="AJ5" s="2">
        <v>1</v>
      </c>
      <c r="AK5" s="3">
        <v>500</v>
      </c>
      <c r="AL5" s="2">
        <f t="dataTable" ref="AL5:AL44" dt2D="0" dtr="0" r1="C5" ca="1"/>
        <v>-1832.3206392956952</v>
      </c>
      <c r="AM5" s="3">
        <v>5000</v>
      </c>
      <c r="AN5" s="2">
        <f t="dataTable" ref="AN5:AN44" dt2D="0" dtr="0" r1="C5"/>
        <v>362.85335091297065</v>
      </c>
      <c r="AO5" s="2">
        <f>(AK5+AM5)/2</f>
        <v>2750</v>
      </c>
      <c r="AP5" s="2">
        <f t="dataTable" ref="AP5:AP44" dt2D="0" dtr="0" r1="C5" ca="1"/>
        <v>-633.59115082264179</v>
      </c>
      <c r="AQ5" s="2">
        <f>AL5*AP5</f>
        <v>1160942.1425274382</v>
      </c>
      <c r="AR5" s="2">
        <f>AN5*AP5</f>
        <v>-229900.67218480096</v>
      </c>
      <c r="AS5" s="2">
        <f>AM5-AK5</f>
        <v>4500</v>
      </c>
    </row>
    <row r="6" spans="2:45" x14ac:dyDescent="0.2">
      <c r="B6" s="6" t="s">
        <v>270</v>
      </c>
      <c r="C6" s="22">
        <v>400</v>
      </c>
      <c r="D6" s="6" t="s">
        <v>134</v>
      </c>
      <c r="F6" t="s">
        <v>91</v>
      </c>
      <c r="G6" s="8">
        <f>$G$5/$G$4</f>
        <v>120</v>
      </c>
      <c r="H6" s="6" t="s">
        <v>14</v>
      </c>
      <c r="N6" t="s">
        <v>291</v>
      </c>
      <c r="O6" s="1">
        <v>0.63027662333509604</v>
      </c>
      <c r="P6" s="6" t="s">
        <v>120</v>
      </c>
      <c r="R6" t="s">
        <v>291</v>
      </c>
      <c r="S6" s="17">
        <v>0.63027662333509604</v>
      </c>
      <c r="Y6" s="2">
        <v>2</v>
      </c>
      <c r="Z6" s="2">
        <f t="shared" ref="Z6:Z34" si="7">IF(AF5&gt;0, AD5, Z5)</f>
        <v>1.0000000000000001E-15</v>
      </c>
      <c r="AA6" s="37">
        <f t="shared" si="0"/>
        <v>2808361295712.8936</v>
      </c>
      <c r="AB6" s="2">
        <f t="shared" ref="AB6:AB34" si="8">IF(AG5&gt;0, AD5, AB5)</f>
        <v>0.25000000000000078</v>
      </c>
      <c r="AC6" s="37">
        <f t="shared" si="1"/>
        <v>-0.2243503418270536</v>
      </c>
      <c r="AD6" s="2">
        <f t="shared" si="3"/>
        <v>0.12500000000000089</v>
      </c>
      <c r="AE6" s="37">
        <f t="shared" si="2"/>
        <v>-8.8116892267502911E-2</v>
      </c>
      <c r="AF6" s="2">
        <f t="shared" si="4"/>
        <v>-247464069742.55792</v>
      </c>
      <c r="AG6" s="2">
        <f t="shared" si="5"/>
        <v>1.9769054900951936E-2</v>
      </c>
      <c r="AH6" s="2">
        <f t="shared" si="6"/>
        <v>0.24999999999999978</v>
      </c>
      <c r="AJ6" s="2">
        <v>2</v>
      </c>
      <c r="AK6" s="2">
        <f>IF(AQ5&gt;0, AO5, AK5)</f>
        <v>2750</v>
      </c>
      <c r="AL6" s="2">
        <v>-633.59115082264179</v>
      </c>
      <c r="AM6" s="2">
        <f>IF(AR5&gt;0, AO5, AM5)</f>
        <v>5000</v>
      </c>
      <c r="AN6" s="2">
        <v>362.85335091297065</v>
      </c>
      <c r="AO6" s="2">
        <f t="shared" ref="AO6:AO43" si="9">(AK6+AM6)/2</f>
        <v>3875</v>
      </c>
      <c r="AP6" s="2">
        <v>-103.62388830767031</v>
      </c>
      <c r="AQ6" s="2">
        <f t="shared" ref="AQ6:AQ44" si="10">AL6*AP6</f>
        <v>65655.178645573731</v>
      </c>
      <c r="AR6" s="2">
        <f t="shared" ref="AR6:AR44" si="11">AN6*AP6</f>
        <v>-37600.275107069574</v>
      </c>
      <c r="AS6" s="2">
        <f t="shared" ref="AS6:AS44" si="12">AM6-AK6</f>
        <v>2250</v>
      </c>
    </row>
    <row r="7" spans="2:45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$C$6*2*PI()/60*$C$9</f>
        <v>176.19056910980711</v>
      </c>
      <c r="H7" s="6" t="s">
        <v>10</v>
      </c>
      <c r="J7" s="59" t="s">
        <v>23</v>
      </c>
      <c r="K7" s="59"/>
      <c r="L7" s="59"/>
      <c r="N7" s="6" t="s">
        <v>292</v>
      </c>
      <c r="O7" s="6">
        <v>0</v>
      </c>
      <c r="P7" s="6" t="s">
        <v>120</v>
      </c>
      <c r="R7" s="6" t="s">
        <v>292</v>
      </c>
      <c r="S7" s="6">
        <f xml:space="preserve"> $S$6 + S5</f>
        <v>1.1753001008635764</v>
      </c>
      <c r="Y7" s="2">
        <v>3</v>
      </c>
      <c r="Z7" s="2">
        <f t="shared" si="7"/>
        <v>1.0000000000000001E-15</v>
      </c>
      <c r="AA7" s="37">
        <f t="shared" si="0"/>
        <v>2808361295712.8936</v>
      </c>
      <c r="AB7" s="2">
        <f t="shared" si="8"/>
        <v>0.12500000000000089</v>
      </c>
      <c r="AC7" s="37">
        <f t="shared" si="1"/>
        <v>-8.8116892267502911E-2</v>
      </c>
      <c r="AD7" s="2">
        <f t="shared" si="3"/>
        <v>6.2500000000000944E-2</v>
      </c>
      <c r="AE7" s="37">
        <f t="shared" si="2"/>
        <v>-3.1499931484016766E-3</v>
      </c>
      <c r="AF7" s="2">
        <f t="shared" si="4"/>
        <v>-8846318839.732069</v>
      </c>
      <c r="AG7" s="2">
        <f t="shared" si="5"/>
        <v>2.7756760690108282E-4</v>
      </c>
      <c r="AH7" s="2">
        <f t="shared" si="6"/>
        <v>0.12499999999999989</v>
      </c>
      <c r="AJ7" s="2">
        <v>3</v>
      </c>
      <c r="AK7" s="2">
        <f t="shared" ref="AK7:AK44" si="13">IF(AQ6&gt;0, AO6, AK6)</f>
        <v>3875</v>
      </c>
      <c r="AL7" s="2">
        <v>-103.62388830767031</v>
      </c>
      <c r="AM7" s="2">
        <f t="shared" ref="AM7:AM44" si="14">IF(AR6&gt;0, AO6, AM6)</f>
        <v>5000</v>
      </c>
      <c r="AN7" s="2">
        <v>362.85335091297065</v>
      </c>
      <c r="AO7" s="2">
        <f t="shared" si="9"/>
        <v>4437.5</v>
      </c>
      <c r="AP7" s="2">
        <v>137.51045984610255</v>
      </c>
      <c r="AQ7" s="2">
        <f t="shared" si="10"/>
        <v>-14249.368532228915</v>
      </c>
      <c r="AR7" s="2">
        <f t="shared" si="11"/>
        <v>49896.131140741811</v>
      </c>
      <c r="AS7" s="2">
        <f t="shared" si="12"/>
        <v>1125</v>
      </c>
    </row>
    <row r="8" spans="2:45" x14ac:dyDescent="0.2">
      <c r="B8" s="6" t="s">
        <v>9</v>
      </c>
      <c r="C8" s="17">
        <f>150 * 1609.344 / 3600</f>
        <v>67.055999999999997</v>
      </c>
      <c r="D8" s="6" t="s">
        <v>10</v>
      </c>
      <c r="F8" t="s">
        <v>133</v>
      </c>
      <c r="G8" s="6">
        <f>G7/C43</f>
        <v>0.52764788361167103</v>
      </c>
      <c r="H8" s="6" t="s">
        <v>131</v>
      </c>
      <c r="J8" s="6" t="s">
        <v>99</v>
      </c>
      <c r="K8" s="6">
        <f xml:space="preserve"> $C$15 * (G14*G6 + G24*G17 + G33*G29 + G37*G36)/3600</f>
        <v>357.40183299717967</v>
      </c>
      <c r="L8" s="6" t="s">
        <v>105</v>
      </c>
      <c r="N8" s="6" t="s">
        <v>41</v>
      </c>
      <c r="O8" s="6">
        <f xml:space="preserve"> O4 * O7</f>
        <v>0</v>
      </c>
      <c r="P8" s="6" t="s">
        <v>22</v>
      </c>
      <c r="R8" s="6" t="s">
        <v>41</v>
      </c>
      <c r="S8" s="6">
        <f xml:space="preserve"> S4 *S7</f>
        <v>2664.9504159132434</v>
      </c>
      <c r="T8" s="6" t="s">
        <v>22</v>
      </c>
      <c r="Y8" s="2">
        <v>4</v>
      </c>
      <c r="Z8" s="2">
        <f t="shared" si="7"/>
        <v>1.0000000000000001E-15</v>
      </c>
      <c r="AA8" s="37">
        <f t="shared" si="0"/>
        <v>2808361295712.8936</v>
      </c>
      <c r="AB8" s="2">
        <f t="shared" si="8"/>
        <v>6.2500000000000944E-2</v>
      </c>
      <c r="AC8" s="37">
        <f t="shared" si="1"/>
        <v>-3.1499931484016766E-3</v>
      </c>
      <c r="AD8" s="2">
        <f t="shared" si="3"/>
        <v>3.1250000000000971E-2</v>
      </c>
      <c r="AE8" s="37">
        <f t="shared" si="2"/>
        <v>7.3033805089799828E-2</v>
      </c>
      <c r="AF8" s="2">
        <f t="shared" si="4"/>
        <v>205105311492.83316</v>
      </c>
      <c r="AG8" s="2">
        <f t="shared" si="5"/>
        <v>-2.3005598563457296E-4</v>
      </c>
      <c r="AH8" s="2">
        <f t="shared" si="6"/>
        <v>6.2499999999999944E-2</v>
      </c>
      <c r="AJ8" s="2">
        <v>4</v>
      </c>
      <c r="AK8" s="2">
        <f t="shared" si="13"/>
        <v>3875</v>
      </c>
      <c r="AL8" s="2">
        <v>-103.62388830767031</v>
      </c>
      <c r="AM8" s="2">
        <f t="shared" si="14"/>
        <v>4437.5</v>
      </c>
      <c r="AN8" s="2">
        <v>137.51045984610255</v>
      </c>
      <c r="AO8" s="2">
        <f t="shared" si="9"/>
        <v>4156.25</v>
      </c>
      <c r="AP8" s="2">
        <v>18.881410087800305</v>
      </c>
      <c r="AQ8" s="2">
        <f t="shared" si="10"/>
        <v>-1956.5651300295383</v>
      </c>
      <c r="AR8" s="2">
        <f t="shared" si="11"/>
        <v>2596.3913837162595</v>
      </c>
      <c r="AS8" s="2">
        <f t="shared" si="12"/>
        <v>562.5</v>
      </c>
    </row>
    <row r="9" spans="2:45" x14ac:dyDescent="0.2">
      <c r="B9" s="6" t="s">
        <v>98</v>
      </c>
      <c r="C9" s="17">
        <v>4.2062400000000002</v>
      </c>
      <c r="D9" s="6" t="s">
        <v>8</v>
      </c>
      <c r="F9" t="s">
        <v>21</v>
      </c>
      <c r="G9" s="6">
        <f xml:space="preserve"> $C$5 * $C$44 / $C$18</f>
        <v>10076.691508479393</v>
      </c>
      <c r="H9" s="6" t="s">
        <v>22</v>
      </c>
      <c r="J9" s="6" t="s">
        <v>265</v>
      </c>
      <c r="K9" s="6">
        <f xml:space="preserve"> $C$15 * (G6 + G17 + G29 + G36)/60</f>
        <v>49.333333333333336</v>
      </c>
      <c r="L9" s="6" t="s">
        <v>106</v>
      </c>
      <c r="N9" s="6" t="s">
        <v>42</v>
      </c>
      <c r="O9" s="6">
        <f xml:space="preserve"> O8</f>
        <v>0</v>
      </c>
      <c r="P9" s="6" t="s">
        <v>22</v>
      </c>
      <c r="R9" s="6" t="s">
        <v>42</v>
      </c>
      <c r="S9" s="6">
        <f xml:space="preserve"> S8</f>
        <v>2664.9504159132434</v>
      </c>
      <c r="T9" s="6" t="s">
        <v>22</v>
      </c>
      <c r="Y9" s="2">
        <v>5</v>
      </c>
      <c r="Z9" s="2">
        <f t="shared" si="7"/>
        <v>3.1250000000000971E-2</v>
      </c>
      <c r="AA9" s="37">
        <f t="shared" si="0"/>
        <v>7.3033805089799828E-2</v>
      </c>
      <c r="AB9" s="2">
        <f t="shared" si="8"/>
        <v>6.2500000000000944E-2</v>
      </c>
      <c r="AC9" s="37">
        <f t="shared" si="1"/>
        <v>-3.1499931484016766E-3</v>
      </c>
      <c r="AD9" s="2">
        <f t="shared" si="3"/>
        <v>4.6875000000000958E-2</v>
      </c>
      <c r="AE9" s="37">
        <f t="shared" si="2"/>
        <v>2.7452939597665649E-2</v>
      </c>
      <c r="AF9" s="2">
        <f t="shared" si="4"/>
        <v>2.0049926397179606E-3</v>
      </c>
      <c r="AG9" s="2">
        <f t="shared" si="5"/>
        <v>-8.6476571636131879E-5</v>
      </c>
      <c r="AH9" s="2">
        <f t="shared" si="6"/>
        <v>3.1249999999999972E-2</v>
      </c>
      <c r="AJ9" s="2">
        <v>5</v>
      </c>
      <c r="AK9" s="2">
        <f t="shared" si="13"/>
        <v>3875</v>
      </c>
      <c r="AL9" s="2">
        <v>-103.62388830767031</v>
      </c>
      <c r="AM9" s="2">
        <f t="shared" si="14"/>
        <v>4156.25</v>
      </c>
      <c r="AN9" s="2">
        <v>18.881410087800305</v>
      </c>
      <c r="AO9" s="2">
        <f t="shared" si="9"/>
        <v>4015.625</v>
      </c>
      <c r="AP9" s="2">
        <v>-41.897186524067365</v>
      </c>
      <c r="AQ9" s="2">
        <f t="shared" si="10"/>
        <v>4341.5493767755861</v>
      </c>
      <c r="AR9" s="2">
        <f t="shared" si="11"/>
        <v>-791.07796028597647</v>
      </c>
      <c r="AS9" s="2">
        <f t="shared" si="12"/>
        <v>281.25</v>
      </c>
    </row>
    <row r="10" spans="2:45" x14ac:dyDescent="0.2">
      <c r="B10" s="6" t="s">
        <v>224</v>
      </c>
      <c r="C10" s="17">
        <f>(0.071475+0.069425+0.067375+0.065325+0.063275+0.061225+0.059175+0.057125)/8</f>
        <v>6.4299999999999982E-2</v>
      </c>
      <c r="F10" t="s">
        <v>100</v>
      </c>
      <c r="G10" s="6">
        <f xml:space="preserve"> 1/1000 * (O23 + O18 * (O25 * O28 + $G$4 * SIN(O17/180*PI())))</f>
        <v>142.27775732589569</v>
      </c>
      <c r="H10" s="6" t="s">
        <v>104</v>
      </c>
      <c r="N10" s="6" t="s">
        <v>118</v>
      </c>
      <c r="O10" s="6" t="s">
        <v>280</v>
      </c>
      <c r="R10" s="6" t="s">
        <v>118</v>
      </c>
      <c r="S10" s="6">
        <f>S7/(0.3048^2)/($C$5*2.20462/1000)^(2/3)</f>
        <v>2.9096392896816607</v>
      </c>
      <c r="Y10" s="2">
        <v>6</v>
      </c>
      <c r="Z10" s="2">
        <f t="shared" si="7"/>
        <v>4.6875000000000958E-2</v>
      </c>
      <c r="AA10" s="37">
        <f t="shared" si="0"/>
        <v>2.7452939597665649E-2</v>
      </c>
      <c r="AB10" s="2">
        <f t="shared" si="8"/>
        <v>6.2500000000000944E-2</v>
      </c>
      <c r="AC10" s="37">
        <f t="shared" si="1"/>
        <v>-3.1499931484016766E-3</v>
      </c>
      <c r="AD10" s="2">
        <f t="shared" si="3"/>
        <v>5.4687500000000951E-2</v>
      </c>
      <c r="AE10" s="37">
        <f t="shared" si="2"/>
        <v>1.1081620885627204E-2</v>
      </c>
      <c r="AF10" s="2">
        <f t="shared" si="4"/>
        <v>3.0422306881735373E-4</v>
      </c>
      <c r="AG10" s="2">
        <f t="shared" si="5"/>
        <v>-3.4907029862910609E-5</v>
      </c>
      <c r="AH10" s="2">
        <f t="shared" si="6"/>
        <v>1.5624999999999986E-2</v>
      </c>
      <c r="AJ10" s="2">
        <v>6</v>
      </c>
      <c r="AK10" s="2">
        <f t="shared" si="13"/>
        <v>4015.625</v>
      </c>
      <c r="AL10" s="2">
        <v>-41.897186524067365</v>
      </c>
      <c r="AM10" s="2">
        <f t="shared" si="14"/>
        <v>4156.25</v>
      </c>
      <c r="AN10" s="2">
        <v>18.881410087800305</v>
      </c>
      <c r="AO10" s="2">
        <f t="shared" si="9"/>
        <v>4085.9375</v>
      </c>
      <c r="AP10" s="2">
        <v>-11.387829762888941</v>
      </c>
      <c r="AQ10" s="2">
        <f t="shared" si="10"/>
        <v>477.1180276800838</v>
      </c>
      <c r="AR10" s="2">
        <f t="shared" si="11"/>
        <v>-215.01828376316379</v>
      </c>
      <c r="AS10" s="2">
        <f t="shared" si="12"/>
        <v>140.625</v>
      </c>
    </row>
    <row r="11" spans="2:45" x14ac:dyDescent="0.2">
      <c r="F11" t="s">
        <v>274</v>
      </c>
      <c r="G11" s="6">
        <f xml:space="preserve"> (G9/$C$44*1000) / ($G$10*1000)</f>
        <v>7.2258476089493548</v>
      </c>
      <c r="H11" s="6" t="s">
        <v>275</v>
      </c>
      <c r="J11" s="55" t="s">
        <v>54</v>
      </c>
      <c r="K11" s="55"/>
      <c r="L11" s="55"/>
      <c r="Y11" s="2">
        <v>7</v>
      </c>
      <c r="Z11" s="2">
        <f t="shared" si="7"/>
        <v>5.4687500000000951E-2</v>
      </c>
      <c r="AA11" s="37">
        <f t="shared" si="0"/>
        <v>1.1081620885627204E-2</v>
      </c>
      <c r="AB11" s="2">
        <f t="shared" si="8"/>
        <v>6.2500000000000944E-2</v>
      </c>
      <c r="AC11" s="37">
        <f t="shared" si="1"/>
        <v>-3.1499931484016766E-3</v>
      </c>
      <c r="AD11" s="2">
        <f t="shared" si="3"/>
        <v>5.8593750000000944E-2</v>
      </c>
      <c r="AE11" s="37">
        <f t="shared" si="2"/>
        <v>3.7518434008118051E-3</v>
      </c>
      <c r="AF11" s="2">
        <f t="shared" si="4"/>
        <v>4.1576506190038693E-5</v>
      </c>
      <c r="AG11" s="2">
        <f t="shared" si="5"/>
        <v>-1.1818281006433232E-5</v>
      </c>
      <c r="AH11" s="2">
        <f t="shared" si="6"/>
        <v>7.8124999999999931E-3</v>
      </c>
      <c r="AJ11" s="2">
        <v>7</v>
      </c>
      <c r="AK11" s="2">
        <f t="shared" si="13"/>
        <v>4085.9375</v>
      </c>
      <c r="AL11" s="2">
        <v>-11.387829762888941</v>
      </c>
      <c r="AM11" s="2">
        <f t="shared" si="14"/>
        <v>4156.25</v>
      </c>
      <c r="AN11" s="2">
        <v>18.881410087800305</v>
      </c>
      <c r="AO11" s="2">
        <f t="shared" si="9"/>
        <v>4121.09375</v>
      </c>
      <c r="AP11" s="2">
        <v>3.77699617960252</v>
      </c>
      <c r="AQ11" s="2">
        <f t="shared" si="10"/>
        <v>-43.011789508395402</v>
      </c>
      <c r="AR11" s="2">
        <f t="shared" si="11"/>
        <v>71.315013767130239</v>
      </c>
      <c r="AS11" s="2">
        <f t="shared" si="12"/>
        <v>70.3125</v>
      </c>
    </row>
    <row r="12" spans="2:45" x14ac:dyDescent="0.2">
      <c r="B12" s="59" t="s">
        <v>12</v>
      </c>
      <c r="C12" s="59"/>
      <c r="D12" s="59"/>
      <c r="F12" t="s">
        <v>281</v>
      </c>
      <c r="G12" s="6">
        <f>G13/G14</f>
        <v>0.75732300385463658</v>
      </c>
      <c r="J12" s="10" t="s">
        <v>82</v>
      </c>
      <c r="K12" s="6">
        <f>C5</f>
        <v>4112.3095703199997</v>
      </c>
      <c r="L12" s="6" t="s">
        <v>7</v>
      </c>
      <c r="N12" s="55" t="s">
        <v>76</v>
      </c>
      <c r="O12" s="56"/>
      <c r="P12" s="56"/>
      <c r="R12" s="55" t="s">
        <v>76</v>
      </c>
      <c r="S12" s="56"/>
      <c r="T12" s="56"/>
      <c r="Y12" s="2">
        <v>8</v>
      </c>
      <c r="Z12" s="2">
        <f t="shared" si="7"/>
        <v>5.8593750000000944E-2</v>
      </c>
      <c r="AA12" s="37">
        <f t="shared" si="0"/>
        <v>3.7518434008118051E-3</v>
      </c>
      <c r="AB12" s="2">
        <f t="shared" si="8"/>
        <v>6.2500000000000944E-2</v>
      </c>
      <c r="AC12" s="37">
        <f t="shared" si="1"/>
        <v>-3.1499931484016766E-3</v>
      </c>
      <c r="AD12" s="2">
        <f t="shared" si="3"/>
        <v>6.0546875000000944E-2</v>
      </c>
      <c r="AE12" s="37">
        <f t="shared" si="2"/>
        <v>2.5260921412097875E-4</v>
      </c>
      <c r="AF12" s="2">
        <f t="shared" si="4"/>
        <v>9.4775021298405035E-7</v>
      </c>
      <c r="AG12" s="2">
        <f t="shared" si="5"/>
        <v>-7.9571729370421515E-7</v>
      </c>
      <c r="AH12" s="2">
        <f t="shared" si="6"/>
        <v>3.90625E-3</v>
      </c>
      <c r="AJ12" s="2">
        <v>8</v>
      </c>
      <c r="AK12" s="2">
        <f t="shared" si="13"/>
        <v>4085.9375</v>
      </c>
      <c r="AL12" s="2">
        <v>-11.387829762888941</v>
      </c>
      <c r="AM12" s="2">
        <f t="shared" si="14"/>
        <v>4121.09375</v>
      </c>
      <c r="AN12" s="2">
        <v>3.77699617960252</v>
      </c>
      <c r="AO12" s="2">
        <f t="shared" si="9"/>
        <v>4103.515625</v>
      </c>
      <c r="AP12" s="2">
        <v>-3.7978743022154049</v>
      </c>
      <c r="AQ12" s="2">
        <f t="shared" si="10"/>
        <v>43.249546014479655</v>
      </c>
      <c r="AR12" s="2">
        <f t="shared" si="11"/>
        <v>-14.344556730078171</v>
      </c>
      <c r="AS12" s="2">
        <f t="shared" si="12"/>
        <v>35.15625</v>
      </c>
    </row>
    <row r="13" spans="2:45" x14ac:dyDescent="0.2">
      <c r="B13" s="6" t="s">
        <v>71</v>
      </c>
      <c r="C13" s="6">
        <f>C25*100</f>
        <v>600</v>
      </c>
      <c r="D13" s="6" t="s">
        <v>7</v>
      </c>
      <c r="F13" t="s">
        <v>282</v>
      </c>
      <c r="G13" s="6">
        <f xml:space="preserve"> 1/1000 * (($C$5*$C$44) * ( ($G$4/2) + SQRT( ($G$4/2)^2 + ($C$5*$C$44) / (2*$C$41*PI()*$C$9^2 * $C$18) ) ) )</f>
        <v>431.00087423899339</v>
      </c>
      <c r="H13" s="6" t="s">
        <v>104</v>
      </c>
      <c r="J13" s="11" t="s">
        <v>55</v>
      </c>
      <c r="K13" s="6">
        <f xml:space="preserve"> K8 * 1000 / ($C$36 * $C$37 * $C$38)</f>
        <v>2102.3637235128213</v>
      </c>
      <c r="L13" s="6" t="s">
        <v>7</v>
      </c>
      <c r="N13" s="6" t="s">
        <v>77</v>
      </c>
      <c r="O13" s="6">
        <f xml:space="preserve"> SQRT( ($C$5*$C$44)^2 + O9^2)</f>
        <v>40306.766033917571</v>
      </c>
      <c r="P13" s="6" t="s">
        <v>22</v>
      </c>
      <c r="R13" s="6" t="s">
        <v>77</v>
      </c>
      <c r="S13" s="6">
        <f xml:space="preserve"> SQRT( ($C$5*$C$50)^2 + S9^2)</f>
        <v>40390.921826136881</v>
      </c>
      <c r="T13" s="6" t="s">
        <v>22</v>
      </c>
      <c r="Y13" s="2">
        <v>9</v>
      </c>
      <c r="Z13" s="2">
        <f t="shared" si="7"/>
        <v>6.0546875000000944E-2</v>
      </c>
      <c r="AA13" s="37">
        <f t="shared" si="0"/>
        <v>2.5260921412097875E-4</v>
      </c>
      <c r="AB13" s="2">
        <f t="shared" si="8"/>
        <v>6.2500000000000944E-2</v>
      </c>
      <c r="AC13" s="37">
        <f t="shared" si="1"/>
        <v>-3.1499931484016766E-3</v>
      </c>
      <c r="AD13" s="2">
        <f t="shared" si="3"/>
        <v>6.1523437500000944E-2</v>
      </c>
      <c r="AE13" s="37">
        <f t="shared" si="2"/>
        <v>-1.460195755731801E-3</v>
      </c>
      <c r="AF13" s="2">
        <f t="shared" si="4"/>
        <v>-3.6885890231819891E-7</v>
      </c>
      <c r="AG13" s="2">
        <f t="shared" si="5"/>
        <v>4.5996066258803812E-6</v>
      </c>
      <c r="AH13" s="2">
        <f t="shared" si="6"/>
        <v>1.953125E-3</v>
      </c>
      <c r="AJ13" s="2">
        <v>9</v>
      </c>
      <c r="AK13" s="2">
        <f t="shared" si="13"/>
        <v>4103.515625</v>
      </c>
      <c r="AL13" s="2">
        <v>-3.7978743022154049</v>
      </c>
      <c r="AM13" s="2">
        <f t="shared" si="14"/>
        <v>4121.09375</v>
      </c>
      <c r="AN13" s="2">
        <v>3.77699617960252</v>
      </c>
      <c r="AO13" s="2">
        <f t="shared" si="9"/>
        <v>4112.3046875</v>
      </c>
      <c r="AP13" s="2">
        <v>-8.5454517525249685E-3</v>
      </c>
      <c r="AQ13" s="2">
        <f t="shared" si="10"/>
        <v>3.2454551611736174E-2</v>
      </c>
      <c r="AR13" s="2">
        <f t="shared" si="11"/>
        <v>-3.2276138622264465E-2</v>
      </c>
      <c r="AS13" s="2">
        <f t="shared" si="12"/>
        <v>17.578125</v>
      </c>
    </row>
    <row r="14" spans="2:45" x14ac:dyDescent="0.2">
      <c r="B14" s="6" t="s">
        <v>13</v>
      </c>
      <c r="C14" s="17">
        <f>60 * 1609.344</f>
        <v>96560.639999999999</v>
      </c>
      <c r="D14" s="6" t="s">
        <v>8</v>
      </c>
      <c r="F14" s="42" t="s">
        <v>85</v>
      </c>
      <c r="G14" s="43">
        <f xml:space="preserve"> $C$18 * G10</f>
        <v>569.11102930358277</v>
      </c>
      <c r="H14" s="43" t="s">
        <v>104</v>
      </c>
      <c r="J14" s="12" t="s">
        <v>135</v>
      </c>
      <c r="K14" s="6">
        <f xml:space="preserve"> $C$54 * $C$18 * (0.0095 * MAX(G9,S18,G30) - 1.9275)</f>
        <v>300.80300587864031</v>
      </c>
      <c r="L14" s="6" t="s">
        <v>7</v>
      </c>
      <c r="N14" s="6" t="s">
        <v>78</v>
      </c>
      <c r="O14" s="6">
        <v>0</v>
      </c>
      <c r="R14" s="6" t="s">
        <v>78</v>
      </c>
      <c r="S14" s="6">
        <f>$C$5*$C$50/S13</f>
        <v>0.99782101541121948</v>
      </c>
      <c r="Y14" s="2">
        <v>10</v>
      </c>
      <c r="Z14" s="2">
        <f t="shared" si="7"/>
        <v>6.0546875000000944E-2</v>
      </c>
      <c r="AA14" s="37">
        <f t="shared" si="0"/>
        <v>2.5260921412097875E-4</v>
      </c>
      <c r="AB14" s="2">
        <f t="shared" si="8"/>
        <v>6.1523437500000944E-2</v>
      </c>
      <c r="AC14" s="37">
        <f t="shared" si="1"/>
        <v>-1.460195755731801E-3</v>
      </c>
      <c r="AD14" s="2">
        <f t="shared" si="3"/>
        <v>6.1035156250000944E-2</v>
      </c>
      <c r="AE14" s="37">
        <f t="shared" si="2"/>
        <v>-6.0673824068482179E-4</v>
      </c>
      <c r="AF14" s="2">
        <f t="shared" si="4"/>
        <v>-1.5326767015653808E-7</v>
      </c>
      <c r="AG14" s="2">
        <f t="shared" si="5"/>
        <v>8.859566038881567E-7</v>
      </c>
      <c r="AH14" s="2">
        <f t="shared" si="6"/>
        <v>9.765625E-4</v>
      </c>
      <c r="AJ14" s="2">
        <v>10</v>
      </c>
      <c r="AK14" s="2">
        <f t="shared" si="13"/>
        <v>4112.3046875</v>
      </c>
      <c r="AL14" s="2">
        <v>-8.5454517525249685E-3</v>
      </c>
      <c r="AM14" s="2">
        <f t="shared" si="14"/>
        <v>4121.09375</v>
      </c>
      <c r="AN14" s="2">
        <v>3.77699617960252</v>
      </c>
      <c r="AO14" s="2">
        <f t="shared" si="9"/>
        <v>4116.69921875</v>
      </c>
      <c r="AP14" s="2">
        <v>1.884683341017535</v>
      </c>
      <c r="AQ14" s="2">
        <f t="shared" si="10"/>
        <v>-1.6105470559452908E-2</v>
      </c>
      <c r="AR14" s="2">
        <f t="shared" si="11"/>
        <v>7.1184417787837431</v>
      </c>
      <c r="AS14" s="2">
        <f t="shared" si="12"/>
        <v>8.7890625</v>
      </c>
    </row>
    <row r="15" spans="2:45" x14ac:dyDescent="0.2">
      <c r="B15" s="6" t="s">
        <v>263</v>
      </c>
      <c r="C15" s="17">
        <v>1</v>
      </c>
      <c r="J15" s="12" t="s">
        <v>136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448.18818556648904</v>
      </c>
      <c r="L15" s="6" t="s">
        <v>7</v>
      </c>
      <c r="Y15" s="2">
        <v>11</v>
      </c>
      <c r="Z15" s="2">
        <f t="shared" si="7"/>
        <v>6.0546875000000944E-2</v>
      </c>
      <c r="AA15" s="37">
        <f t="shared" si="0"/>
        <v>2.5260921412097875E-4</v>
      </c>
      <c r="AB15" s="2">
        <f t="shared" si="8"/>
        <v>6.1035156250000944E-2</v>
      </c>
      <c r="AC15" s="37">
        <f t="shared" si="1"/>
        <v>-6.0673824068482179E-4</v>
      </c>
      <c r="AD15" s="2">
        <f t="shared" si="3"/>
        <v>6.0791015625000944E-2</v>
      </c>
      <c r="AE15" s="37">
        <f t="shared" si="2"/>
        <v>-1.7780962614297874E-4</v>
      </c>
      <c r="AF15" s="2">
        <f t="shared" si="4"/>
        <v>-4.4916349923122895E-8</v>
      </c>
      <c r="AG15" s="2">
        <f t="shared" si="5"/>
        <v>1.0788389974281681E-7</v>
      </c>
      <c r="AH15" s="2">
        <f t="shared" si="6"/>
        <v>4.8828125E-4</v>
      </c>
      <c r="AJ15" s="2">
        <v>11</v>
      </c>
      <c r="AK15" s="2">
        <f t="shared" si="13"/>
        <v>4112.3046875</v>
      </c>
      <c r="AL15" s="2">
        <v>-8.5454517525249685E-3</v>
      </c>
      <c r="AM15" s="2">
        <f t="shared" si="14"/>
        <v>4116.69921875</v>
      </c>
      <c r="AN15" s="2">
        <v>1.884683341017535</v>
      </c>
      <c r="AO15" s="2">
        <f t="shared" si="9"/>
        <v>4114.501953125</v>
      </c>
      <c r="AP15" s="2">
        <v>0.93819052580192874</v>
      </c>
      <c r="AQ15" s="2">
        <f t="shared" si="10"/>
        <v>-8.017261872916414E-3</v>
      </c>
      <c r="AR15" s="2">
        <f t="shared" si="11"/>
        <v>1.768192054679377</v>
      </c>
      <c r="AS15" s="2">
        <f t="shared" si="12"/>
        <v>4.39453125</v>
      </c>
    </row>
    <row r="16" spans="2:45" x14ac:dyDescent="0.2">
      <c r="F16" s="55" t="s">
        <v>89</v>
      </c>
      <c r="G16" s="58"/>
      <c r="H16" s="58"/>
      <c r="J16" s="13" t="s">
        <v>56</v>
      </c>
      <c r="K16" s="6">
        <f xml:space="preserve"> $C$54 * 0.2138 * K4</f>
        <v>146.0111256781272</v>
      </c>
      <c r="L16" s="6" t="s">
        <v>7</v>
      </c>
      <c r="N16" s="55" t="s">
        <v>27</v>
      </c>
      <c r="O16" s="56"/>
      <c r="P16" s="56"/>
      <c r="R16" s="55" t="s">
        <v>27</v>
      </c>
      <c r="S16" s="56"/>
      <c r="T16" s="56"/>
      <c r="Y16" s="2">
        <v>12</v>
      </c>
      <c r="Z16" s="2">
        <f t="shared" si="7"/>
        <v>6.0546875000000944E-2</v>
      </c>
      <c r="AA16" s="37">
        <f t="shared" si="0"/>
        <v>2.5260921412097875E-4</v>
      </c>
      <c r="AB16" s="2">
        <f t="shared" si="8"/>
        <v>6.0791015625000944E-2</v>
      </c>
      <c r="AC16" s="37">
        <f t="shared" si="1"/>
        <v>-1.7780962614297874E-4</v>
      </c>
      <c r="AD16" s="2">
        <f t="shared" si="3"/>
        <v>6.0668945312500944E-2</v>
      </c>
      <c r="AE16" s="37">
        <f t="shared" si="2"/>
        <v>3.7212391357947794E-5</v>
      </c>
      <c r="AF16" s="2">
        <f t="shared" si="4"/>
        <v>9.4001929364934931E-9</v>
      </c>
      <c r="AG16" s="2">
        <f t="shared" si="5"/>
        <v>-6.6167213952429103E-9</v>
      </c>
      <c r="AH16" s="2">
        <f t="shared" si="6"/>
        <v>2.44140625E-4</v>
      </c>
      <c r="AJ16" s="2">
        <v>12</v>
      </c>
      <c r="AK16" s="2">
        <f t="shared" si="13"/>
        <v>4112.3046875</v>
      </c>
      <c r="AL16" s="2">
        <v>-8.5454517525249685E-3</v>
      </c>
      <c r="AM16" s="2">
        <f t="shared" si="14"/>
        <v>4114.501953125</v>
      </c>
      <c r="AN16" s="2">
        <v>0.93819052580192874</v>
      </c>
      <c r="AO16" s="2">
        <f t="shared" si="9"/>
        <v>4113.4033203125</v>
      </c>
      <c r="AP16" s="2">
        <v>0.46483292470838933</v>
      </c>
      <c r="AQ16" s="2">
        <f t="shared" si="10"/>
        <v>-3.9722073310806119E-3</v>
      </c>
      <c r="AR16" s="2">
        <f t="shared" si="11"/>
        <v>0.43610184604221214</v>
      </c>
      <c r="AS16" s="2">
        <f t="shared" si="12"/>
        <v>2.197265625</v>
      </c>
    </row>
    <row r="17" spans="2:45" x14ac:dyDescent="0.2">
      <c r="B17" s="54" t="s">
        <v>115</v>
      </c>
      <c r="C17" s="54"/>
      <c r="D17" s="54"/>
      <c r="F17" s="9" t="s">
        <v>92</v>
      </c>
      <c r="G17" s="6">
        <f xml:space="preserve"> $C$14/$C$8</f>
        <v>1440</v>
      </c>
      <c r="H17" s="6" t="s">
        <v>14</v>
      </c>
      <c r="J17" s="13" t="s">
        <v>80</v>
      </c>
      <c r="K17" s="6">
        <f xml:space="preserve"> $C$54 * 0.1149 * K4</f>
        <v>78.469028720377992</v>
      </c>
      <c r="L17" s="6" t="s">
        <v>7</v>
      </c>
      <c r="N17" s="6" t="s">
        <v>28</v>
      </c>
      <c r="O17" s="6">
        <f xml:space="preserve"> ACOS(O14)/PI()*180</f>
        <v>90</v>
      </c>
      <c r="P17" s="6" t="s">
        <v>43</v>
      </c>
      <c r="R17" s="6" t="s">
        <v>28</v>
      </c>
      <c r="S17" s="6">
        <f xml:space="preserve"> ACOS(S14)/PI()*180</f>
        <v>3.7830632389466059</v>
      </c>
      <c r="T17" s="6" t="s">
        <v>43</v>
      </c>
      <c r="Y17" s="2">
        <v>13</v>
      </c>
      <c r="Z17" s="2">
        <f t="shared" si="7"/>
        <v>6.0668945312500944E-2</v>
      </c>
      <c r="AA17" s="37">
        <f t="shared" si="0"/>
        <v>3.7212391357947794E-5</v>
      </c>
      <c r="AB17" s="2">
        <f t="shared" si="8"/>
        <v>6.0791015625000944E-2</v>
      </c>
      <c r="AC17" s="37">
        <f t="shared" si="1"/>
        <v>-1.7780962614297874E-4</v>
      </c>
      <c r="AD17" s="2">
        <f t="shared" si="3"/>
        <v>6.0729980468750944E-2</v>
      </c>
      <c r="AE17" s="37">
        <f t="shared" si="2"/>
        <v>-7.0345326792009555E-5</v>
      </c>
      <c r="AF17" s="2">
        <f t="shared" si="4"/>
        <v>-2.61771783078699E-9</v>
      </c>
      <c r="AG17" s="2">
        <f t="shared" si="5"/>
        <v>1.2508076257792884E-8</v>
      </c>
      <c r="AH17" s="2">
        <f t="shared" si="6"/>
        <v>1.220703125E-4</v>
      </c>
      <c r="AJ17" s="2">
        <v>13</v>
      </c>
      <c r="AK17" s="2">
        <f t="shared" si="13"/>
        <v>4112.3046875</v>
      </c>
      <c r="AL17" s="2">
        <v>-8.5454517525249685E-3</v>
      </c>
      <c r="AM17" s="2">
        <f t="shared" si="14"/>
        <v>4113.4033203125</v>
      </c>
      <c r="AN17" s="2">
        <v>0.46483292470838933</v>
      </c>
      <c r="AO17" s="2">
        <f t="shared" si="9"/>
        <v>4112.85400390625</v>
      </c>
      <c r="AP17" s="2">
        <v>0.22815768216332799</v>
      </c>
      <c r="AQ17" s="2">
        <f t="shared" si="10"/>
        <v>-1.9497104648946459E-3</v>
      </c>
      <c r="AR17" s="2">
        <f t="shared" si="11"/>
        <v>0.10605520269466687</v>
      </c>
      <c r="AS17" s="2">
        <f t="shared" si="12"/>
        <v>1.0986328125</v>
      </c>
    </row>
    <row r="18" spans="2:45" x14ac:dyDescent="0.2">
      <c r="B18" s="6" t="s">
        <v>97</v>
      </c>
      <c r="C18" s="17">
        <v>4</v>
      </c>
      <c r="F18" t="s">
        <v>130</v>
      </c>
      <c r="G18" s="8">
        <f>S19*$C$9</f>
        <v>198.21439024853296</v>
      </c>
      <c r="H18" s="6" t="s">
        <v>10</v>
      </c>
      <c r="J18" s="14" t="s">
        <v>63</v>
      </c>
      <c r="K18" s="6">
        <f xml:space="preserve"> $C$55 * (14.86 * ($C$5*2.20462)^0.144 * ($C$26/(PI()*$C$27))^0.778 * ($C$26*3.28084)^0.383 * $C$25^0.455 * 0.453592)</f>
        <v>144.2256202606797</v>
      </c>
      <c r="L18" s="6" t="s">
        <v>7</v>
      </c>
      <c r="N18" s="6" t="s">
        <v>21</v>
      </c>
      <c r="O18" s="6">
        <f xml:space="preserve"> O13 / $C$18</f>
        <v>10076.691508479393</v>
      </c>
      <c r="P18" s="6" t="s">
        <v>22</v>
      </c>
      <c r="R18" s="6" t="s">
        <v>21</v>
      </c>
      <c r="S18" s="6">
        <f xml:space="preserve"> S13 / $C$18</f>
        <v>10097.73045653422</v>
      </c>
      <c r="T18" s="6" t="s">
        <v>22</v>
      </c>
      <c r="Y18" s="2">
        <v>14</v>
      </c>
      <c r="Z18" s="2">
        <f t="shared" si="7"/>
        <v>6.0668945312500944E-2</v>
      </c>
      <c r="AA18" s="37">
        <f t="shared" si="0"/>
        <v>3.7212391357947794E-5</v>
      </c>
      <c r="AB18" s="2">
        <f t="shared" si="8"/>
        <v>6.0729980468750944E-2</v>
      </c>
      <c r="AC18" s="37">
        <f t="shared" si="1"/>
        <v>-7.0345326792009555E-5</v>
      </c>
      <c r="AD18" s="2">
        <f t="shared" si="3"/>
        <v>6.0699462890625944E-2</v>
      </c>
      <c r="AE18" s="37">
        <f t="shared" si="2"/>
        <v>-1.6578162679803388E-5</v>
      </c>
      <c r="AF18" s="2">
        <f t="shared" si="4"/>
        <v>-6.1691307763656824E-10</v>
      </c>
      <c r="AG18" s="2">
        <f t="shared" si="5"/>
        <v>1.1661962713218662E-9</v>
      </c>
      <c r="AH18" s="2">
        <f t="shared" si="6"/>
        <v>6.103515625E-5</v>
      </c>
      <c r="AJ18" s="2">
        <v>14</v>
      </c>
      <c r="AK18" s="2">
        <f t="shared" si="13"/>
        <v>4112.3046875</v>
      </c>
      <c r="AL18" s="2">
        <v>-8.5454517525249685E-3</v>
      </c>
      <c r="AM18" s="2">
        <f t="shared" si="14"/>
        <v>4112.85400390625</v>
      </c>
      <c r="AN18" s="2">
        <v>0.22815768216332799</v>
      </c>
      <c r="AO18" s="2">
        <f t="shared" si="9"/>
        <v>4112.579345703125</v>
      </c>
      <c r="AP18" s="2">
        <v>0.10978711149482479</v>
      </c>
      <c r="AQ18" s="2">
        <f t="shared" si="10"/>
        <v>-9.3818046432810455E-4</v>
      </c>
      <c r="AR18" s="2">
        <f t="shared" si="11"/>
        <v>2.5048772890066087E-2</v>
      </c>
      <c r="AS18" s="2">
        <f t="shared" si="12"/>
        <v>0.54931640625</v>
      </c>
    </row>
    <row r="19" spans="2:45" x14ac:dyDescent="0.2">
      <c r="B19" t="s">
        <v>114</v>
      </c>
      <c r="C19" s="1">
        <v>3</v>
      </c>
      <c r="D19"/>
      <c r="F19" s="6" t="s">
        <v>133</v>
      </c>
      <c r="G19" s="6">
        <f>G18/$C$49</f>
        <v>0.59573619388824506</v>
      </c>
      <c r="H19" s="6" t="s">
        <v>131</v>
      </c>
      <c r="J19" s="14" t="s">
        <v>64</v>
      </c>
      <c r="K19" s="6">
        <f xml:space="preserve"> $C$55 * C31 * $C$5</f>
        <v>46.057867187584002</v>
      </c>
      <c r="L19" s="6" t="s">
        <v>7</v>
      </c>
      <c r="N19" s="6" t="s">
        <v>29</v>
      </c>
      <c r="O19" s="6">
        <f>$C$6*2*PI()/60</f>
        <v>41.887902047863911</v>
      </c>
      <c r="P19" s="6" t="s">
        <v>30</v>
      </c>
      <c r="R19" s="6" t="s">
        <v>29</v>
      </c>
      <c r="S19" s="6">
        <f>$C$7*2*PI()/60</f>
        <v>47.123889803846893</v>
      </c>
      <c r="T19" s="6" t="s">
        <v>30</v>
      </c>
      <c r="Y19" s="2">
        <v>15</v>
      </c>
      <c r="Z19" s="2">
        <f t="shared" si="7"/>
        <v>6.0668945312500944E-2</v>
      </c>
      <c r="AA19" s="37">
        <f t="shared" si="0"/>
        <v>3.7212391357947794E-5</v>
      </c>
      <c r="AB19" s="2">
        <f t="shared" si="8"/>
        <v>6.0699462890625944E-2</v>
      </c>
      <c r="AC19" s="37">
        <f t="shared" si="1"/>
        <v>-1.6578162679803388E-5</v>
      </c>
      <c r="AD19" s="2">
        <f t="shared" si="3"/>
        <v>6.0684204101563444E-2</v>
      </c>
      <c r="AE19" s="37">
        <f t="shared" si="2"/>
        <v>1.0314188392895884E-5</v>
      </c>
      <c r="AF19" s="2">
        <f t="shared" si="4"/>
        <v>3.8381561501604424E-10</v>
      </c>
      <c r="AG19" s="2">
        <f t="shared" si="5"/>
        <v>-1.7099029308756782E-10</v>
      </c>
      <c r="AH19" s="2">
        <f t="shared" si="6"/>
        <v>3.0517578125E-5</v>
      </c>
      <c r="AJ19" s="2">
        <v>15</v>
      </c>
      <c r="AK19" s="2">
        <f t="shared" si="13"/>
        <v>4112.3046875</v>
      </c>
      <c r="AL19" s="2">
        <v>-8.5454517525249685E-3</v>
      </c>
      <c r="AM19" s="2">
        <f t="shared" si="14"/>
        <v>4112.579345703125</v>
      </c>
      <c r="AN19" s="2">
        <v>0.10978711149482479</v>
      </c>
      <c r="AO19" s="2">
        <f t="shared" si="9"/>
        <v>4112.4420166015625</v>
      </c>
      <c r="AP19" s="2">
        <v>5.0599686964687862E-2</v>
      </c>
      <c r="AQ19" s="2">
        <f t="shared" si="10"/>
        <v>-4.323971836496067E-4</v>
      </c>
      <c r="AR19" s="2">
        <f t="shared" si="11"/>
        <v>5.5551934743954187E-3</v>
      </c>
      <c r="AS19" s="2">
        <f t="shared" si="12"/>
        <v>0.274658203125</v>
      </c>
    </row>
    <row r="20" spans="2:45" x14ac:dyDescent="0.2">
      <c r="B20" s="6" t="s">
        <v>128</v>
      </c>
      <c r="C20" s="6">
        <f>$C$19*$C$10/PI()</f>
        <v>6.1401977044853208E-2</v>
      </c>
      <c r="F20" s="9" t="s">
        <v>21</v>
      </c>
      <c r="G20" s="6">
        <f>S18</f>
        <v>10097.73045653422</v>
      </c>
      <c r="H20" s="6" t="s">
        <v>22</v>
      </c>
      <c r="J20" s="14" t="s">
        <v>65</v>
      </c>
      <c r="K20" s="6">
        <f xml:space="preserve"> $C$55 * 0</f>
        <v>0</v>
      </c>
      <c r="L20" s="6" t="s">
        <v>7</v>
      </c>
      <c r="N20" s="6" t="s">
        <v>31</v>
      </c>
      <c r="O20" s="6">
        <f xml:space="preserve"> $G$4 * COS(O17/180*PI()) / (O19 * $C$9)</f>
        <v>8.8273818671181497E-19</v>
      </c>
      <c r="R20" s="6" t="s">
        <v>31</v>
      </c>
      <c r="S20" s="6">
        <f xml:space="preserve"> $C$8 * COS(S17/180*PI()) / (S19 * $C$9)</f>
        <v>0.33756321085224511</v>
      </c>
      <c r="Y20" s="2">
        <v>16</v>
      </c>
      <c r="Z20" s="2">
        <f t="shared" si="7"/>
        <v>6.0684204101563444E-2</v>
      </c>
      <c r="AA20" s="37">
        <f t="shared" si="0"/>
        <v>1.0314188392895884E-5</v>
      </c>
      <c r="AB20" s="2">
        <f t="shared" si="8"/>
        <v>6.0699462890625944E-2</v>
      </c>
      <c r="AC20" s="37">
        <f t="shared" si="1"/>
        <v>-1.6578162679803388E-5</v>
      </c>
      <c r="AD20" s="2">
        <f t="shared" si="3"/>
        <v>6.0691833496094694E-2</v>
      </c>
      <c r="AE20" s="37">
        <f t="shared" si="2"/>
        <v>-3.1327183541360326E-6</v>
      </c>
      <c r="AF20" s="2">
        <f t="shared" si="4"/>
        <v>-3.2311447286441768E-11</v>
      </c>
      <c r="AG20" s="2">
        <f t="shared" si="5"/>
        <v>5.1934714504873069E-11</v>
      </c>
      <c r="AH20" s="2">
        <f t="shared" si="6"/>
        <v>1.52587890625E-5</v>
      </c>
      <c r="AJ20" s="2">
        <v>16</v>
      </c>
      <c r="AK20" s="2">
        <f t="shared" si="13"/>
        <v>4112.3046875</v>
      </c>
      <c r="AL20" s="2">
        <v>-8.5454517525249685E-3</v>
      </c>
      <c r="AM20" s="2">
        <f t="shared" si="14"/>
        <v>4112.4420166015625</v>
      </c>
      <c r="AN20" s="2">
        <v>5.0599686964687862E-2</v>
      </c>
      <c r="AO20" s="2">
        <f t="shared" si="9"/>
        <v>4112.3733520507812</v>
      </c>
      <c r="AP20" s="2">
        <v>2.1027086103913462E-2</v>
      </c>
      <c r="AQ20" s="2">
        <f t="shared" si="10"/>
        <v>-1.796859497971807E-4</v>
      </c>
      <c r="AR20" s="2">
        <f t="shared" si="11"/>
        <v>1.0639639746375593E-3</v>
      </c>
      <c r="AS20" s="2">
        <f t="shared" si="12"/>
        <v>0.1373291015625</v>
      </c>
    </row>
    <row r="21" spans="2:45" x14ac:dyDescent="0.2">
      <c r="B21" s="6" t="s">
        <v>129</v>
      </c>
      <c r="C21" s="17">
        <v>0.75</v>
      </c>
      <c r="F21" s="9" t="s">
        <v>100</v>
      </c>
      <c r="G21" s="6">
        <f xml:space="preserve"> 1/1000 * (S23 + S18 * (S25 * S28 + $C$8 * SIN(S17/180*PI())))</f>
        <v>105.87067889243583</v>
      </c>
      <c r="H21" s="6" t="s">
        <v>104</v>
      </c>
      <c r="J21" s="14" t="s">
        <v>66</v>
      </c>
      <c r="K21" s="6">
        <f xml:space="preserve"> $C$55 * 0</f>
        <v>0</v>
      </c>
      <c r="L21" s="6" t="s">
        <v>7</v>
      </c>
      <c r="N21" s="6" t="s">
        <v>32</v>
      </c>
      <c r="O21" s="6">
        <f xml:space="preserve"> O18 / ($C$41 * PI() * $C$9^2 * O19^2 * $C$9^2)</f>
        <v>5.6167247797754543E-3</v>
      </c>
      <c r="R21" s="6" t="s">
        <v>32</v>
      </c>
      <c r="S21" s="6">
        <f xml:space="preserve"> S18 / ($C$47 * PI() * $C$9^2 * S19^2 * $C$9^2)</f>
        <v>4.5847997630617627E-3</v>
      </c>
      <c r="Y21" s="2">
        <v>17</v>
      </c>
      <c r="Z21" s="2">
        <f t="shared" si="7"/>
        <v>6.0684204101563444E-2</v>
      </c>
      <c r="AA21" s="37">
        <f t="shared" si="0"/>
        <v>1.0314188392895884E-5</v>
      </c>
      <c r="AB21" s="2">
        <f t="shared" si="8"/>
        <v>6.0691833496094694E-2</v>
      </c>
      <c r="AC21" s="37">
        <f t="shared" si="1"/>
        <v>-3.1327183541360326E-6</v>
      </c>
      <c r="AD21" s="2">
        <f t="shared" si="3"/>
        <v>6.0688018798829069E-2</v>
      </c>
      <c r="AE21" s="37">
        <f t="shared" si="2"/>
        <v>3.590552182235196E-6</v>
      </c>
      <c r="AF21" s="2">
        <f t="shared" si="4"/>
        <v>3.7033631642097247E-11</v>
      </c>
      <c r="AG21" s="2">
        <f t="shared" si="5"/>
        <v>-1.1248188722771384E-11</v>
      </c>
      <c r="AH21" s="2">
        <f t="shared" si="6"/>
        <v>7.62939453125E-6</v>
      </c>
      <c r="AJ21" s="2">
        <v>17</v>
      </c>
      <c r="AK21" s="2">
        <f t="shared" si="13"/>
        <v>4112.3046875</v>
      </c>
      <c r="AL21" s="2">
        <v>-8.5454517525249685E-3</v>
      </c>
      <c r="AM21" s="2">
        <f t="shared" si="14"/>
        <v>4112.3733520507812</v>
      </c>
      <c r="AN21" s="2">
        <v>2.1027086103913462E-2</v>
      </c>
      <c r="AO21" s="2">
        <f t="shared" si="9"/>
        <v>4112.3390197753906</v>
      </c>
      <c r="AP21" s="2">
        <v>6.2382882160818554E-3</v>
      </c>
      <c r="AQ21" s="2">
        <f t="shared" si="10"/>
        <v>-5.3308990968872552E-5</v>
      </c>
      <c r="AR21" s="2">
        <f t="shared" si="11"/>
        <v>1.3117302346058187E-4</v>
      </c>
      <c r="AS21" s="2">
        <f t="shared" si="12"/>
        <v>6.866455078125E-2</v>
      </c>
    </row>
    <row r="22" spans="2:45" x14ac:dyDescent="0.2">
      <c r="B22" s="6" t="s">
        <v>288</v>
      </c>
      <c r="C22" s="17">
        <v>50</v>
      </c>
      <c r="D22" s="6" t="s">
        <v>61</v>
      </c>
      <c r="F22" t="s">
        <v>274</v>
      </c>
      <c r="G22" s="6">
        <f xml:space="preserve"> (G20/$C$50*1000) / ($G$21*1000)</f>
        <v>9.7318961217330333</v>
      </c>
      <c r="H22" s="6" t="s">
        <v>275</v>
      </c>
      <c r="J22" s="14" t="s">
        <v>117</v>
      </c>
      <c r="K22" s="6">
        <f>$C$55*(0.14*$G$14*1000/745.7)*0.453592</f>
        <v>38.771827169684215</v>
      </c>
      <c r="L22" s="6" t="s">
        <v>7</v>
      </c>
      <c r="N22" s="6" t="s">
        <v>1</v>
      </c>
      <c r="O22" s="17">
        <v>8.8999999999999999E-3</v>
      </c>
      <c r="R22" s="6" t="s">
        <v>1</v>
      </c>
      <c r="S22" s="17">
        <v>8.8999999999999999E-3</v>
      </c>
      <c r="Y22" s="2">
        <v>18</v>
      </c>
      <c r="Z22" s="2">
        <f t="shared" si="7"/>
        <v>6.0688018798829069E-2</v>
      </c>
      <c r="AA22" s="37">
        <f t="shared" si="0"/>
        <v>3.590552182235196E-6</v>
      </c>
      <c r="AB22" s="2">
        <f t="shared" si="8"/>
        <v>6.0691833496094694E-2</v>
      </c>
      <c r="AC22" s="37">
        <f t="shared" si="1"/>
        <v>-3.1327183541360326E-6</v>
      </c>
      <c r="AD22" s="2">
        <f t="shared" si="3"/>
        <v>6.0689926147461881E-2</v>
      </c>
      <c r="AE22" s="37">
        <f t="shared" si="2"/>
        <v>2.2887120907505443E-7</v>
      </c>
      <c r="AF22" s="2">
        <f t="shared" si="4"/>
        <v>8.2177401919524444E-13</v>
      </c>
      <c r="AG22" s="2">
        <f t="shared" si="5"/>
        <v>-7.1698903740272833E-13</v>
      </c>
      <c r="AH22" s="2">
        <f t="shared" si="6"/>
        <v>3.814697265625E-6</v>
      </c>
      <c r="AJ22" s="2">
        <v>18</v>
      </c>
      <c r="AK22" s="2">
        <f t="shared" si="13"/>
        <v>4112.3046875</v>
      </c>
      <c r="AL22" s="2">
        <v>-8.5454517525249685E-3</v>
      </c>
      <c r="AM22" s="2">
        <f t="shared" si="14"/>
        <v>4112.3390197753906</v>
      </c>
      <c r="AN22" s="2">
        <v>6.2382882160818554E-3</v>
      </c>
      <c r="AO22" s="2">
        <f t="shared" si="9"/>
        <v>4112.3218536376953</v>
      </c>
      <c r="AP22" s="2">
        <v>-1.1720782326847257E-3</v>
      </c>
      <c r="AQ22" s="2">
        <f t="shared" si="10"/>
        <v>1.0015937987592057E-5</v>
      </c>
      <c r="AR22" s="2">
        <f t="shared" si="11"/>
        <v>-7.3117618272831713E-6</v>
      </c>
      <c r="AS22" s="2">
        <f t="shared" si="12"/>
        <v>3.4332275390625E-2</v>
      </c>
    </row>
    <row r="23" spans="2:45" x14ac:dyDescent="0.2">
      <c r="F23" s="9" t="s">
        <v>276</v>
      </c>
      <c r="G23" s="6">
        <f>S21/ ($C$19*$C$10/PI())</f>
        <v>7.4668601626827688E-2</v>
      </c>
      <c r="J23" s="15" t="s">
        <v>67</v>
      </c>
      <c r="K23" s="6">
        <f xml:space="preserve"> $C$56 * (0.0268 * $C$5)</f>
        <v>88.167917187660805</v>
      </c>
      <c r="L23" s="6" t="s">
        <v>7</v>
      </c>
      <c r="N23" s="6" t="s">
        <v>33</v>
      </c>
      <c r="O23" s="6">
        <f xml:space="preserve"> ($C$20 * O22 / 8) * (1 + 4.65 *O20^ 2) * ( PI() * $C$41 * O19^3 *$C$9^ 5)</f>
        <v>21592.347061545392</v>
      </c>
      <c r="P23" s="6" t="s">
        <v>20</v>
      </c>
      <c r="R23" s="6" t="s">
        <v>33</v>
      </c>
      <c r="S23" s="6">
        <f xml:space="preserve"> ($C$20 * S22 / 8) * (1 + 4.65 *S20^ 2) * ( PI() * $C$47 * S19^3 *$C$9^ 5)</f>
        <v>45621.898182449055</v>
      </c>
      <c r="T23" s="6" t="s">
        <v>20</v>
      </c>
      <c r="Y23" s="2">
        <v>19</v>
      </c>
      <c r="Z23" s="2">
        <f t="shared" si="7"/>
        <v>6.0689926147461881E-2</v>
      </c>
      <c r="AA23" s="37">
        <f t="shared" si="0"/>
        <v>2.2887120907505443E-7</v>
      </c>
      <c r="AB23" s="2">
        <f t="shared" si="8"/>
        <v>6.0691833496094694E-2</v>
      </c>
      <c r="AC23" s="37">
        <f t="shared" si="1"/>
        <v>-3.1327183541360326E-6</v>
      </c>
      <c r="AD23" s="2">
        <f t="shared" si="3"/>
        <v>6.0690879821778287E-2</v>
      </c>
      <c r="AE23" s="37">
        <f t="shared" si="2"/>
        <v>-1.4519349982380914E-6</v>
      </c>
      <c r="AF23" s="2">
        <f t="shared" si="4"/>
        <v>-3.3230611854513896E-13</v>
      </c>
      <c r="AG23" s="2">
        <f t="shared" si="5"/>
        <v>4.5485034179929371E-12</v>
      </c>
      <c r="AH23" s="2">
        <f t="shared" si="6"/>
        <v>1.9073486328125E-6</v>
      </c>
      <c r="AJ23" s="2">
        <v>19</v>
      </c>
      <c r="AK23" s="2">
        <f t="shared" si="13"/>
        <v>4112.3218536376953</v>
      </c>
      <c r="AL23" s="2">
        <v>-1.1720782326847257E-3</v>
      </c>
      <c r="AM23" s="2">
        <f t="shared" si="14"/>
        <v>4112.3390197753906</v>
      </c>
      <c r="AN23" s="2">
        <v>6.2382882160818554E-3</v>
      </c>
      <c r="AO23" s="2">
        <f t="shared" si="9"/>
        <v>4112.330436706543</v>
      </c>
      <c r="AP23" s="2">
        <v>2.5146099387711729E-3</v>
      </c>
      <c r="AQ23" s="2">
        <f t="shared" si="10"/>
        <v>-2.9473195729263627E-6</v>
      </c>
      <c r="AR23" s="2">
        <f t="shared" si="11"/>
        <v>1.5686861549078524E-5</v>
      </c>
      <c r="AS23" s="2">
        <f t="shared" si="12"/>
        <v>1.71661376953125E-2</v>
      </c>
    </row>
    <row r="24" spans="2:45" x14ac:dyDescent="0.2">
      <c r="B24" s="54" t="s">
        <v>107</v>
      </c>
      <c r="C24" s="54"/>
      <c r="D24" s="54"/>
      <c r="F24" s="44" t="s">
        <v>225</v>
      </c>
      <c r="G24" s="43">
        <f>$C$18 * G21</f>
        <v>423.48271556974333</v>
      </c>
      <c r="H24" s="43" t="s">
        <v>104</v>
      </c>
      <c r="J24" s="15" t="s">
        <v>68</v>
      </c>
      <c r="K24" s="6">
        <f xml:space="preserve"> $C$56 * (11.5 * ($C$5*2.20462/1000)^0.4 * 0.453592)</f>
        <v>10.07908321886088</v>
      </c>
      <c r="L24" s="6" t="s">
        <v>7</v>
      </c>
      <c r="N24" s="6" t="s">
        <v>34</v>
      </c>
      <c r="O24" s="18">
        <f>AD34</f>
        <v>6.069005606696104E-2</v>
      </c>
      <c r="R24" s="6" t="s">
        <v>34</v>
      </c>
      <c r="S24" s="18">
        <f>AD68</f>
        <v>2.9086653608828783E-2</v>
      </c>
      <c r="Y24" s="2">
        <v>20</v>
      </c>
      <c r="Z24" s="2">
        <f t="shared" si="7"/>
        <v>6.0689926147461881E-2</v>
      </c>
      <c r="AA24" s="37">
        <f t="shared" si="0"/>
        <v>2.2887120907505443E-7</v>
      </c>
      <c r="AB24" s="2">
        <f t="shared" si="8"/>
        <v>6.0690879821778287E-2</v>
      </c>
      <c r="AC24" s="37">
        <f t="shared" si="1"/>
        <v>-1.4519349982380914E-6</v>
      </c>
      <c r="AD24" s="2">
        <f t="shared" si="3"/>
        <v>6.0690402984620084E-2</v>
      </c>
      <c r="AE24" s="37">
        <f t="shared" si="2"/>
        <v>-6.1153475107433852E-7</v>
      </c>
      <c r="AF24" s="2">
        <f t="shared" si="4"/>
        <v>-1.399626978697963E-13</v>
      </c>
      <c r="AG24" s="2">
        <f t="shared" si="5"/>
        <v>8.879087077236513E-13</v>
      </c>
      <c r="AH24" s="2">
        <f t="shared" si="6"/>
        <v>9.5367431640625E-7</v>
      </c>
      <c r="AJ24" s="2">
        <v>20</v>
      </c>
      <c r="AK24" s="2">
        <f t="shared" si="13"/>
        <v>4112.3218536376953</v>
      </c>
      <c r="AL24" s="2">
        <v>-1.1720782326847257E-3</v>
      </c>
      <c r="AM24" s="2">
        <f t="shared" si="14"/>
        <v>4112.330436706543</v>
      </c>
      <c r="AN24" s="2">
        <v>2.5146099387711729E-3</v>
      </c>
      <c r="AO24" s="2">
        <f t="shared" si="9"/>
        <v>4112.3261451721191</v>
      </c>
      <c r="AP24" s="2">
        <v>6.8723918229807168E-4</v>
      </c>
      <c r="AQ24" s="2">
        <f t="shared" si="10"/>
        <v>-8.0549808621961987E-7</v>
      </c>
      <c r="AR24" s="2">
        <f t="shared" si="11"/>
        <v>1.7281384781197049E-6</v>
      </c>
      <c r="AS24" s="2">
        <f t="shared" si="12"/>
        <v>8.58306884765625E-3</v>
      </c>
    </row>
    <row r="25" spans="2:45" x14ac:dyDescent="0.2">
      <c r="B25" t="s">
        <v>108</v>
      </c>
      <c r="C25" s="1">
        <v>6</v>
      </c>
      <c r="D25"/>
      <c r="J25" s="15" t="s">
        <v>69</v>
      </c>
      <c r="K25" s="6">
        <f xml:space="preserve"> $C$56 * (8 * ($C$5/1000))</f>
        <v>26.318781250048001</v>
      </c>
      <c r="L25" s="6" t="s">
        <v>7</v>
      </c>
      <c r="N25" s="6" t="s">
        <v>35</v>
      </c>
      <c r="O25" s="6">
        <f xml:space="preserve"> O19 * $C$9 * O24 - $G$4 * SIN(O17/180*PI())</f>
        <v>8.1530155177439667</v>
      </c>
      <c r="P25" s="6" t="s">
        <v>10</v>
      </c>
      <c r="R25" s="6" t="s">
        <v>35</v>
      </c>
      <c r="S25" s="6">
        <f xml:space="preserve"> S19 * $C$9 * S24 - $C$8 * SIN(S17/180*PI())</f>
        <v>1.341109163152769</v>
      </c>
      <c r="T25" s="6" t="s">
        <v>10</v>
      </c>
      <c r="Y25" s="2">
        <v>21</v>
      </c>
      <c r="Z25" s="2">
        <f t="shared" si="7"/>
        <v>6.0689926147461881E-2</v>
      </c>
      <c r="AA25" s="37">
        <f t="shared" si="0"/>
        <v>2.2887120907505443E-7</v>
      </c>
      <c r="AB25" s="2">
        <f t="shared" si="8"/>
        <v>6.0690402984620084E-2</v>
      </c>
      <c r="AC25" s="37">
        <f t="shared" si="1"/>
        <v>-6.1153475107433852E-7</v>
      </c>
      <c r="AD25" s="2">
        <f t="shared" si="3"/>
        <v>6.0690164566040983E-2</v>
      </c>
      <c r="AE25" s="37">
        <f t="shared" si="2"/>
        <v>-1.913324851332554E-7</v>
      </c>
      <c r="AF25" s="2">
        <f t="shared" si="4"/>
        <v>-4.3790497207783041E-14</v>
      </c>
      <c r="AG25" s="2">
        <f t="shared" si="5"/>
        <v>1.1700646366839991E-13</v>
      </c>
      <c r="AH25" s="2">
        <f t="shared" si="6"/>
        <v>4.76837158203125E-7</v>
      </c>
      <c r="AJ25" s="2">
        <v>21</v>
      </c>
      <c r="AK25" s="2">
        <f t="shared" si="13"/>
        <v>4112.3218536376953</v>
      </c>
      <c r="AL25" s="2">
        <v>-1.1720782326847257E-3</v>
      </c>
      <c r="AM25" s="2">
        <f t="shared" si="14"/>
        <v>4112.3261451721191</v>
      </c>
      <c r="AN25" s="2">
        <v>6.8723918229807168E-4</v>
      </c>
      <c r="AO25" s="2">
        <f t="shared" si="9"/>
        <v>4112.3239994049072</v>
      </c>
      <c r="AP25" s="2">
        <v>-2.4241955816250993E-4</v>
      </c>
      <c r="AQ25" s="2">
        <f t="shared" si="10"/>
        <v>2.8413468729932673E-7</v>
      </c>
      <c r="AR25" s="2">
        <f t="shared" si="11"/>
        <v>-1.6660021892466317E-7</v>
      </c>
      <c r="AS25" s="2">
        <f t="shared" si="12"/>
        <v>4.291534423828125E-3</v>
      </c>
    </row>
    <row r="26" spans="2:45" x14ac:dyDescent="0.2">
      <c r="B26" t="s">
        <v>109</v>
      </c>
      <c r="C26" s="1">
        <v>6.4008000000000003</v>
      </c>
      <c r="D26" t="s">
        <v>8</v>
      </c>
      <c r="F26" s="55" t="s">
        <v>84</v>
      </c>
      <c r="G26" s="58"/>
      <c r="H26" s="58"/>
      <c r="J26" s="15" t="s">
        <v>70</v>
      </c>
      <c r="K26" s="6">
        <f xml:space="preserve"> $C$56 * (13 * ($C$5*2.20462/1000)^1.3 * 0.453592)</f>
        <v>82.859847950299894</v>
      </c>
      <c r="L26" s="6" t="s">
        <v>7</v>
      </c>
      <c r="N26" s="6" t="s">
        <v>36</v>
      </c>
      <c r="O26" s="6">
        <f xml:space="preserve"> 1/$C$21 - O23 * SQRT( (2*$C$41*PI()*$C$9^2) / O18^3 )</f>
        <v>1.1038386353062712</v>
      </c>
      <c r="R26" s="6" t="s">
        <v>36</v>
      </c>
      <c r="S26" s="6">
        <f xml:space="preserve"> 1/$C$21 - S23 * SQRT( (2*$C$47*PI()*$C$9^2) / S18^3 )</f>
        <v>0.85726509502545101</v>
      </c>
      <c r="Y26" s="2">
        <v>22</v>
      </c>
      <c r="Z26" s="2">
        <f t="shared" si="7"/>
        <v>6.0689926147461881E-2</v>
      </c>
      <c r="AA26" s="37">
        <f t="shared" si="0"/>
        <v>2.2887120907505443E-7</v>
      </c>
      <c r="AB26" s="2">
        <f t="shared" si="8"/>
        <v>6.0690164566040983E-2</v>
      </c>
      <c r="AC26" s="37">
        <f t="shared" si="1"/>
        <v>-1.913324851332554E-7</v>
      </c>
      <c r="AD26" s="2">
        <f t="shared" si="3"/>
        <v>6.0690045356751432E-2</v>
      </c>
      <c r="AE26" s="37">
        <f t="shared" si="2"/>
        <v>1.8769183436628811E-8</v>
      </c>
      <c r="AF26" s="2">
        <f t="shared" si="4"/>
        <v>4.2957257064927213E-15</v>
      </c>
      <c r="AG26" s="2">
        <f t="shared" si="5"/>
        <v>-3.5911545108521259E-15</v>
      </c>
      <c r="AH26" s="2">
        <f t="shared" si="6"/>
        <v>2.384185791015625E-7</v>
      </c>
      <c r="AJ26" s="2">
        <v>22</v>
      </c>
      <c r="AK26" s="2">
        <f t="shared" si="13"/>
        <v>4112.3239994049072</v>
      </c>
      <c r="AL26" s="2">
        <v>-2.4241955816250993E-4</v>
      </c>
      <c r="AM26" s="2">
        <f t="shared" si="14"/>
        <v>4112.3261451721191</v>
      </c>
      <c r="AN26" s="2">
        <v>6.8723918229807168E-4</v>
      </c>
      <c r="AO26" s="2">
        <f t="shared" si="9"/>
        <v>4112.3250722885132</v>
      </c>
      <c r="AP26" s="2">
        <v>2.0643635798478499E-4</v>
      </c>
      <c r="AQ26" s="2">
        <f t="shared" si="10"/>
        <v>-5.0044210691349306E-8</v>
      </c>
      <c r="AR26" s="2">
        <f t="shared" si="11"/>
        <v>1.4187115385805564E-7</v>
      </c>
      <c r="AS26" s="2">
        <f t="shared" si="12"/>
        <v>2.1457672119140625E-3</v>
      </c>
    </row>
    <row r="27" spans="2:45" x14ac:dyDescent="0.2">
      <c r="B27" t="s">
        <v>110</v>
      </c>
      <c r="C27" s="1">
        <v>2.0560284000000002</v>
      </c>
      <c r="D27" t="s">
        <v>8</v>
      </c>
      <c r="F27" t="s">
        <v>88</v>
      </c>
      <c r="G27" s="1">
        <f>300*0.3048/60</f>
        <v>1.524</v>
      </c>
      <c r="H27" t="s">
        <v>10</v>
      </c>
      <c r="J27" s="10" t="s">
        <v>57</v>
      </c>
      <c r="K27" s="10">
        <f>$C$5 - $C$13 - SUM(K13:K26)</f>
        <v>-6.4432612730342953E-3</v>
      </c>
      <c r="L27" s="10" t="s">
        <v>7</v>
      </c>
      <c r="N27" s="6" t="s">
        <v>37</v>
      </c>
      <c r="O27" s="17">
        <v>1.1499999999999999</v>
      </c>
      <c r="R27" s="6" t="s">
        <v>37</v>
      </c>
      <c r="S27" s="17">
        <v>1.1499999999999999</v>
      </c>
      <c r="Y27" s="2">
        <v>23</v>
      </c>
      <c r="Z27" s="2">
        <f t="shared" si="7"/>
        <v>6.0690045356751432E-2</v>
      </c>
      <c r="AA27" s="37">
        <f t="shared" si="0"/>
        <v>1.8769183436628811E-8</v>
      </c>
      <c r="AB27" s="2">
        <f t="shared" si="8"/>
        <v>6.0690164566040983E-2</v>
      </c>
      <c r="AC27" s="37">
        <f t="shared" si="1"/>
        <v>-1.913324851332554E-7</v>
      </c>
      <c r="AD27" s="2">
        <f t="shared" si="3"/>
        <v>6.0690104961396207E-2</v>
      </c>
      <c r="AE27" s="37">
        <f t="shared" si="2"/>
        <v>-8.6281695482748333E-8</v>
      </c>
      <c r="AF27" s="2">
        <f t="shared" si="4"/>
        <v>-1.619436969739051E-15</v>
      </c>
      <c r="AG27" s="2">
        <f t="shared" si="5"/>
        <v>1.6508491218225016E-14</v>
      </c>
      <c r="AH27" s="2">
        <f t="shared" si="6"/>
        <v>1.1920928955078125E-7</v>
      </c>
      <c r="AJ27" s="2">
        <v>23</v>
      </c>
      <c r="AK27" s="2">
        <f t="shared" si="13"/>
        <v>4112.3239994049072</v>
      </c>
      <c r="AL27" s="2">
        <v>-2.4241955816250993E-4</v>
      </c>
      <c r="AM27" s="2">
        <f t="shared" si="14"/>
        <v>4112.3250722885132</v>
      </c>
      <c r="AN27" s="2">
        <v>2.0643635798478499E-4</v>
      </c>
      <c r="AO27" s="2">
        <f t="shared" si="9"/>
        <v>4112.3245358467102</v>
      </c>
      <c r="AP27" s="2">
        <v>-2.0512672563199885E-5</v>
      </c>
      <c r="AQ27" s="2">
        <f t="shared" si="10"/>
        <v>4.9726730195031562E-9</v>
      </c>
      <c r="AR27" s="2">
        <f t="shared" si="11"/>
        <v>-4.2345614164814086E-9</v>
      </c>
      <c r="AS27" s="2">
        <f t="shared" si="12"/>
        <v>1.0728836059570312E-3</v>
      </c>
    </row>
    <row r="28" spans="2:45" x14ac:dyDescent="0.2">
      <c r="F28" t="s">
        <v>94</v>
      </c>
      <c r="G28" s="1">
        <f>1000*0.3048</f>
        <v>304.8</v>
      </c>
      <c r="H28" t="s">
        <v>8</v>
      </c>
      <c r="J28" s="6" t="s">
        <v>58</v>
      </c>
      <c r="K28" s="4" t="str">
        <f>IF(ABS(K27)&lt;1, "TRUE", "FALSE")</f>
        <v>TRUE</v>
      </c>
      <c r="N28" s="6" t="s">
        <v>38</v>
      </c>
      <c r="O28" s="6">
        <f xml:space="preserve"> 1/$C$53 * LN( EXP($C$53 * O26) + EXP($C$53 * O27) )</f>
        <v>1.1574478134806463</v>
      </c>
      <c r="R28" s="6" t="s">
        <v>38</v>
      </c>
      <c r="S28" s="6">
        <f xml:space="preserve"> 1/$C$53 * LN( EXP($C$53 * S26) + EXP($C$53 * S27) )</f>
        <v>1.1500051150608728</v>
      </c>
      <c r="Y28" s="2">
        <v>24</v>
      </c>
      <c r="Z28" s="2">
        <f t="shared" si="7"/>
        <v>6.0690045356751432E-2</v>
      </c>
      <c r="AA28" s="37">
        <f t="shared" si="0"/>
        <v>1.8769183436628811E-8</v>
      </c>
      <c r="AB28" s="2">
        <f t="shared" si="8"/>
        <v>6.0690104961396207E-2</v>
      </c>
      <c r="AC28" s="37">
        <f t="shared" si="1"/>
        <v>-8.6281695482748333E-8</v>
      </c>
      <c r="AD28" s="2">
        <f t="shared" si="3"/>
        <v>6.069007515907382E-2</v>
      </c>
      <c r="AE28" s="37">
        <f t="shared" si="2"/>
        <v>-3.3756267184270605E-8</v>
      </c>
      <c r="AF28" s="2">
        <f t="shared" si="4"/>
        <v>-6.3357757091742854E-16</v>
      </c>
      <c r="AG28" s="2">
        <f t="shared" si="5"/>
        <v>2.9125479658275269E-15</v>
      </c>
      <c r="AH28" s="2">
        <f t="shared" si="6"/>
        <v>5.9604644775390625E-8</v>
      </c>
      <c r="AJ28" s="2">
        <v>24</v>
      </c>
      <c r="AK28" s="2">
        <f t="shared" si="13"/>
        <v>4112.3245358467102</v>
      </c>
      <c r="AL28" s="2">
        <v>-2.0512672563199885E-5</v>
      </c>
      <c r="AM28" s="2">
        <f t="shared" si="14"/>
        <v>4112.3250722885132</v>
      </c>
      <c r="AN28" s="2">
        <v>2.0643635798478499E-4</v>
      </c>
      <c r="AO28" s="2">
        <f t="shared" si="9"/>
        <v>4112.3248040676117</v>
      </c>
      <c r="AP28" s="2">
        <v>1.1397743082852685E-4</v>
      </c>
      <c r="AQ28" s="2">
        <f t="shared" si="10"/>
        <v>-2.3379817181803355E-9</v>
      </c>
      <c r="AR28" s="2">
        <f t="shared" si="11"/>
        <v>2.3529085712703838E-8</v>
      </c>
      <c r="AS28" s="2">
        <f t="shared" si="12"/>
        <v>5.3644180297851562E-4</v>
      </c>
    </row>
    <row r="29" spans="2:45" x14ac:dyDescent="0.2">
      <c r="B29" s="54" t="s">
        <v>111</v>
      </c>
      <c r="C29" s="54"/>
      <c r="D29" s="54"/>
      <c r="F29" t="s">
        <v>93</v>
      </c>
      <c r="G29" s="8">
        <f>$G$28/$G$27</f>
        <v>200</v>
      </c>
      <c r="H29" t="s">
        <v>14</v>
      </c>
      <c r="Y29" s="2">
        <v>25</v>
      </c>
      <c r="Z29" s="2">
        <f t="shared" si="7"/>
        <v>6.0690045356751432E-2</v>
      </c>
      <c r="AA29" s="37">
        <f t="shared" si="0"/>
        <v>1.8769183436628811E-8</v>
      </c>
      <c r="AB29" s="2">
        <f t="shared" si="8"/>
        <v>6.069007515907382E-2</v>
      </c>
      <c r="AC29" s="37">
        <f t="shared" si="1"/>
        <v>-3.3756267184270605E-8</v>
      </c>
      <c r="AD29" s="2">
        <f t="shared" si="3"/>
        <v>6.0690060257912626E-2</v>
      </c>
      <c r="AE29" s="37">
        <f t="shared" si="2"/>
        <v>-7.4935446597867994E-9</v>
      </c>
      <c r="AF29" s="2">
        <f t="shared" si="4"/>
        <v>-1.4064771431010867E-16</v>
      </c>
      <c r="AG29" s="2">
        <f t="shared" si="5"/>
        <v>2.5295409569302737E-16</v>
      </c>
      <c r="AH29" s="2">
        <f t="shared" si="6"/>
        <v>2.9802322387695312E-8</v>
      </c>
      <c r="AJ29" s="2">
        <v>25</v>
      </c>
      <c r="AK29" s="2">
        <f t="shared" si="13"/>
        <v>4112.3245358467102</v>
      </c>
      <c r="AL29" s="2">
        <v>-2.0512672563199885E-5</v>
      </c>
      <c r="AM29" s="2">
        <f t="shared" si="14"/>
        <v>4112.3248040676117</v>
      </c>
      <c r="AN29" s="2">
        <v>1.1397743082852685E-4</v>
      </c>
      <c r="AO29" s="2">
        <f t="shared" si="9"/>
        <v>4112.3246699571609</v>
      </c>
      <c r="AP29" s="2">
        <v>3.0758937100472394E-5</v>
      </c>
      <c r="AQ29" s="2">
        <f t="shared" si="10"/>
        <v>-6.3094800513405111E-10</v>
      </c>
      <c r="AR29" s="2">
        <f t="shared" si="11"/>
        <v>3.5058246257281005E-9</v>
      </c>
      <c r="AS29" s="2">
        <f t="shared" si="12"/>
        <v>2.6822090148925781E-4</v>
      </c>
    </row>
    <row r="30" spans="2:45" x14ac:dyDescent="0.2">
      <c r="B30" s="6" t="s">
        <v>124</v>
      </c>
      <c r="C30" s="21" t="s">
        <v>260</v>
      </c>
      <c r="F30" t="s">
        <v>21</v>
      </c>
      <c r="G30" s="6">
        <f xml:space="preserve"> $C$5 * $C$44 / $C$18</f>
        <v>10076.691508479393</v>
      </c>
      <c r="H30" t="s">
        <v>22</v>
      </c>
      <c r="J30" s="59" t="s">
        <v>116</v>
      </c>
      <c r="K30" s="59"/>
      <c r="L30" s="59"/>
      <c r="Y30" s="2">
        <v>26</v>
      </c>
      <c r="Z30" s="2">
        <f t="shared" si="7"/>
        <v>6.0690045356751432E-2</v>
      </c>
      <c r="AA30" s="37">
        <f t="shared" si="0"/>
        <v>1.8769183436628811E-8</v>
      </c>
      <c r="AB30" s="2">
        <f t="shared" si="8"/>
        <v>6.0690060257912626E-2</v>
      </c>
      <c r="AC30" s="37">
        <f t="shared" si="1"/>
        <v>-7.4935446597867994E-9</v>
      </c>
      <c r="AD30" s="2">
        <f t="shared" si="3"/>
        <v>6.0690052807332029E-2</v>
      </c>
      <c r="AE30" s="37">
        <f t="shared" si="2"/>
        <v>5.6378186910621686E-9</v>
      </c>
      <c r="AF30" s="2">
        <f t="shared" si="4"/>
        <v>1.0581725319500037E-16</v>
      </c>
      <c r="AG30" s="2">
        <f t="shared" si="5"/>
        <v>-4.2247246145255116E-17</v>
      </c>
      <c r="AH30" s="2">
        <f t="shared" si="6"/>
        <v>1.4901161193847656E-8</v>
      </c>
      <c r="AJ30" s="2">
        <v>26</v>
      </c>
      <c r="AK30" s="2">
        <f t="shared" si="13"/>
        <v>4112.3245358467102</v>
      </c>
      <c r="AL30" s="2">
        <v>-2.0512672563199885E-5</v>
      </c>
      <c r="AM30" s="2">
        <f t="shared" si="14"/>
        <v>4112.3246699571609</v>
      </c>
      <c r="AN30" s="2">
        <v>3.0758937100472394E-5</v>
      </c>
      <c r="AO30" s="2">
        <f t="shared" si="9"/>
        <v>4112.3246029019356</v>
      </c>
      <c r="AP30" s="2">
        <v>5.1231286306574475E-6</v>
      </c>
      <c r="AQ30" s="2">
        <f t="shared" si="10"/>
        <v>-1.0508906009983082E-10</v>
      </c>
      <c r="AR30" s="2">
        <f t="shared" si="11"/>
        <v>1.575819913080217E-10</v>
      </c>
      <c r="AS30" s="2">
        <f t="shared" si="12"/>
        <v>1.3411045074462891E-4</v>
      </c>
    </row>
    <row r="31" spans="2:45" x14ac:dyDescent="0.2">
      <c r="B31" s="6" t="s">
        <v>126</v>
      </c>
      <c r="C31" s="6">
        <f>IF(C30="wheeled",0.0325,0.014)</f>
        <v>1.4E-2</v>
      </c>
      <c r="F31" t="s">
        <v>100</v>
      </c>
      <c r="G31" s="6">
        <f>G33/$C$18</f>
        <v>125.44863271161778</v>
      </c>
      <c r="H31" t="s">
        <v>20</v>
      </c>
      <c r="J31" s="6" t="s">
        <v>60</v>
      </c>
      <c r="K31" s="6">
        <f>ROUND($C$13,2)</f>
        <v>600</v>
      </c>
      <c r="L31" s="6" t="s">
        <v>7</v>
      </c>
      <c r="Y31" s="2">
        <v>27</v>
      </c>
      <c r="Z31" s="2">
        <f t="shared" si="7"/>
        <v>6.0690052807332029E-2</v>
      </c>
      <c r="AA31" s="37">
        <f t="shared" si="0"/>
        <v>5.6378186910621686E-9</v>
      </c>
      <c r="AB31" s="2">
        <f t="shared" si="8"/>
        <v>6.0690060257912626E-2</v>
      </c>
      <c r="AC31" s="37">
        <f t="shared" si="1"/>
        <v>-7.4935446597867994E-9</v>
      </c>
      <c r="AD31" s="2">
        <f t="shared" si="3"/>
        <v>6.0690056532622327E-2</v>
      </c>
      <c r="AE31" s="37">
        <f t="shared" si="2"/>
        <v>-9.2786316130410995E-10</v>
      </c>
      <c r="AF31" s="2">
        <f t="shared" si="4"/>
        <v>-5.2311242735483431E-18</v>
      </c>
      <c r="AG31" s="2">
        <f t="shared" si="5"/>
        <v>6.9529840374033114E-18</v>
      </c>
      <c r="AH31" s="2">
        <f t="shared" si="6"/>
        <v>7.4505805969238281E-9</v>
      </c>
      <c r="AJ31" s="2">
        <v>27</v>
      </c>
      <c r="AK31" s="2">
        <f t="shared" si="13"/>
        <v>4112.3245358467102</v>
      </c>
      <c r="AL31" s="2">
        <v>-2.0512672563199885E-5</v>
      </c>
      <c r="AM31" s="2">
        <f t="shared" si="14"/>
        <v>4112.3246029019356</v>
      </c>
      <c r="AN31" s="2">
        <v>5.1231286306574475E-6</v>
      </c>
      <c r="AO31" s="2">
        <f t="shared" si="9"/>
        <v>4112.3245693743229</v>
      </c>
      <c r="AP31" s="2">
        <v>-7.6947726483922452E-6</v>
      </c>
      <c r="AQ31" s="2">
        <f t="shared" si="10"/>
        <v>1.5784035178473652E-10</v>
      </c>
      <c r="AR31" s="2">
        <f t="shared" si="11"/>
        <v>-3.9421310061378144E-11</v>
      </c>
      <c r="AS31" s="2">
        <f t="shared" si="12"/>
        <v>6.7055225372314453E-5</v>
      </c>
    </row>
    <row r="32" spans="2:45" x14ac:dyDescent="0.2">
      <c r="B32" t="s">
        <v>261</v>
      </c>
      <c r="C32" s="1">
        <v>2.8540374719999999</v>
      </c>
      <c r="D32" t="s">
        <v>8</v>
      </c>
      <c r="F32" t="s">
        <v>274</v>
      </c>
      <c r="G32" s="6">
        <f xml:space="preserve"> (G30/$C$44*1000) / (G31*1000)</f>
        <v>8.195206040574007</v>
      </c>
      <c r="H32" s="6" t="s">
        <v>275</v>
      </c>
      <c r="J32" s="11" t="s">
        <v>55</v>
      </c>
      <c r="K32" s="6">
        <f>ROUND(K13,2)</f>
        <v>2102.36</v>
      </c>
      <c r="L32" s="6" t="s">
        <v>7</v>
      </c>
      <c r="Y32" s="2">
        <v>28</v>
      </c>
      <c r="Z32" s="2">
        <f t="shared" si="7"/>
        <v>6.0690052807332029E-2</v>
      </c>
      <c r="AA32" s="37">
        <f t="shared" si="0"/>
        <v>5.6378186910621686E-9</v>
      </c>
      <c r="AB32" s="2">
        <f t="shared" si="8"/>
        <v>6.0690056532622327E-2</v>
      </c>
      <c r="AC32" s="37">
        <f t="shared" si="1"/>
        <v>-9.2786316130410995E-10</v>
      </c>
      <c r="AD32" s="2">
        <f t="shared" si="3"/>
        <v>6.0690054669977178E-2</v>
      </c>
      <c r="AE32" s="37">
        <f t="shared" si="2"/>
        <v>2.3549777197762189E-9</v>
      </c>
      <c r="AF32" s="2">
        <f t="shared" si="4"/>
        <v>1.3276937405589333E-17</v>
      </c>
      <c r="AG32" s="2">
        <f t="shared" si="5"/>
        <v>-2.185097071872307E-18</v>
      </c>
      <c r="AH32" s="2">
        <f t="shared" si="6"/>
        <v>3.7252902984619141E-9</v>
      </c>
      <c r="AJ32" s="2">
        <v>28</v>
      </c>
      <c r="AK32" s="2">
        <f t="shared" si="13"/>
        <v>4112.3245693743229</v>
      </c>
      <c r="AL32" s="2">
        <v>-7.6947726483922452E-6</v>
      </c>
      <c r="AM32" s="2">
        <f t="shared" si="14"/>
        <v>4112.3246029019356</v>
      </c>
      <c r="AN32" s="2">
        <v>5.1231286306574475E-6</v>
      </c>
      <c r="AO32" s="2">
        <f t="shared" si="9"/>
        <v>4112.3245861381292</v>
      </c>
      <c r="AP32" s="2">
        <v>-1.2858217814937234E-6</v>
      </c>
      <c r="AQ32" s="2">
        <f t="shared" si="10"/>
        <v>9.8941062749448927E-12</v>
      </c>
      <c r="AR32" s="2">
        <f t="shared" si="11"/>
        <v>-6.5874303826934588E-12</v>
      </c>
      <c r="AS32" s="2">
        <f t="shared" si="12"/>
        <v>3.3527612686157227E-5</v>
      </c>
    </row>
    <row r="33" spans="2:45" x14ac:dyDescent="0.2">
      <c r="B33" t="s">
        <v>262</v>
      </c>
      <c r="C33" s="1">
        <f>(0.750222528+0.849998808)/2</f>
        <v>0.80011066800000008</v>
      </c>
      <c r="D33"/>
      <c r="F33" s="42" t="s">
        <v>86</v>
      </c>
      <c r="G33" s="43">
        <f xml:space="preserve"> 1/1000 * IF($G$27&gt;= 2*SQRT(($C$5*$C$44)/(2*$C$41*$C$18*PI()*$C$9*$C$9)), ($C$5*$C$44)/$C$21 * ( ($G$27/2) - SQRT( ($G$27/2)^2 - ($C$5*$C$44)/(2*$C$41*$C$18*PI()*$C$9*$C$9 ) ) ), 1/$C$21 * SQRT(($C$5*$C$44)^3/(2*$C$41*$C$18*PI()*$C$9*$C$9)) )</f>
        <v>501.7945308464711</v>
      </c>
      <c r="H33" s="42" t="s">
        <v>104</v>
      </c>
      <c r="J33" s="19" t="s">
        <v>81</v>
      </c>
      <c r="K33" s="6">
        <f>ROUND(SUM(K14:K17),2)</f>
        <v>973.47</v>
      </c>
      <c r="L33" s="6" t="s">
        <v>7</v>
      </c>
      <c r="Y33" s="2">
        <v>29</v>
      </c>
      <c r="Z33" s="2">
        <f t="shared" si="7"/>
        <v>6.0690054669977178E-2</v>
      </c>
      <c r="AA33" s="37">
        <f t="shared" si="0"/>
        <v>2.3549777197762189E-9</v>
      </c>
      <c r="AB33" s="2">
        <f t="shared" si="8"/>
        <v>6.0690056532622327E-2</v>
      </c>
      <c r="AC33" s="37">
        <f t="shared" si="1"/>
        <v>-9.2786316130410995E-10</v>
      </c>
      <c r="AD33" s="2">
        <f t="shared" si="3"/>
        <v>6.0690055601299753E-2</v>
      </c>
      <c r="AE33" s="37">
        <f t="shared" si="2"/>
        <v>7.1355726882771364E-10</v>
      </c>
      <c r="AF33" s="2">
        <f t="shared" si="4"/>
        <v>1.6804114698736355E-18</v>
      </c>
      <c r="AG33" s="2">
        <f t="shared" si="5"/>
        <v>-6.6208350322600901E-19</v>
      </c>
      <c r="AH33" s="2">
        <f t="shared" si="6"/>
        <v>1.862645149230957E-9</v>
      </c>
      <c r="AJ33" s="2">
        <v>29</v>
      </c>
      <c r="AK33" s="2">
        <f t="shared" si="13"/>
        <v>4112.3245861381292</v>
      </c>
      <c r="AL33" s="2">
        <v>-1.2858217814937234E-6</v>
      </c>
      <c r="AM33" s="2">
        <f t="shared" si="14"/>
        <v>4112.3246029019356</v>
      </c>
      <c r="AN33" s="2">
        <v>5.1231286306574475E-6</v>
      </c>
      <c r="AO33" s="2">
        <f t="shared" si="9"/>
        <v>4112.3245945200324</v>
      </c>
      <c r="AP33" s="2">
        <v>1.9186563804396428E-6</v>
      </c>
      <c r="AQ33" s="2">
        <f t="shared" si="10"/>
        <v>-2.4670501651712006E-12</v>
      </c>
      <c r="AR33" s="2">
        <f t="shared" si="11"/>
        <v>9.8295234350239219E-12</v>
      </c>
      <c r="AS33" s="2">
        <f t="shared" si="12"/>
        <v>1.6763806343078613E-5</v>
      </c>
    </row>
    <row r="34" spans="2:45" x14ac:dyDescent="0.2">
      <c r="J34" s="20" t="s">
        <v>72</v>
      </c>
      <c r="K34" s="6">
        <f>ROUND(SUM(K18:K22),2)</f>
        <v>229.06</v>
      </c>
      <c r="L34" s="6" t="s">
        <v>7</v>
      </c>
      <c r="Y34" s="2">
        <v>30</v>
      </c>
      <c r="Z34" s="2">
        <f t="shared" si="7"/>
        <v>6.0690055601299753E-2</v>
      </c>
      <c r="AA34" s="37">
        <f t="shared" si="0"/>
        <v>7.1355726882771364E-10</v>
      </c>
      <c r="AB34" s="2">
        <f t="shared" si="8"/>
        <v>6.0690056532622327E-2</v>
      </c>
      <c r="AC34" s="37">
        <f t="shared" si="1"/>
        <v>-9.2786316130410995E-10</v>
      </c>
      <c r="AD34" s="5">
        <f xml:space="preserve"> (Z34 + AB34)/2</f>
        <v>6.069005606696104E-2</v>
      </c>
      <c r="AE34" s="37">
        <f t="shared" si="2"/>
        <v>-1.0715294623819815E-10</v>
      </c>
      <c r="AF34" s="2">
        <f t="shared" si="4"/>
        <v>-7.6459763664571508E-20</v>
      </c>
      <c r="AG34" s="2">
        <f t="shared" si="5"/>
        <v>9.9423271439623876E-20</v>
      </c>
      <c r="AH34" s="2">
        <f>AB34-Z34</f>
        <v>9.3132257461547852E-10</v>
      </c>
      <c r="AJ34" s="2">
        <v>30</v>
      </c>
      <c r="AK34" s="2">
        <f t="shared" si="13"/>
        <v>4112.3245861381292</v>
      </c>
      <c r="AL34" s="2">
        <v>-1.2858217814937234E-6</v>
      </c>
      <c r="AM34" s="2">
        <f t="shared" si="14"/>
        <v>4112.3245945200324</v>
      </c>
      <c r="AN34" s="2">
        <v>1.9186563804396428E-6</v>
      </c>
      <c r="AO34" s="2">
        <f t="shared" si="9"/>
        <v>4112.3245903290808</v>
      </c>
      <c r="AP34" s="2">
        <v>3.1641957320971414E-7</v>
      </c>
      <c r="AQ34" s="2">
        <f t="shared" si="10"/>
        <v>-4.0685917932399827E-13</v>
      </c>
      <c r="AR34" s="2">
        <f t="shared" si="11"/>
        <v>6.0710043303480671E-13</v>
      </c>
      <c r="AS34" s="2">
        <f t="shared" si="12"/>
        <v>8.3819031715393066E-6</v>
      </c>
    </row>
    <row r="35" spans="2:45" x14ac:dyDescent="0.2">
      <c r="B35" s="59" t="s">
        <v>2</v>
      </c>
      <c r="C35" s="59"/>
      <c r="D35" s="59"/>
      <c r="F35" s="55" t="s">
        <v>289</v>
      </c>
      <c r="G35" s="58"/>
      <c r="H35" s="58"/>
      <c r="J35" s="15" t="s">
        <v>73</v>
      </c>
      <c r="K35" s="6">
        <f>ROUND(SUM(K23:K26),2)</f>
        <v>207.43</v>
      </c>
      <c r="L35" s="6" t="s">
        <v>7</v>
      </c>
      <c r="AJ35" s="2">
        <v>31</v>
      </c>
      <c r="AK35" s="2">
        <f t="shared" si="13"/>
        <v>4112.3245861381292</v>
      </c>
      <c r="AL35" s="2">
        <v>-1.2858217814937234E-6</v>
      </c>
      <c r="AM35" s="2">
        <f t="shared" si="14"/>
        <v>4112.3245903290808</v>
      </c>
      <c r="AN35" s="2">
        <v>3.1641957320971414E-7</v>
      </c>
      <c r="AO35" s="2">
        <f t="shared" si="9"/>
        <v>4112.324588233605</v>
      </c>
      <c r="AP35" s="2">
        <v>-4.8470019464730285E-7</v>
      </c>
      <c r="AQ35" s="2">
        <f t="shared" si="10"/>
        <v>6.2323806777174944E-13</v>
      </c>
      <c r="AR35" s="2">
        <f t="shared" si="11"/>
        <v>-1.5336862872496494E-13</v>
      </c>
      <c r="AS35" s="2">
        <f t="shared" si="12"/>
        <v>4.1909515857696533E-6</v>
      </c>
    </row>
    <row r="36" spans="2:45" x14ac:dyDescent="0.2">
      <c r="B36" s="6" t="s">
        <v>3</v>
      </c>
      <c r="C36" s="17">
        <v>250</v>
      </c>
      <c r="D36" s="6" t="s">
        <v>4</v>
      </c>
      <c r="F36" s="9" t="s">
        <v>290</v>
      </c>
      <c r="G36" s="17">
        <f>20*60</f>
        <v>1200</v>
      </c>
      <c r="H36" s="6" t="s">
        <v>14</v>
      </c>
      <c r="J36" s="10" t="s">
        <v>62</v>
      </c>
      <c r="K36" s="10">
        <f>SUM(K31:K35)</f>
        <v>4112.32</v>
      </c>
      <c r="L36" s="6" t="s">
        <v>7</v>
      </c>
      <c r="Y36" s="16" t="s">
        <v>96</v>
      </c>
      <c r="AJ36" s="2">
        <v>32</v>
      </c>
      <c r="AK36" s="2">
        <f t="shared" si="13"/>
        <v>4112.324588233605</v>
      </c>
      <c r="AL36" s="2">
        <v>-4.8470019464730285E-7</v>
      </c>
      <c r="AM36" s="2">
        <f t="shared" si="14"/>
        <v>4112.3245903290808</v>
      </c>
      <c r="AN36" s="2">
        <v>3.1641957320971414E-7</v>
      </c>
      <c r="AO36" s="2">
        <f t="shared" si="9"/>
        <v>4112.3245892813429</v>
      </c>
      <c r="AP36" s="2">
        <v>-8.4142357081873342E-8</v>
      </c>
      <c r="AQ36" s="2">
        <f t="shared" si="10"/>
        <v>4.0783816855666871E-14</v>
      </c>
      <c r="AR36" s="2">
        <f t="shared" si="11"/>
        <v>-2.6624288716705731E-14</v>
      </c>
      <c r="AS36" s="2">
        <f t="shared" si="12"/>
        <v>2.0954757928848267E-6</v>
      </c>
    </row>
    <row r="37" spans="2:45" x14ac:dyDescent="0.2">
      <c r="B37" s="6" t="s">
        <v>5</v>
      </c>
      <c r="C37" s="17">
        <v>0.85</v>
      </c>
      <c r="F37" s="44" t="s">
        <v>225</v>
      </c>
      <c r="G37" s="43">
        <f xml:space="preserve"> G24</f>
        <v>423.48271556974333</v>
      </c>
      <c r="H37" s="43" t="s">
        <v>104</v>
      </c>
      <c r="Y37" s="7" t="s">
        <v>44</v>
      </c>
      <c r="Z37" s="7" t="s">
        <v>45</v>
      </c>
      <c r="AA37" s="7" t="s">
        <v>46</v>
      </c>
      <c r="AB37" s="7" t="s">
        <v>47</v>
      </c>
      <c r="AC37" s="7" t="s">
        <v>48</v>
      </c>
      <c r="AD37" s="7" t="s">
        <v>49</v>
      </c>
      <c r="AE37" s="7" t="s">
        <v>50</v>
      </c>
      <c r="AF37" s="7" t="s">
        <v>51</v>
      </c>
      <c r="AG37" s="7" t="s">
        <v>52</v>
      </c>
      <c r="AH37" s="7" t="s">
        <v>53</v>
      </c>
      <c r="AJ37" s="2">
        <v>33</v>
      </c>
      <c r="AK37" s="2">
        <f t="shared" si="13"/>
        <v>4112.3245892813429</v>
      </c>
      <c r="AL37" s="2">
        <v>-8.4142357081873342E-8</v>
      </c>
      <c r="AM37" s="2">
        <f t="shared" si="14"/>
        <v>4112.3245903290808</v>
      </c>
      <c r="AN37" s="2">
        <v>3.1641957320971414E-7</v>
      </c>
      <c r="AO37" s="2">
        <f t="shared" si="9"/>
        <v>4112.3245898052119</v>
      </c>
      <c r="AP37" s="2">
        <v>1.1613565220613964E-7</v>
      </c>
      <c r="AQ37" s="2">
        <f t="shared" si="10"/>
        <v>-9.7719275178652531E-15</v>
      </c>
      <c r="AR37" s="2">
        <f t="shared" si="11"/>
        <v>3.6747593505498502E-14</v>
      </c>
      <c r="AS37" s="2">
        <f t="shared" si="12"/>
        <v>1.0477378964424133E-6</v>
      </c>
    </row>
    <row r="38" spans="2:45" x14ac:dyDescent="0.2">
      <c r="B38" s="6" t="s">
        <v>6</v>
      </c>
      <c r="C38" s="17">
        <v>0.8</v>
      </c>
      <c r="J38" s="59" t="s">
        <v>59</v>
      </c>
      <c r="K38" s="59"/>
      <c r="L38" s="59"/>
      <c r="Y38" s="2">
        <v>0</v>
      </c>
      <c r="Z38" s="3">
        <v>0</v>
      </c>
      <c r="AA38" s="2">
        <f t="shared" ref="AA38:AA68" si="15" xml:space="preserve"> $S$20 * TAN($S$17/180*PI()) + $S$21 / (2 * SQRT($S$20^2 + Z38^2)) - Z38</f>
        <v>2.9111725083408799E-2</v>
      </c>
      <c r="AB38" s="3">
        <v>1</v>
      </c>
      <c r="AC38" s="2">
        <f t="shared" ref="AC38:AC68" si="16" xml:space="preserve"> $S$20 * TAN($S$17/180*PI()) + $S$21 / (2 * SQRT($S$20^2 + AB38^2)) - AB38</f>
        <v>-0.97550730937496533</v>
      </c>
      <c r="AD38" s="2">
        <f xml:space="preserve"> (Z38 + AB38)/2</f>
        <v>0.5</v>
      </c>
      <c r="AE38" s="2">
        <f t="shared" ref="AE38:AE68" si="17" xml:space="preserve"> $S$20 * TAN($S$17/180*PI()) + $S$21 / (2 * SQRT($S$20^2 + AD38^2)) - AD38</f>
        <v>-0.47387941653572963</v>
      </c>
      <c r="AF38" s="2">
        <f>AA38*AE38</f>
        <v>-1.3795447296874326E-2</v>
      </c>
      <c r="AG38" s="2">
        <f>AC38*AE38</f>
        <v>0.46227283459294805</v>
      </c>
      <c r="AH38" s="2">
        <f>AB38-Z38</f>
        <v>1</v>
      </c>
      <c r="AJ38" s="2">
        <v>34</v>
      </c>
      <c r="AK38" s="2">
        <f t="shared" si="13"/>
        <v>4112.3245892813429</v>
      </c>
      <c r="AL38" s="2">
        <v>-8.4142357081873342E-8</v>
      </c>
      <c r="AM38" s="2">
        <f t="shared" si="14"/>
        <v>4112.3245898052119</v>
      </c>
      <c r="AN38" s="2">
        <v>1.1613565220613964E-7</v>
      </c>
      <c r="AO38" s="2">
        <f t="shared" si="9"/>
        <v>4112.3245895432774</v>
      </c>
      <c r="AP38" s="2">
        <v>1.5996192814782262E-8</v>
      </c>
      <c r="AQ38" s="2">
        <f t="shared" si="10"/>
        <v>-1.3459573677719057E-15</v>
      </c>
      <c r="AR38" s="2">
        <f t="shared" si="11"/>
        <v>1.8577282853599026E-15</v>
      </c>
      <c r="AS38" s="2">
        <f t="shared" si="12"/>
        <v>5.2386894822120667E-7</v>
      </c>
    </row>
    <row r="39" spans="2:45" x14ac:dyDescent="0.2">
      <c r="J39" s="6" t="s">
        <v>60</v>
      </c>
      <c r="K39" s="6">
        <f>ROUND($C$13/$C$5 * 100, 2)</f>
        <v>14.59</v>
      </c>
      <c r="L39" s="6" t="s">
        <v>61</v>
      </c>
      <c r="Y39" s="2">
        <v>1</v>
      </c>
      <c r="Z39" s="2">
        <f>IF(AF38&gt;0, AD38, Z38)</f>
        <v>0</v>
      </c>
      <c r="AA39" s="2">
        <f t="shared" si="15"/>
        <v>2.9111725083408799E-2</v>
      </c>
      <c r="AB39" s="2">
        <f>IF(AG38&gt;0, AD38, AB38)</f>
        <v>0.5</v>
      </c>
      <c r="AC39" s="2">
        <f t="shared" si="16"/>
        <v>-0.47387941653572963</v>
      </c>
      <c r="AD39" s="2">
        <f t="shared" ref="AD39:AD68" si="18" xml:space="preserve"> (Z39 + AB39)/2</f>
        <v>0.25</v>
      </c>
      <c r="AE39" s="2">
        <f t="shared" si="17"/>
        <v>-0.22222196069947353</v>
      </c>
      <c r="AF39" s="2">
        <f t="shared" ref="AF39:AF68" si="19">AA39*AE39</f>
        <v>-6.4692646273791475E-3</v>
      </c>
      <c r="AG39" s="2">
        <f t="shared" ref="AG39:AG68" si="20">AC39*AE39</f>
        <v>0.10530641307769235</v>
      </c>
      <c r="AH39" s="2">
        <f t="shared" ref="AH39:AH67" si="21">AB39-Z39</f>
        <v>0.5</v>
      </c>
      <c r="AJ39" s="2">
        <v>35</v>
      </c>
      <c r="AK39" s="2">
        <f t="shared" si="13"/>
        <v>4112.3245892813429</v>
      </c>
      <c r="AL39" s="2">
        <v>-8.4142357081873342E-8</v>
      </c>
      <c r="AM39" s="2">
        <f t="shared" si="14"/>
        <v>4112.3245895432774</v>
      </c>
      <c r="AN39" s="2">
        <v>1.5996192814782262E-8</v>
      </c>
      <c r="AO39" s="2">
        <f t="shared" si="9"/>
        <v>4112.3245894123102</v>
      </c>
      <c r="AP39" s="2">
        <v>-3.4069671528413892E-8</v>
      </c>
      <c r="AQ39" s="2">
        <f t="shared" si="10"/>
        <v>2.8667024674059352E-15</v>
      </c>
      <c r="AR39" s="2">
        <f t="shared" si="11"/>
        <v>-5.449850349048061E-16</v>
      </c>
      <c r="AS39" s="2">
        <f t="shared" si="12"/>
        <v>2.6193447411060333E-7</v>
      </c>
    </row>
    <row r="40" spans="2:45" x14ac:dyDescent="0.2">
      <c r="B40" s="59" t="s">
        <v>272</v>
      </c>
      <c r="C40" s="60"/>
      <c r="D40" s="60"/>
      <c r="J40" s="11" t="s">
        <v>55</v>
      </c>
      <c r="K40" s="6">
        <f>ROUND(K13/$C$5 * 100, 2)</f>
        <v>51.12</v>
      </c>
      <c r="L40" s="6" t="s">
        <v>61</v>
      </c>
      <c r="Y40" s="2">
        <v>2</v>
      </c>
      <c r="Z40" s="2">
        <f t="shared" ref="Z40:Z68" si="22">IF(AF39&gt;0, AD39, Z39)</f>
        <v>0</v>
      </c>
      <c r="AA40" s="2">
        <f t="shared" si="15"/>
        <v>2.9111725083408799E-2</v>
      </c>
      <c r="AB40" s="2">
        <f t="shared" ref="AB40:AB68" si="23">IF(AG39&gt;0, AD39, AB39)</f>
        <v>0.25</v>
      </c>
      <c r="AC40" s="2">
        <f t="shared" si="16"/>
        <v>-0.22222196069947353</v>
      </c>
      <c r="AD40" s="2">
        <f t="shared" si="18"/>
        <v>0.125</v>
      </c>
      <c r="AE40" s="2">
        <f t="shared" si="17"/>
        <v>-9.6310880739947147E-2</v>
      </c>
      <c r="AF40" s="2">
        <f t="shared" si="19"/>
        <v>-2.8037758826423126E-3</v>
      </c>
      <c r="AG40" s="2">
        <f t="shared" si="20"/>
        <v>2.1402392754724216E-2</v>
      </c>
      <c r="AH40" s="2">
        <f t="shared" si="21"/>
        <v>0.25</v>
      </c>
      <c r="AJ40" s="2">
        <v>36</v>
      </c>
      <c r="AK40" s="2">
        <f t="shared" si="13"/>
        <v>4112.3245894123102</v>
      </c>
      <c r="AL40" s="2">
        <v>-3.4069671528413892E-8</v>
      </c>
      <c r="AM40" s="2">
        <f t="shared" si="14"/>
        <v>4112.3245895432774</v>
      </c>
      <c r="AN40" s="2">
        <v>1.5996192814782262E-8</v>
      </c>
      <c r="AO40" s="2">
        <f t="shared" si="9"/>
        <v>4112.3245894777938</v>
      </c>
      <c r="AP40" s="2">
        <v>-9.0335561253596097E-9</v>
      </c>
      <c r="AQ40" s="2">
        <f t="shared" si="10"/>
        <v>3.0777028992449321E-16</v>
      </c>
      <c r="AR40" s="2">
        <f t="shared" si="11"/>
        <v>-1.4450250558440968E-16</v>
      </c>
      <c r="AS40" s="2">
        <f t="shared" si="12"/>
        <v>1.3096723705530167E-7</v>
      </c>
    </row>
    <row r="41" spans="2:45" x14ac:dyDescent="0.2">
      <c r="B41" s="6" t="s">
        <v>15</v>
      </c>
      <c r="C41" s="17">
        <v>1.0397562309141399</v>
      </c>
      <c r="D41" s="6" t="s">
        <v>16</v>
      </c>
      <c r="J41" s="19" t="s">
        <v>81</v>
      </c>
      <c r="K41" s="6">
        <f>ROUND(SUM(K14:K17)/$C$5 * 100, 2)</f>
        <v>23.67</v>
      </c>
      <c r="L41" s="6" t="s">
        <v>61</v>
      </c>
      <c r="Y41" s="2">
        <v>3</v>
      </c>
      <c r="Z41" s="2">
        <f t="shared" si="22"/>
        <v>0</v>
      </c>
      <c r="AA41" s="2">
        <f t="shared" si="15"/>
        <v>2.9111725083408799E-2</v>
      </c>
      <c r="AB41" s="2">
        <f t="shared" si="23"/>
        <v>0.125</v>
      </c>
      <c r="AC41" s="2">
        <f t="shared" si="16"/>
        <v>-9.6310880739947147E-2</v>
      </c>
      <c r="AD41" s="2">
        <f t="shared" si="18"/>
        <v>6.25E-2</v>
      </c>
      <c r="AE41" s="2">
        <f t="shared" si="17"/>
        <v>-3.3501765767243119E-2</v>
      </c>
      <c r="AF41" s="2">
        <f t="shared" si="19"/>
        <v>-9.7529419482473775E-4</v>
      </c>
      <c r="AG41" s="2">
        <f t="shared" si="20"/>
        <v>3.2265845673865958E-3</v>
      </c>
      <c r="AH41" s="2">
        <f t="shared" si="21"/>
        <v>0.125</v>
      </c>
      <c r="AJ41" s="2">
        <v>37</v>
      </c>
      <c r="AK41" s="2">
        <f t="shared" si="13"/>
        <v>4112.3245894777938</v>
      </c>
      <c r="AL41" s="2">
        <v>-9.0335561253596097E-9</v>
      </c>
      <c r="AM41" s="2">
        <f t="shared" si="14"/>
        <v>4112.3245895432774</v>
      </c>
      <c r="AN41" s="2">
        <v>1.5996192814782262E-8</v>
      </c>
      <c r="AO41" s="2">
        <f t="shared" si="9"/>
        <v>4112.3245895105356</v>
      </c>
      <c r="AP41" s="2">
        <v>3.4820004657376558E-9</v>
      </c>
      <c r="AQ41" s="2">
        <f t="shared" si="10"/>
        <v>-3.1454846635769414E-17</v>
      </c>
      <c r="AR41" s="2">
        <f t="shared" si="11"/>
        <v>5.5698750831101178E-17</v>
      </c>
      <c r="AS41" s="2">
        <f t="shared" si="12"/>
        <v>6.5483618527650833E-8</v>
      </c>
    </row>
    <row r="42" spans="2:45" x14ac:dyDescent="0.2">
      <c r="B42" s="6" t="s">
        <v>214</v>
      </c>
      <c r="C42" s="41">
        <v>1.7363179204150701E-5</v>
      </c>
      <c r="D42" s="6" t="s">
        <v>210</v>
      </c>
      <c r="J42" s="20" t="s">
        <v>72</v>
      </c>
      <c r="K42" s="6">
        <f>ROUND(SUM(K18:K22)/$C$5 * 100, 2)</f>
        <v>5.57</v>
      </c>
      <c r="L42" s="6" t="s">
        <v>61</v>
      </c>
      <c r="Y42" s="2">
        <v>4</v>
      </c>
      <c r="Z42" s="2">
        <f t="shared" si="22"/>
        <v>0</v>
      </c>
      <c r="AA42" s="2">
        <f t="shared" si="15"/>
        <v>2.9111725083408799E-2</v>
      </c>
      <c r="AB42" s="2">
        <f t="shared" si="23"/>
        <v>6.25E-2</v>
      </c>
      <c r="AC42" s="2">
        <f t="shared" si="16"/>
        <v>-3.3501765767243119E-2</v>
      </c>
      <c r="AD42" s="2">
        <f t="shared" si="18"/>
        <v>3.125E-2</v>
      </c>
      <c r="AE42" s="2">
        <f t="shared" si="17"/>
        <v>-2.1671893387379161E-3</v>
      </c>
      <c r="AF42" s="2">
        <f t="shared" si="19"/>
        <v>-6.309062023303272E-5</v>
      </c>
      <c r="AG42" s="2">
        <f t="shared" si="20"/>
        <v>7.2604669599664166E-5</v>
      </c>
      <c r="AH42" s="2">
        <f t="shared" si="21"/>
        <v>6.25E-2</v>
      </c>
      <c r="AJ42" s="2">
        <v>38</v>
      </c>
      <c r="AK42" s="2">
        <f t="shared" si="13"/>
        <v>4112.3245894777938</v>
      </c>
      <c r="AL42" s="2">
        <v>-9.0335561253596097E-9</v>
      </c>
      <c r="AM42" s="2">
        <f t="shared" si="14"/>
        <v>4112.3245895105356</v>
      </c>
      <c r="AN42" s="2">
        <v>3.4820004657376558E-9</v>
      </c>
      <c r="AO42" s="2">
        <f t="shared" si="9"/>
        <v>4112.3245894941647</v>
      </c>
      <c r="AP42" s="2">
        <v>-2.7780515665654093E-9</v>
      </c>
      <c r="AQ42" s="2">
        <f t="shared" si="10"/>
        <v>2.5095684745711813E-17</v>
      </c>
      <c r="AR42" s="2">
        <f t="shared" si="11"/>
        <v>-9.6731768486239794E-18</v>
      </c>
      <c r="AS42" s="2">
        <f t="shared" si="12"/>
        <v>3.2741809263825417E-8</v>
      </c>
    </row>
    <row r="43" spans="2:45" x14ac:dyDescent="0.2">
      <c r="B43" s="6" t="s">
        <v>132</v>
      </c>
      <c r="C43" s="17">
        <v>333.91694458017901</v>
      </c>
      <c r="D43" s="6" t="s">
        <v>10</v>
      </c>
      <c r="J43" s="15" t="s">
        <v>73</v>
      </c>
      <c r="K43" s="6">
        <f>ROUND(SUM(K23:K26)/$C$5*100, 2)</f>
        <v>5.04</v>
      </c>
      <c r="L43" s="6" t="s">
        <v>61</v>
      </c>
      <c r="Y43" s="2">
        <v>5</v>
      </c>
      <c r="Z43" s="2">
        <f t="shared" si="22"/>
        <v>0</v>
      </c>
      <c r="AA43" s="2">
        <f t="shared" si="15"/>
        <v>2.9111725083408799E-2</v>
      </c>
      <c r="AB43" s="2">
        <f t="shared" si="23"/>
        <v>3.125E-2</v>
      </c>
      <c r="AC43" s="2">
        <f t="shared" si="16"/>
        <v>-2.1671893387379161E-3</v>
      </c>
      <c r="AD43" s="2">
        <f t="shared" si="18"/>
        <v>1.5625E-2</v>
      </c>
      <c r="AE43" s="2">
        <f t="shared" si="17"/>
        <v>1.3479461717569568E-2</v>
      </c>
      <c r="AF43" s="2">
        <f t="shared" si="19"/>
        <v>3.9241038379421862E-4</v>
      </c>
      <c r="AG43" s="2">
        <f t="shared" si="20"/>
        <v>-2.9212545726242646E-5</v>
      </c>
      <c r="AH43" s="2">
        <f t="shared" si="21"/>
        <v>3.125E-2</v>
      </c>
      <c r="AJ43" s="2">
        <v>39</v>
      </c>
      <c r="AK43" s="2">
        <f t="shared" si="13"/>
        <v>4112.3245894941647</v>
      </c>
      <c r="AL43" s="2">
        <v>-2.7780515665654093E-9</v>
      </c>
      <c r="AM43" s="2">
        <f t="shared" si="14"/>
        <v>4112.3245895105356</v>
      </c>
      <c r="AN43" s="2">
        <v>3.4820004657376558E-9</v>
      </c>
      <c r="AO43" s="2">
        <f t="shared" si="9"/>
        <v>4112.3245895023501</v>
      </c>
      <c r="AP43" s="2">
        <v>3.4970071283169091E-10</v>
      </c>
      <c r="AQ43" s="2">
        <f t="shared" si="10"/>
        <v>-9.7148661311111926E-19</v>
      </c>
      <c r="AR43" s="2">
        <f t="shared" si="11"/>
        <v>1.217658044948738E-18</v>
      </c>
      <c r="AS43" s="2">
        <f t="shared" si="12"/>
        <v>1.6370904631912708E-8</v>
      </c>
    </row>
    <row r="44" spans="2:45" x14ac:dyDescent="0.2">
      <c r="B44" s="6" t="s">
        <v>17</v>
      </c>
      <c r="C44" s="1">
        <v>9.80149119240094</v>
      </c>
      <c r="D44" s="6" t="s">
        <v>18</v>
      </c>
      <c r="J44" s="10" t="s">
        <v>62</v>
      </c>
      <c r="K44" s="10">
        <f>SUM(K39:K43)</f>
        <v>99.99</v>
      </c>
      <c r="L44" s="10" t="s">
        <v>61</v>
      </c>
      <c r="Y44" s="2">
        <v>6</v>
      </c>
      <c r="Z44" s="2">
        <f t="shared" si="22"/>
        <v>1.5625E-2</v>
      </c>
      <c r="AA44" s="2">
        <f t="shared" si="15"/>
        <v>1.3479461717569568E-2</v>
      </c>
      <c r="AB44" s="2">
        <f t="shared" si="23"/>
        <v>3.125E-2</v>
      </c>
      <c r="AC44" s="2">
        <f t="shared" si="16"/>
        <v>-2.1671893387379161E-3</v>
      </c>
      <c r="AD44" s="2">
        <f t="shared" si="18"/>
        <v>2.34375E-2</v>
      </c>
      <c r="AE44" s="2">
        <f t="shared" si="17"/>
        <v>5.6579151994035105E-3</v>
      </c>
      <c r="AF44" s="2">
        <f t="shared" si="19"/>
        <v>7.6265651331614608E-5</v>
      </c>
      <c r="AG44" s="2">
        <f t="shared" si="20"/>
        <v>-1.2261773499630498E-5</v>
      </c>
      <c r="AH44" s="2">
        <f t="shared" si="21"/>
        <v>1.5625E-2</v>
      </c>
      <c r="AJ44" s="2">
        <v>40</v>
      </c>
      <c r="AK44" s="2">
        <f t="shared" si="13"/>
        <v>4112.3245894941647</v>
      </c>
      <c r="AL44" s="2">
        <v>-2.7780515665654093E-9</v>
      </c>
      <c r="AM44" s="2">
        <f t="shared" si="14"/>
        <v>4112.3245895023501</v>
      </c>
      <c r="AN44" s="2">
        <v>3.4970071283169091E-10</v>
      </c>
      <c r="AO44" s="5">
        <f>(AK44+AM44)/2</f>
        <v>4112.3245894982574</v>
      </c>
      <c r="AP44" s="2">
        <v>-1.2109921954106539E-9</v>
      </c>
      <c r="AQ44" s="2">
        <f t="shared" si="10"/>
        <v>3.3641987655590515E-18</v>
      </c>
      <c r="AR44" s="2">
        <f t="shared" si="11"/>
        <v>-4.2348483396872002E-19</v>
      </c>
      <c r="AS44" s="2">
        <f t="shared" si="12"/>
        <v>8.1854523159563541E-9</v>
      </c>
    </row>
    <row r="45" spans="2:45" x14ac:dyDescent="0.2">
      <c r="Y45" s="2">
        <v>7</v>
      </c>
      <c r="Z45" s="2">
        <f t="shared" si="22"/>
        <v>2.34375E-2</v>
      </c>
      <c r="AA45" s="2">
        <f t="shared" si="15"/>
        <v>5.6579151994035105E-3</v>
      </c>
      <c r="AB45" s="2">
        <f t="shared" si="23"/>
        <v>3.125E-2</v>
      </c>
      <c r="AC45" s="2">
        <f t="shared" si="16"/>
        <v>-2.1671893387379161E-3</v>
      </c>
      <c r="AD45" s="2">
        <f t="shared" si="18"/>
        <v>2.734375E-2</v>
      </c>
      <c r="AE45" s="2">
        <f t="shared" si="17"/>
        <v>1.7458043340082691E-3</v>
      </c>
      <c r="AF45" s="2">
        <f t="shared" si="19"/>
        <v>9.877612876569909E-6</v>
      </c>
      <c r="AG45" s="2">
        <f t="shared" si="20"/>
        <v>-3.7834885401851688E-6</v>
      </c>
      <c r="AH45" s="2">
        <f t="shared" si="21"/>
        <v>7.8125E-3</v>
      </c>
    </row>
    <row r="46" spans="2:45" x14ac:dyDescent="0.2">
      <c r="B46" s="59" t="s">
        <v>273</v>
      </c>
      <c r="C46" s="60"/>
      <c r="D46" s="60"/>
      <c r="J46" s="59" t="s">
        <v>59</v>
      </c>
      <c r="K46" s="59"/>
      <c r="L46" s="59"/>
      <c r="Y46" s="2">
        <v>8</v>
      </c>
      <c r="Z46" s="2">
        <f t="shared" si="22"/>
        <v>2.734375E-2</v>
      </c>
      <c r="AA46" s="2">
        <f t="shared" si="15"/>
        <v>1.7458043340082691E-3</v>
      </c>
      <c r="AB46" s="2">
        <f t="shared" si="23"/>
        <v>3.125E-2</v>
      </c>
      <c r="AC46" s="2">
        <f t="shared" si="16"/>
        <v>-2.1671893387379161E-3</v>
      </c>
      <c r="AD46" s="2">
        <f t="shared" si="18"/>
        <v>2.9296875E-2</v>
      </c>
      <c r="AE46" s="2">
        <f t="shared" si="17"/>
        <v>-2.1058262581297518E-4</v>
      </c>
      <c r="AF46" s="2">
        <f t="shared" si="19"/>
        <v>-3.6763606081113366E-7</v>
      </c>
      <c r="AG46" s="2">
        <f t="shared" si="20"/>
        <v>4.563724215853157E-7</v>
      </c>
      <c r="AH46" s="2">
        <f t="shared" si="21"/>
        <v>3.90625E-3</v>
      </c>
    </row>
    <row r="47" spans="2:45" x14ac:dyDescent="0.2">
      <c r="B47" s="6" t="s">
        <v>15</v>
      </c>
      <c r="C47" s="17">
        <v>1.00854450666398</v>
      </c>
      <c r="D47" s="6" t="s">
        <v>16</v>
      </c>
      <c r="J47" s="6" t="s">
        <v>60</v>
      </c>
      <c r="K47" s="6">
        <f>ROUND($C$13/$C$5 * 100, 2)</f>
        <v>14.59</v>
      </c>
      <c r="L47" s="6" t="s">
        <v>61</v>
      </c>
      <c r="Y47" s="2">
        <v>9</v>
      </c>
      <c r="Z47" s="2">
        <f t="shared" si="22"/>
        <v>2.734375E-2</v>
      </c>
      <c r="AA47" s="2">
        <f t="shared" si="15"/>
        <v>1.7458043340082691E-3</v>
      </c>
      <c r="AB47" s="2">
        <f t="shared" si="23"/>
        <v>2.9296875E-2</v>
      </c>
      <c r="AC47" s="2">
        <f t="shared" si="16"/>
        <v>-2.1058262581297518E-4</v>
      </c>
      <c r="AD47" s="2">
        <f t="shared" si="18"/>
        <v>2.83203125E-2</v>
      </c>
      <c r="AE47" s="2">
        <f t="shared" si="17"/>
        <v>7.6763838498422957E-4</v>
      </c>
      <c r="AF47" s="2">
        <f t="shared" si="19"/>
        <v>1.3401464194565762E-6</v>
      </c>
      <c r="AG47" s="2">
        <f t="shared" si="20"/>
        <v>-1.6165130678481059E-7</v>
      </c>
      <c r="AH47" s="2">
        <f t="shared" si="21"/>
        <v>1.953125E-3</v>
      </c>
    </row>
    <row r="48" spans="2:45" x14ac:dyDescent="0.2">
      <c r="B48" s="6" t="s">
        <v>214</v>
      </c>
      <c r="C48" s="41">
        <v>1.7265641515845801E-5</v>
      </c>
      <c r="D48" s="6" t="s">
        <v>210</v>
      </c>
      <c r="J48" s="11" t="s">
        <v>55</v>
      </c>
      <c r="K48" s="6">
        <f>ROUND(K13/$C$5 * 100, 2)</f>
        <v>51.12</v>
      </c>
      <c r="L48" s="6" t="s">
        <v>61</v>
      </c>
      <c r="Y48" s="2">
        <v>10</v>
      </c>
      <c r="Z48" s="2">
        <f t="shared" si="22"/>
        <v>2.83203125E-2</v>
      </c>
      <c r="AA48" s="2">
        <f t="shared" si="15"/>
        <v>7.6763838498422957E-4</v>
      </c>
      <c r="AB48" s="2">
        <f t="shared" si="23"/>
        <v>2.9296875E-2</v>
      </c>
      <c r="AC48" s="2">
        <f t="shared" si="16"/>
        <v>-2.1058262581297518E-4</v>
      </c>
      <c r="AD48" s="2">
        <f t="shared" si="18"/>
        <v>2.880859375E-2</v>
      </c>
      <c r="AE48" s="2">
        <f t="shared" si="17"/>
        <v>2.7853475474094377E-4</v>
      </c>
      <c r="AF48" s="2">
        <f t="shared" si="19"/>
        <v>2.1381396929131655E-7</v>
      </c>
      <c r="AG48" s="2">
        <f t="shared" si="20"/>
        <v>-5.8654580033520975E-8</v>
      </c>
      <c r="AH48" s="2">
        <f t="shared" si="21"/>
        <v>9.765625E-4</v>
      </c>
    </row>
    <row r="49" spans="2:34" x14ac:dyDescent="0.2">
      <c r="B49" s="6" t="s">
        <v>132</v>
      </c>
      <c r="C49" s="17">
        <v>332.721752148093</v>
      </c>
      <c r="D49" s="6" t="s">
        <v>10</v>
      </c>
      <c r="J49" s="20" t="s">
        <v>277</v>
      </c>
      <c r="K49" s="6">
        <f>ROUND(SUM(K14:K26)/$C$5 * 100, 2)</f>
        <v>34.29</v>
      </c>
      <c r="L49" s="6" t="s">
        <v>61</v>
      </c>
      <c r="Y49" s="2">
        <v>11</v>
      </c>
      <c r="Z49" s="2">
        <f t="shared" si="22"/>
        <v>2.880859375E-2</v>
      </c>
      <c r="AA49" s="2">
        <f t="shared" si="15"/>
        <v>2.7853475474094377E-4</v>
      </c>
      <c r="AB49" s="2">
        <f t="shared" si="23"/>
        <v>2.9296875E-2</v>
      </c>
      <c r="AC49" s="2">
        <f t="shared" si="16"/>
        <v>-2.1058262581297518E-4</v>
      </c>
      <c r="AD49" s="2">
        <f t="shared" si="18"/>
        <v>2.9052734375E-2</v>
      </c>
      <c r="AE49" s="2">
        <f t="shared" si="17"/>
        <v>3.3977782293661413E-5</v>
      </c>
      <c r="AF49" s="2">
        <f t="shared" si="19"/>
        <v>9.4639932578061629E-9</v>
      </c>
      <c r="AG49" s="2">
        <f t="shared" si="20"/>
        <v>-7.1551306147008347E-9</v>
      </c>
      <c r="AH49" s="2">
        <f t="shared" si="21"/>
        <v>4.8828125E-4</v>
      </c>
    </row>
    <row r="50" spans="2:34" x14ac:dyDescent="0.2">
      <c r="B50" s="6" t="s">
        <v>17</v>
      </c>
      <c r="C50" s="1">
        <v>9.8005536647414697</v>
      </c>
      <c r="D50" s="6" t="s">
        <v>18</v>
      </c>
      <c r="J50" s="10" t="s">
        <v>62</v>
      </c>
      <c r="K50" s="10">
        <f>SUM(K47:K49)</f>
        <v>100</v>
      </c>
      <c r="L50" s="10" t="s">
        <v>61</v>
      </c>
      <c r="Y50" s="2">
        <v>12</v>
      </c>
      <c r="Z50" s="2">
        <f t="shared" si="22"/>
        <v>2.9052734375E-2</v>
      </c>
      <c r="AA50" s="2">
        <f t="shared" si="15"/>
        <v>3.3977782293661413E-5</v>
      </c>
      <c r="AB50" s="2">
        <f t="shared" si="23"/>
        <v>2.9296875E-2</v>
      </c>
      <c r="AC50" s="2">
        <f t="shared" si="16"/>
        <v>-2.1058262581297518E-4</v>
      </c>
      <c r="AD50" s="2">
        <f t="shared" si="18"/>
        <v>2.91748046875E-2</v>
      </c>
      <c r="AE50" s="2">
        <f t="shared" si="17"/>
        <v>-8.8301992422962217E-5</v>
      </c>
      <c r="AF50" s="2">
        <f t="shared" si="19"/>
        <v>-3.0003058746439499E-9</v>
      </c>
      <c r="AG50" s="2">
        <f t="shared" si="20"/>
        <v>1.8594865428944822E-8</v>
      </c>
      <c r="AH50" s="2">
        <f t="shared" si="21"/>
        <v>2.44140625E-4</v>
      </c>
    </row>
    <row r="51" spans="2:34" x14ac:dyDescent="0.2">
      <c r="Y51" s="2">
        <v>13</v>
      </c>
      <c r="Z51" s="2">
        <f t="shared" si="22"/>
        <v>2.9052734375E-2</v>
      </c>
      <c r="AA51" s="2">
        <f t="shared" si="15"/>
        <v>3.3977782293661413E-5</v>
      </c>
      <c r="AB51" s="2">
        <f t="shared" si="23"/>
        <v>2.91748046875E-2</v>
      </c>
      <c r="AC51" s="2">
        <f t="shared" si="16"/>
        <v>-8.8301992422962217E-5</v>
      </c>
      <c r="AD51" s="2">
        <f t="shared" si="18"/>
        <v>2.911376953125E-2</v>
      </c>
      <c r="AE51" s="2">
        <f t="shared" si="17"/>
        <v>-2.7161997715349079E-5</v>
      </c>
      <c r="AF51" s="2">
        <f t="shared" si="19"/>
        <v>-9.2290444503305966E-10</v>
      </c>
      <c r="AG51" s="2">
        <f t="shared" si="20"/>
        <v>2.3984585164532713E-9</v>
      </c>
      <c r="AH51" s="2">
        <f t="shared" si="21"/>
        <v>1.220703125E-4</v>
      </c>
    </row>
    <row r="52" spans="2:34" x14ac:dyDescent="0.2">
      <c r="B52" s="59" t="s">
        <v>74</v>
      </c>
      <c r="C52" s="59"/>
      <c r="D52" s="59"/>
      <c r="Y52" s="2">
        <v>14</v>
      </c>
      <c r="Z52" s="2">
        <f t="shared" si="22"/>
        <v>2.9052734375E-2</v>
      </c>
      <c r="AA52" s="2">
        <f t="shared" si="15"/>
        <v>3.3977782293661413E-5</v>
      </c>
      <c r="AB52" s="2">
        <f t="shared" si="23"/>
        <v>2.911376953125E-2</v>
      </c>
      <c r="AC52" s="2">
        <f t="shared" si="16"/>
        <v>-2.7161997715349079E-5</v>
      </c>
      <c r="AD52" s="2">
        <f t="shared" si="18"/>
        <v>2.9083251953125E-2</v>
      </c>
      <c r="AE52" s="2">
        <f t="shared" si="17"/>
        <v>3.4079191283710453E-6</v>
      </c>
      <c r="AF52" s="2">
        <f t="shared" si="19"/>
        <v>1.1579353421819574E-10</v>
      </c>
      <c r="AG52" s="2">
        <f t="shared" si="20"/>
        <v>-9.2565891578908759E-11</v>
      </c>
      <c r="AH52" s="2">
        <f t="shared" si="21"/>
        <v>6.103515625E-5</v>
      </c>
    </row>
    <row r="53" spans="2:34" x14ac:dyDescent="0.2">
      <c r="B53" s="6" t="s">
        <v>264</v>
      </c>
      <c r="C53" s="17">
        <v>30</v>
      </c>
      <c r="Y53" s="2">
        <v>15</v>
      </c>
      <c r="Z53" s="2">
        <f t="shared" si="22"/>
        <v>2.9083251953125E-2</v>
      </c>
      <c r="AA53" s="2">
        <f t="shared" si="15"/>
        <v>3.4079191283710453E-6</v>
      </c>
      <c r="AB53" s="2">
        <f t="shared" si="23"/>
        <v>2.911376953125E-2</v>
      </c>
      <c r="AC53" s="2">
        <f t="shared" si="16"/>
        <v>-2.7161997715349079E-5</v>
      </c>
      <c r="AD53" s="2">
        <f t="shared" si="18"/>
        <v>2.90985107421875E-2</v>
      </c>
      <c r="AE53" s="2">
        <f t="shared" si="17"/>
        <v>-1.1877032583922087E-5</v>
      </c>
      <c r="AF53" s="2">
        <f t="shared" si="19"/>
        <v>-4.0475966531034259E-11</v>
      </c>
      <c r="AG53" s="2">
        <f t="shared" si="20"/>
        <v>3.2260393190961829E-10</v>
      </c>
      <c r="AH53" s="2">
        <f t="shared" si="21"/>
        <v>3.0517578125E-5</v>
      </c>
    </row>
    <row r="54" spans="2:34" x14ac:dyDescent="0.2">
      <c r="B54" s="6" t="s">
        <v>266</v>
      </c>
      <c r="C54" s="17">
        <v>0.8</v>
      </c>
      <c r="Y54" s="2">
        <v>16</v>
      </c>
      <c r="Z54" s="2">
        <f t="shared" si="22"/>
        <v>2.9083251953125E-2</v>
      </c>
      <c r="AA54" s="2">
        <f t="shared" si="15"/>
        <v>3.4079191283710453E-6</v>
      </c>
      <c r="AB54" s="2">
        <f t="shared" si="23"/>
        <v>2.90985107421875E-2</v>
      </c>
      <c r="AC54" s="2">
        <f t="shared" si="16"/>
        <v>-1.1877032583922087E-5</v>
      </c>
      <c r="AD54" s="2">
        <f t="shared" si="18"/>
        <v>2.909088134765625E-2</v>
      </c>
      <c r="AE54" s="2">
        <f t="shared" si="17"/>
        <v>-4.2345550503551654E-6</v>
      </c>
      <c r="AF54" s="2">
        <f t="shared" si="19"/>
        <v>-1.4431021156245584E-11</v>
      </c>
      <c r="AG54" s="2">
        <f t="shared" si="20"/>
        <v>5.0293948311480132E-11</v>
      </c>
      <c r="AH54" s="2">
        <f t="shared" si="21"/>
        <v>1.52587890625E-5</v>
      </c>
    </row>
    <row r="55" spans="2:34" x14ac:dyDescent="0.2">
      <c r="B55" s="6" t="s">
        <v>267</v>
      </c>
      <c r="C55" s="17">
        <v>0.8</v>
      </c>
      <c r="Y55" s="2">
        <v>17</v>
      </c>
      <c r="Z55" s="2">
        <f t="shared" si="22"/>
        <v>2.9083251953125E-2</v>
      </c>
      <c r="AA55" s="2">
        <f t="shared" si="15"/>
        <v>3.4079191283710453E-6</v>
      </c>
      <c r="AB55" s="2">
        <f t="shared" si="23"/>
        <v>2.909088134765625E-2</v>
      </c>
      <c r="AC55" s="2">
        <f t="shared" si="16"/>
        <v>-4.2345550503551654E-6</v>
      </c>
      <c r="AD55" s="2">
        <f t="shared" si="18"/>
        <v>2.9087066650390625E-2</v>
      </c>
      <c r="AE55" s="2">
        <f t="shared" si="17"/>
        <v>-4.1331754163306811E-7</v>
      </c>
      <c r="AF55" s="2">
        <f t="shared" si="19"/>
        <v>-1.4085527562226286E-12</v>
      </c>
      <c r="AG55" s="2">
        <f t="shared" si="20"/>
        <v>1.7502158833226899E-12</v>
      </c>
      <c r="AH55" s="2">
        <f t="shared" si="21"/>
        <v>7.62939453125E-6</v>
      </c>
    </row>
    <row r="56" spans="2:34" x14ac:dyDescent="0.2">
      <c r="B56" s="6" t="s">
        <v>268</v>
      </c>
      <c r="C56" s="17">
        <v>0.8</v>
      </c>
      <c r="Y56" s="2">
        <v>18</v>
      </c>
      <c r="Z56" s="2">
        <f t="shared" si="22"/>
        <v>2.9083251953125E-2</v>
      </c>
      <c r="AA56" s="2">
        <f t="shared" si="15"/>
        <v>3.4079191283710453E-6</v>
      </c>
      <c r="AB56" s="2">
        <f t="shared" si="23"/>
        <v>2.9087066650390625E-2</v>
      </c>
      <c r="AC56" s="2">
        <f t="shared" si="16"/>
        <v>-4.1331754163306811E-7</v>
      </c>
      <c r="AD56" s="2">
        <f t="shared" si="18"/>
        <v>2.9085159301757812E-2</v>
      </c>
      <c r="AE56" s="2">
        <f t="shared" si="17"/>
        <v>1.4973008982087366E-6</v>
      </c>
      <c r="AF56" s="2">
        <f t="shared" si="19"/>
        <v>5.1026803719327004E-12</v>
      </c>
      <c r="AG56" s="2">
        <f t="shared" si="20"/>
        <v>-6.1886072633261974E-13</v>
      </c>
      <c r="AH56" s="2">
        <f t="shared" si="21"/>
        <v>3.814697265625E-6</v>
      </c>
    </row>
    <row r="57" spans="2:34" x14ac:dyDescent="0.2">
      <c r="Y57" s="2">
        <v>19</v>
      </c>
      <c r="Z57" s="2">
        <f t="shared" si="22"/>
        <v>2.9085159301757812E-2</v>
      </c>
      <c r="AA57" s="2">
        <f t="shared" si="15"/>
        <v>1.4973008982087366E-6</v>
      </c>
      <c r="AB57" s="2">
        <f t="shared" si="23"/>
        <v>2.9087066650390625E-2</v>
      </c>
      <c r="AC57" s="2">
        <f t="shared" si="16"/>
        <v>-4.1331754163306811E-7</v>
      </c>
      <c r="AD57" s="2">
        <f t="shared" si="18"/>
        <v>2.9086112976074219E-2</v>
      </c>
      <c r="AE57" s="2">
        <f t="shared" si="17"/>
        <v>5.4199170449603651E-7</v>
      </c>
      <c r="AF57" s="2">
        <f t="shared" si="19"/>
        <v>8.1152466596359963E-13</v>
      </c>
      <c r="AG57" s="2">
        <f t="shared" si="20"/>
        <v>-2.2401467888781812E-13</v>
      </c>
      <c r="AH57" s="2">
        <f t="shared" si="21"/>
        <v>1.9073486328125E-6</v>
      </c>
    </row>
    <row r="58" spans="2:34" x14ac:dyDescent="0.2">
      <c r="Y58" s="2">
        <v>20</v>
      </c>
      <c r="Z58" s="2">
        <f t="shared" si="22"/>
        <v>2.9086112976074219E-2</v>
      </c>
      <c r="AA58" s="2">
        <f t="shared" si="15"/>
        <v>5.4199170449603651E-7</v>
      </c>
      <c r="AB58" s="2">
        <f t="shared" si="23"/>
        <v>2.9087066650390625E-2</v>
      </c>
      <c r="AC58" s="2">
        <f t="shared" si="16"/>
        <v>-4.1331754163306811E-7</v>
      </c>
      <c r="AD58" s="2">
        <f t="shared" si="18"/>
        <v>2.9086589813232422E-2</v>
      </c>
      <c r="AE58" s="2">
        <f t="shared" si="17"/>
        <v>6.4337087983534769E-8</v>
      </c>
      <c r="AF58" s="2">
        <f t="shared" si="19"/>
        <v>3.487016797850748E-14</v>
      </c>
      <c r="AG58" s="2">
        <f t="shared" si="20"/>
        <v>-2.6591647041184999E-14</v>
      </c>
      <c r="AH58" s="2">
        <f t="shared" si="21"/>
        <v>9.5367431640625E-7</v>
      </c>
    </row>
    <row r="59" spans="2:34" x14ac:dyDescent="0.2">
      <c r="Y59" s="2">
        <v>21</v>
      </c>
      <c r="Z59" s="2">
        <f t="shared" si="22"/>
        <v>2.9086589813232422E-2</v>
      </c>
      <c r="AA59" s="2">
        <f t="shared" si="15"/>
        <v>6.4337087983534769E-8</v>
      </c>
      <c r="AB59" s="2">
        <f t="shared" si="23"/>
        <v>2.9087066650390625E-2</v>
      </c>
      <c r="AC59" s="2">
        <f t="shared" si="16"/>
        <v>-4.1331754163306811E-7</v>
      </c>
      <c r="AD59" s="2">
        <f t="shared" si="18"/>
        <v>2.9086828231811523E-2</v>
      </c>
      <c r="AE59" s="2">
        <f t="shared" si="17"/>
        <v>-1.7449022518545299E-7</v>
      </c>
      <c r="AF59" s="2">
        <f t="shared" si="19"/>
        <v>-1.1226192970023283E-14</v>
      </c>
      <c r="AG59" s="2">
        <f t="shared" si="20"/>
        <v>7.2119870912651897E-14</v>
      </c>
      <c r="AH59" s="2">
        <f t="shared" si="21"/>
        <v>4.76837158203125E-7</v>
      </c>
    </row>
    <row r="60" spans="2:34" x14ac:dyDescent="0.2">
      <c r="Y60" s="2">
        <v>22</v>
      </c>
      <c r="Z60" s="2">
        <f t="shared" si="22"/>
        <v>2.9086589813232422E-2</v>
      </c>
      <c r="AA60" s="2">
        <f t="shared" si="15"/>
        <v>6.4337087983534769E-8</v>
      </c>
      <c r="AB60" s="2">
        <f t="shared" si="23"/>
        <v>2.9086828231811523E-2</v>
      </c>
      <c r="AC60" s="2">
        <f t="shared" si="16"/>
        <v>-1.7449022518545299E-7</v>
      </c>
      <c r="AD60" s="2">
        <f t="shared" si="18"/>
        <v>2.9086709022521973E-2</v>
      </c>
      <c r="AE60" s="2">
        <f t="shared" si="17"/>
        <v>-5.5076568191564368E-8</v>
      </c>
      <c r="AF60" s="2">
        <f t="shared" si="19"/>
        <v>-3.5434660135718292E-15</v>
      </c>
      <c r="AG60" s="2">
        <f t="shared" si="20"/>
        <v>9.6103227861880236E-15</v>
      </c>
      <c r="AH60" s="2">
        <f t="shared" si="21"/>
        <v>2.384185791015625E-7</v>
      </c>
    </row>
    <row r="61" spans="2:34" x14ac:dyDescent="0.2">
      <c r="Y61" s="2">
        <v>23</v>
      </c>
      <c r="Z61" s="2">
        <f t="shared" si="22"/>
        <v>2.9086589813232422E-2</v>
      </c>
      <c r="AA61" s="2">
        <f t="shared" si="15"/>
        <v>6.4337087983534769E-8</v>
      </c>
      <c r="AB61" s="2">
        <f t="shared" si="23"/>
        <v>2.9086709022521973E-2</v>
      </c>
      <c r="AC61" s="2">
        <f t="shared" si="16"/>
        <v>-5.5076568191564368E-8</v>
      </c>
      <c r="AD61" s="2">
        <f t="shared" si="18"/>
        <v>2.9086649417877197E-2</v>
      </c>
      <c r="AE61" s="2">
        <f t="shared" si="17"/>
        <v>4.6302599983338855E-9</v>
      </c>
      <c r="AF61" s="2">
        <f t="shared" si="19"/>
        <v>2.9789744489944872E-16</v>
      </c>
      <c r="AG61" s="2">
        <f t="shared" si="20"/>
        <v>-2.5501883054290898E-16</v>
      </c>
      <c r="AH61" s="2">
        <f t="shared" si="21"/>
        <v>1.1920928955078125E-7</v>
      </c>
    </row>
    <row r="62" spans="2:34" x14ac:dyDescent="0.2">
      <c r="Y62" s="2">
        <v>24</v>
      </c>
      <c r="Z62" s="2">
        <f t="shared" si="22"/>
        <v>2.9086649417877197E-2</v>
      </c>
      <c r="AA62" s="2">
        <f t="shared" si="15"/>
        <v>4.6302599983338855E-9</v>
      </c>
      <c r="AB62" s="2">
        <f t="shared" si="23"/>
        <v>2.9086709022521973E-2</v>
      </c>
      <c r="AC62" s="2">
        <f t="shared" si="16"/>
        <v>-5.5076568191564368E-8</v>
      </c>
      <c r="AD62" s="2">
        <f t="shared" si="18"/>
        <v>2.9086679220199585E-2</v>
      </c>
      <c r="AE62" s="2">
        <f t="shared" si="17"/>
        <v>-2.5223154072329113E-8</v>
      </c>
      <c r="AF62" s="2">
        <f t="shared" si="19"/>
        <v>-1.1678976133291792E-16</v>
      </c>
      <c r="AG62" s="2">
        <f t="shared" si="20"/>
        <v>1.3892047652709689E-15</v>
      </c>
      <c r="AH62" s="2">
        <f t="shared" si="21"/>
        <v>5.9604644775390625E-8</v>
      </c>
    </row>
    <row r="63" spans="2:34" x14ac:dyDescent="0.2">
      <c r="Y63" s="2">
        <v>25</v>
      </c>
      <c r="Z63" s="2">
        <f t="shared" si="22"/>
        <v>2.9086649417877197E-2</v>
      </c>
      <c r="AA63" s="2">
        <f t="shared" si="15"/>
        <v>4.6302599983338855E-9</v>
      </c>
      <c r="AB63" s="2">
        <f t="shared" si="23"/>
        <v>2.9086679220199585E-2</v>
      </c>
      <c r="AC63" s="2">
        <f t="shared" si="16"/>
        <v>-2.5223154072329113E-8</v>
      </c>
      <c r="AD63" s="2">
        <f t="shared" si="18"/>
        <v>2.9086664319038391E-2</v>
      </c>
      <c r="AE63" s="2">
        <f t="shared" si="17"/>
        <v>-1.0296447028323996E-8</v>
      </c>
      <c r="AF63" s="2">
        <f t="shared" si="19"/>
        <v>-4.7675226800212407E-17</v>
      </c>
      <c r="AG63" s="2">
        <f t="shared" si="20"/>
        <v>2.597088697929914E-16</v>
      </c>
      <c r="AH63" s="2">
        <f t="shared" si="21"/>
        <v>2.9802322387695312E-8</v>
      </c>
    </row>
    <row r="64" spans="2:34" x14ac:dyDescent="0.2">
      <c r="Y64" s="2">
        <v>26</v>
      </c>
      <c r="Z64" s="2">
        <f t="shared" si="22"/>
        <v>2.9086649417877197E-2</v>
      </c>
      <c r="AA64" s="2">
        <f t="shared" si="15"/>
        <v>4.6302599983338855E-9</v>
      </c>
      <c r="AB64" s="2">
        <f t="shared" si="23"/>
        <v>2.9086664319038391E-2</v>
      </c>
      <c r="AC64" s="2">
        <f t="shared" si="16"/>
        <v>-1.0296447028323996E-8</v>
      </c>
      <c r="AD64" s="2">
        <f t="shared" si="18"/>
        <v>2.9086656868457794E-2</v>
      </c>
      <c r="AE64" s="2">
        <f t="shared" si="17"/>
        <v>-2.8330935132603319E-9</v>
      </c>
      <c r="AF64" s="2">
        <f t="shared" si="19"/>
        <v>-1.3117959565988526E-17</v>
      </c>
      <c r="AG64" s="2">
        <f t="shared" si="20"/>
        <v>2.9170797285573332E-17</v>
      </c>
      <c r="AH64" s="2">
        <f t="shared" si="21"/>
        <v>1.4901161193847656E-8</v>
      </c>
    </row>
    <row r="65" spans="25:34" x14ac:dyDescent="0.2">
      <c r="Y65" s="2">
        <v>27</v>
      </c>
      <c r="Z65" s="2">
        <f t="shared" si="22"/>
        <v>2.9086649417877197E-2</v>
      </c>
      <c r="AA65" s="2">
        <f t="shared" si="15"/>
        <v>4.6302599983338855E-9</v>
      </c>
      <c r="AB65" s="2">
        <f t="shared" si="23"/>
        <v>2.9086656868457794E-2</v>
      </c>
      <c r="AC65" s="2">
        <f t="shared" si="16"/>
        <v>-2.8330935132603319E-9</v>
      </c>
      <c r="AD65" s="2">
        <f t="shared" si="18"/>
        <v>2.9086653143167496E-2</v>
      </c>
      <c r="AE65" s="2">
        <f t="shared" si="17"/>
        <v>8.9858324253677679E-10</v>
      </c>
      <c r="AF65" s="2">
        <f t="shared" si="19"/>
        <v>4.1606740430911935E-18</v>
      </c>
      <c r="AG65" s="2">
        <f t="shared" si="20"/>
        <v>-2.5457703555553779E-18</v>
      </c>
      <c r="AH65" s="2">
        <f t="shared" si="21"/>
        <v>7.4505805969238281E-9</v>
      </c>
    </row>
    <row r="66" spans="25:34" x14ac:dyDescent="0.2">
      <c r="Y66" s="2">
        <v>28</v>
      </c>
      <c r="Z66" s="2">
        <f t="shared" si="22"/>
        <v>2.9086653143167496E-2</v>
      </c>
      <c r="AA66" s="2">
        <f t="shared" si="15"/>
        <v>8.9858324253677679E-10</v>
      </c>
      <c r="AB66" s="2">
        <f t="shared" si="23"/>
        <v>2.9086656868457794E-2</v>
      </c>
      <c r="AC66" s="2">
        <f t="shared" si="16"/>
        <v>-2.8330935132603319E-9</v>
      </c>
      <c r="AD66" s="2">
        <f t="shared" si="18"/>
        <v>2.9086655005812645E-2</v>
      </c>
      <c r="AE66" s="2">
        <f t="shared" si="17"/>
        <v>-9.6725513709650102E-10</v>
      </c>
      <c r="AF66" s="2">
        <f t="shared" si="19"/>
        <v>-8.6915925745252846E-19</v>
      </c>
      <c r="AG66" s="2">
        <f t="shared" si="20"/>
        <v>2.7403242545758301E-18</v>
      </c>
      <c r="AH66" s="2">
        <f t="shared" si="21"/>
        <v>3.7252902984619141E-9</v>
      </c>
    </row>
    <row r="67" spans="25:34" x14ac:dyDescent="0.2">
      <c r="Y67" s="2">
        <v>29</v>
      </c>
      <c r="Z67" s="2">
        <f t="shared" si="22"/>
        <v>2.9086653143167496E-2</v>
      </c>
      <c r="AA67" s="2">
        <f t="shared" si="15"/>
        <v>8.9858324253677679E-10</v>
      </c>
      <c r="AB67" s="2">
        <f t="shared" si="23"/>
        <v>2.9086655005812645E-2</v>
      </c>
      <c r="AC67" s="2">
        <f t="shared" si="16"/>
        <v>-9.6725513709650102E-10</v>
      </c>
      <c r="AD67" s="2">
        <f t="shared" si="18"/>
        <v>2.908665407449007E-2</v>
      </c>
      <c r="AE67" s="2">
        <f t="shared" si="17"/>
        <v>-3.4335947279862111E-11</v>
      </c>
      <c r="AF67" s="2">
        <f t="shared" si="19"/>
        <v>-3.0853706842310317E-20</v>
      </c>
      <c r="AG67" s="2">
        <f t="shared" si="20"/>
        <v>3.3211621393521258E-20</v>
      </c>
      <c r="AH67" s="2">
        <f t="shared" si="21"/>
        <v>1.862645149230957E-9</v>
      </c>
    </row>
    <row r="68" spans="25:34" x14ac:dyDescent="0.2">
      <c r="Y68" s="2">
        <v>30</v>
      </c>
      <c r="Z68" s="2">
        <f t="shared" si="22"/>
        <v>2.9086653143167496E-2</v>
      </c>
      <c r="AA68" s="2">
        <f t="shared" si="15"/>
        <v>8.9858324253677679E-10</v>
      </c>
      <c r="AB68" s="2">
        <f t="shared" si="23"/>
        <v>2.908665407449007E-2</v>
      </c>
      <c r="AC68" s="2">
        <f t="shared" si="16"/>
        <v>-3.4335947279862111E-11</v>
      </c>
      <c r="AD68" s="5">
        <f t="shared" si="18"/>
        <v>2.9086653608828783E-2</v>
      </c>
      <c r="AE68" s="2">
        <f t="shared" si="17"/>
        <v>4.3212364936318082E-10</v>
      </c>
      <c r="AF68" s="2">
        <f t="shared" si="19"/>
        <v>3.882990700215922E-19</v>
      </c>
      <c r="AG68" s="2">
        <f t="shared" si="20"/>
        <v>-1.4837374842915797E-20</v>
      </c>
      <c r="AH68" s="2">
        <f>AB68-Z68</f>
        <v>9.3132257461547852E-10</v>
      </c>
    </row>
  </sheetData>
  <mergeCells count="26">
    <mergeCell ref="F35:H35"/>
    <mergeCell ref="B46:D46"/>
    <mergeCell ref="J46:L46"/>
    <mergeCell ref="B52:D52"/>
    <mergeCell ref="N3:P3"/>
    <mergeCell ref="N16:P16"/>
    <mergeCell ref="N12:P12"/>
    <mergeCell ref="B24:D24"/>
    <mergeCell ref="F26:H26"/>
    <mergeCell ref="B29:D29"/>
    <mergeCell ref="J30:L30"/>
    <mergeCell ref="B35:D35"/>
    <mergeCell ref="B40:D40"/>
    <mergeCell ref="J38:L38"/>
    <mergeCell ref="B12:D12"/>
    <mergeCell ref="J11:L11"/>
    <mergeCell ref="F16:H16"/>
    <mergeCell ref="R12:T12"/>
    <mergeCell ref="B17:D17"/>
    <mergeCell ref="R16:T16"/>
    <mergeCell ref="B1:D1"/>
    <mergeCell ref="B3:D3"/>
    <mergeCell ref="F3:H3"/>
    <mergeCell ref="J3:L3"/>
    <mergeCell ref="R3:T3"/>
    <mergeCell ref="J7:L7"/>
  </mergeCells>
  <conditionalFormatting sqref="K28">
    <cfRule type="containsText" dxfId="41" priority="1" operator="containsText" text="FALSE">
      <formula>NOT(ISERROR(SEARCH("FALSE",K28)))</formula>
    </cfRule>
    <cfRule type="containsText" dxfId="40" priority="2" operator="containsText" text="TRUE">
      <formula>NOT(ISERROR(SEARCH("TRUE",K28)))</formula>
    </cfRule>
    <cfRule type="cellIs" dxfId="39" priority="3" operator="equal">
      <formula>1</formula>
    </cfRule>
    <cfRule type="cellIs" dxfId="38" priority="4" operator="equal">
      <formula>TRUE</formula>
    </cfRule>
    <cfRule type="containsText" dxfId="37" priority="5" operator="containsText" text="YES">
      <formula>NOT(ISERROR(SEARCH("YES",K28)))</formula>
    </cfRule>
    <cfRule type="cellIs" dxfId="36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B753-A267-5243-ABFD-E2825908B8D2}">
  <dimension ref="B1:CI136"/>
  <sheetViews>
    <sheetView workbookViewId="0">
      <selection activeCell="K10" sqref="K10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43" width="10.83203125" style="6"/>
    <col min="44" max="44" width="11.33203125" style="6" bestFit="1" customWidth="1"/>
    <col min="45" max="45" width="10.83203125" style="6"/>
    <col min="46" max="46" width="3.5" style="6" customWidth="1"/>
    <col min="47" max="47" width="12.33203125" style="6" customWidth="1"/>
    <col min="48" max="48" width="13" style="6" bestFit="1" customWidth="1"/>
    <col min="49" max="49" width="12" style="6" customWidth="1"/>
    <col min="50" max="50" width="14.1640625" style="6" bestFit="1" customWidth="1"/>
    <col min="51" max="51" width="13.6640625" style="6" bestFit="1" customWidth="1"/>
    <col min="52" max="53" width="14.1640625" style="6" bestFit="1" customWidth="1"/>
    <col min="54" max="54" width="13.6640625" style="6" bestFit="1" customWidth="1"/>
    <col min="55" max="55" width="14.1640625" style="6" bestFit="1" customWidth="1"/>
    <col min="56" max="56" width="13.6640625" style="6" bestFit="1" customWidth="1"/>
    <col min="57" max="57" width="10.83203125" style="6"/>
    <col min="58" max="58" width="3.33203125" style="6" customWidth="1"/>
    <col min="59" max="59" width="10.83203125" style="6"/>
    <col min="60" max="60" width="14.5" style="6" bestFit="1" customWidth="1"/>
    <col min="61" max="61" width="10.83203125" style="6"/>
    <col min="62" max="62" width="3.33203125" style="6" customWidth="1"/>
    <col min="63" max="63" width="10.83203125" style="6"/>
    <col min="64" max="64" width="13.5" style="6" bestFit="1" customWidth="1"/>
    <col min="65" max="65" width="10.83203125" style="6"/>
    <col min="66" max="66" width="3" style="6" customWidth="1"/>
    <col min="67" max="68" width="11" style="6" bestFit="1" customWidth="1"/>
    <col min="69" max="69" width="14.5" style="6" bestFit="1" customWidth="1"/>
    <col min="70" max="70" width="11" style="6" bestFit="1" customWidth="1"/>
    <col min="71" max="71" width="14.5" style="6" bestFit="1" customWidth="1"/>
    <col min="72" max="72" width="11" style="6" bestFit="1" customWidth="1"/>
    <col min="73" max="73" width="14.5" style="6" bestFit="1" customWidth="1"/>
    <col min="74" max="76" width="11" style="6" bestFit="1" customWidth="1"/>
    <col min="77" max="77" width="2.83203125" style="6" customWidth="1"/>
    <col min="78" max="79" width="11" style="6" bestFit="1" customWidth="1"/>
    <col min="80" max="80" width="14.5" style="6" bestFit="1" customWidth="1"/>
    <col min="81" max="81" width="11" style="6" bestFit="1" customWidth="1"/>
    <col min="82" max="16384" width="10.83203125" style="6"/>
  </cols>
  <sheetData>
    <row r="1" spans="2:87" x14ac:dyDescent="0.2">
      <c r="B1" s="57" t="s">
        <v>0</v>
      </c>
      <c r="C1" s="57"/>
      <c r="D1" s="57"/>
    </row>
    <row r="2" spans="2:87" x14ac:dyDescent="0.2">
      <c r="U2" s="16" t="s">
        <v>96</v>
      </c>
      <c r="AF2" s="16" t="s">
        <v>79</v>
      </c>
      <c r="AQ2" s="61" t="s">
        <v>137</v>
      </c>
      <c r="AR2" s="61"/>
      <c r="AS2" s="61"/>
      <c r="AT2"/>
      <c r="AU2" s="61" t="s">
        <v>138</v>
      </c>
      <c r="AV2" s="61"/>
      <c r="AW2" s="61"/>
      <c r="AX2"/>
      <c r="AY2" s="61" t="s">
        <v>139</v>
      </c>
      <c r="AZ2" s="61"/>
      <c r="BA2" s="61"/>
      <c r="BB2" s="61"/>
      <c r="BC2" s="61"/>
      <c r="BD2" s="61"/>
      <c r="BE2" s="61"/>
      <c r="BF2"/>
      <c r="BG2" s="61" t="s">
        <v>140</v>
      </c>
      <c r="BH2" s="61"/>
      <c r="BI2" s="61"/>
      <c r="BJ2" s="61"/>
      <c r="BK2" s="61"/>
      <c r="BL2" s="61"/>
      <c r="BM2" s="61"/>
      <c r="BN2"/>
      <c r="BO2" s="61" t="s">
        <v>141</v>
      </c>
      <c r="BP2" s="61"/>
      <c r="BQ2" s="61"/>
      <c r="BR2" s="61"/>
      <c r="BS2" s="61"/>
      <c r="BT2" s="61"/>
      <c r="BU2" s="61"/>
      <c r="BV2" s="61"/>
      <c r="BW2" s="61"/>
      <c r="BX2" s="61"/>
      <c r="BY2"/>
      <c r="BZ2" s="61" t="s">
        <v>142</v>
      </c>
      <c r="CA2" s="61"/>
      <c r="CB2" s="61"/>
      <c r="CC2" s="61"/>
      <c r="CD2" s="61"/>
      <c r="CE2" s="61"/>
      <c r="CF2" s="61"/>
      <c r="CG2" s="61"/>
      <c r="CH2" s="61"/>
      <c r="CI2" s="61"/>
    </row>
    <row r="3" spans="2:87" x14ac:dyDescent="0.2">
      <c r="B3" s="55" t="s">
        <v>127</v>
      </c>
      <c r="C3" s="58"/>
      <c r="D3" s="58"/>
      <c r="F3" s="55" t="s">
        <v>83</v>
      </c>
      <c r="G3" s="58"/>
      <c r="H3" s="58"/>
      <c r="J3" s="59" t="s">
        <v>101</v>
      </c>
      <c r="K3" s="59"/>
      <c r="L3" s="59"/>
      <c r="N3" s="59" t="s">
        <v>95</v>
      </c>
      <c r="O3" s="59"/>
      <c r="P3" s="59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T3"/>
      <c r="AU3" s="2" t="s">
        <v>145</v>
      </c>
      <c r="AV3" s="2">
        <f>0.5*AR9</f>
        <v>4.2062400000000002</v>
      </c>
      <c r="AW3" s="26" t="s">
        <v>8</v>
      </c>
      <c r="AX3"/>
      <c r="AY3" s="62" t="s">
        <v>146</v>
      </c>
      <c r="AZ3" s="62"/>
      <c r="BA3" s="62"/>
      <c r="BB3"/>
      <c r="BC3" s="62" t="s">
        <v>147</v>
      </c>
      <c r="BD3" s="62"/>
      <c r="BE3" s="62"/>
      <c r="BF3"/>
      <c r="BG3" s="62" t="s">
        <v>146</v>
      </c>
      <c r="BH3" s="62"/>
      <c r="BI3" s="62"/>
      <c r="BJ3" s="2"/>
      <c r="BK3" s="62" t="s">
        <v>147</v>
      </c>
      <c r="BL3" s="62"/>
      <c r="BM3" s="62"/>
      <c r="BN3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Y3"/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(1+$C$22/100)*MAX(G13,G20,G27,G31)</f>
        <v>745.54113568171499</v>
      </c>
      <c r="L4" s="6" t="s">
        <v>104</v>
      </c>
      <c r="N4" s="6" t="s">
        <v>25</v>
      </c>
      <c r="O4" s="6">
        <f xml:space="preserve"> 0.5 * $C$47 * $C$8^2</f>
        <v>2267.4637855940923</v>
      </c>
      <c r="P4" s="6" t="s">
        <v>26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2.9544018152326483E-2</v>
      </c>
      <c r="X4" s="3">
        <v>1</v>
      </c>
      <c r="Y4" s="2">
        <f t="shared" ref="Y4:Y34" si="1" xml:space="preserve"> $O$20 * TAN($O$17/180*PI()) + $O$21 / (2 * SQRT($O$20^2 + X4^2)) - X4</f>
        <v>-0.97486170821601903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-0.47330918291275714</v>
      </c>
      <c r="AB4" s="2">
        <f>W4*AA4</f>
        <v>-1.3983455091637313E-2</v>
      </c>
      <c r="AC4" s="2">
        <f>Y4*AA4</f>
        <v>0.46141099856865864</v>
      </c>
      <c r="AD4" s="2">
        <f>X4-V4</f>
        <v>1</v>
      </c>
      <c r="AF4" s="2">
        <v>0</v>
      </c>
      <c r="AG4" s="2"/>
      <c r="AH4" s="2">
        <f>K27</f>
        <v>5.3873836804996245E-6</v>
      </c>
      <c r="AI4" s="2"/>
      <c r="AJ4" s="2">
        <f>K27</f>
        <v>5.3873836804996245E-6</v>
      </c>
      <c r="AK4" s="2"/>
      <c r="AL4" s="2">
        <f>K27</f>
        <v>5.3873836804996245E-6</v>
      </c>
      <c r="AM4" s="2"/>
      <c r="AN4" s="2"/>
      <c r="AO4" s="2"/>
      <c r="AQ4" s="2" t="s">
        <v>151</v>
      </c>
      <c r="AR4" s="2">
        <f>$C$6</f>
        <v>289.78701963999998</v>
      </c>
      <c r="AS4" s="26" t="s">
        <v>134</v>
      </c>
      <c r="AT4"/>
      <c r="AU4" s="2" t="s">
        <v>152</v>
      </c>
      <c r="AV4" s="2">
        <f>PI()*AV3^2</f>
        <v>55.582486455932624</v>
      </c>
      <c r="AW4" s="26" t="s">
        <v>11</v>
      </c>
      <c r="AX4"/>
      <c r="AY4" s="2" t="s">
        <v>153</v>
      </c>
      <c r="AZ4" s="2">
        <f>2*($AR$19 - $AR$10)</f>
        <v>0.46268639999999994</v>
      </c>
      <c r="BA4" s="26" t="s">
        <v>8</v>
      </c>
      <c r="BB4"/>
      <c r="BC4" s="2" t="s">
        <v>153</v>
      </c>
      <c r="BD4" s="2">
        <f>$AR$20-$AR$19</f>
        <v>0.46268639999999994</v>
      </c>
      <c r="BE4" s="26" t="s">
        <v>8</v>
      </c>
      <c r="BF4"/>
      <c r="BG4" s="28" t="s">
        <v>154</v>
      </c>
      <c r="BH4" s="29">
        <f>BT34</f>
        <v>0.28303581942024358</v>
      </c>
      <c r="BI4" s="5" t="s">
        <v>155</v>
      </c>
      <c r="BJ4" s="2"/>
      <c r="BK4" s="28" t="s">
        <v>154</v>
      </c>
      <c r="BL4" s="29">
        <f>CE34</f>
        <v>0.21929315624406531</v>
      </c>
      <c r="BM4" s="5" t="s">
        <v>155</v>
      </c>
      <c r="BN4"/>
      <c r="BO4" s="30">
        <v>0</v>
      </c>
      <c r="BP4" s="30"/>
      <c r="BQ4" s="30">
        <f>$BH$20</f>
        <v>1.3293799117075622E-9</v>
      </c>
      <c r="BR4" s="30"/>
      <c r="BS4" s="30">
        <f>$BH$20</f>
        <v>1.3293799117075622E-9</v>
      </c>
      <c r="BT4" s="30"/>
      <c r="BU4" s="30">
        <f>$BH$20</f>
        <v>1.3293799117075622E-9</v>
      </c>
      <c r="BV4" s="30"/>
      <c r="BW4" s="30"/>
      <c r="BX4" s="30"/>
      <c r="BY4"/>
      <c r="BZ4" s="30">
        <v>0</v>
      </c>
      <c r="CA4" s="30"/>
      <c r="CB4" s="30">
        <f>$BL$20</f>
        <v>3.0097273284734882E-10</v>
      </c>
      <c r="CC4" s="30"/>
      <c r="CD4" s="30">
        <f>$BL$20</f>
        <v>3.0097273284734882E-10</v>
      </c>
      <c r="CE4" s="30"/>
      <c r="CF4" s="30">
        <f>$BL$20</f>
        <v>3.0097273284734882E-10</v>
      </c>
      <c r="CG4" s="30"/>
      <c r="CH4" s="30"/>
      <c r="CI4" s="30"/>
    </row>
    <row r="5" spans="2:87" x14ac:dyDescent="0.2">
      <c r="B5" s="10" t="s">
        <v>40</v>
      </c>
      <c r="C5" s="10">
        <v>3920.9901156599999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186.38528392042875</v>
      </c>
      <c r="L5" s="6" t="s">
        <v>104</v>
      </c>
      <c r="N5" s="6" t="s">
        <v>119</v>
      </c>
      <c r="O5" s="6">
        <f xml:space="preserve"> $C$18 * 0.85 * ($C$5/$C$18 *2.20462/1000)^(2/3) * 0.3048^2</f>
        <v>0.52798531286325312</v>
      </c>
      <c r="P5" s="6" t="s">
        <v>120</v>
      </c>
      <c r="U5" s="2">
        <v>1</v>
      </c>
      <c r="V5" s="2">
        <f>IF(AB4&gt;0, Z4, V4)</f>
        <v>0</v>
      </c>
      <c r="W5" s="2">
        <f t="shared" si="0"/>
        <v>2.9544018152326483E-2</v>
      </c>
      <c r="X5" s="2">
        <f>IF(AC4&gt;0, Z4, X4)</f>
        <v>0.5</v>
      </c>
      <c r="Y5" s="2">
        <f t="shared" si="1"/>
        <v>-0.47330918291275714</v>
      </c>
      <c r="Z5" s="2">
        <f t="shared" ref="Z5:Z34" si="3" xml:space="preserve"> (V5 + X5)/2</f>
        <v>0.25</v>
      </c>
      <c r="AA5" s="2">
        <f t="shared" si="2"/>
        <v>-0.22172827198309822</v>
      </c>
      <c r="AB5" s="2">
        <f t="shared" ref="AB5:AB34" si="4">W5*AA5</f>
        <v>-6.5507440923526375E-3</v>
      </c>
      <c r="AC5" s="2">
        <f t="shared" ref="AC5:AC34" si="5">Y5*AA5</f>
        <v>0.1049460272409778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-1992.9825976008133</v>
      </c>
      <c r="AI5" s="3">
        <v>5000</v>
      </c>
      <c r="AJ5" s="2">
        <f t="dataTable" ref="AJ5:AJ44" dt2D="0" dtr="0" r1="C5" ca="1"/>
        <v>517.21531346776783</v>
      </c>
      <c r="AK5" s="2">
        <f>(AG5+AI5)/2</f>
        <v>2750</v>
      </c>
      <c r="AL5" s="2">
        <f t="dataTable" ref="AL5:AL44" dt2D="0" dtr="0" r1="C5" ca="1"/>
        <v>-673.48816276436401</v>
      </c>
      <c r="AM5" s="2">
        <f>AH5*AL5</f>
        <v>1342250.1880795215</v>
      </c>
      <c r="AN5" s="2">
        <f>AJ5*AL5</f>
        <v>-348338.39122100157</v>
      </c>
      <c r="AO5" s="2">
        <f>AI5-AG5</f>
        <v>4500</v>
      </c>
      <c r="AQ5" s="2" t="s">
        <v>157</v>
      </c>
      <c r="AR5" s="3">
        <v>15.43370966</v>
      </c>
      <c r="AS5" s="26" t="s">
        <v>43</v>
      </c>
      <c r="AT5"/>
      <c r="AU5" s="2" t="s">
        <v>29</v>
      </c>
      <c r="AV5" s="2">
        <f>AR4*2*PI()/60</f>
        <v>30.346425733556835</v>
      </c>
      <c r="AW5" s="26" t="s">
        <v>30</v>
      </c>
      <c r="AX5"/>
      <c r="AY5" s="2" t="s">
        <v>158</v>
      </c>
      <c r="AZ5" s="2">
        <f>(1+$BH$18)*$AR$3</f>
        <v>6.1678290104181288</v>
      </c>
      <c r="BA5" s="26" t="s">
        <v>10</v>
      </c>
      <c r="BB5"/>
      <c r="BC5" s="2" t="s">
        <v>158</v>
      </c>
      <c r="BD5" s="2">
        <f>(1+$BL$18)*$AR$3</f>
        <v>7.8271289638209511</v>
      </c>
      <c r="BE5" s="26" t="s">
        <v>10</v>
      </c>
      <c r="BF5"/>
      <c r="BG5" s="2" t="s">
        <v>159</v>
      </c>
      <c r="BH5" s="2">
        <f>($AR$35+$AR$5)/180*PI()</f>
        <v>0.38979676775146332</v>
      </c>
      <c r="BI5" s="2" t="s">
        <v>155</v>
      </c>
      <c r="BJ5" s="2"/>
      <c r="BK5" s="2" t="s">
        <v>159</v>
      </c>
      <c r="BL5" s="2">
        <f>($AR$36+$AR$5)/180*PI()</f>
        <v>0.36675842162513816</v>
      </c>
      <c r="BM5" s="2" t="s">
        <v>155</v>
      </c>
      <c r="BN5"/>
      <c r="BO5" s="2">
        <v>1</v>
      </c>
      <c r="BP5" s="3">
        <f>0.01*PI()</f>
        <v>3.1415926535897934E-2</v>
      </c>
      <c r="BQ5" s="2">
        <f t="dataTable" ref="BQ5:BQ34" dt2D="0" dtr="0" r1="BH4" ca="1"/>
        <v>-2.2360347324003356</v>
      </c>
      <c r="BR5" s="3">
        <f>0.9*PI()</f>
        <v>2.8274333882308138</v>
      </c>
      <c r="BS5" s="2">
        <f t="dataTable" ref="BS5:BS34" dt2D="0" dtr="0" r1="BH4"/>
        <v>0.56184997761041344</v>
      </c>
      <c r="BT5" s="2">
        <f t="shared" ref="BT5:BT34" si="7">(BP5+BR5)/2</f>
        <v>1.4294246573833558</v>
      </c>
      <c r="BU5" s="2">
        <f t="dataTable" ref="BU5:BU34" dt2D="0" dtr="0" r1="BH4" ca="1"/>
        <v>1.0749040646043762</v>
      </c>
      <c r="BV5" s="2">
        <f t="shared" ref="BV5:BV34" si="8">BQ5*BU5</f>
        <v>-2.4035228224536791</v>
      </c>
      <c r="BW5" s="2">
        <f t="shared" ref="BW5:BW34" si="9">BS5*BU5</f>
        <v>0.6039348246313111</v>
      </c>
      <c r="BX5" s="2">
        <f t="shared" ref="BX5:BX34" si="10">BR5-BP5</f>
        <v>2.7960174616949161</v>
      </c>
      <c r="BY5"/>
      <c r="BZ5" s="2">
        <v>1</v>
      </c>
      <c r="CA5" s="3">
        <f>0.01*PI()</f>
        <v>3.1415926535897934E-2</v>
      </c>
      <c r="CB5" s="2">
        <f t="dataTable" ref="CB5:CB34" dt2D="0" dtr="0" r1="BL4" ca="1"/>
        <v>-1.379819786198013</v>
      </c>
      <c r="CC5" s="3">
        <f>0.9*PI()</f>
        <v>2.8274333882308138</v>
      </c>
      <c r="CD5" s="2">
        <f t="dataTable" ref="CD5:CD34" dt2D="0" dtr="0" r1="BL4"/>
        <v>0.45090810443306373</v>
      </c>
      <c r="CE5" s="2">
        <f t="shared" ref="CE5:CE34" si="11">(CA5+CC5)/2</f>
        <v>1.4294246573833558</v>
      </c>
      <c r="CF5" s="2">
        <f t="dataTable" ref="CF5:CF34" dt2D="0" dtr="0" r1="BL4" ca="1"/>
        <v>1.0283087971613623</v>
      </c>
      <c r="CG5" s="2">
        <f t="shared" ref="CG5:CG34" si="12">CB5*CF5</f>
        <v>-1.4188808246447269</v>
      </c>
      <c r="CH5" s="2">
        <f t="shared" ref="CH5:CH34" si="13">CD5*CF5</f>
        <v>0.46367277049987365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v>289.78701963999998</v>
      </c>
      <c r="D6" s="10" t="s">
        <v>134</v>
      </c>
      <c r="F6" t="s">
        <v>91</v>
      </c>
      <c r="G6" s="8">
        <f>$G$5/$G$4</f>
        <v>120</v>
      </c>
      <c r="H6" s="6" t="s">
        <v>14</v>
      </c>
      <c r="N6" t="s">
        <v>291</v>
      </c>
      <c r="O6" s="17">
        <v>0.63027662333509604</v>
      </c>
      <c r="P6" s="6" t="s">
        <v>120</v>
      </c>
      <c r="U6" s="2">
        <v>2</v>
      </c>
      <c r="V6" s="2">
        <f t="shared" ref="V6:V34" si="15">IF(AB5&gt;0, Z5, V5)</f>
        <v>0</v>
      </c>
      <c r="W6" s="2">
        <f t="shared" si="0"/>
        <v>2.9544018152326483E-2</v>
      </c>
      <c r="X6" s="2">
        <f t="shared" ref="X6:X34" si="16">IF(AC5&gt;0, Z5, X5)</f>
        <v>0.25</v>
      </c>
      <c r="Y6" s="2">
        <f t="shared" si="1"/>
        <v>-0.22172827198309822</v>
      </c>
      <c r="Z6" s="2">
        <f t="shared" si="3"/>
        <v>0.125</v>
      </c>
      <c r="AA6" s="2">
        <f t="shared" si="2"/>
        <v>-9.5859155238908908E-2</v>
      </c>
      <c r="AB6" s="2">
        <f t="shared" si="4"/>
        <v>-2.832064622445007E-3</v>
      </c>
      <c r="AC6" s="2">
        <f t="shared" si="5"/>
        <v>2.125468484488283E-2</v>
      </c>
      <c r="AD6" s="2">
        <f t="shared" si="6"/>
        <v>0.25</v>
      </c>
      <c r="AF6" s="2">
        <v>2</v>
      </c>
      <c r="AG6" s="2">
        <f>IF(AM5&gt;0, AK5, AG5)</f>
        <v>2750</v>
      </c>
      <c r="AH6" s="2">
        <v>-673.48816276436401</v>
      </c>
      <c r="AI6" s="2">
        <f>IF(AN5&gt;0, AK5, AI5)</f>
        <v>5000</v>
      </c>
      <c r="AJ6" s="2">
        <v>517.21531346776783</v>
      </c>
      <c r="AK6" s="2">
        <f t="shared" ref="AK6:AK43" si="17">(AG6+AI6)/2</f>
        <v>3875</v>
      </c>
      <c r="AL6" s="2">
        <v>-25.76235282297921</v>
      </c>
      <c r="AM6" s="2">
        <f t="shared" ref="AM6:AM44" si="18">AH6*AL6</f>
        <v>17350.639671235596</v>
      </c>
      <c r="AN6" s="2">
        <f t="shared" ref="AN6:AN44" si="19">AJ6*AL6</f>
        <v>-13324.683391004426</v>
      </c>
      <c r="AO6" s="2">
        <f t="shared" ref="AO6:AO44" si="20">AI6-AG6</f>
        <v>2250</v>
      </c>
      <c r="AQ6" s="2"/>
      <c r="AR6" s="2"/>
      <c r="AS6" s="26"/>
      <c r="AT6"/>
      <c r="AU6" s="2" t="s">
        <v>161</v>
      </c>
      <c r="AV6" s="33">
        <f>$AR$4/60</f>
        <v>4.8297836606666662</v>
      </c>
      <c r="AW6" s="26" t="s">
        <v>162</v>
      </c>
      <c r="AX6"/>
      <c r="AY6" s="2" t="s">
        <v>163</v>
      </c>
      <c r="AZ6" s="2">
        <f>(1-$BH$19)*$AV$5*$AR$19</f>
        <v>21.206653712683249</v>
      </c>
      <c r="BA6" s="26" t="s">
        <v>10</v>
      </c>
      <c r="BB6"/>
      <c r="BC6" s="2" t="s">
        <v>163</v>
      </c>
      <c r="BD6" s="2">
        <f>(1-$BL$19)*$AV$5*$AR$20</f>
        <v>35.118548568923671</v>
      </c>
      <c r="BE6" s="26" t="s">
        <v>10</v>
      </c>
      <c r="BF6"/>
      <c r="BG6" s="2" t="s">
        <v>28</v>
      </c>
      <c r="BH6" s="2">
        <f>BH5-BH4</f>
        <v>0.10676094833121974</v>
      </c>
      <c r="BI6" s="2" t="s">
        <v>155</v>
      </c>
      <c r="BJ6" s="2"/>
      <c r="BK6" s="2" t="s">
        <v>28</v>
      </c>
      <c r="BL6" s="2">
        <f>BL5-BL4</f>
        <v>0.14746526538107285</v>
      </c>
      <c r="BM6" s="2" t="s">
        <v>155</v>
      </c>
      <c r="BN6"/>
      <c r="BO6" s="2">
        <v>2</v>
      </c>
      <c r="BP6" s="2">
        <f t="shared" ref="BP6:BP34" si="21">IF(BV5&gt;0,BT5,BP5)</f>
        <v>3.1415926535897934E-2</v>
      </c>
      <c r="BQ6" s="2">
        <v>-2.2360347324003356</v>
      </c>
      <c r="BR6" s="2">
        <f t="shared" ref="BR6:BR34" si="22">IF(BW5&gt;0,BT5,BR5)</f>
        <v>1.4294246573833558</v>
      </c>
      <c r="BS6" s="2">
        <v>1.0749040646043762</v>
      </c>
      <c r="BT6" s="2">
        <f t="shared" si="7"/>
        <v>0.73042029195962688</v>
      </c>
      <c r="BU6" s="2">
        <v>0.67608759520336525</v>
      </c>
      <c r="BV6" s="2">
        <f t="shared" si="8"/>
        <v>-1.5117553450197432</v>
      </c>
      <c r="BW6" s="2">
        <f t="shared" si="9"/>
        <v>0.72672930411269543</v>
      </c>
      <c r="BX6" s="2">
        <f t="shared" si="10"/>
        <v>1.3980087308474578</v>
      </c>
      <c r="BY6"/>
      <c r="BZ6" s="2">
        <v>2</v>
      </c>
      <c r="CA6" s="2">
        <f t="shared" ref="CA6:CA34" si="23">IF(CG5&gt;0,CE5,CA5)</f>
        <v>3.1415926535897934E-2</v>
      </c>
      <c r="CB6" s="2">
        <v>-1.379819786198013</v>
      </c>
      <c r="CC6" s="2">
        <f t="shared" ref="CC6:CC34" si="24">IF(CH5&gt;0,CE5,CC5)</f>
        <v>1.4294246573833558</v>
      </c>
      <c r="CD6" s="2">
        <v>1.0283087971613623</v>
      </c>
      <c r="CE6" s="2">
        <f t="shared" si="11"/>
        <v>0.73042029195962688</v>
      </c>
      <c r="CF6" s="2">
        <v>0.65930205309793877</v>
      </c>
      <c r="CG6" s="2">
        <f t="shared" si="12"/>
        <v>-0.90971801794550888</v>
      </c>
      <c r="CH6" s="2">
        <f t="shared" si="13"/>
        <v>0.67796610118715805</v>
      </c>
      <c r="CI6" s="2">
        <f t="shared" si="14"/>
        <v>1.3980087308474578</v>
      </c>
    </row>
    <row r="7" spans="2:87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$C$6*2*PI()*$C$9/60</f>
        <v>127.6443497775161</v>
      </c>
      <c r="H7" s="6" t="s">
        <v>10</v>
      </c>
      <c r="J7" s="59" t="s">
        <v>23</v>
      </c>
      <c r="K7" s="59"/>
      <c r="L7" s="59"/>
      <c r="N7" s="6" t="s">
        <v>292</v>
      </c>
      <c r="O7" s="6">
        <f xml:space="preserve"> $O$6 + $O$5</f>
        <v>1.1582619361983491</v>
      </c>
      <c r="P7" s="6" t="s">
        <v>120</v>
      </c>
      <c r="U7" s="2">
        <v>3</v>
      </c>
      <c r="V7" s="2">
        <f t="shared" si="15"/>
        <v>0</v>
      </c>
      <c r="W7" s="2">
        <f t="shared" si="0"/>
        <v>2.9544018152326483E-2</v>
      </c>
      <c r="X7" s="2">
        <f t="shared" si="16"/>
        <v>0.125</v>
      </c>
      <c r="Y7" s="2">
        <f t="shared" si="1"/>
        <v>-9.5859155238908908E-2</v>
      </c>
      <c r="Z7" s="2">
        <f t="shared" si="3"/>
        <v>6.25E-2</v>
      </c>
      <c r="AA7" s="2">
        <f t="shared" si="2"/>
        <v>-3.3064256256415167E-2</v>
      </c>
      <c r="AB7" s="2">
        <f t="shared" si="4"/>
        <v>-9.7685098703270408E-4</v>
      </c>
      <c r="AC7" s="2">
        <f t="shared" si="5"/>
        <v>3.1695116733427668E-3</v>
      </c>
      <c r="AD7" s="2">
        <f t="shared" si="6"/>
        <v>0.125</v>
      </c>
      <c r="AF7" s="2">
        <v>3</v>
      </c>
      <c r="AG7" s="2">
        <f t="shared" ref="AG7:AG44" si="25">IF(AM6&gt;0, AK6, AG6)</f>
        <v>3875</v>
      </c>
      <c r="AH7" s="2">
        <v>-25.76235282297921</v>
      </c>
      <c r="AI7" s="2">
        <f t="shared" ref="AI7:AI44" si="26">IF(AN6&gt;0, AK6, AI6)</f>
        <v>5000</v>
      </c>
      <c r="AJ7" s="2">
        <v>517.21531346776783</v>
      </c>
      <c r="AK7" s="2">
        <f t="shared" si="17"/>
        <v>4437.5</v>
      </c>
      <c r="AL7" s="2">
        <v>259.31446470705623</v>
      </c>
      <c r="AM7" s="2">
        <f t="shared" si="18"/>
        <v>-6680.5507318851733</v>
      </c>
      <c r="AN7" s="2">
        <f t="shared" si="19"/>
        <v>134121.41215018652</v>
      </c>
      <c r="AO7" s="2">
        <f t="shared" si="20"/>
        <v>1125</v>
      </c>
      <c r="AQ7" s="61" t="s">
        <v>165</v>
      </c>
      <c r="AR7" s="61"/>
      <c r="AS7" s="61"/>
      <c r="AT7"/>
      <c r="AU7" s="2" t="s">
        <v>166</v>
      </c>
      <c r="AV7" s="33">
        <f>$AR$3/(AV6*AR9)</f>
        <v>6.2514677336102886E-2</v>
      </c>
      <c r="AW7"/>
      <c r="AX7"/>
      <c r="AY7" s="2" t="s">
        <v>167</v>
      </c>
      <c r="AZ7" s="2">
        <f>SQRT(AZ5^2 + AZ6^2)</f>
        <v>22.085386036730661</v>
      </c>
      <c r="BA7" s="26" t="s">
        <v>10</v>
      </c>
      <c r="BB7"/>
      <c r="BC7" s="2" t="s">
        <v>167</v>
      </c>
      <c r="BD7" s="2">
        <f>SQRT(BD5^2 + BD6^2)</f>
        <v>35.98022236457323</v>
      </c>
      <c r="BE7" s="26" t="s">
        <v>10</v>
      </c>
      <c r="BF7"/>
      <c r="BG7" s="2" t="s">
        <v>168</v>
      </c>
      <c r="BH7" s="2">
        <f>BH6/PI()*180</f>
        <v>6.1169517561931404</v>
      </c>
      <c r="BI7" s="2" t="s">
        <v>43</v>
      </c>
      <c r="BJ7" s="2"/>
      <c r="BK7" s="2" t="s">
        <v>168</v>
      </c>
      <c r="BL7" s="2">
        <f>BL6/PI()*180</f>
        <v>8.4491373311121212</v>
      </c>
      <c r="BM7" s="2" t="s">
        <v>43</v>
      </c>
      <c r="BN7"/>
      <c r="BO7" s="2">
        <v>3</v>
      </c>
      <c r="BP7" s="2">
        <f t="shared" si="21"/>
        <v>3.1415926535897934E-2</v>
      </c>
      <c r="BQ7" s="2">
        <v>-2.2360347324003356</v>
      </c>
      <c r="BR7" s="2">
        <f t="shared" si="22"/>
        <v>0.73042029195962688</v>
      </c>
      <c r="BS7" s="2">
        <v>0.67608759520336525</v>
      </c>
      <c r="BT7" s="2">
        <f t="shared" si="7"/>
        <v>0.38091810924776243</v>
      </c>
      <c r="BU7" s="2">
        <v>0.23542790721739867</v>
      </c>
      <c r="BV7" s="2">
        <f t="shared" si="8"/>
        <v>-0.52642497751442707</v>
      </c>
      <c r="BW7" s="2">
        <f t="shared" si="9"/>
        <v>0.15916988763437206</v>
      </c>
      <c r="BX7" s="2">
        <f t="shared" si="10"/>
        <v>0.6990043654237289</v>
      </c>
      <c r="BY7"/>
      <c r="BZ7" s="2">
        <v>3</v>
      </c>
      <c r="CA7" s="2">
        <f t="shared" si="23"/>
        <v>3.1415926535897934E-2</v>
      </c>
      <c r="CB7" s="2">
        <v>-1.379819786198013</v>
      </c>
      <c r="CC7" s="2">
        <f t="shared" si="24"/>
        <v>0.73042029195962688</v>
      </c>
      <c r="CD7" s="2">
        <v>0.65930205309793877</v>
      </c>
      <c r="CE7" s="2">
        <f t="shared" si="11"/>
        <v>0.38091810924776243</v>
      </c>
      <c r="CF7" s="2">
        <v>0.30418121532720999</v>
      </c>
      <c r="CG7" s="2">
        <f t="shared" si="12"/>
        <v>-0.41971525949824268</v>
      </c>
      <c r="CH7" s="2">
        <f t="shared" si="13"/>
        <v>0.20054729977905575</v>
      </c>
      <c r="CI7" s="2">
        <f t="shared" si="14"/>
        <v>0.6990043654237289</v>
      </c>
    </row>
    <row r="8" spans="2:87" x14ac:dyDescent="0.2">
      <c r="B8" s="6" t="s">
        <v>9</v>
      </c>
      <c r="C8" s="17">
        <f>150 * 1609.344 / 3600</f>
        <v>67.055999999999997</v>
      </c>
      <c r="D8" s="6" t="s">
        <v>10</v>
      </c>
      <c r="F8" s="6" t="s">
        <v>133</v>
      </c>
      <c r="G8" s="6">
        <f>G7/$C$43</f>
        <v>0.38226376902794929</v>
      </c>
      <c r="H8" s="6" t="s">
        <v>131</v>
      </c>
      <c r="J8" s="6" t="s">
        <v>99</v>
      </c>
      <c r="K8" s="6">
        <f xml:space="preserve"> $C$15 * (G13*G6 + G20*G16 + G27*G25 + G31*G30)/3600</f>
        <v>347.02488361966698</v>
      </c>
      <c r="L8" s="6" t="s">
        <v>105</v>
      </c>
      <c r="N8" s="6" t="s">
        <v>41</v>
      </c>
      <c r="O8" s="6">
        <f xml:space="preserve"> O4 *O7</f>
        <v>2626.3169945618515</v>
      </c>
      <c r="P8" s="6" t="s">
        <v>22</v>
      </c>
      <c r="U8" s="2">
        <v>4</v>
      </c>
      <c r="V8" s="2">
        <f t="shared" si="15"/>
        <v>0</v>
      </c>
      <c r="W8" s="2">
        <f t="shared" si="0"/>
        <v>2.9544018152326483E-2</v>
      </c>
      <c r="X8" s="2">
        <f t="shared" si="16"/>
        <v>6.25E-2</v>
      </c>
      <c r="Y8" s="2">
        <f t="shared" si="1"/>
        <v>-3.3064256256415167E-2</v>
      </c>
      <c r="Z8" s="2">
        <f t="shared" si="3"/>
        <v>3.125E-2</v>
      </c>
      <c r="AA8" s="2">
        <f t="shared" si="2"/>
        <v>-1.7335674126187396E-3</v>
      </c>
      <c r="AB8" s="2">
        <f t="shared" si="4"/>
        <v>-5.1216547106689697E-5</v>
      </c>
      <c r="AC8" s="2">
        <f t="shared" si="5"/>
        <v>5.7319117168596614E-5</v>
      </c>
      <c r="AD8" s="2">
        <f t="shared" si="6"/>
        <v>6.25E-2</v>
      </c>
      <c r="AF8" s="2">
        <v>4</v>
      </c>
      <c r="AG8" s="2">
        <f t="shared" si="25"/>
        <v>3875</v>
      </c>
      <c r="AH8" s="2">
        <v>-25.76235282297921</v>
      </c>
      <c r="AI8" s="2">
        <f t="shared" si="26"/>
        <v>4437.5</v>
      </c>
      <c r="AJ8" s="2">
        <v>259.31446470705623</v>
      </c>
      <c r="AK8" s="2">
        <f t="shared" si="17"/>
        <v>4156.25</v>
      </c>
      <c r="AL8" s="2">
        <v>125.77724118027754</v>
      </c>
      <c r="AM8" s="2">
        <f t="shared" si="18"/>
        <v>-3240.3176643872603</v>
      </c>
      <c r="AN8" s="2">
        <f t="shared" si="19"/>
        <v>32615.85796899398</v>
      </c>
      <c r="AO8" s="2">
        <f t="shared" si="20"/>
        <v>562.5</v>
      </c>
      <c r="AQ8" s="2" t="s">
        <v>169</v>
      </c>
      <c r="AR8" s="2">
        <f>$C$19</f>
        <v>3</v>
      </c>
      <c r="AS8" s="26"/>
      <c r="AT8"/>
      <c r="AU8"/>
      <c r="AV8"/>
      <c r="AW8"/>
      <c r="AX8"/>
      <c r="AY8" s="2" t="s">
        <v>170</v>
      </c>
      <c r="AZ8" s="37">
        <f>$AR$45*AZ7*$AR$27/$AR$46</f>
        <v>397608.34606415685</v>
      </c>
      <c r="BA8" s="26"/>
      <c r="BB8"/>
      <c r="BC8" s="2" t="s">
        <v>170</v>
      </c>
      <c r="BD8" s="37">
        <f>$AR$45*BD7*$AR$28/$AR$46</f>
        <v>629181.67400829447</v>
      </c>
      <c r="BE8" s="26"/>
      <c r="BF8"/>
      <c r="BG8" s="2" t="s">
        <v>171</v>
      </c>
      <c r="BH8" s="2">
        <f xml:space="preserve"> $AR$8*$AR$27 / (2*PI()*$AR$19)</f>
        <v>0.1950102781284552</v>
      </c>
      <c r="BI8" s="2"/>
      <c r="BJ8" s="2"/>
      <c r="BK8" s="2" t="s">
        <v>171</v>
      </c>
      <c r="BL8" s="2">
        <f xml:space="preserve"> $AR$8*$AR$28 / (2*PI()*$AR$20)</f>
        <v>0.11630875709636669</v>
      </c>
      <c r="BM8" s="2"/>
      <c r="BN8"/>
      <c r="BO8" s="2">
        <v>4</v>
      </c>
      <c r="BP8" s="2">
        <f t="shared" si="21"/>
        <v>3.1415926535897934E-2</v>
      </c>
      <c r="BQ8" s="2">
        <v>-2.2360347324003356</v>
      </c>
      <c r="BR8" s="2">
        <f t="shared" si="22"/>
        <v>0.38091810924776243</v>
      </c>
      <c r="BS8" s="2">
        <v>0.23542790721739867</v>
      </c>
      <c r="BT8" s="2">
        <f t="shared" si="7"/>
        <v>0.20616701789183017</v>
      </c>
      <c r="BU8" s="2">
        <v>-0.23932199672464105</v>
      </c>
      <c r="BV8" s="2">
        <f t="shared" si="8"/>
        <v>0.53513229690369679</v>
      </c>
      <c r="BW8" s="2">
        <f t="shared" si="9"/>
        <v>-5.6343076839971383E-2</v>
      </c>
      <c r="BX8" s="2">
        <f t="shared" si="10"/>
        <v>0.34950218271186451</v>
      </c>
      <c r="BY8"/>
      <c r="BZ8" s="2">
        <v>4</v>
      </c>
      <c r="CA8" s="2">
        <f t="shared" si="23"/>
        <v>3.1415926535897934E-2</v>
      </c>
      <c r="CB8" s="2">
        <v>-1.379819786198013</v>
      </c>
      <c r="CC8" s="2">
        <f t="shared" si="24"/>
        <v>0.38091810924776243</v>
      </c>
      <c r="CD8" s="2">
        <v>0.30418121532720999</v>
      </c>
      <c r="CE8" s="2">
        <f t="shared" si="11"/>
        <v>0.20616701789183017</v>
      </c>
      <c r="CF8" s="2">
        <v>-3.2686109959794464E-2</v>
      </c>
      <c r="CG8" s="2">
        <f t="shared" si="12"/>
        <v>4.5100941256368342E-2</v>
      </c>
      <c r="CH8" s="2">
        <f t="shared" si="13"/>
        <v>-9.9425006518891034E-3</v>
      </c>
      <c r="CI8" s="2">
        <f t="shared" si="14"/>
        <v>0.34950218271186451</v>
      </c>
    </row>
    <row r="9" spans="2:87" x14ac:dyDescent="0.2">
      <c r="B9" s="6" t="s">
        <v>98</v>
      </c>
      <c r="C9" s="17">
        <v>4.2062400000000002</v>
      </c>
      <c r="D9" s="6" t="s">
        <v>8</v>
      </c>
      <c r="F9" t="s">
        <v>21</v>
      </c>
      <c r="G9" s="6">
        <f xml:space="preserve"> $C$5 * $C$44 / $C$18</f>
        <v>9607.8875210331589</v>
      </c>
      <c r="H9" s="6" t="s">
        <v>22</v>
      </c>
      <c r="J9" s="6" t="s">
        <v>265</v>
      </c>
      <c r="K9" s="6">
        <f xml:space="preserve"> $C$15 * (G6 + G16 + G25 +G30)/60</f>
        <v>49.333333333333336</v>
      </c>
      <c r="L9" s="6" t="s">
        <v>106</v>
      </c>
      <c r="N9" s="6" t="s">
        <v>42</v>
      </c>
      <c r="O9" s="6">
        <f xml:space="preserve"> O8</f>
        <v>2626.3169945618515</v>
      </c>
      <c r="P9" s="6" t="s">
        <v>22</v>
      </c>
      <c r="U9" s="2">
        <v>5</v>
      </c>
      <c r="V9" s="2">
        <f t="shared" si="15"/>
        <v>0</v>
      </c>
      <c r="W9" s="2">
        <f t="shared" si="0"/>
        <v>2.9544018152326483E-2</v>
      </c>
      <c r="X9" s="2">
        <f t="shared" si="16"/>
        <v>3.125E-2</v>
      </c>
      <c r="Y9" s="2">
        <f t="shared" si="1"/>
        <v>-1.7335674126187396E-3</v>
      </c>
      <c r="Z9" s="2">
        <f t="shared" si="3"/>
        <v>1.5625E-2</v>
      </c>
      <c r="AA9" s="2">
        <f t="shared" si="2"/>
        <v>1.3912088588474855E-2</v>
      </c>
      <c r="AB9" s="2">
        <f t="shared" si="4"/>
        <v>4.1101899779467525E-4</v>
      </c>
      <c r="AC9" s="2">
        <f t="shared" si="5"/>
        <v>-2.4117543418445049E-5</v>
      </c>
      <c r="AD9" s="2">
        <f t="shared" si="6"/>
        <v>3.125E-2</v>
      </c>
      <c r="AF9" s="2">
        <v>5</v>
      </c>
      <c r="AG9" s="2">
        <f t="shared" si="25"/>
        <v>3875</v>
      </c>
      <c r="AH9" s="2">
        <v>-25.76235282297921</v>
      </c>
      <c r="AI9" s="2">
        <f t="shared" si="26"/>
        <v>4156.25</v>
      </c>
      <c r="AJ9" s="2">
        <v>125.77724118027754</v>
      </c>
      <c r="AK9" s="2">
        <f t="shared" si="17"/>
        <v>4015.625</v>
      </c>
      <c r="AL9" s="2">
        <v>52.822213804467538</v>
      </c>
      <c r="AM9" s="2">
        <f t="shared" si="18"/>
        <v>-1360.8245089215357</v>
      </c>
      <c r="AN9" s="2">
        <f t="shared" si="19"/>
        <v>6643.8323253606995</v>
      </c>
      <c r="AO9" s="2">
        <f t="shared" si="20"/>
        <v>281.25</v>
      </c>
      <c r="AQ9" s="2" t="s">
        <v>172</v>
      </c>
      <c r="AR9" s="2">
        <f>2*$C$9</f>
        <v>8.4124800000000004</v>
      </c>
      <c r="AS9" s="26" t="s">
        <v>8</v>
      </c>
      <c r="AT9"/>
      <c r="AU9" s="61" t="s">
        <v>173</v>
      </c>
      <c r="AV9" s="61"/>
      <c r="AW9" s="61"/>
      <c r="AX9"/>
      <c r="AY9" s="2" t="s">
        <v>174</v>
      </c>
      <c r="AZ9" s="33">
        <f xml:space="preserve"> $BH$8 * PI() * $AR$45 * AZ7^2 *$BH$14 * $AR$19 * AZ4</f>
        <v>87.785341152750874</v>
      </c>
      <c r="BA9" s="26" t="s">
        <v>22</v>
      </c>
      <c r="BB9"/>
      <c r="BC9" s="2" t="s">
        <v>174</v>
      </c>
      <c r="BD9" s="33">
        <f xml:space="preserve"> $BL$8 * PI() * $AR$45 * BD7^2 * $BL$14 * $AR$20 * BD4</f>
        <v>296.38373244077422</v>
      </c>
      <c r="BE9" s="26" t="s">
        <v>22</v>
      </c>
      <c r="BF9"/>
      <c r="BG9" s="2" t="s">
        <v>175</v>
      </c>
      <c r="BH9" s="2">
        <f>IF(-$AR$8*($AV$3-$AR$19)/(2*$AR$19*SIN(BH4))&gt;500, 1, 2*ACOS(MIN(1, EXP(-$AR$8*($AV$3-$AR$19)/(2*$AR$19*SIN(BH4)))))/PI() )</f>
        <v>0.99999999999358591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0.99999998045010008</v>
      </c>
      <c r="BM9" s="2"/>
      <c r="BN9"/>
      <c r="BO9" s="2">
        <v>5</v>
      </c>
      <c r="BP9" s="2">
        <f t="shared" si="21"/>
        <v>0.20616701789183017</v>
      </c>
      <c r="BQ9" s="2">
        <v>-0.23932199672464105</v>
      </c>
      <c r="BR9" s="2">
        <f t="shared" si="22"/>
        <v>0.38091810924776243</v>
      </c>
      <c r="BS9" s="2">
        <v>0.23542790721739867</v>
      </c>
      <c r="BT9" s="2">
        <f t="shared" si="7"/>
        <v>0.2935425635697963</v>
      </c>
      <c r="BU9" s="2">
        <v>2.8302086456498773E-2</v>
      </c>
      <c r="BV9" s="2">
        <f t="shared" si="8"/>
        <v>-6.7733118422427076E-3</v>
      </c>
      <c r="BW9" s="2">
        <f t="shared" si="9"/>
        <v>6.6631009843393886E-3</v>
      </c>
      <c r="BX9" s="2">
        <f t="shared" si="10"/>
        <v>0.17475109135593225</v>
      </c>
      <c r="BY9"/>
      <c r="BZ9" s="2">
        <v>5</v>
      </c>
      <c r="CA9" s="2">
        <f t="shared" si="23"/>
        <v>0.20616701789183017</v>
      </c>
      <c r="CB9" s="2">
        <v>-3.2686109959794464E-2</v>
      </c>
      <c r="CC9" s="2">
        <f t="shared" si="24"/>
        <v>0.38091810924776243</v>
      </c>
      <c r="CD9" s="2">
        <v>0.30418121532720999</v>
      </c>
      <c r="CE9" s="2">
        <f t="shared" si="11"/>
        <v>0.2935425635697963</v>
      </c>
      <c r="CF9" s="2">
        <v>0.15723600128980192</v>
      </c>
      <c r="CG9" s="2">
        <f t="shared" si="12"/>
        <v>-5.1394332277968496E-3</v>
      </c>
      <c r="CH9" s="2">
        <f t="shared" si="13"/>
        <v>4.7828237965522706E-2</v>
      </c>
      <c r="CI9" s="2">
        <f t="shared" si="14"/>
        <v>0.17475109135593225</v>
      </c>
    </row>
    <row r="10" spans="2:87" x14ac:dyDescent="0.2">
      <c r="B10" s="6" t="s">
        <v>224</v>
      </c>
      <c r="C10" s="17">
        <f>(0.071475+0.069425+0.067375+0.065325+0.063275+0.061225+0.059175+0.057125)/8</f>
        <v>6.4299999999999982E-2</v>
      </c>
      <c r="F10" s="6" t="s">
        <v>215</v>
      </c>
      <c r="G10" s="6">
        <f>AV10</f>
        <v>9607.5713599661976</v>
      </c>
      <c r="H10" s="6" t="s">
        <v>22</v>
      </c>
      <c r="N10" s="6" t="s">
        <v>118</v>
      </c>
      <c r="O10" s="6">
        <f>O7/(0.3048^2)/($C$5*2.20462/1000)^(2/3) + 0.85</f>
        <v>3.8099919647468585</v>
      </c>
      <c r="U10" s="2">
        <v>6</v>
      </c>
      <c r="V10" s="2">
        <f t="shared" si="15"/>
        <v>1.5625E-2</v>
      </c>
      <c r="W10" s="2">
        <f t="shared" si="0"/>
        <v>1.3912088588474855E-2</v>
      </c>
      <c r="X10" s="2">
        <f t="shared" si="16"/>
        <v>3.125E-2</v>
      </c>
      <c r="Y10" s="2">
        <f t="shared" si="1"/>
        <v>-1.7335674126187396E-3</v>
      </c>
      <c r="Z10" s="2">
        <f t="shared" si="3"/>
        <v>2.34375E-2</v>
      </c>
      <c r="AA10" s="2">
        <f t="shared" si="2"/>
        <v>6.0909578297359893E-3</v>
      </c>
      <c r="AB10" s="2">
        <f t="shared" si="4"/>
        <v>8.4737944915951621E-5</v>
      </c>
      <c r="AC10" s="2">
        <f t="shared" si="5"/>
        <v>-1.0559086005265272E-5</v>
      </c>
      <c r="AD10" s="2">
        <f t="shared" si="6"/>
        <v>1.5625E-2</v>
      </c>
      <c r="AF10" s="2">
        <v>6</v>
      </c>
      <c r="AG10" s="2">
        <f t="shared" si="25"/>
        <v>3875</v>
      </c>
      <c r="AH10" s="2">
        <v>-25.76235282297921</v>
      </c>
      <c r="AI10" s="2">
        <f t="shared" si="26"/>
        <v>4015.625</v>
      </c>
      <c r="AJ10" s="2">
        <v>52.822213804467538</v>
      </c>
      <c r="AK10" s="2">
        <f t="shared" si="17"/>
        <v>3945.3125</v>
      </c>
      <c r="AL10" s="2">
        <v>13.600408528503067</v>
      </c>
      <c r="AM10" s="2">
        <f t="shared" si="18"/>
        <v>-350.37852304795149</v>
      </c>
      <c r="AN10" s="2">
        <f t="shared" si="19"/>
        <v>718.40368712069278</v>
      </c>
      <c r="AO10" s="2">
        <f t="shared" si="20"/>
        <v>140.625</v>
      </c>
      <c r="AQ10" s="2" t="s">
        <v>176</v>
      </c>
      <c r="AR10" s="3">
        <f>0.12*($AR$9/2)</f>
        <v>0.5047488</v>
      </c>
      <c r="AS10" s="26" t="s">
        <v>8</v>
      </c>
      <c r="AT10"/>
      <c r="AU10" s="4" t="s">
        <v>177</v>
      </c>
      <c r="AV10" s="38">
        <f>AZ9+BD9+AZ18+BD18+AZ27+BD27+AZ36+BD36</f>
        <v>9607.5713599661976</v>
      </c>
      <c r="AW10" s="26" t="s">
        <v>22</v>
      </c>
      <c r="AX10"/>
      <c r="AY10" s="2" t="s">
        <v>178</v>
      </c>
      <c r="AZ10" s="33">
        <f xml:space="preserve"> $BH$8 * PI() * $AR$45 * AZ7^2 * $BH$15 * $AR$19^2 * AZ4</f>
        <v>20.147036165824041</v>
      </c>
      <c r="BA10" s="26" t="s">
        <v>179</v>
      </c>
      <c r="BB10"/>
      <c r="BC10" s="2" t="s">
        <v>178</v>
      </c>
      <c r="BD10" s="33">
        <f xml:space="preserve"> $BL$8 * PI() * $AR$45 * BD7^2 * $BL$15 * $AR$20^2 * BD4</f>
        <v>84.678921203829887</v>
      </c>
      <c r="BE10" s="26" t="s">
        <v>179</v>
      </c>
      <c r="BF10"/>
      <c r="BG10" s="2" t="s">
        <v>180</v>
      </c>
      <c r="BH10" s="2">
        <f>IF(-$AR$8*($AR$19-$AR$10)/(2*$AR$19*SIN(BH4))&gt;500, 1, 2*ACOS(MIN(1, EXP(-$AR$8*($AR$19-$AR$10)/(2*$AR$19*SIN(BH4)))))/PI() )</f>
        <v>0.88162242752515263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0.98824570498207287</v>
      </c>
      <c r="BM10" s="2"/>
      <c r="BN10"/>
      <c r="BO10" s="2">
        <v>6</v>
      </c>
      <c r="BP10" s="2">
        <f t="shared" si="21"/>
        <v>0.20616701789183017</v>
      </c>
      <c r="BQ10" s="2">
        <v>-0.23932199672464105</v>
      </c>
      <c r="BR10" s="2">
        <f t="shared" si="22"/>
        <v>0.2935425635697963</v>
      </c>
      <c r="BS10" s="2">
        <v>2.8302086456498773E-2</v>
      </c>
      <c r="BT10" s="2">
        <f t="shared" si="7"/>
        <v>0.24985479073081324</v>
      </c>
      <c r="BU10" s="2">
        <v>-9.5535080850788434E-2</v>
      </c>
      <c r="BV10" s="2">
        <f t="shared" si="8"/>
        <v>2.2863646306460709E-2</v>
      </c>
      <c r="BW10" s="2">
        <f t="shared" si="9"/>
        <v>-2.7038421178676147E-3</v>
      </c>
      <c r="BX10" s="2">
        <f t="shared" si="10"/>
        <v>8.7375545677966127E-2</v>
      </c>
      <c r="BY10"/>
      <c r="BZ10" s="2">
        <v>6</v>
      </c>
      <c r="CA10" s="2">
        <f t="shared" si="23"/>
        <v>0.20616701789183017</v>
      </c>
      <c r="CB10" s="2">
        <v>-3.2686109959794464E-2</v>
      </c>
      <c r="CC10" s="2">
        <f t="shared" si="24"/>
        <v>0.2935425635697963</v>
      </c>
      <c r="CD10" s="2">
        <v>0.15723600128980192</v>
      </c>
      <c r="CE10" s="2">
        <f t="shared" si="11"/>
        <v>0.24985479073081324</v>
      </c>
      <c r="CF10" s="2">
        <v>6.9650260011532239E-2</v>
      </c>
      <c r="CG10" s="2">
        <f t="shared" si="12"/>
        <v>-2.276596057465218E-3</v>
      </c>
      <c r="CH10" s="2">
        <f t="shared" si="13"/>
        <v>1.0951528373008322E-2</v>
      </c>
      <c r="CI10" s="2">
        <f t="shared" si="14"/>
        <v>8.7375545677966127E-2</v>
      </c>
    </row>
    <row r="11" spans="2:87" x14ac:dyDescent="0.2">
      <c r="F11" s="6" t="s">
        <v>216</v>
      </c>
      <c r="G11" s="6">
        <f>G9-G10</f>
        <v>0.31616106696128554</v>
      </c>
      <c r="H11" s="6" t="s">
        <v>22</v>
      </c>
      <c r="J11" s="55" t="s">
        <v>54</v>
      </c>
      <c r="K11" s="55"/>
      <c r="L11" s="55"/>
      <c r="U11" s="2">
        <v>7</v>
      </c>
      <c r="V11" s="2">
        <f t="shared" si="15"/>
        <v>2.34375E-2</v>
      </c>
      <c r="W11" s="2">
        <f t="shared" si="0"/>
        <v>6.0909578297359893E-3</v>
      </c>
      <c r="X11" s="2">
        <f t="shared" si="16"/>
        <v>3.125E-2</v>
      </c>
      <c r="Y11" s="2">
        <f t="shared" si="1"/>
        <v>-1.7335674126187396E-3</v>
      </c>
      <c r="Z11" s="2">
        <f t="shared" si="3"/>
        <v>2.734375E-2</v>
      </c>
      <c r="AA11" s="2">
        <f t="shared" si="2"/>
        <v>2.1791163231604481E-3</v>
      </c>
      <c r="AB11" s="2">
        <f t="shared" si="4"/>
        <v>1.3272905630459631E-5</v>
      </c>
      <c r="AC11" s="2">
        <f t="shared" si="5"/>
        <v>-3.7776450461365195E-6</v>
      </c>
      <c r="AD11" s="2">
        <f t="shared" si="6"/>
        <v>7.8125E-3</v>
      </c>
      <c r="AF11" s="2">
        <v>7</v>
      </c>
      <c r="AG11" s="2">
        <f t="shared" si="25"/>
        <v>3875</v>
      </c>
      <c r="AH11" s="2">
        <v>-25.76235282297921</v>
      </c>
      <c r="AI11" s="2">
        <f t="shared" si="26"/>
        <v>3945.3125</v>
      </c>
      <c r="AJ11" s="2">
        <v>13.600408528503067</v>
      </c>
      <c r="AK11" s="2">
        <f t="shared" si="17"/>
        <v>3910.15625</v>
      </c>
      <c r="AL11" s="2">
        <v>-6.0634406986846443</v>
      </c>
      <c r="AM11" s="2">
        <f t="shared" si="18"/>
        <v>156.20849860072539</v>
      </c>
      <c r="AN11" s="2">
        <f t="shared" si="19"/>
        <v>-82.465270590463234</v>
      </c>
      <c r="AO11" s="2">
        <f t="shared" si="20"/>
        <v>70.3125</v>
      </c>
      <c r="AQ11" s="64" t="s">
        <v>181</v>
      </c>
      <c r="AR11" s="3" t="s">
        <v>219</v>
      </c>
      <c r="AS11" s="26"/>
      <c r="AT11"/>
      <c r="AU11" s="4" t="s">
        <v>182</v>
      </c>
      <c r="AV11" s="38">
        <f>AZ10+BD10+AZ19+BD19+AZ28+BD28+AZ37+BD37</f>
        <v>4094.6125595789772</v>
      </c>
      <c r="AW11" s="26" t="s">
        <v>179</v>
      </c>
      <c r="AX11"/>
      <c r="AY11"/>
      <c r="AZ11" s="33"/>
      <c r="BA11"/>
      <c r="BB11"/>
      <c r="BC11"/>
      <c r="BD11"/>
      <c r="BE11"/>
      <c r="BF11"/>
      <c r="BG11" s="2" t="s">
        <v>183</v>
      </c>
      <c r="BH11" s="2">
        <f>IF(BH4=0,1,BH9*BH10)</f>
        <v>0.88162242751949782</v>
      </c>
      <c r="BI11" s="2"/>
      <c r="BJ11" s="2"/>
      <c r="BK11" s="2" t="s">
        <v>183</v>
      </c>
      <c r="BL11" s="2">
        <f>IF(BL4=0,1,BL9*BL10)</f>
        <v>0.98824568566196824</v>
      </c>
      <c r="BM11" s="2"/>
      <c r="BN11"/>
      <c r="BO11" s="2">
        <v>7</v>
      </c>
      <c r="BP11" s="2">
        <f t="shared" si="21"/>
        <v>0.24985479073081324</v>
      </c>
      <c r="BQ11" s="2">
        <v>-9.5535080850788434E-2</v>
      </c>
      <c r="BR11" s="2">
        <f t="shared" si="22"/>
        <v>0.2935425635697963</v>
      </c>
      <c r="BS11" s="2">
        <v>2.8302086456498773E-2</v>
      </c>
      <c r="BT11" s="2">
        <f t="shared" si="7"/>
        <v>0.27169867715030477</v>
      </c>
      <c r="BU11" s="2">
        <v>-3.1537735719341958E-2</v>
      </c>
      <c r="BV11" s="2">
        <f t="shared" si="8"/>
        <v>3.0129601317981322E-3</v>
      </c>
      <c r="BW11" s="2">
        <f t="shared" si="9"/>
        <v>-8.9258372297102567E-4</v>
      </c>
      <c r="BX11" s="2">
        <f t="shared" si="10"/>
        <v>4.3687772838983063E-2</v>
      </c>
      <c r="BY11"/>
      <c r="BZ11" s="2">
        <v>7</v>
      </c>
      <c r="CA11" s="2">
        <f t="shared" si="23"/>
        <v>0.20616701789183017</v>
      </c>
      <c r="CB11" s="2">
        <v>-3.2686109959794464E-2</v>
      </c>
      <c r="CC11" s="2">
        <f t="shared" si="24"/>
        <v>0.24985479073081324</v>
      </c>
      <c r="CD11" s="2">
        <v>6.9650260011532239E-2</v>
      </c>
      <c r="CE11" s="2">
        <f t="shared" si="11"/>
        <v>0.2280109043113217</v>
      </c>
      <c r="CF11" s="2">
        <v>2.0720091358786497E-2</v>
      </c>
      <c r="CG11" s="2">
        <f t="shared" si="12"/>
        <v>-6.7725918453028248E-4</v>
      </c>
      <c r="CH11" s="2">
        <f t="shared" si="13"/>
        <v>1.4431597506021818E-3</v>
      </c>
      <c r="CI11" s="2">
        <f t="shared" si="14"/>
        <v>4.3687772838983063E-2</v>
      </c>
    </row>
    <row r="12" spans="2:87" x14ac:dyDescent="0.2">
      <c r="B12" s="59" t="s">
        <v>12</v>
      </c>
      <c r="C12" s="59"/>
      <c r="D12" s="59"/>
      <c r="F12" s="6" t="s">
        <v>217</v>
      </c>
      <c r="G12" s="4" t="str">
        <f>IF(ABS(G11)&lt;1, "TRUE", "FALSE")</f>
        <v>TRUE</v>
      </c>
      <c r="J12" s="10" t="s">
        <v>82</v>
      </c>
      <c r="K12" s="6">
        <f>C5</f>
        <v>3920.9901156599999</v>
      </c>
      <c r="L12" s="6" t="s">
        <v>7</v>
      </c>
      <c r="N12" s="55" t="s">
        <v>76</v>
      </c>
      <c r="O12" s="56"/>
      <c r="P12" s="56"/>
      <c r="U12" s="2">
        <v>8</v>
      </c>
      <c r="V12" s="2">
        <f t="shared" si="15"/>
        <v>2.734375E-2</v>
      </c>
      <c r="W12" s="2">
        <f t="shared" si="0"/>
        <v>2.1791163231604481E-3</v>
      </c>
      <c r="X12" s="2">
        <f t="shared" si="16"/>
        <v>3.125E-2</v>
      </c>
      <c r="Y12" s="2">
        <f t="shared" si="1"/>
        <v>-1.7335674126187396E-3</v>
      </c>
      <c r="Z12" s="2">
        <f t="shared" si="3"/>
        <v>2.9296875E-2</v>
      </c>
      <c r="AA12" s="2">
        <f t="shared" si="2"/>
        <v>2.2287928122376871E-4</v>
      </c>
      <c r="AB12" s="2">
        <f t="shared" si="4"/>
        <v>4.8567987980898235E-7</v>
      </c>
      <c r="AC12" s="2">
        <f t="shared" si="5"/>
        <v>-3.8637625887741314E-7</v>
      </c>
      <c r="AD12" s="2">
        <f t="shared" si="6"/>
        <v>3.90625E-3</v>
      </c>
      <c r="AF12" s="2">
        <v>8</v>
      </c>
      <c r="AG12" s="2">
        <f t="shared" si="25"/>
        <v>3910.15625</v>
      </c>
      <c r="AH12" s="2">
        <v>-6.0634406986846443</v>
      </c>
      <c r="AI12" s="2">
        <f t="shared" si="26"/>
        <v>3945.3125</v>
      </c>
      <c r="AJ12" s="2">
        <v>13.600408528503067</v>
      </c>
      <c r="AK12" s="2">
        <f t="shared" si="17"/>
        <v>3927.734375</v>
      </c>
      <c r="AL12" s="2">
        <v>3.7728765741044299</v>
      </c>
      <c r="AM12" s="2">
        <f t="shared" si="18"/>
        <v>-22.876613370538692</v>
      </c>
      <c r="AN12" s="2">
        <f t="shared" si="19"/>
        <v>51.312662735439325</v>
      </c>
      <c r="AO12" s="2">
        <f t="shared" si="20"/>
        <v>35.15625</v>
      </c>
      <c r="AQ12" s="64"/>
      <c r="AR12" s="3" t="s">
        <v>219</v>
      </c>
      <c r="AS12" s="26"/>
      <c r="AT12"/>
      <c r="AU12" s="4" t="s">
        <v>184</v>
      </c>
      <c r="AV12" s="38">
        <f>AV11*AV5/1000</f>
        <v>124.2568559469525</v>
      </c>
      <c r="AW12" s="26" t="s">
        <v>104</v>
      </c>
      <c r="AX12"/>
      <c r="AY12" s="62" t="s">
        <v>185</v>
      </c>
      <c r="AZ12" s="62"/>
      <c r="BA12" s="62"/>
      <c r="BB12"/>
      <c r="BC12" s="62" t="s">
        <v>186</v>
      </c>
      <c r="BD12" s="62"/>
      <c r="BE12" s="62"/>
      <c r="BF12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0.86879887513766718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1.11675339514996</v>
      </c>
      <c r="BM12" s="2"/>
      <c r="BN12"/>
      <c r="BO12" s="2">
        <v>8</v>
      </c>
      <c r="BP12" s="2">
        <f t="shared" si="21"/>
        <v>0.27169867715030477</v>
      </c>
      <c r="BQ12" s="2">
        <v>-3.1537735719341958E-2</v>
      </c>
      <c r="BR12" s="2">
        <f t="shared" si="22"/>
        <v>0.2935425635697963</v>
      </c>
      <c r="BS12" s="2">
        <v>2.8302086456498773E-2</v>
      </c>
      <c r="BT12" s="2">
        <f t="shared" si="7"/>
        <v>0.28262062036005053</v>
      </c>
      <c r="BU12" s="2">
        <v>-1.1362822454058785E-3</v>
      </c>
      <c r="BV12" s="2">
        <f t="shared" si="8"/>
        <v>3.5835769158191062E-5</v>
      </c>
      <c r="BW12" s="2">
        <f t="shared" si="9"/>
        <v>-3.2159158348461732E-5</v>
      </c>
      <c r="BX12" s="2">
        <f t="shared" si="10"/>
        <v>2.1843886419491532E-2</v>
      </c>
      <c r="BY12"/>
      <c r="BZ12" s="2">
        <v>8</v>
      </c>
      <c r="CA12" s="2">
        <f t="shared" si="23"/>
        <v>0.20616701789183017</v>
      </c>
      <c r="CB12" s="2">
        <v>-3.2686109959794464E-2</v>
      </c>
      <c r="CC12" s="2">
        <f t="shared" si="24"/>
        <v>0.2280109043113217</v>
      </c>
      <c r="CD12" s="2">
        <v>2.0720091358786497E-2</v>
      </c>
      <c r="CE12" s="2">
        <f t="shared" si="11"/>
        <v>0.21708896110157594</v>
      </c>
      <c r="CF12" s="2">
        <v>-5.3589399025506523E-3</v>
      </c>
      <c r="CG12" s="2">
        <f t="shared" si="12"/>
        <v>1.7516289892270084E-4</v>
      </c>
      <c r="CH12" s="2">
        <f t="shared" si="13"/>
        <v>-1.1103772436709592E-4</v>
      </c>
      <c r="CI12" s="2">
        <f t="shared" si="14"/>
        <v>2.1843886419491532E-2</v>
      </c>
    </row>
    <row r="13" spans="2:87" x14ac:dyDescent="0.2">
      <c r="B13" s="6" t="s">
        <v>71</v>
      </c>
      <c r="C13" s="6">
        <f>C25*100</f>
        <v>600</v>
      </c>
      <c r="D13" s="6" t="s">
        <v>7</v>
      </c>
      <c r="F13" s="42" t="s">
        <v>85</v>
      </c>
      <c r="G13" s="43">
        <f>$C$18 * AV12</f>
        <v>497.02742378780999</v>
      </c>
      <c r="H13" s="43" t="s">
        <v>104</v>
      </c>
      <c r="J13" s="11" t="s">
        <v>55</v>
      </c>
      <c r="K13" s="6">
        <f xml:space="preserve"> K8 * 1000 / ($C$36 * $C$37 * $C$38)</f>
        <v>2041.3228448215705</v>
      </c>
      <c r="L13" s="6" t="s">
        <v>7</v>
      </c>
      <c r="N13" s="6" t="s">
        <v>77</v>
      </c>
      <c r="O13" s="6">
        <f xml:space="preserve"> SQRT( ($C$5*$C$50)^2 + O9^2)</f>
        <v>38517.516077264787</v>
      </c>
      <c r="P13" s="6" t="s">
        <v>22</v>
      </c>
      <c r="U13" s="2">
        <v>9</v>
      </c>
      <c r="V13" s="2">
        <f t="shared" si="15"/>
        <v>2.9296875E-2</v>
      </c>
      <c r="W13" s="2">
        <f t="shared" si="0"/>
        <v>2.2287928122376871E-4</v>
      </c>
      <c r="X13" s="2">
        <f t="shared" si="16"/>
        <v>3.125E-2</v>
      </c>
      <c r="Y13" s="2">
        <f t="shared" si="1"/>
        <v>-1.7335674126187396E-3</v>
      </c>
      <c r="Z13" s="2">
        <f t="shared" si="3"/>
        <v>3.02734375E-2</v>
      </c>
      <c r="AA13" s="2">
        <f t="shared" si="2"/>
        <v>-7.5531791906517654E-4</v>
      </c>
      <c r="AB13" s="2">
        <f t="shared" si="4"/>
        <v>-1.6834471489667925E-7</v>
      </c>
      <c r="AC13" s="2">
        <f t="shared" si="5"/>
        <v>1.3093945306583887E-6</v>
      </c>
      <c r="AD13" s="2">
        <f t="shared" si="6"/>
        <v>1.953125E-3</v>
      </c>
      <c r="AF13" s="2">
        <v>9</v>
      </c>
      <c r="AG13" s="2">
        <f t="shared" si="25"/>
        <v>3910.15625</v>
      </c>
      <c r="AH13" s="2">
        <v>-6.0634406986846443</v>
      </c>
      <c r="AI13" s="2">
        <f t="shared" si="26"/>
        <v>3927.734375</v>
      </c>
      <c r="AJ13" s="2">
        <v>3.7728765741044299</v>
      </c>
      <c r="AK13" s="2">
        <f t="shared" si="17"/>
        <v>3918.9453125</v>
      </c>
      <c r="AL13" s="2">
        <v>-1.1441546182741149</v>
      </c>
      <c r="AM13" s="2">
        <f t="shared" si="18"/>
        <v>6.9375136780312614</v>
      </c>
      <c r="AN13" s="2">
        <f t="shared" si="19"/>
        <v>-4.3167541564398046</v>
      </c>
      <c r="AO13" s="2">
        <f t="shared" si="20"/>
        <v>17.578125</v>
      </c>
      <c r="AQ13" s="64"/>
      <c r="AR13" s="3" t="s">
        <v>219</v>
      </c>
      <c r="AS13" s="26"/>
      <c r="AT13"/>
      <c r="AU13"/>
      <c r="AV13"/>
      <c r="AW13"/>
      <c r="AX13"/>
      <c r="AY13" s="2" t="s">
        <v>153</v>
      </c>
      <c r="AZ13" s="2">
        <f>$AR$21-$AR$20</f>
        <v>0.46268640000000016</v>
      </c>
      <c r="BA13" s="26" t="s">
        <v>8</v>
      </c>
      <c r="BB13"/>
      <c r="BC13" s="2" t="s">
        <v>153</v>
      </c>
      <c r="BD13" s="2">
        <f>$AR$22-$AR$21</f>
        <v>0.46268639999999994</v>
      </c>
      <c r="BE13" s="26" t="s">
        <v>8</v>
      </c>
      <c r="BF13"/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1.6681892281992017E-2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1.6388315387864394E-2</v>
      </c>
      <c r="BM13" s="2"/>
      <c r="BN13"/>
      <c r="BO13" s="2">
        <v>9</v>
      </c>
      <c r="BP13" s="2">
        <f t="shared" si="21"/>
        <v>0.28262062036005053</v>
      </c>
      <c r="BQ13" s="2">
        <v>-1.1362822454058785E-3</v>
      </c>
      <c r="BR13" s="2">
        <f t="shared" si="22"/>
        <v>0.2935425635697963</v>
      </c>
      <c r="BS13" s="2">
        <v>2.8302086456498773E-2</v>
      </c>
      <c r="BT13" s="2">
        <f t="shared" si="7"/>
        <v>0.28808159196492344</v>
      </c>
      <c r="BU13" s="2">
        <v>1.3699110093391809E-2</v>
      </c>
      <c r="BV13" s="2">
        <f t="shared" si="8"/>
        <v>-1.5566055576981578E-5</v>
      </c>
      <c r="BW13" s="2">
        <f t="shared" si="9"/>
        <v>3.8771339824026995E-4</v>
      </c>
      <c r="BX13" s="2">
        <f t="shared" si="10"/>
        <v>1.0921943209745766E-2</v>
      </c>
      <c r="BY13"/>
      <c r="BZ13" s="2">
        <v>9</v>
      </c>
      <c r="CA13" s="2">
        <f t="shared" si="23"/>
        <v>0.21708896110157594</v>
      </c>
      <c r="CB13" s="2">
        <v>-5.3589399025506523E-3</v>
      </c>
      <c r="CC13" s="2">
        <f t="shared" si="24"/>
        <v>0.2280109043113217</v>
      </c>
      <c r="CD13" s="2">
        <v>2.0720091358786497E-2</v>
      </c>
      <c r="CE13" s="2">
        <f t="shared" si="11"/>
        <v>0.22254993270644882</v>
      </c>
      <c r="CF13" s="2">
        <v>7.827633476042567E-3</v>
      </c>
      <c r="CG13" s="2">
        <f t="shared" si="12"/>
        <v>-4.1947817377305776E-5</v>
      </c>
      <c r="CH13" s="2">
        <f t="shared" si="13"/>
        <v>1.6218928074669751E-4</v>
      </c>
      <c r="CI13" s="2">
        <f t="shared" si="14"/>
        <v>1.0921943209745766E-2</v>
      </c>
    </row>
    <row r="14" spans="2:87" x14ac:dyDescent="0.2">
      <c r="B14" s="6" t="s">
        <v>13</v>
      </c>
      <c r="C14" s="17">
        <f>60 * 1609.344</f>
        <v>96560.639999999999</v>
      </c>
      <c r="D14" s="6" t="s">
        <v>8</v>
      </c>
      <c r="J14" s="12" t="s">
        <v>135</v>
      </c>
      <c r="K14" s="6">
        <f xml:space="preserve"> $C$54 * $C$18 * (0.0095 * MAX(G9,O18,G26) - 1.9275)</f>
        <v>286.56512218721241</v>
      </c>
      <c r="L14" s="6" t="s">
        <v>7</v>
      </c>
      <c r="N14" s="6" t="s">
        <v>78</v>
      </c>
      <c r="O14" s="6">
        <f>$C$5*$C$50/O13</f>
        <v>0.99767269442717232</v>
      </c>
      <c r="U14" s="2">
        <v>10</v>
      </c>
      <c r="V14" s="2">
        <f t="shared" si="15"/>
        <v>2.9296875E-2</v>
      </c>
      <c r="W14" s="2">
        <f t="shared" si="0"/>
        <v>2.2287928122376871E-4</v>
      </c>
      <c r="X14" s="2">
        <f t="shared" si="16"/>
        <v>3.02734375E-2</v>
      </c>
      <c r="Y14" s="2">
        <f t="shared" si="1"/>
        <v>-7.5531791906517654E-4</v>
      </c>
      <c r="Z14" s="2">
        <f t="shared" si="3"/>
        <v>2.978515625E-2</v>
      </c>
      <c r="AA14" s="2">
        <f t="shared" si="2"/>
        <v>-2.6621277463591275E-4</v>
      </c>
      <c r="AB14" s="2">
        <f t="shared" si="4"/>
        <v>-5.9333311863437357E-8</v>
      </c>
      <c r="AC14" s="2">
        <f t="shared" si="5"/>
        <v>2.0107527896656443E-7</v>
      </c>
      <c r="AD14" s="2">
        <f t="shared" si="6"/>
        <v>9.765625E-4</v>
      </c>
      <c r="AF14" s="2">
        <v>10</v>
      </c>
      <c r="AG14" s="2">
        <f t="shared" si="25"/>
        <v>3918.9453125</v>
      </c>
      <c r="AH14" s="2">
        <v>-1.1441546182741149</v>
      </c>
      <c r="AI14" s="2">
        <f t="shared" si="26"/>
        <v>3927.734375</v>
      </c>
      <c r="AJ14" s="2">
        <v>3.7728765741044299</v>
      </c>
      <c r="AK14" s="2">
        <f t="shared" si="17"/>
        <v>3923.33984375</v>
      </c>
      <c r="AL14" s="2">
        <v>1.3146408675156636</v>
      </c>
      <c r="AM14" s="2">
        <f t="shared" si="18"/>
        <v>-1.5041524199399352</v>
      </c>
      <c r="AN14" s="2">
        <f t="shared" si="19"/>
        <v>4.9599777324101728</v>
      </c>
      <c r="AO14" s="2">
        <f t="shared" si="20"/>
        <v>8.7890625</v>
      </c>
      <c r="AQ14" s="64"/>
      <c r="AR14" s="3" t="s">
        <v>219</v>
      </c>
      <c r="AS14" s="26"/>
      <c r="AT14"/>
      <c r="AU14" s="61" t="s">
        <v>189</v>
      </c>
      <c r="AV14" s="61"/>
      <c r="AW14" s="61"/>
      <c r="AX14"/>
      <c r="AY14" s="2" t="s">
        <v>158</v>
      </c>
      <c r="AZ14" s="2">
        <f>(1+$BH$37)*$AR$3</f>
        <v>9.0833906226591328</v>
      </c>
      <c r="BA14" s="26" t="s">
        <v>10</v>
      </c>
      <c r="BB14"/>
      <c r="BC14" s="2" t="s">
        <v>158</v>
      </c>
      <c r="BD14" s="2">
        <f>(1+$BL$37)*$AR$3</f>
        <v>10.021622827011225</v>
      </c>
      <c r="BE14" s="26" t="s">
        <v>10</v>
      </c>
      <c r="BF14"/>
      <c r="BG14" s="2" t="s">
        <v>190</v>
      </c>
      <c r="BH14" s="2">
        <f xml:space="preserve"> BH12*COS(BH4) - BH13*SIN(BH4)</f>
        <v>0.82957235991576139</v>
      </c>
      <c r="BI14" s="2"/>
      <c r="BJ14" s="2"/>
      <c r="BK14" s="2" t="s">
        <v>190</v>
      </c>
      <c r="BL14" s="2">
        <f xml:space="preserve"> BL12*COS(BL4) - BL13*SIN(BL4)</f>
        <v>1.0864436713181382</v>
      </c>
      <c r="BM14" s="2"/>
      <c r="BN14"/>
      <c r="BO14" s="2">
        <v>10</v>
      </c>
      <c r="BP14" s="2">
        <f t="shared" si="21"/>
        <v>0.28262062036005053</v>
      </c>
      <c r="BQ14" s="2">
        <v>-1.1362822454058785E-3</v>
      </c>
      <c r="BR14" s="2">
        <f t="shared" si="22"/>
        <v>0.28808159196492344</v>
      </c>
      <c r="BS14" s="2">
        <v>1.3699110093391809E-2</v>
      </c>
      <c r="BT14" s="2">
        <f t="shared" si="7"/>
        <v>0.28535110616248699</v>
      </c>
      <c r="BU14" s="2">
        <v>6.3109654033505352E-3</v>
      </c>
      <c r="BV14" s="2">
        <f t="shared" si="8"/>
        <v>-7.1710379391979619E-6</v>
      </c>
      <c r="BW14" s="2">
        <f t="shared" si="9"/>
        <v>8.645460985608582E-5</v>
      </c>
      <c r="BX14" s="2">
        <f t="shared" si="10"/>
        <v>5.4609716048729107E-3</v>
      </c>
      <c r="BY14"/>
      <c r="BZ14" s="2">
        <v>10</v>
      </c>
      <c r="CA14" s="2">
        <f t="shared" si="23"/>
        <v>0.21708896110157594</v>
      </c>
      <c r="CB14" s="2">
        <v>-5.3589399025506523E-3</v>
      </c>
      <c r="CC14" s="2">
        <f t="shared" si="24"/>
        <v>0.22254993270644882</v>
      </c>
      <c r="CD14" s="2">
        <v>7.827633476042567E-3</v>
      </c>
      <c r="CE14" s="2">
        <f t="shared" si="11"/>
        <v>0.21981944690401239</v>
      </c>
      <c r="CF14" s="2">
        <v>1.2721683849714893E-3</v>
      </c>
      <c r="CG14" s="2">
        <f t="shared" si="12"/>
        <v>-6.8174739209871337E-6</v>
      </c>
      <c r="CH14" s="2">
        <f t="shared" si="13"/>
        <v>9.9580678373658383E-6</v>
      </c>
      <c r="CI14" s="2">
        <f t="shared" si="14"/>
        <v>5.4609716048728829E-3</v>
      </c>
    </row>
    <row r="15" spans="2:87" x14ac:dyDescent="0.2">
      <c r="B15" s="6" t="s">
        <v>263</v>
      </c>
      <c r="C15" s="17">
        <v>1</v>
      </c>
      <c r="F15" s="55" t="s">
        <v>89</v>
      </c>
      <c r="G15" s="58"/>
      <c r="H15" s="58"/>
      <c r="J15" s="12" t="s">
        <v>136</v>
      </c>
      <c r="K15" s="6">
        <f xml:space="preserve"> $C$54 * C18 * 0.0037 * C19^0.28 * (C9*3.28084)^1.5 * (G7*3.28084)^0.43 * (0.01742 * C19^0.66 * (C10*C9)*3.28084 * (C9*3.28084)^1.3 * (G7*3.28084)^0.67 + 9.80665*3.28084 * 0.5*(K14/C18)*2.20462)^0.55 * 0.453592</f>
        <v>379.10600207698047</v>
      </c>
      <c r="L15" s="6" t="s">
        <v>7</v>
      </c>
      <c r="O15" s="6">
        <f>O17/180*PI()</f>
        <v>6.8237949246686025E-2</v>
      </c>
      <c r="U15" s="2">
        <v>11</v>
      </c>
      <c r="V15" s="2">
        <f t="shared" si="15"/>
        <v>2.9296875E-2</v>
      </c>
      <c r="W15" s="2">
        <f t="shared" si="0"/>
        <v>2.2287928122376871E-4</v>
      </c>
      <c r="X15" s="2">
        <f t="shared" si="16"/>
        <v>2.978515625E-2</v>
      </c>
      <c r="Y15" s="2">
        <f t="shared" si="1"/>
        <v>-2.6621277463591275E-4</v>
      </c>
      <c r="Z15" s="2">
        <f t="shared" si="3"/>
        <v>2.9541015625E-2</v>
      </c>
      <c r="AA15" s="2">
        <f t="shared" si="2"/>
        <v>-2.1665109694160578E-5</v>
      </c>
      <c r="AB15" s="2">
        <f t="shared" si="4"/>
        <v>-4.8287040762686131E-9</v>
      </c>
      <c r="AC15" s="2">
        <f t="shared" si="5"/>
        <v>5.7675289644738983E-9</v>
      </c>
      <c r="AD15" s="2">
        <f t="shared" si="6"/>
        <v>4.8828125E-4</v>
      </c>
      <c r="AF15" s="2">
        <v>11</v>
      </c>
      <c r="AG15" s="2">
        <f t="shared" si="25"/>
        <v>3918.9453125</v>
      </c>
      <c r="AH15" s="2">
        <v>-1.1441546182741149</v>
      </c>
      <c r="AI15" s="2">
        <f t="shared" si="26"/>
        <v>3923.33984375</v>
      </c>
      <c r="AJ15" s="2">
        <v>1.3146408675156636</v>
      </c>
      <c r="AK15" s="2">
        <f t="shared" si="17"/>
        <v>3921.142578125</v>
      </c>
      <c r="AL15" s="2">
        <v>8.5312793838966172E-2</v>
      </c>
      <c r="AM15" s="2">
        <f t="shared" si="18"/>
        <v>-9.7611027068720602E-2</v>
      </c>
      <c r="AN15" s="2">
        <f t="shared" si="19"/>
        <v>0.11215568530264344</v>
      </c>
      <c r="AO15" s="2">
        <f t="shared" si="20"/>
        <v>4.39453125</v>
      </c>
      <c r="AQ15" s="64"/>
      <c r="AR15" s="3" t="s">
        <v>219</v>
      </c>
      <c r="AS15" s="26"/>
      <c r="AT15"/>
      <c r="AU15" s="2" t="s">
        <v>191</v>
      </c>
      <c r="AV15" s="2">
        <f>AV10*(AR3/2 + SQRT( (AR3/2)^2 + AV10/(2*AR45*PI()*AV3^2) ) )/1000</f>
        <v>100.64062422121893</v>
      </c>
      <c r="AW15" s="26" t="s">
        <v>104</v>
      </c>
      <c r="AX15"/>
      <c r="AY15" s="2" t="s">
        <v>163</v>
      </c>
      <c r="AZ15" s="2">
        <f>(1-$BH$38)*$AV$5*$AR$21</f>
        <v>49.108450740847701</v>
      </c>
      <c r="BA15" s="26" t="s">
        <v>10</v>
      </c>
      <c r="BB15"/>
      <c r="BC15" s="2" t="s">
        <v>163</v>
      </c>
      <c r="BD15" s="2">
        <f>(1-$BL$38)*$AV$5*$AR$22</f>
        <v>63.158331401584654</v>
      </c>
      <c r="BE15" s="26" t="s">
        <v>10</v>
      </c>
      <c r="BF15"/>
      <c r="BG15" s="2" t="s">
        <v>192</v>
      </c>
      <c r="BH15" s="2">
        <f xml:space="preserve"> BH12*SIN(BH4) + BH13*COS(BH4)</f>
        <v>0.25864931980265893</v>
      </c>
      <c r="BI15" s="2"/>
      <c r="BJ15" s="2"/>
      <c r="BK15" s="2" t="s">
        <v>192</v>
      </c>
      <c r="BL15" s="2">
        <f xml:space="preserve"> BL12*SIN(BL4) + BL13*COS(BL4)</f>
        <v>0.25893410650777571</v>
      </c>
      <c r="BM15" s="2"/>
      <c r="BN15"/>
      <c r="BO15" s="2">
        <v>11</v>
      </c>
      <c r="BP15" s="2">
        <f t="shared" si="21"/>
        <v>0.28262062036005053</v>
      </c>
      <c r="BQ15" s="2">
        <v>-1.1362822454058785E-3</v>
      </c>
      <c r="BR15" s="2">
        <f t="shared" si="22"/>
        <v>0.28535110616248699</v>
      </c>
      <c r="BS15" s="2">
        <v>6.3109654033505352E-3</v>
      </c>
      <c r="BT15" s="2">
        <f t="shared" si="7"/>
        <v>0.28398586326126873</v>
      </c>
      <c r="BU15" s="2">
        <v>2.594793775566942E-3</v>
      </c>
      <c r="BV15" s="2">
        <f t="shared" si="8"/>
        <v>-2.9484180976664022E-6</v>
      </c>
      <c r="BW15" s="2">
        <f t="shared" si="9"/>
        <v>1.6375653746432285E-5</v>
      </c>
      <c r="BX15" s="2">
        <f t="shared" si="10"/>
        <v>2.7304858024364553E-3</v>
      </c>
      <c r="BY15"/>
      <c r="BZ15" s="2">
        <v>11</v>
      </c>
      <c r="CA15" s="2">
        <f t="shared" si="23"/>
        <v>0.21708896110157594</v>
      </c>
      <c r="CB15" s="2">
        <v>-5.3589399025506523E-3</v>
      </c>
      <c r="CC15" s="2">
        <f t="shared" si="24"/>
        <v>0.21981944690401239</v>
      </c>
      <c r="CD15" s="2">
        <v>1.2721683849714893E-3</v>
      </c>
      <c r="CE15" s="2">
        <f t="shared" si="11"/>
        <v>0.21845420400279417</v>
      </c>
      <c r="CF15" s="2">
        <v>-2.0337930151410472E-3</v>
      </c>
      <c r="CG15" s="2">
        <f t="shared" si="12"/>
        <v>1.089897454236816E-5</v>
      </c>
      <c r="CH15" s="2">
        <f t="shared" si="13"/>
        <v>-2.5873271754382817E-6</v>
      </c>
      <c r="CI15" s="2">
        <f t="shared" si="14"/>
        <v>2.7304858024364553E-3</v>
      </c>
    </row>
    <row r="16" spans="2:87" x14ac:dyDescent="0.2">
      <c r="F16" s="9" t="s">
        <v>92</v>
      </c>
      <c r="G16" s="6">
        <f xml:space="preserve"> $C$14/$C$8</f>
        <v>1440</v>
      </c>
      <c r="H16" s="6" t="s">
        <v>14</v>
      </c>
      <c r="J16" s="13" t="s">
        <v>56</v>
      </c>
      <c r="K16" s="6">
        <f xml:space="preserve"> $C$54 * 0.2138 * K4</f>
        <v>127.51735584700053</v>
      </c>
      <c r="L16" s="6" t="s">
        <v>7</v>
      </c>
      <c r="N16" s="55" t="s">
        <v>27</v>
      </c>
      <c r="O16" s="56"/>
      <c r="P16" s="56"/>
      <c r="U16" s="2">
        <v>12</v>
      </c>
      <c r="V16" s="2">
        <f t="shared" si="15"/>
        <v>2.9296875E-2</v>
      </c>
      <c r="W16" s="2">
        <f t="shared" si="0"/>
        <v>2.2287928122376871E-4</v>
      </c>
      <c r="X16" s="2">
        <f t="shared" si="16"/>
        <v>2.9541015625E-2</v>
      </c>
      <c r="Y16" s="2">
        <f t="shared" si="1"/>
        <v>-2.1665109694160578E-5</v>
      </c>
      <c r="Z16" s="2">
        <f t="shared" si="3"/>
        <v>2.94189453125E-2</v>
      </c>
      <c r="AA16" s="2">
        <f t="shared" si="2"/>
        <v>1.0060749513458173E-4</v>
      </c>
      <c r="AB16" s="2">
        <f t="shared" si="4"/>
        <v>2.2423326201319383E-8</v>
      </c>
      <c r="AC16" s="2">
        <f t="shared" si="5"/>
        <v>-2.1796724181454398E-9</v>
      </c>
      <c r="AD16" s="2">
        <f t="shared" si="6"/>
        <v>2.44140625E-4</v>
      </c>
      <c r="AF16" s="2">
        <v>12</v>
      </c>
      <c r="AG16" s="2">
        <f t="shared" si="25"/>
        <v>3918.9453125</v>
      </c>
      <c r="AH16" s="2">
        <v>-1.1441546182741149</v>
      </c>
      <c r="AI16" s="2">
        <f t="shared" si="26"/>
        <v>3921.142578125</v>
      </c>
      <c r="AJ16" s="2">
        <v>8.5312793838966172E-2</v>
      </c>
      <c r="AK16" s="2">
        <f t="shared" si="17"/>
        <v>3920.0439453125</v>
      </c>
      <c r="AL16" s="2">
        <v>-0.52941234899162737</v>
      </c>
      <c r="AM16" s="2">
        <f t="shared" si="18"/>
        <v>0.6057295840701179</v>
      </c>
      <c r="AN16" s="2">
        <f t="shared" si="19"/>
        <v>-4.5165646585325514E-2</v>
      </c>
      <c r="AO16" s="2">
        <f t="shared" si="20"/>
        <v>2.197265625</v>
      </c>
      <c r="AQ16" s="64"/>
      <c r="AR16" s="3" t="s">
        <v>219</v>
      </c>
      <c r="AS16" s="26"/>
      <c r="AT16"/>
      <c r="AU16" s="2" t="s">
        <v>193</v>
      </c>
      <c r="AV16" s="2">
        <f>AV15/AV12</f>
        <v>0.80994021178343856</v>
      </c>
      <c r="AW16" s="26"/>
      <c r="AX16"/>
      <c r="AY16" s="2" t="s">
        <v>167</v>
      </c>
      <c r="AZ16" s="2">
        <f>SQRT(AZ14^2 + AZ15^2)</f>
        <v>49.941444906711268</v>
      </c>
      <c r="BA16" s="26" t="s">
        <v>10</v>
      </c>
      <c r="BB16"/>
      <c r="BC16" s="2" t="s">
        <v>167</v>
      </c>
      <c r="BD16" s="2">
        <f>SQRT(BD14^2 + BD15^2)</f>
        <v>63.948477304149051</v>
      </c>
      <c r="BE16" s="26" t="s">
        <v>10</v>
      </c>
      <c r="BF16"/>
      <c r="BG16" s="2" t="s">
        <v>38</v>
      </c>
      <c r="BH16" s="2">
        <f xml:space="preserve"> 4*BH11*SIN(BH4)*SIN(BH4) / (BH8*BH14)</f>
        <v>1.7001432517094432</v>
      </c>
      <c r="BI16" s="2"/>
      <c r="BJ16" s="2"/>
      <c r="BK16" s="2" t="s">
        <v>38</v>
      </c>
      <c r="BL16" s="2">
        <f xml:space="preserve"> 4*BL11*SIN(BL4)*SIN(BL4) / (BL8*BL14)</f>
        <v>1.4804119622163272</v>
      </c>
      <c r="BM16" s="2"/>
      <c r="BN16"/>
      <c r="BO16" s="2">
        <v>12</v>
      </c>
      <c r="BP16" s="2">
        <f t="shared" si="21"/>
        <v>0.28262062036005053</v>
      </c>
      <c r="BQ16" s="2">
        <v>-1.1362822454058785E-3</v>
      </c>
      <c r="BR16" s="2">
        <f t="shared" si="22"/>
        <v>0.28398586326126873</v>
      </c>
      <c r="BS16" s="2">
        <v>2.594793775566942E-3</v>
      </c>
      <c r="BT16" s="2">
        <f t="shared" si="7"/>
        <v>0.28330324181065963</v>
      </c>
      <c r="BU16" s="2">
        <v>7.3112697808533356E-4</v>
      </c>
      <c r="BV16" s="2">
        <f t="shared" si="8"/>
        <v>-8.3076660433561736E-7</v>
      </c>
      <c r="BW16" s="2">
        <f t="shared" si="9"/>
        <v>1.8971237318848915E-6</v>
      </c>
      <c r="BX16" s="2">
        <f t="shared" si="10"/>
        <v>1.3652429012181999E-3</v>
      </c>
      <c r="BY16"/>
      <c r="BZ16" s="2">
        <v>12</v>
      </c>
      <c r="CA16" s="2">
        <f t="shared" si="23"/>
        <v>0.21845420400279417</v>
      </c>
      <c r="CB16" s="2">
        <v>-2.0337930151410472E-3</v>
      </c>
      <c r="CC16" s="2">
        <f t="shared" si="24"/>
        <v>0.21981944690401239</v>
      </c>
      <c r="CD16" s="2">
        <v>1.2721683849714893E-3</v>
      </c>
      <c r="CE16" s="2">
        <f t="shared" si="11"/>
        <v>0.21913682545340329</v>
      </c>
      <c r="CF16" s="2">
        <v>-3.7843153824342057E-4</v>
      </c>
      <c r="CG16" s="2">
        <f t="shared" si="12"/>
        <v>7.6965141918855078E-7</v>
      </c>
      <c r="CH16" s="2">
        <f t="shared" si="13"/>
        <v>-4.8142863882940871E-7</v>
      </c>
      <c r="CI16" s="2">
        <f t="shared" si="14"/>
        <v>1.3652429012182277E-3</v>
      </c>
    </row>
    <row r="17" spans="2:87" x14ac:dyDescent="0.2">
      <c r="B17" s="54" t="s">
        <v>115</v>
      </c>
      <c r="C17" s="54"/>
      <c r="D17" s="54"/>
      <c r="F17" t="s">
        <v>130</v>
      </c>
      <c r="G17" s="8">
        <f>O19*$C$9</f>
        <v>198.21439024853296</v>
      </c>
      <c r="H17" s="6" t="s">
        <v>10</v>
      </c>
      <c r="J17" s="13" t="s">
        <v>80</v>
      </c>
      <c r="K17" s="6">
        <f xml:space="preserve"> $C$54 * 0.1149 * K4</f>
        <v>68.530141191863237</v>
      </c>
      <c r="L17" s="6" t="s">
        <v>7</v>
      </c>
      <c r="N17" s="6" t="s">
        <v>28</v>
      </c>
      <c r="O17" s="6">
        <f xml:space="preserve"> ACOS(O14)/PI()*180</f>
        <v>3.9097464944630245</v>
      </c>
      <c r="P17" s="6" t="s">
        <v>43</v>
      </c>
      <c r="U17" s="2">
        <v>13</v>
      </c>
      <c r="V17" s="2">
        <f t="shared" si="15"/>
        <v>2.94189453125E-2</v>
      </c>
      <c r="W17" s="2">
        <f t="shared" si="0"/>
        <v>1.0060749513458173E-4</v>
      </c>
      <c r="X17" s="2">
        <f t="shared" si="16"/>
        <v>2.9541015625E-2</v>
      </c>
      <c r="Y17" s="2">
        <f t="shared" si="1"/>
        <v>-2.1665109694160578E-5</v>
      </c>
      <c r="Z17" s="2">
        <f t="shared" si="3"/>
        <v>2.947998046875E-2</v>
      </c>
      <c r="AA17" s="2">
        <f t="shared" si="2"/>
        <v>3.9471295048089383E-5</v>
      </c>
      <c r="AB17" s="2">
        <f t="shared" si="4"/>
        <v>3.9711081245062921E-9</v>
      </c>
      <c r="AC17" s="2">
        <f t="shared" si="5"/>
        <v>-8.5514993698743368E-10</v>
      </c>
      <c r="AD17" s="2">
        <f t="shared" si="6"/>
        <v>1.220703125E-4</v>
      </c>
      <c r="AF17" s="2">
        <v>13</v>
      </c>
      <c r="AG17" s="2">
        <f t="shared" si="25"/>
        <v>3920.0439453125</v>
      </c>
      <c r="AH17" s="2">
        <v>-0.52941234899162737</v>
      </c>
      <c r="AI17" s="2">
        <f t="shared" si="26"/>
        <v>3921.142578125</v>
      </c>
      <c r="AJ17" s="2">
        <v>8.5312793838966172E-2</v>
      </c>
      <c r="AK17" s="2">
        <f t="shared" si="17"/>
        <v>3920.59326171875</v>
      </c>
      <c r="AL17" s="2">
        <v>-0.22205645035819543</v>
      </c>
      <c r="AM17" s="2">
        <f t="shared" si="18"/>
        <v>0.11755942699287494</v>
      </c>
      <c r="AN17" s="2">
        <f t="shared" si="19"/>
        <v>-1.8944256170021354E-2</v>
      </c>
      <c r="AO17" s="2">
        <f t="shared" si="20"/>
        <v>1.0986328125</v>
      </c>
      <c r="AQ17" s="64"/>
      <c r="AR17" s="3" t="s">
        <v>219</v>
      </c>
      <c r="AS17" s="26"/>
      <c r="AT17"/>
      <c r="AU17" s="2" t="s">
        <v>190</v>
      </c>
      <c r="AV17" s="2">
        <f>AV10/($AR$45*AV6^2*AR9^4)</f>
        <v>7.9091634809581549E-2</v>
      </c>
      <c r="AW17" s="2"/>
      <c r="AX17"/>
      <c r="AY17" s="2" t="s">
        <v>170</v>
      </c>
      <c r="AZ17" s="37">
        <f>$AR$45*AZ16*$AR$29/$AR$46</f>
        <v>847532.21428807813</v>
      </c>
      <c r="BA17" s="26"/>
      <c r="BB17"/>
      <c r="BC17" s="2" t="s">
        <v>170</v>
      </c>
      <c r="BD17" s="37">
        <f>$AR$45*BD16*$AR$30/$AR$46</f>
        <v>1052218.5631837246</v>
      </c>
      <c r="BE17" s="26"/>
      <c r="BF17"/>
      <c r="BG17" s="2" t="s">
        <v>194</v>
      </c>
      <c r="BH17" s="2">
        <f xml:space="preserve"> 4*BH11*SIN(BH4)*COS(BH4) / (BH8*BH15)</f>
        <v>18.748574952440123</v>
      </c>
      <c r="BI17" s="2"/>
      <c r="BJ17" s="2"/>
      <c r="BK17" s="2" t="s">
        <v>194</v>
      </c>
      <c r="BL17" s="2">
        <f xml:space="preserve"> 4*BL11*SIN(BL4)*COS(BL4) / (BL8*BL15)</f>
        <v>27.86984851849812</v>
      </c>
      <c r="BM17" s="2"/>
      <c r="BN17"/>
      <c r="BO17" s="2">
        <v>13</v>
      </c>
      <c r="BP17" s="2">
        <f t="shared" si="21"/>
        <v>0.28262062036005053</v>
      </c>
      <c r="BQ17" s="2">
        <v>-1.1362822454058785E-3</v>
      </c>
      <c r="BR17" s="2">
        <f t="shared" si="22"/>
        <v>0.28330324181065963</v>
      </c>
      <c r="BS17" s="2">
        <v>7.3112697808533356E-4</v>
      </c>
      <c r="BT17" s="2">
        <f t="shared" si="7"/>
        <v>0.28296193108535506</v>
      </c>
      <c r="BU17" s="2">
        <v>-2.0210880208292037E-4</v>
      </c>
      <c r="BV17" s="2">
        <f t="shared" si="8"/>
        <v>2.2965264344707304E-7</v>
      </c>
      <c r="BW17" s="2">
        <f t="shared" si="9"/>
        <v>-1.4776719771133234E-7</v>
      </c>
      <c r="BX17" s="2">
        <f t="shared" si="10"/>
        <v>6.8262145060909996E-4</v>
      </c>
      <c r="BY17"/>
      <c r="BZ17" s="2">
        <v>13</v>
      </c>
      <c r="CA17" s="2">
        <f t="shared" si="23"/>
        <v>0.21913682545340329</v>
      </c>
      <c r="CB17" s="2">
        <v>-3.7843153824342057E-4</v>
      </c>
      <c r="CC17" s="2">
        <f t="shared" si="24"/>
        <v>0.21981944690401239</v>
      </c>
      <c r="CD17" s="2">
        <v>1.2721683849714893E-3</v>
      </c>
      <c r="CE17" s="2">
        <f t="shared" si="11"/>
        <v>0.21947813617870784</v>
      </c>
      <c r="CF17" s="2">
        <v>4.4746146281503252E-4</v>
      </c>
      <c r="CG17" s="2">
        <f t="shared" si="12"/>
        <v>-1.693335296777439E-7</v>
      </c>
      <c r="CH17" s="2">
        <f t="shared" si="13"/>
        <v>5.6924632648638009E-7</v>
      </c>
      <c r="CI17" s="2">
        <f t="shared" si="14"/>
        <v>6.8262145060909996E-4</v>
      </c>
    </row>
    <row r="18" spans="2:87" x14ac:dyDescent="0.2">
      <c r="B18" s="6" t="s">
        <v>97</v>
      </c>
      <c r="C18" s="17">
        <v>4</v>
      </c>
      <c r="F18" s="6" t="s">
        <v>133</v>
      </c>
      <c r="G18" s="6">
        <f>G17/$C$49</f>
        <v>0.59573619388824506</v>
      </c>
      <c r="H18" s="6" t="s">
        <v>131</v>
      </c>
      <c r="J18" s="14" t="s">
        <v>63</v>
      </c>
      <c r="K18" s="6">
        <f xml:space="preserve"> $C$55 * (14.86 * ($C$5*2.20462)^0.144 * ($C$26/(PI()*$C$27))^0.778 * ($C$26*3.28084)^0.383 * $C$25^0.455 * 0.453592)</f>
        <v>143.23958291011138</v>
      </c>
      <c r="L18" s="6" t="s">
        <v>7</v>
      </c>
      <c r="N18" s="6" t="s">
        <v>21</v>
      </c>
      <c r="O18" s="6">
        <f xml:space="preserve"> O13 / $C$18</f>
        <v>9629.3790193161967</v>
      </c>
      <c r="P18" s="6" t="s">
        <v>22</v>
      </c>
      <c r="U18" s="2">
        <v>14</v>
      </c>
      <c r="V18" s="2">
        <f t="shared" si="15"/>
        <v>2.947998046875E-2</v>
      </c>
      <c r="W18" s="2">
        <f t="shared" si="0"/>
        <v>3.9471295048089383E-5</v>
      </c>
      <c r="X18" s="2">
        <f t="shared" si="16"/>
        <v>2.9541015625E-2</v>
      </c>
      <c r="Y18" s="2">
        <f t="shared" si="1"/>
        <v>-2.1665109694160578E-5</v>
      </c>
      <c r="Z18" s="2">
        <f t="shared" si="3"/>
        <v>2.9510498046875E-2</v>
      </c>
      <c r="AA18" s="2">
        <f t="shared" si="2"/>
        <v>8.9031182571100431E-6</v>
      </c>
      <c r="AB18" s="2">
        <f t="shared" si="4"/>
        <v>3.5141760757442181E-10</v>
      </c>
      <c r="AC18" s="2">
        <f t="shared" si="5"/>
        <v>-1.9288703366037282E-10</v>
      </c>
      <c r="AD18" s="2">
        <f t="shared" si="6"/>
        <v>6.103515625E-5</v>
      </c>
      <c r="AF18" s="2">
        <v>14</v>
      </c>
      <c r="AG18" s="2">
        <f t="shared" si="25"/>
        <v>3920.59326171875</v>
      </c>
      <c r="AH18" s="2">
        <v>-0.22205645035819543</v>
      </c>
      <c r="AI18" s="2">
        <f t="shared" si="26"/>
        <v>3921.142578125</v>
      </c>
      <c r="AJ18" s="2">
        <v>8.5312793838966172E-2</v>
      </c>
      <c r="AK18" s="2">
        <f t="shared" si="17"/>
        <v>3920.867919921875</v>
      </c>
      <c r="AL18" s="2">
        <v>-6.8373496441836323E-2</v>
      </c>
      <c r="AM18" s="2">
        <f t="shared" si="18"/>
        <v>1.5182775918452881E-2</v>
      </c>
      <c r="AN18" s="2">
        <f t="shared" si="19"/>
        <v>-5.8331340059916692E-3</v>
      </c>
      <c r="AO18" s="2">
        <f t="shared" si="20"/>
        <v>0.54931640625</v>
      </c>
      <c r="AQ18" s="64"/>
      <c r="AR18" s="3" t="s">
        <v>219</v>
      </c>
      <c r="AT18"/>
      <c r="AU18" s="2" t="s">
        <v>192</v>
      </c>
      <c r="AV18" s="2">
        <f>AV11/($AR$45*AV6^2*AR9^5)</f>
        <v>4.006874158860153E-3</v>
      </c>
      <c r="AW18" s="26"/>
      <c r="AX18"/>
      <c r="AY18" s="2" t="s">
        <v>174</v>
      </c>
      <c r="AZ18" s="33">
        <f xml:space="preserve"> $BH$27 * PI() * $AR$45 * AZ16^2 *$BH$33 * $AR$21 * AZ13</f>
        <v>595.77314041861393</v>
      </c>
      <c r="BA18" s="26" t="s">
        <v>22</v>
      </c>
      <c r="BB18"/>
      <c r="BC18" s="2" t="s">
        <v>174</v>
      </c>
      <c r="BD18" s="33">
        <f xml:space="preserve"> $BL$27 * PI() * $AR$45 * BD16^2 * $BL$33 * $AR$22 * BD13</f>
        <v>962.35832059227323</v>
      </c>
      <c r="BE18" s="26" t="s">
        <v>22</v>
      </c>
      <c r="BF18"/>
      <c r="BG18" s="2" t="s">
        <v>45</v>
      </c>
      <c r="BH18" s="2">
        <f>1/(BH16-1)</f>
        <v>1.4282791379598929</v>
      </c>
      <c r="BI18" s="2"/>
      <c r="BJ18" s="2"/>
      <c r="BK18" s="2" t="s">
        <v>45</v>
      </c>
      <c r="BL18" s="2">
        <f>1/(BL16-1)</f>
        <v>2.0815468361499807</v>
      </c>
      <c r="BM18" s="2"/>
      <c r="BN18"/>
      <c r="BO18" s="2">
        <v>14</v>
      </c>
      <c r="BP18" s="2">
        <f t="shared" si="21"/>
        <v>0.28296193108535506</v>
      </c>
      <c r="BQ18" s="2">
        <v>-2.0210880208292037E-4</v>
      </c>
      <c r="BR18" s="2">
        <f t="shared" si="22"/>
        <v>0.28330324181065963</v>
      </c>
      <c r="BS18" s="2">
        <v>7.3112697808533356E-4</v>
      </c>
      <c r="BT18" s="2">
        <f t="shared" si="7"/>
        <v>0.28313258644800732</v>
      </c>
      <c r="BU18" s="2">
        <v>2.6462616700143049E-4</v>
      </c>
      <c r="BV18" s="2">
        <f t="shared" si="8"/>
        <v>-5.3483277612453951E-8</v>
      </c>
      <c r="BW18" s="2">
        <f t="shared" si="9"/>
        <v>1.9347532980206069E-7</v>
      </c>
      <c r="BX18" s="2">
        <f t="shared" si="10"/>
        <v>3.4131072530457773E-4</v>
      </c>
      <c r="BY18"/>
      <c r="BZ18" s="2">
        <v>14</v>
      </c>
      <c r="CA18" s="2">
        <f t="shared" si="23"/>
        <v>0.21913682545340329</v>
      </c>
      <c r="CB18" s="2">
        <v>-3.7843153824342057E-4</v>
      </c>
      <c r="CC18" s="2">
        <f t="shared" si="24"/>
        <v>0.21947813617870784</v>
      </c>
      <c r="CD18" s="2">
        <v>4.4746146281503252E-4</v>
      </c>
      <c r="CE18" s="2">
        <f t="shared" si="11"/>
        <v>0.21930748081605556</v>
      </c>
      <c r="CF18" s="2">
        <v>3.4663490548481057E-5</v>
      </c>
      <c r="CG18" s="2">
        <f t="shared" si="12"/>
        <v>-1.3117758049147956E-8</v>
      </c>
      <c r="CH18" s="2">
        <f t="shared" si="13"/>
        <v>1.5510576187098388E-8</v>
      </c>
      <c r="CI18" s="2">
        <f t="shared" si="14"/>
        <v>3.4131072530454998E-4</v>
      </c>
    </row>
    <row r="19" spans="2:87" x14ac:dyDescent="0.2">
      <c r="B19" t="s">
        <v>114</v>
      </c>
      <c r="C19" s="1">
        <v>3</v>
      </c>
      <c r="D19"/>
      <c r="F19" s="9" t="s">
        <v>100</v>
      </c>
      <c r="G19" s="6">
        <f xml:space="preserve"> 1/1000 * (O23 + O18 * (O25 * O28 + $C$8 * SIN(O17/180*PI())))</f>
        <v>103.80765812764271</v>
      </c>
      <c r="H19" s="6" t="s">
        <v>104</v>
      </c>
      <c r="J19" s="14" t="s">
        <v>64</v>
      </c>
      <c r="K19" s="6">
        <f xml:space="preserve"> $C$55 * C31 * $C$5</f>
        <v>43.915089295392008</v>
      </c>
      <c r="L19" s="6" t="s">
        <v>7</v>
      </c>
      <c r="N19" s="6" t="s">
        <v>29</v>
      </c>
      <c r="O19" s="6">
        <f>$C$7*2*PI()/60</f>
        <v>47.123889803846893</v>
      </c>
      <c r="P19" s="6" t="s">
        <v>30</v>
      </c>
      <c r="U19" s="2">
        <v>15</v>
      </c>
      <c r="V19" s="2">
        <f t="shared" si="15"/>
        <v>2.9510498046875E-2</v>
      </c>
      <c r="W19" s="2">
        <f t="shared" si="0"/>
        <v>8.9031182571100431E-6</v>
      </c>
      <c r="X19" s="2">
        <f t="shared" si="16"/>
        <v>2.9541015625E-2</v>
      </c>
      <c r="Y19" s="2">
        <f t="shared" si="1"/>
        <v>-2.1665109694160578E-5</v>
      </c>
      <c r="Z19" s="2">
        <f t="shared" si="3"/>
        <v>2.95257568359375E-2</v>
      </c>
      <c r="AA19" s="2">
        <f t="shared" si="2"/>
        <v>-6.380989323713504E-6</v>
      </c>
      <c r="AB19" s="2">
        <f t="shared" si="4"/>
        <v>-5.6810702546377966E-11</v>
      </c>
      <c r="AC19" s="2">
        <f t="shared" si="5"/>
        <v>1.382448336555206E-10</v>
      </c>
      <c r="AD19" s="2">
        <f t="shared" si="6"/>
        <v>3.0517578125E-5</v>
      </c>
      <c r="AF19" s="2">
        <v>15</v>
      </c>
      <c r="AG19" s="2">
        <f t="shared" si="25"/>
        <v>3920.867919921875</v>
      </c>
      <c r="AH19" s="2">
        <v>-6.8373496441836323E-2</v>
      </c>
      <c r="AI19" s="2">
        <f t="shared" si="26"/>
        <v>3921.142578125</v>
      </c>
      <c r="AJ19" s="2">
        <v>8.5312793838966172E-2</v>
      </c>
      <c r="AK19" s="2">
        <f t="shared" si="17"/>
        <v>3921.0052490234375</v>
      </c>
      <c r="AL19" s="2">
        <v>8.4515949934029777E-3</v>
      </c>
      <c r="AM19" s="2">
        <f t="shared" si="18"/>
        <v>-5.7786510020928022E-4</v>
      </c>
      <c r="AN19" s="2">
        <f t="shared" si="19"/>
        <v>7.2102918128262691E-4</v>
      </c>
      <c r="AO19" s="2">
        <f t="shared" si="20"/>
        <v>0.274658203125</v>
      </c>
      <c r="AQ19" s="64" t="s">
        <v>195</v>
      </c>
      <c r="AR19" s="3">
        <f>0.175*($AR$9/2)</f>
        <v>0.73609199999999997</v>
      </c>
      <c r="AS19" s="26" t="s">
        <v>8</v>
      </c>
      <c r="AT19"/>
      <c r="AU19" s="2" t="s">
        <v>196</v>
      </c>
      <c r="AV19" s="2">
        <f>2*PI()*AV18</f>
        <v>2.5175932842667677E-2</v>
      </c>
      <c r="AW19" s="26"/>
      <c r="AX19"/>
      <c r="AY19" s="2" t="s">
        <v>178</v>
      </c>
      <c r="AZ19" s="33">
        <f xml:space="preserve"> $BH$27 * PI() * $AR$45 * AZ16^2 * $BH$34 * $AR$21^2 * AZ13</f>
        <v>198.33267800586472</v>
      </c>
      <c r="BA19" s="26" t="s">
        <v>179</v>
      </c>
      <c r="BB19"/>
      <c r="BC19" s="2" t="s">
        <v>178</v>
      </c>
      <c r="BD19" s="33">
        <f xml:space="preserve"> $BL$27 * PI() * $AR$45 * BD16^2 * $BL$34 * $AR$22^2 * BD13</f>
        <v>355.76167092848056</v>
      </c>
      <c r="BE19" s="26" t="s">
        <v>179</v>
      </c>
      <c r="BF19"/>
      <c r="BG19" s="2" t="s">
        <v>197</v>
      </c>
      <c r="BH19" s="2">
        <f>1/(BH17+1)</f>
        <v>5.0636565038655643E-2</v>
      </c>
      <c r="BI19" s="2"/>
      <c r="BJ19" s="2"/>
      <c r="BK19" s="2" t="s">
        <v>197</v>
      </c>
      <c r="BL19" s="2">
        <f>1/(BL17+1)</f>
        <v>3.4638214307195207E-2</v>
      </c>
      <c r="BM19" s="2"/>
      <c r="BN19"/>
      <c r="BO19" s="2">
        <v>15</v>
      </c>
      <c r="BP19" s="2">
        <f t="shared" si="21"/>
        <v>0.28296193108535506</v>
      </c>
      <c r="BQ19" s="2">
        <v>-2.0210880208292037E-4</v>
      </c>
      <c r="BR19" s="2">
        <f t="shared" si="22"/>
        <v>0.28313258644800732</v>
      </c>
      <c r="BS19" s="2">
        <v>2.6462616700143049E-4</v>
      </c>
      <c r="BT19" s="2">
        <f t="shared" si="7"/>
        <v>0.28304725876668119</v>
      </c>
      <c r="BU19" s="2">
        <v>3.1287968298959745E-5</v>
      </c>
      <c r="BV19" s="2">
        <f t="shared" si="8"/>
        <v>-6.3235737925111417E-9</v>
      </c>
      <c r="BW19" s="2">
        <f t="shared" si="9"/>
        <v>8.2796151242159838E-9</v>
      </c>
      <c r="BX19" s="2">
        <f t="shared" si="10"/>
        <v>1.7065536265226111E-4</v>
      </c>
      <c r="BY19"/>
      <c r="BZ19" s="2">
        <v>15</v>
      </c>
      <c r="CA19" s="2">
        <f t="shared" si="23"/>
        <v>0.21913682545340329</v>
      </c>
      <c r="CB19" s="2">
        <v>-3.7843153824342057E-4</v>
      </c>
      <c r="CC19" s="2">
        <f t="shared" si="24"/>
        <v>0.21930748081605556</v>
      </c>
      <c r="CD19" s="2">
        <v>3.4663490548481057E-5</v>
      </c>
      <c r="CE19" s="2">
        <f t="shared" si="11"/>
        <v>0.21922215313472942</v>
      </c>
      <c r="CF19" s="2">
        <v>-1.718468581493604E-4</v>
      </c>
      <c r="CG19" s="2">
        <f t="shared" si="12"/>
        <v>6.5032270871761356E-8</v>
      </c>
      <c r="CH19" s="2">
        <f t="shared" si="13"/>
        <v>-5.9568119432465191E-9</v>
      </c>
      <c r="CI19" s="2">
        <f t="shared" si="14"/>
        <v>1.7065536265226111E-4</v>
      </c>
    </row>
    <row r="20" spans="2:87" x14ac:dyDescent="0.2">
      <c r="B20" s="6" t="s">
        <v>128</v>
      </c>
      <c r="C20" s="6">
        <f>$C$19*$C$10/PI()</f>
        <v>6.1401977044853208E-2</v>
      </c>
      <c r="F20" s="44" t="s">
        <v>225</v>
      </c>
      <c r="G20" s="43">
        <f>$C$18 * G19</f>
        <v>415.23063251057084</v>
      </c>
      <c r="H20" s="43" t="s">
        <v>104</v>
      </c>
      <c r="J20" s="14" t="s">
        <v>65</v>
      </c>
      <c r="K20" s="6">
        <f xml:space="preserve"> $C$55 * 0</f>
        <v>0</v>
      </c>
      <c r="L20" s="6" t="s">
        <v>7</v>
      </c>
      <c r="N20" s="6" t="s">
        <v>31</v>
      </c>
      <c r="O20" s="6">
        <f xml:space="preserve"> $C$8 * COS(O17/180*PI()) / (O19 * $C$9)</f>
        <v>0.33751303380963088</v>
      </c>
      <c r="U20" s="2">
        <v>16</v>
      </c>
      <c r="V20" s="2">
        <f t="shared" si="15"/>
        <v>2.9510498046875E-2</v>
      </c>
      <c r="W20" s="2">
        <f t="shared" si="0"/>
        <v>8.9031182571100431E-6</v>
      </c>
      <c r="X20" s="2">
        <f t="shared" si="16"/>
        <v>2.95257568359375E-2</v>
      </c>
      <c r="Y20" s="2">
        <f t="shared" si="1"/>
        <v>-6.380989323713504E-6</v>
      </c>
      <c r="Z20" s="2">
        <f t="shared" si="3"/>
        <v>2.951812744140625E-2</v>
      </c>
      <c r="AA20" s="2">
        <f t="shared" si="2"/>
        <v>1.2610660654263639E-6</v>
      </c>
      <c r="AB20" s="2">
        <f t="shared" si="4"/>
        <v>1.1227420310519388E-11</v>
      </c>
      <c r="AC20" s="2">
        <f t="shared" si="5"/>
        <v>-8.0468490999830227E-12</v>
      </c>
      <c r="AD20" s="2">
        <f t="shared" si="6"/>
        <v>1.52587890625E-5</v>
      </c>
      <c r="AF20" s="2">
        <v>16</v>
      </c>
      <c r="AG20" s="2">
        <f t="shared" si="25"/>
        <v>3920.867919921875</v>
      </c>
      <c r="AH20" s="2">
        <v>-6.8373496441836323E-2</v>
      </c>
      <c r="AI20" s="2">
        <f t="shared" si="26"/>
        <v>3921.0052490234375</v>
      </c>
      <c r="AJ20" s="2">
        <v>8.4515949934029777E-3</v>
      </c>
      <c r="AK20" s="2">
        <f t="shared" si="17"/>
        <v>3920.9365844726562</v>
      </c>
      <c r="AL20" s="2">
        <v>-2.994341848170734E-2</v>
      </c>
      <c r="AM20" s="2">
        <f t="shared" si="18"/>
        <v>2.0473362170154328E-3</v>
      </c>
      <c r="AN20" s="2">
        <f t="shared" si="19"/>
        <v>-2.5306964572536795E-4</v>
      </c>
      <c r="AO20" s="2">
        <f t="shared" si="20"/>
        <v>0.1373291015625</v>
      </c>
      <c r="AQ20" s="64"/>
      <c r="AR20" s="3">
        <f>0.285*($AR$9/2)</f>
        <v>1.1987783999999999</v>
      </c>
      <c r="AS20" s="26" t="s">
        <v>8</v>
      </c>
      <c r="AT20"/>
      <c r="AU20" s="2" t="s">
        <v>198</v>
      </c>
      <c r="AV20" s="2">
        <f>AV17/AV19*AV7</f>
        <v>0.19639343896430411</v>
      </c>
      <c r="AW20" s="39"/>
      <c r="AX20"/>
      <c r="AY20"/>
      <c r="AZ20"/>
      <c r="BA20"/>
      <c r="BB20"/>
      <c r="BC20"/>
      <c r="BD20"/>
      <c r="BE20"/>
      <c r="BF20"/>
      <c r="BG20" s="7" t="s">
        <v>199</v>
      </c>
      <c r="BH20" s="40">
        <f>SIN(BH4)/(1+BH18) - $AR$3*COS(BH4)/($AV$5*$AR$19*(1-BH19))</f>
        <v>1.3293799117075622E-9</v>
      </c>
      <c r="BI20" s="40"/>
      <c r="BJ20" s="2"/>
      <c r="BK20" s="7" t="s">
        <v>199</v>
      </c>
      <c r="BL20" s="40">
        <f>SIN(BL4)/(1+BL18) - $AR$3*COS(BL4)/($AV$5*$AR$20*(1-BL19))</f>
        <v>3.0097273284734882E-10</v>
      </c>
      <c r="BM20" s="40"/>
      <c r="BN20"/>
      <c r="BO20" s="2">
        <v>16</v>
      </c>
      <c r="BP20" s="2">
        <f t="shared" si="21"/>
        <v>0.28296193108535506</v>
      </c>
      <c r="BQ20" s="2">
        <v>-2.0210880208292037E-4</v>
      </c>
      <c r="BR20" s="2">
        <f t="shared" si="22"/>
        <v>0.28304725876668119</v>
      </c>
      <c r="BS20" s="2">
        <v>3.1287968298959745E-5</v>
      </c>
      <c r="BT20" s="2">
        <f t="shared" si="7"/>
        <v>0.28300459492601815</v>
      </c>
      <c r="BU20" s="2">
        <v>-8.5403093418784382E-5</v>
      </c>
      <c r="BV20" s="2">
        <f t="shared" si="8"/>
        <v>1.7260716905046251E-8</v>
      </c>
      <c r="BW20" s="2">
        <f t="shared" si="9"/>
        <v>-2.6720892795200232E-9</v>
      </c>
      <c r="BX20" s="2">
        <f t="shared" si="10"/>
        <v>8.5327681326130556E-5</v>
      </c>
      <c r="BY20"/>
      <c r="BZ20" s="2">
        <v>16</v>
      </c>
      <c r="CA20" s="2">
        <f t="shared" si="23"/>
        <v>0.21922215313472942</v>
      </c>
      <c r="CB20" s="2">
        <v>-1.718468581493604E-4</v>
      </c>
      <c r="CC20" s="2">
        <f t="shared" si="24"/>
        <v>0.21930748081605556</v>
      </c>
      <c r="CD20" s="2">
        <v>3.4663490548481057E-5</v>
      </c>
      <c r="CE20" s="2">
        <f t="shared" si="11"/>
        <v>0.21926481697539249</v>
      </c>
      <c r="CF20" s="2">
        <v>-6.8582396583735661E-5</v>
      </c>
      <c r="CG20" s="2">
        <f t="shared" si="12"/>
        <v>1.1785669377268401E-8</v>
      </c>
      <c r="CH20" s="2">
        <f t="shared" si="13"/>
        <v>-2.3773052557725007E-9</v>
      </c>
      <c r="CI20" s="2">
        <f t="shared" si="14"/>
        <v>8.5327681326130556E-5</v>
      </c>
    </row>
    <row r="21" spans="2:87" x14ac:dyDescent="0.2">
      <c r="B21" s="6" t="s">
        <v>129</v>
      </c>
      <c r="C21" s="17">
        <v>0.75</v>
      </c>
      <c r="J21" s="14" t="s">
        <v>66</v>
      </c>
      <c r="K21" s="6">
        <f xml:space="preserve"> $C$55 * 0</f>
        <v>0</v>
      </c>
      <c r="L21" s="6" t="s">
        <v>7</v>
      </c>
      <c r="N21" s="6" t="s">
        <v>32</v>
      </c>
      <c r="O21" s="6">
        <f xml:space="preserve"> O18 / ($C$47 * PI() * $C$9^2 * O19^2 * $C$9^2)</f>
        <v>4.3721482600700863E-3</v>
      </c>
      <c r="U21" s="2">
        <v>17</v>
      </c>
      <c r="V21" s="2">
        <f t="shared" si="15"/>
        <v>2.951812744140625E-2</v>
      </c>
      <c r="W21" s="2">
        <f t="shared" si="0"/>
        <v>1.2610660654263639E-6</v>
      </c>
      <c r="X21" s="2">
        <f t="shared" si="16"/>
        <v>2.95257568359375E-2</v>
      </c>
      <c r="Y21" s="2">
        <f t="shared" si="1"/>
        <v>-6.380989323713504E-6</v>
      </c>
      <c r="Z21" s="2">
        <f t="shared" si="3"/>
        <v>2.9521942138671875E-2</v>
      </c>
      <c r="AA21" s="2">
        <f t="shared" si="2"/>
        <v>-2.5599612294632812E-6</v>
      </c>
      <c r="AB21" s="2">
        <f t="shared" si="4"/>
        <v>-3.2282802352832971E-12</v>
      </c>
      <c r="AC21" s="2">
        <f t="shared" si="5"/>
        <v>1.6335085274325692E-11</v>
      </c>
      <c r="AD21" s="2">
        <f t="shared" si="6"/>
        <v>7.62939453125E-6</v>
      </c>
      <c r="AF21" s="2">
        <v>17</v>
      </c>
      <c r="AG21" s="2">
        <f t="shared" si="25"/>
        <v>3920.9365844726562</v>
      </c>
      <c r="AH21" s="2">
        <v>-2.994341848170734E-2</v>
      </c>
      <c r="AI21" s="2">
        <f t="shared" si="26"/>
        <v>3921.0052490234375</v>
      </c>
      <c r="AJ21" s="2">
        <v>8.4515949934029777E-3</v>
      </c>
      <c r="AK21" s="2">
        <f t="shared" si="17"/>
        <v>3920.9709167480469</v>
      </c>
      <c r="AL21" s="2">
        <v>-1.0763574198335846E-2</v>
      </c>
      <c r="AM21" s="2">
        <f t="shared" si="18"/>
        <v>3.2229820657967784E-4</v>
      </c>
      <c r="AN21" s="2">
        <f t="shared" si="19"/>
        <v>-9.0969369805776702E-5</v>
      </c>
      <c r="AO21" s="2">
        <f t="shared" si="20"/>
        <v>6.866455078125E-2</v>
      </c>
      <c r="AQ21" s="64"/>
      <c r="AR21" s="3">
        <f>0.395*($AR$9/2)</f>
        <v>1.6614648000000001</v>
      </c>
      <c r="AS21" s="26" t="s">
        <v>8</v>
      </c>
      <c r="AT21"/>
      <c r="AU21"/>
      <c r="AV21"/>
      <c r="AW21" s="39"/>
      <c r="AX21"/>
      <c r="AY21" s="62" t="s">
        <v>200</v>
      </c>
      <c r="AZ21" s="62"/>
      <c r="BA21" s="62"/>
      <c r="BB21"/>
      <c r="BC21" s="62" t="s">
        <v>201</v>
      </c>
      <c r="BD21" s="62"/>
      <c r="BE21" s="62"/>
      <c r="BF21"/>
      <c r="BG21" s="2"/>
      <c r="BH21" s="2"/>
      <c r="BI21" s="2"/>
      <c r="BJ21" s="2"/>
      <c r="BK21" s="2"/>
      <c r="BL21" s="2"/>
      <c r="BM21" s="2"/>
      <c r="BN21"/>
      <c r="BO21" s="2">
        <v>17</v>
      </c>
      <c r="BP21" s="2">
        <f t="shared" si="21"/>
        <v>0.28300459492601815</v>
      </c>
      <c r="BQ21" s="2">
        <v>-8.5403093418784382E-5</v>
      </c>
      <c r="BR21" s="2">
        <f t="shared" si="22"/>
        <v>0.28304725876668119</v>
      </c>
      <c r="BS21" s="2">
        <v>3.1287968298959745E-5</v>
      </c>
      <c r="BT21" s="2">
        <f t="shared" si="7"/>
        <v>0.28302592684634964</v>
      </c>
      <c r="BU21" s="2">
        <v>-2.7055731943448347E-5</v>
      </c>
      <c r="BV21" s="2">
        <f t="shared" si="8"/>
        <v>2.310643202679908E-9</v>
      </c>
      <c r="BW21" s="2">
        <f t="shared" si="9"/>
        <v>-8.4651888335176445E-10</v>
      </c>
      <c r="BX21" s="2">
        <f t="shared" si="10"/>
        <v>4.2663840663037522E-5</v>
      </c>
      <c r="BY21"/>
      <c r="BZ21" s="2">
        <v>17</v>
      </c>
      <c r="CA21" s="2">
        <f t="shared" si="23"/>
        <v>0.21926481697539249</v>
      </c>
      <c r="CB21" s="2">
        <v>-6.8582396583735661E-5</v>
      </c>
      <c r="CC21" s="2">
        <f t="shared" si="24"/>
        <v>0.21930748081605556</v>
      </c>
      <c r="CD21" s="2">
        <v>3.4663490548481057E-5</v>
      </c>
      <c r="CE21" s="2">
        <f t="shared" si="11"/>
        <v>0.21928614889572401</v>
      </c>
      <c r="CF21" s="2">
        <v>-1.6957131739048226E-5</v>
      </c>
      <c r="CG21" s="2">
        <f t="shared" si="12"/>
        <v>1.1629607338500566E-9</v>
      </c>
      <c r="CH21" s="2">
        <f t="shared" si="13"/>
        <v>-5.8779337576584634E-10</v>
      </c>
      <c r="CI21" s="2">
        <f t="shared" si="14"/>
        <v>4.2663840663065278E-5</v>
      </c>
    </row>
    <row r="22" spans="2:87" x14ac:dyDescent="0.2">
      <c r="B22" s="6" t="s">
        <v>288</v>
      </c>
      <c r="C22" s="17">
        <v>50</v>
      </c>
      <c r="D22" s="6" t="s">
        <v>61</v>
      </c>
      <c r="F22" s="55" t="s">
        <v>84</v>
      </c>
      <c r="G22" s="58"/>
      <c r="H22" s="58"/>
      <c r="J22" s="14" t="s">
        <v>117</v>
      </c>
      <c r="K22" s="6">
        <f>$C$55*(0.14*$G$13*1000/745.7)*0.453592</f>
        <v>33.860987367044594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15"/>
        <v>2.951812744140625E-2</v>
      </c>
      <c r="W22" s="2">
        <f t="shared" si="0"/>
        <v>1.2610660654263639E-6</v>
      </c>
      <c r="X22" s="2">
        <f t="shared" si="16"/>
        <v>2.9521942138671875E-2</v>
      </c>
      <c r="Y22" s="2">
        <f t="shared" si="1"/>
        <v>-2.5599612294632812E-6</v>
      </c>
      <c r="Z22" s="2">
        <f t="shared" si="3"/>
        <v>2.9520034790039062E-2</v>
      </c>
      <c r="AA22" s="2">
        <f t="shared" si="2"/>
        <v>-6.4944748209838643E-7</v>
      </c>
      <c r="AB22" s="2">
        <f t="shared" si="4"/>
        <v>-8.1899618095087107E-13</v>
      </c>
      <c r="AC22" s="2">
        <f t="shared" si="5"/>
        <v>1.6625603747444177E-12</v>
      </c>
      <c r="AD22" s="2">
        <f t="shared" si="6"/>
        <v>3.814697265625E-6</v>
      </c>
      <c r="AF22" s="2">
        <v>18</v>
      </c>
      <c r="AG22" s="2">
        <f t="shared" si="25"/>
        <v>3920.9709167480469</v>
      </c>
      <c r="AH22" s="2">
        <v>-1.0763574198335846E-2</v>
      </c>
      <c r="AI22" s="2">
        <f t="shared" si="26"/>
        <v>3921.0052490234375</v>
      </c>
      <c r="AJ22" s="2">
        <v>8.4515949934029777E-3</v>
      </c>
      <c r="AK22" s="2">
        <f t="shared" si="17"/>
        <v>3920.9880828857422</v>
      </c>
      <c r="AL22" s="2">
        <v>-1.1559961249076878E-3</v>
      </c>
      <c r="AM22" s="2">
        <f t="shared" si="18"/>
        <v>1.244265006343261E-5</v>
      </c>
      <c r="AN22" s="2">
        <f t="shared" si="19"/>
        <v>-9.7700110616630564E-6</v>
      </c>
      <c r="AO22" s="2">
        <f t="shared" si="20"/>
        <v>3.4332275390625E-2</v>
      </c>
      <c r="AQ22" s="64"/>
      <c r="AR22" s="3">
        <f>0.505*($AR$9/2)</f>
        <v>2.1241512</v>
      </c>
      <c r="AS22" s="26" t="s">
        <v>8</v>
      </c>
      <c r="AT22"/>
      <c r="AU22" s="61" t="s">
        <v>202</v>
      </c>
      <c r="AV22" s="61"/>
      <c r="AW22" s="61"/>
      <c r="AX22"/>
      <c r="AY22" s="2" t="s">
        <v>153</v>
      </c>
      <c r="AZ22" s="2">
        <f>$AR$23-$AR$22</f>
        <v>0.46268639999999994</v>
      </c>
      <c r="BA22" s="26" t="s">
        <v>8</v>
      </c>
      <c r="BB22"/>
      <c r="BC22" s="2" t="s">
        <v>153</v>
      </c>
      <c r="BD22" s="2">
        <f>$AR$24-$AR$23</f>
        <v>0.46268639999999994</v>
      </c>
      <c r="BE22" s="26" t="s">
        <v>8</v>
      </c>
      <c r="BF22"/>
      <c r="BG22" s="62" t="s">
        <v>185</v>
      </c>
      <c r="BH22" s="62"/>
      <c r="BI22" s="62"/>
      <c r="BJ22" s="2"/>
      <c r="BK22" s="62" t="s">
        <v>186</v>
      </c>
      <c r="BL22" s="62"/>
      <c r="BM22" s="62"/>
      <c r="BN22"/>
      <c r="BO22" s="2">
        <v>18</v>
      </c>
      <c r="BP22" s="2">
        <f t="shared" si="21"/>
        <v>0.28302592684634964</v>
      </c>
      <c r="BQ22" s="2">
        <v>-2.7055731943448347E-5</v>
      </c>
      <c r="BR22" s="2">
        <f t="shared" si="22"/>
        <v>0.28304725876668119</v>
      </c>
      <c r="BS22" s="2">
        <v>3.1287968298959745E-5</v>
      </c>
      <c r="BT22" s="2">
        <f t="shared" si="7"/>
        <v>0.28303659280651539</v>
      </c>
      <c r="BU22" s="2">
        <v>2.1165758004454416E-6</v>
      </c>
      <c r="BV22" s="2">
        <f t="shared" si="8"/>
        <v>-5.7265507494841489E-11</v>
      </c>
      <c r="BW22" s="2">
        <f t="shared" si="9"/>
        <v>6.6223356546682326E-11</v>
      </c>
      <c r="BX22" s="2">
        <f t="shared" si="10"/>
        <v>2.1331920331546517E-5</v>
      </c>
      <c r="BY22"/>
      <c r="BZ22" s="2">
        <v>18</v>
      </c>
      <c r="CA22" s="2">
        <f t="shared" si="23"/>
        <v>0.21928614889572401</v>
      </c>
      <c r="CB22" s="2">
        <v>-1.6957131739048226E-5</v>
      </c>
      <c r="CC22" s="2">
        <f t="shared" si="24"/>
        <v>0.21930748081605556</v>
      </c>
      <c r="CD22" s="2">
        <v>3.4663490548481057E-5</v>
      </c>
      <c r="CE22" s="2">
        <f t="shared" si="11"/>
        <v>0.21929681485588978</v>
      </c>
      <c r="CF22" s="2">
        <v>8.8537596586030221E-6</v>
      </c>
      <c r="CG22" s="2">
        <f t="shared" si="12"/>
        <v>-1.5013436891680208E-10</v>
      </c>
      <c r="CH22" s="2">
        <f t="shared" si="13"/>
        <v>3.0690221424450874E-10</v>
      </c>
      <c r="CI22" s="2">
        <f t="shared" si="14"/>
        <v>2.1331920331546517E-5</v>
      </c>
    </row>
    <row r="23" spans="2:87" x14ac:dyDescent="0.2">
      <c r="F23" t="s">
        <v>88</v>
      </c>
      <c r="G23" s="1">
        <f>300*0.3048/60</f>
        <v>1.524</v>
      </c>
      <c r="H23" t="s">
        <v>10</v>
      </c>
      <c r="J23" s="15" t="s">
        <v>67</v>
      </c>
      <c r="K23" s="6">
        <f xml:space="preserve"> $C$56 * (0.0268 * $C$5)</f>
        <v>84.06602807975041</v>
      </c>
      <c r="L23" s="6" t="s">
        <v>7</v>
      </c>
      <c r="N23" s="6" t="s">
        <v>33</v>
      </c>
      <c r="O23" s="6">
        <f xml:space="preserve"> ($C$20 * O22 / 8) * (1 + 4.65 *O20^ 2) * ( PI() * $C$47 * O19^3 *$C$9^ 5)</f>
        <v>45617.201060933163</v>
      </c>
      <c r="P23" s="6" t="s">
        <v>20</v>
      </c>
      <c r="U23" s="2">
        <v>19</v>
      </c>
      <c r="V23" s="2">
        <f t="shared" si="15"/>
        <v>2.951812744140625E-2</v>
      </c>
      <c r="W23" s="2">
        <f t="shared" si="0"/>
        <v>1.2610660654263639E-6</v>
      </c>
      <c r="X23" s="2">
        <f t="shared" si="16"/>
        <v>2.9520034790039062E-2</v>
      </c>
      <c r="Y23" s="2">
        <f t="shared" si="1"/>
        <v>-6.4944748209838643E-7</v>
      </c>
      <c r="Z23" s="2">
        <f t="shared" si="3"/>
        <v>2.9519081115722656E-2</v>
      </c>
      <c r="AA23" s="2">
        <f t="shared" si="2"/>
        <v>3.0580931664400679E-7</v>
      </c>
      <c r="AB23" s="2">
        <f t="shared" si="4"/>
        <v>3.8564575171098271E-13</v>
      </c>
      <c r="AC23" s="2">
        <f t="shared" si="5"/>
        <v>-1.9860709069667839E-13</v>
      </c>
      <c r="AD23" s="2">
        <f t="shared" si="6"/>
        <v>1.9073486328125E-6</v>
      </c>
      <c r="AF23" s="2">
        <v>19</v>
      </c>
      <c r="AG23" s="2">
        <f t="shared" si="25"/>
        <v>3920.9880828857422</v>
      </c>
      <c r="AH23" s="2">
        <v>-1.1559961249076878E-3</v>
      </c>
      <c r="AI23" s="2">
        <f t="shared" si="26"/>
        <v>3921.0052490234375</v>
      </c>
      <c r="AJ23" s="2">
        <v>8.4515949934029777E-3</v>
      </c>
      <c r="AK23" s="2">
        <f t="shared" si="17"/>
        <v>3920.9966659545898</v>
      </c>
      <c r="AL23" s="2">
        <v>3.6654344248745474E-3</v>
      </c>
      <c r="AM23" s="2">
        <f t="shared" si="18"/>
        <v>-4.2372279912582157E-6</v>
      </c>
      <c r="AN23" s="2">
        <f t="shared" si="19"/>
        <v>3.0978767233916651E-5</v>
      </c>
      <c r="AO23" s="2">
        <f t="shared" si="20"/>
        <v>1.71661376953125E-2</v>
      </c>
      <c r="AQ23" s="64"/>
      <c r="AR23" s="3">
        <f>0.615*($AR$9/2)</f>
        <v>2.5868376</v>
      </c>
      <c r="AS23" s="26" t="s">
        <v>8</v>
      </c>
      <c r="AT23"/>
      <c r="AU23" s="63" t="s">
        <v>203</v>
      </c>
      <c r="AV23" s="64">
        <f>BH20</f>
        <v>1.3293799117075622E-9</v>
      </c>
      <c r="AW23" s="64"/>
      <c r="AX23"/>
      <c r="AY23" s="2" t="s">
        <v>158</v>
      </c>
      <c r="AZ23" s="2">
        <f>(1+$BH$56)*$AR$3</f>
        <v>10.715106386452312</v>
      </c>
      <c r="BA23" s="26" t="s">
        <v>10</v>
      </c>
      <c r="BB23"/>
      <c r="BC23" s="2" t="s">
        <v>158</v>
      </c>
      <c r="BD23" s="2">
        <f>(1+$BL$56)*$AR$3</f>
        <v>11.220888443461044</v>
      </c>
      <c r="BE23" s="26" t="s">
        <v>10</v>
      </c>
      <c r="BF23"/>
      <c r="BG23" s="28" t="s">
        <v>154</v>
      </c>
      <c r="BH23" s="29">
        <f>BT68</f>
        <v>0.18289881696312227</v>
      </c>
      <c r="BI23" s="5" t="s">
        <v>155</v>
      </c>
      <c r="BJ23" s="2"/>
      <c r="BK23" s="28" t="s">
        <v>154</v>
      </c>
      <c r="BL23" s="29">
        <f>CE68</f>
        <v>0.15736268032236006</v>
      </c>
      <c r="BM23" s="5" t="s">
        <v>155</v>
      </c>
      <c r="BN23"/>
      <c r="BO23" s="2">
        <v>19</v>
      </c>
      <c r="BP23" s="2">
        <f t="shared" si="21"/>
        <v>0.28302592684634964</v>
      </c>
      <c r="BQ23" s="2">
        <v>-2.7055731943448347E-5</v>
      </c>
      <c r="BR23" s="2">
        <f t="shared" si="22"/>
        <v>0.28303659280651539</v>
      </c>
      <c r="BS23" s="2">
        <v>2.1165758004454416E-6</v>
      </c>
      <c r="BT23" s="2">
        <f t="shared" si="7"/>
        <v>0.28303125982643251</v>
      </c>
      <c r="BU23" s="2">
        <v>-1.2469463661915481E-5</v>
      </c>
      <c r="BV23" s="2">
        <f t="shared" si="8"/>
        <v>3.3737046631535505E-10</v>
      </c>
      <c r="BW23" s="2">
        <f t="shared" si="9"/>
        <v>-2.6392565031344106E-11</v>
      </c>
      <c r="BX23" s="2">
        <f t="shared" si="10"/>
        <v>1.0665960165745503E-5</v>
      </c>
      <c r="BY23"/>
      <c r="BZ23" s="2">
        <v>19</v>
      </c>
      <c r="CA23" s="2">
        <f t="shared" si="23"/>
        <v>0.21928614889572401</v>
      </c>
      <c r="CB23" s="2">
        <v>-1.6957131739048226E-5</v>
      </c>
      <c r="CC23" s="2">
        <f t="shared" si="24"/>
        <v>0.21929681485588978</v>
      </c>
      <c r="CD23" s="2">
        <v>8.8537596586030221E-6</v>
      </c>
      <c r="CE23" s="2">
        <f t="shared" si="11"/>
        <v>0.21929148187580688</v>
      </c>
      <c r="CF23" s="2">
        <v>-4.0515409685665249E-6</v>
      </c>
      <c r="CG23" s="2">
        <f t="shared" si="12"/>
        <v>6.8702513950133607E-11</v>
      </c>
      <c r="CH23" s="2">
        <f t="shared" si="13"/>
        <v>-3.5871369982671714E-11</v>
      </c>
      <c r="CI23" s="2">
        <f t="shared" si="14"/>
        <v>1.0665960165773258E-5</v>
      </c>
    </row>
    <row r="24" spans="2:87" x14ac:dyDescent="0.2">
      <c r="B24" s="54" t="s">
        <v>107</v>
      </c>
      <c r="C24" s="54"/>
      <c r="D24" s="54"/>
      <c r="F24" t="s">
        <v>94</v>
      </c>
      <c r="G24" s="1">
        <f>1000*0.3048</f>
        <v>304.8</v>
      </c>
      <c r="H24" t="s">
        <v>8</v>
      </c>
      <c r="J24" s="15" t="s">
        <v>68</v>
      </c>
      <c r="K24" s="6">
        <f xml:space="preserve"> $C$56 * (11.5 * ($C$5*2.20462/1000)^0.4 * 0.453592)</f>
        <v>9.8888322514598208</v>
      </c>
      <c r="L24" s="6" t="s">
        <v>7</v>
      </c>
      <c r="N24" s="6" t="s">
        <v>34</v>
      </c>
      <c r="O24" s="18">
        <f>Z34</f>
        <v>2.9519386123865843E-2</v>
      </c>
      <c r="U24" s="2">
        <v>20</v>
      </c>
      <c r="V24" s="2">
        <f t="shared" si="15"/>
        <v>2.9519081115722656E-2</v>
      </c>
      <c r="W24" s="2">
        <f t="shared" si="0"/>
        <v>3.0580931664400679E-7</v>
      </c>
      <c r="X24" s="2">
        <f t="shared" si="16"/>
        <v>2.9520034790039062E-2</v>
      </c>
      <c r="Y24" s="2">
        <f t="shared" si="1"/>
        <v>-6.4944748209838643E-7</v>
      </c>
      <c r="Z24" s="2">
        <f t="shared" si="3"/>
        <v>2.9519557952880859E-2</v>
      </c>
      <c r="AA24" s="2">
        <f t="shared" si="2"/>
        <v>-1.7181907648045058E-7</v>
      </c>
      <c r="AB24" s="2">
        <f t="shared" si="4"/>
        <v>-5.2543874364890931E-14</v>
      </c>
      <c r="AC24" s="2">
        <f t="shared" si="5"/>
        <v>1.1158746659669871E-13</v>
      </c>
      <c r="AD24" s="2">
        <f t="shared" si="6"/>
        <v>9.5367431640625E-7</v>
      </c>
      <c r="AF24" s="2">
        <v>20</v>
      </c>
      <c r="AG24" s="2">
        <f t="shared" si="25"/>
        <v>3920.9880828857422</v>
      </c>
      <c r="AH24" s="2">
        <v>-1.1559961249076878E-3</v>
      </c>
      <c r="AI24" s="2">
        <f t="shared" si="26"/>
        <v>3920.9966659545898</v>
      </c>
      <c r="AJ24" s="2">
        <v>3.6654344248745474E-3</v>
      </c>
      <c r="AK24" s="2">
        <f t="shared" si="17"/>
        <v>3920.992374420166</v>
      </c>
      <c r="AL24" s="2">
        <v>1.2723553336400073E-3</v>
      </c>
      <c r="AM24" s="2">
        <f t="shared" si="18"/>
        <v>-1.4708378351934766E-6</v>
      </c>
      <c r="AN24" s="2">
        <f t="shared" si="19"/>
        <v>4.6637350405968228E-6</v>
      </c>
      <c r="AO24" s="2">
        <f t="shared" si="20"/>
        <v>8.58306884765625E-3</v>
      </c>
      <c r="AQ24" s="64"/>
      <c r="AR24" s="3">
        <f>0.725*($AR$9/2)</f>
        <v>3.0495239999999999</v>
      </c>
      <c r="AS24" s="26" t="s">
        <v>8</v>
      </c>
      <c r="AT24"/>
      <c r="AU24" s="63"/>
      <c r="AV24" s="64">
        <f>BL20</f>
        <v>3.0097273284734882E-10</v>
      </c>
      <c r="AW24" s="64"/>
      <c r="AX24"/>
      <c r="AY24" s="2" t="s">
        <v>163</v>
      </c>
      <c r="AZ24" s="2">
        <f>(1-$BH$57)*$AV$5*$AR$23</f>
        <v>77.243543377863489</v>
      </c>
      <c r="BA24" s="26" t="s">
        <v>10</v>
      </c>
      <c r="BB24"/>
      <c r="BC24" s="2" t="s">
        <v>163</v>
      </c>
      <c r="BD24" s="2">
        <f>(1-$BL$57)*$AV$5*$AR$24</f>
        <v>91.346333307091143</v>
      </c>
      <c r="BE24" s="26" t="s">
        <v>10</v>
      </c>
      <c r="BF24"/>
      <c r="BG24" s="2" t="s">
        <v>159</v>
      </c>
      <c r="BH24" s="2">
        <f>($AR$37+$AR$5)/180*PI()</f>
        <v>0.343720075498813</v>
      </c>
      <c r="BI24" s="2" t="s">
        <v>155</v>
      </c>
      <c r="BJ24" s="2"/>
      <c r="BK24" s="2" t="s">
        <v>159</v>
      </c>
      <c r="BL24" s="2">
        <f>($AR$38+$AR$5)/180*PI()</f>
        <v>0.32068172937248784</v>
      </c>
      <c r="BM24" s="2" t="s">
        <v>155</v>
      </c>
      <c r="BN24"/>
      <c r="BO24" s="2">
        <v>20</v>
      </c>
      <c r="BP24" s="2">
        <f t="shared" si="21"/>
        <v>0.28303125982643251</v>
      </c>
      <c r="BQ24" s="2">
        <v>-1.2469463661915481E-5</v>
      </c>
      <c r="BR24" s="2">
        <f t="shared" si="22"/>
        <v>0.28303659280651539</v>
      </c>
      <c r="BS24" s="2">
        <v>2.1165758004454416E-6</v>
      </c>
      <c r="BT24" s="2">
        <f t="shared" si="7"/>
        <v>0.28303392631647395</v>
      </c>
      <c r="BU24" s="2">
        <v>-5.1764153288780257E-6</v>
      </c>
      <c r="BV24" s="2">
        <f t="shared" si="8"/>
        <v>6.454712284242681E-11</v>
      </c>
      <c r="BW24" s="2">
        <f t="shared" si="9"/>
        <v>-1.0956275418158061E-11</v>
      </c>
      <c r="BX24" s="2">
        <f t="shared" si="10"/>
        <v>5.3329800828727514E-6</v>
      </c>
      <c r="BY24"/>
      <c r="BZ24" s="2">
        <v>20</v>
      </c>
      <c r="CA24" s="2">
        <f t="shared" si="23"/>
        <v>0.21929148187580688</v>
      </c>
      <c r="CB24" s="2">
        <v>-4.0515409685665249E-6</v>
      </c>
      <c r="CC24" s="2">
        <f t="shared" si="24"/>
        <v>0.21929681485588978</v>
      </c>
      <c r="CD24" s="2">
        <v>8.8537596586030221E-6</v>
      </c>
      <c r="CE24" s="2">
        <f t="shared" si="11"/>
        <v>0.21929414836584832</v>
      </c>
      <c r="CF24" s="2">
        <v>2.4011456118688823E-6</v>
      </c>
      <c r="CG24" s="2">
        <f t="shared" si="12"/>
        <v>-9.7283398179805118E-12</v>
      </c>
      <c r="CH24" s="2">
        <f t="shared" si="13"/>
        <v>2.1259166152796379E-11</v>
      </c>
      <c r="CI24" s="2">
        <f t="shared" si="14"/>
        <v>5.332980082900507E-6</v>
      </c>
    </row>
    <row r="25" spans="2:87" x14ac:dyDescent="0.2">
      <c r="B25" t="s">
        <v>108</v>
      </c>
      <c r="C25" s="1">
        <v>6</v>
      </c>
      <c r="D25"/>
      <c r="F25" t="s">
        <v>93</v>
      </c>
      <c r="G25" s="8">
        <f>$G$24/$G$23</f>
        <v>200</v>
      </c>
      <c r="H25" t="s">
        <v>14</v>
      </c>
      <c r="J25" s="15" t="s">
        <v>69</v>
      </c>
      <c r="K25" s="6">
        <f xml:space="preserve"> $C$56 * (8 * ($C$5/1000))</f>
        <v>25.094336740224001</v>
      </c>
      <c r="L25" s="6" t="s">
        <v>7</v>
      </c>
      <c r="N25" s="6" t="s">
        <v>35</v>
      </c>
      <c r="O25" s="6">
        <f xml:space="preserve"> O19 * $C$9 * O24 - $C$8 * SIN(O17/180*PI())</f>
        <v>1.2789534810543088</v>
      </c>
      <c r="P25" s="6" t="s">
        <v>10</v>
      </c>
      <c r="U25" s="2">
        <v>21</v>
      </c>
      <c r="V25" s="2">
        <f t="shared" si="15"/>
        <v>2.9519081115722656E-2</v>
      </c>
      <c r="W25" s="2">
        <f t="shared" si="0"/>
        <v>3.0580931664400679E-7</v>
      </c>
      <c r="X25" s="2">
        <f t="shared" si="16"/>
        <v>2.9519557952880859E-2</v>
      </c>
      <c r="Y25" s="2">
        <f t="shared" si="1"/>
        <v>-1.7181907648045058E-7</v>
      </c>
      <c r="Z25" s="2">
        <f t="shared" si="3"/>
        <v>2.9519319534301758E-2</v>
      </c>
      <c r="AA25" s="2">
        <f t="shared" si="2"/>
        <v>6.6995121644763955E-8</v>
      </c>
      <c r="AB25" s="2">
        <f t="shared" si="4"/>
        <v>2.0487732368667373E-14</v>
      </c>
      <c r="AC25" s="2">
        <f t="shared" si="5"/>
        <v>-1.1511039929698788E-14</v>
      </c>
      <c r="AD25" s="2">
        <f t="shared" si="6"/>
        <v>4.76837158203125E-7</v>
      </c>
      <c r="AF25" s="2">
        <v>21</v>
      </c>
      <c r="AG25" s="2">
        <f t="shared" si="25"/>
        <v>3920.9880828857422</v>
      </c>
      <c r="AH25" s="2">
        <v>-1.1559961249076878E-3</v>
      </c>
      <c r="AI25" s="2">
        <f t="shared" si="26"/>
        <v>3920.992374420166</v>
      </c>
      <c r="AJ25" s="2">
        <v>1.2723553336400073E-3</v>
      </c>
      <c r="AK25" s="2">
        <f t="shared" si="17"/>
        <v>3920.9902286529541</v>
      </c>
      <c r="AL25" s="2">
        <v>5.8179492953058798E-5</v>
      </c>
      <c r="AM25" s="2">
        <f t="shared" si="18"/>
        <v>-6.7255268402830098E-8</v>
      </c>
      <c r="AN25" s="2">
        <f t="shared" si="19"/>
        <v>7.4024988167295584E-8</v>
      </c>
      <c r="AO25" s="2">
        <f t="shared" si="20"/>
        <v>4.291534423828125E-3</v>
      </c>
      <c r="AQ25" s="64"/>
      <c r="AR25" s="3">
        <f>0.835*($AR$9/2)</f>
        <v>3.5122103999999998</v>
      </c>
      <c r="AS25" s="26" t="s">
        <v>8</v>
      </c>
      <c r="AT25"/>
      <c r="AU25" s="63"/>
      <c r="AV25" s="64">
        <f>BH39</f>
        <v>-3.87542416907527E-9</v>
      </c>
      <c r="AW25" s="64"/>
      <c r="AX25"/>
      <c r="AY25" s="2" t="s">
        <v>167</v>
      </c>
      <c r="AZ25" s="2">
        <f>SQRT(AZ23^2 + AZ24^2)</f>
        <v>77.983193692236469</v>
      </c>
      <c r="BA25" s="26" t="s">
        <v>10</v>
      </c>
      <c r="BB25"/>
      <c r="BC25" s="2" t="s">
        <v>167</v>
      </c>
      <c r="BD25" s="2">
        <f>SQRT(BD23^2 + BD24^2)</f>
        <v>92.032934029676497</v>
      </c>
      <c r="BE25" s="26" t="s">
        <v>10</v>
      </c>
      <c r="BF25"/>
      <c r="BG25" s="2" t="s">
        <v>28</v>
      </c>
      <c r="BH25" s="2">
        <f>BH24-BH23</f>
        <v>0.16082125853569074</v>
      </c>
      <c r="BI25" s="2" t="s">
        <v>155</v>
      </c>
      <c r="BJ25" s="2"/>
      <c r="BK25" s="2" t="s">
        <v>28</v>
      </c>
      <c r="BL25" s="2">
        <f>BL24-BL23</f>
        <v>0.16331904905012778</v>
      </c>
      <c r="BM25" s="2" t="s">
        <v>155</v>
      </c>
      <c r="BN25"/>
      <c r="BO25" s="2">
        <v>21</v>
      </c>
      <c r="BP25" s="2">
        <f t="shared" si="21"/>
        <v>0.28303392631647395</v>
      </c>
      <c r="BQ25" s="2">
        <v>-5.1764153288780257E-6</v>
      </c>
      <c r="BR25" s="2">
        <f t="shared" si="22"/>
        <v>0.28303659280651539</v>
      </c>
      <c r="BS25" s="2">
        <v>2.1165758004454416E-6</v>
      </c>
      <c r="BT25" s="2">
        <f t="shared" si="7"/>
        <v>0.28303525956149467</v>
      </c>
      <c r="BU25" s="2">
        <v>-1.5299126139012298E-6</v>
      </c>
      <c r="BV25" s="2">
        <f t="shared" si="8"/>
        <v>7.9194631064421751E-12</v>
      </c>
      <c r="BW25" s="2">
        <f t="shared" si="9"/>
        <v>-3.2381760153795732E-12</v>
      </c>
      <c r="BX25" s="2">
        <f t="shared" si="10"/>
        <v>2.6664900414363757E-6</v>
      </c>
      <c r="BY25"/>
      <c r="BZ25" s="2">
        <v>21</v>
      </c>
      <c r="CA25" s="2">
        <f t="shared" si="23"/>
        <v>0.21929148187580688</v>
      </c>
      <c r="CB25" s="2">
        <v>-4.0515409685665249E-6</v>
      </c>
      <c r="CC25" s="2">
        <f t="shared" si="24"/>
        <v>0.21929414836584832</v>
      </c>
      <c r="CD25" s="2">
        <v>2.4011456118688823E-6</v>
      </c>
      <c r="CE25" s="2">
        <f t="shared" si="11"/>
        <v>0.2192928151208276</v>
      </c>
      <c r="CF25" s="2">
        <v>-8.2518861142799604E-7</v>
      </c>
      <c r="CG25" s="2">
        <f t="shared" si="12"/>
        <v>3.3432854659950487E-12</v>
      </c>
      <c r="CH25" s="2">
        <f t="shared" si="13"/>
        <v>-1.9813980132945091E-12</v>
      </c>
      <c r="CI25" s="2">
        <f t="shared" si="14"/>
        <v>2.6664900414363757E-6</v>
      </c>
    </row>
    <row r="26" spans="2:87" x14ac:dyDescent="0.2">
      <c r="B26" t="s">
        <v>109</v>
      </c>
      <c r="C26" s="1">
        <v>6.4008000000000003</v>
      </c>
      <c r="D26" t="s">
        <v>8</v>
      </c>
      <c r="F26" t="s">
        <v>21</v>
      </c>
      <c r="G26" s="6">
        <f xml:space="preserve"> $C$5 * $C$44 / $C$18</f>
        <v>9607.8875210331589</v>
      </c>
      <c r="H26" t="s">
        <v>22</v>
      </c>
      <c r="J26" s="15" t="s">
        <v>70</v>
      </c>
      <c r="K26" s="6">
        <f xml:space="preserve"> $C$56 * (13 * ($C$5*2.20462/1000)^1.3 * 0.453592)</f>
        <v>77.883787504006094</v>
      </c>
      <c r="L26" s="6" t="s">
        <v>7</v>
      </c>
      <c r="N26" s="6" t="s">
        <v>36</v>
      </c>
      <c r="O26" s="6">
        <f xml:space="preserve"> 1/$C$21 - O23 * SQRT( (2*$C$47*PI()*$C$9^2) / O18^3 )</f>
        <v>0.82216642575232846</v>
      </c>
      <c r="U26" s="2">
        <v>22</v>
      </c>
      <c r="V26" s="2">
        <f t="shared" si="15"/>
        <v>2.9519319534301758E-2</v>
      </c>
      <c r="W26" s="2">
        <f t="shared" si="0"/>
        <v>6.6995121644763955E-8</v>
      </c>
      <c r="X26" s="2">
        <f t="shared" si="16"/>
        <v>2.9519557952880859E-2</v>
      </c>
      <c r="Y26" s="2">
        <f t="shared" si="1"/>
        <v>-1.7181907648045058E-7</v>
      </c>
      <c r="Z26" s="2">
        <f t="shared" si="3"/>
        <v>2.9519438743591309E-2</v>
      </c>
      <c r="AA26" s="2">
        <f t="shared" si="2"/>
        <v>-5.2411977029265255E-8</v>
      </c>
      <c r="AB26" s="2">
        <f t="shared" si="4"/>
        <v>-3.5113467767182001E-15</v>
      </c>
      <c r="AC26" s="2">
        <f t="shared" si="5"/>
        <v>9.0053774896829458E-15</v>
      </c>
      <c r="AD26" s="2">
        <f t="shared" si="6"/>
        <v>2.384185791015625E-7</v>
      </c>
      <c r="AF26" s="2">
        <v>22</v>
      </c>
      <c r="AG26" s="2">
        <f t="shared" si="25"/>
        <v>3920.9880828857422</v>
      </c>
      <c r="AH26" s="2">
        <v>-1.1559961249076878E-3</v>
      </c>
      <c r="AI26" s="2">
        <f t="shared" si="26"/>
        <v>3920.9902286529541</v>
      </c>
      <c r="AJ26" s="2">
        <v>5.8179492953058798E-5</v>
      </c>
      <c r="AK26" s="2">
        <f t="shared" si="17"/>
        <v>3920.9891557693481</v>
      </c>
      <c r="AL26" s="2">
        <v>-5.48908346445387E-4</v>
      </c>
      <c r="AM26" s="2">
        <f t="shared" si="18"/>
        <v>6.3453592142035396E-7</v>
      </c>
      <c r="AN26" s="2">
        <f t="shared" si="19"/>
        <v>-3.1935209273894547E-8</v>
      </c>
      <c r="AO26" s="2">
        <f t="shared" si="20"/>
        <v>2.1457672119140625E-3</v>
      </c>
      <c r="AQ26" s="64"/>
      <c r="AR26" s="3">
        <f>0.945*($AR$9/2)</f>
        <v>3.9748967999999998</v>
      </c>
      <c r="AS26" s="6" t="s">
        <v>8</v>
      </c>
      <c r="AT26"/>
      <c r="AU26" s="63"/>
      <c r="AV26" s="64">
        <f>BL39</f>
        <v>9.2733064283034849E-10</v>
      </c>
      <c r="AW26" s="64"/>
      <c r="AX26"/>
      <c r="AY26" s="2" t="s">
        <v>170</v>
      </c>
      <c r="AZ26" s="37">
        <f>$AR$45*AZ25*$AR$31/$AR$46</f>
        <v>1242880.8714747739</v>
      </c>
      <c r="BA26" s="26"/>
      <c r="BB26"/>
      <c r="BC26" s="2" t="s">
        <v>170</v>
      </c>
      <c r="BD26" s="37">
        <f>$AR$45*BD25*$AR$32/$AR$46</f>
        <v>1419281.0185253303</v>
      </c>
      <c r="BE26" s="26"/>
      <c r="BF26"/>
      <c r="BG26" s="2" t="s">
        <v>168</v>
      </c>
      <c r="BH26" s="2">
        <f>BH25/PI()*180</f>
        <v>9.214379370077344</v>
      </c>
      <c r="BI26" s="2" t="s">
        <v>43</v>
      </c>
      <c r="BJ26" s="2"/>
      <c r="BK26" s="2" t="s">
        <v>168</v>
      </c>
      <c r="BL26" s="2">
        <f>BL25/PI()*180</f>
        <v>9.3574922246623977</v>
      </c>
      <c r="BM26" s="2" t="s">
        <v>43</v>
      </c>
      <c r="BN26"/>
      <c r="BO26" s="2">
        <v>22</v>
      </c>
      <c r="BP26" s="2">
        <f t="shared" si="21"/>
        <v>0.28303525956149467</v>
      </c>
      <c r="BQ26" s="2">
        <v>-1.5299126139012298E-6</v>
      </c>
      <c r="BR26" s="2">
        <f t="shared" si="22"/>
        <v>0.28303659280651539</v>
      </c>
      <c r="BS26" s="2">
        <v>2.1165758004454416E-6</v>
      </c>
      <c r="BT26" s="2">
        <f t="shared" si="7"/>
        <v>0.28303592618400503</v>
      </c>
      <c r="BU26" s="2">
        <v>2.9333338084913674E-7</v>
      </c>
      <c r="BV26" s="2">
        <f t="shared" si="8"/>
        <v>-4.487744394393877E-13</v>
      </c>
      <c r="BW26" s="2">
        <f t="shared" si="9"/>
        <v>6.2086233536812916E-13</v>
      </c>
      <c r="BX26" s="2">
        <f t="shared" si="10"/>
        <v>1.3332450207181878E-6</v>
      </c>
      <c r="BY26"/>
      <c r="BZ26" s="2">
        <v>22</v>
      </c>
      <c r="CA26" s="2">
        <f t="shared" si="23"/>
        <v>0.2192928151208276</v>
      </c>
      <c r="CB26" s="2">
        <v>-8.2518861142799604E-7</v>
      </c>
      <c r="CC26" s="2">
        <f t="shared" si="24"/>
        <v>0.21929414836584832</v>
      </c>
      <c r="CD26" s="2">
        <v>2.4011456118688823E-6</v>
      </c>
      <c r="CE26" s="2">
        <f t="shared" si="11"/>
        <v>0.21929348174333796</v>
      </c>
      <c r="CF26" s="2">
        <v>7.8798076690034247E-7</v>
      </c>
      <c r="CG26" s="2">
        <f t="shared" si="12"/>
        <v>-6.5023275487046107E-13</v>
      </c>
      <c r="CH26" s="2">
        <f t="shared" si="13"/>
        <v>1.8920565606798338E-12</v>
      </c>
      <c r="CI26" s="2">
        <f t="shared" si="14"/>
        <v>1.3332450207181878E-6</v>
      </c>
    </row>
    <row r="27" spans="2:87" x14ac:dyDescent="0.2">
      <c r="B27" t="s">
        <v>110</v>
      </c>
      <c r="C27" s="1">
        <v>2.0560284000000002</v>
      </c>
      <c r="D27" t="s">
        <v>8</v>
      </c>
      <c r="F27" s="42" t="s">
        <v>86</v>
      </c>
      <c r="G27" s="43">
        <f xml:space="preserve"> 1/1000 * IF($G$23&gt;= 2*SQRT(($C$5*$C$44)/(2*$C$41*$C$18*PI()*$C$9*$C$9)), ($C$5*$C$44)/$C$21 * ( ($G$23/2) - SQRT( ($G$23/2)^2 - ($C$5*$C$44)/(2*$C$41*$C$18*PI()*$C$9*$C$9 ) ) ), 1/$C$21 * SQRT(($C$5*$C$44)^3/(2*$C$41*$C$18*PI()*$C$9*$C$9)) )</f>
        <v>467.18710174178472</v>
      </c>
      <c r="H27" s="42" t="s">
        <v>104</v>
      </c>
      <c r="J27" s="10" t="s">
        <v>57</v>
      </c>
      <c r="K27" s="10">
        <f>$C$5 - $C$13 - SUM(K13:K26)</f>
        <v>5.3873836804996245E-6</v>
      </c>
      <c r="L27" s="10" t="s">
        <v>7</v>
      </c>
      <c r="N27" s="6" t="s">
        <v>37</v>
      </c>
      <c r="O27" s="17">
        <v>1.1499999999999999</v>
      </c>
      <c r="U27" s="2">
        <v>23</v>
      </c>
      <c r="V27" s="2">
        <f t="shared" si="15"/>
        <v>2.9519319534301758E-2</v>
      </c>
      <c r="W27" s="2">
        <f t="shared" si="0"/>
        <v>6.6995121644763955E-8</v>
      </c>
      <c r="X27" s="2">
        <f t="shared" si="16"/>
        <v>2.9519438743591309E-2</v>
      </c>
      <c r="Y27" s="2">
        <f t="shared" si="1"/>
        <v>-5.2411977029265255E-8</v>
      </c>
      <c r="Z27" s="2">
        <f t="shared" si="3"/>
        <v>2.9519379138946533E-2</v>
      </c>
      <c r="AA27" s="2">
        <f t="shared" si="2"/>
        <v>7.2915724048938646E-9</v>
      </c>
      <c r="AB27" s="2">
        <f t="shared" si="4"/>
        <v>4.8849978024746852E-16</v>
      </c>
      <c r="AC27" s="2">
        <f t="shared" si="5"/>
        <v>-3.8216572539252164E-16</v>
      </c>
      <c r="AD27" s="2">
        <f t="shared" si="6"/>
        <v>1.1920928955078125E-7</v>
      </c>
      <c r="AF27" s="2">
        <v>23</v>
      </c>
      <c r="AG27" s="2">
        <f t="shared" si="25"/>
        <v>3920.9891557693481</v>
      </c>
      <c r="AH27" s="2">
        <v>-5.48908346445387E-4</v>
      </c>
      <c r="AI27" s="2">
        <f t="shared" si="26"/>
        <v>3920.9902286529541</v>
      </c>
      <c r="AJ27" s="2">
        <v>5.8179492953058798E-5</v>
      </c>
      <c r="AK27" s="2">
        <f t="shared" si="17"/>
        <v>3920.9896922111511</v>
      </c>
      <c r="AL27" s="2">
        <v>-2.2772784268454416E-4</v>
      </c>
      <c r="AM27" s="2">
        <f t="shared" si="18"/>
        <v>1.2500171356754835E-7</v>
      </c>
      <c r="AN27" s="2">
        <f t="shared" si="19"/>
        <v>-1.324909041868072E-8</v>
      </c>
      <c r="AO27" s="2">
        <f t="shared" si="20"/>
        <v>1.0728836059570312E-3</v>
      </c>
      <c r="AQ27" s="64" t="s">
        <v>204</v>
      </c>
      <c r="AR27" s="3">
        <f>0.071475*($AR$9/2)</f>
        <v>0.30064100399999999</v>
      </c>
      <c r="AS27" s="26" t="s">
        <v>8</v>
      </c>
      <c r="AT27"/>
      <c r="AU27" s="63"/>
      <c r="AV27" s="64">
        <f>BH58</f>
        <v>-2.8017441491834383E-9</v>
      </c>
      <c r="AW27" s="64"/>
      <c r="AX27"/>
      <c r="AY27" s="2" t="s">
        <v>174</v>
      </c>
      <c r="AZ27" s="33">
        <f xml:space="preserve"> $BH$46 * PI() * $AR$45 * AZ25^2 * $BH$52 * $AR$23 * AZ22</f>
        <v>1368.8226161171492</v>
      </c>
      <c r="BA27" s="26" t="s">
        <v>22</v>
      </c>
      <c r="BB27"/>
      <c r="BC27" s="2" t="s">
        <v>174</v>
      </c>
      <c r="BD27" s="33">
        <f xml:space="preserve"> $BL$46 * PI() * $AR$45 * BD25^2 * $BL$52 * $AR$24 * BD22</f>
        <v>1784.9836963967762</v>
      </c>
      <c r="BE27" s="26" t="s">
        <v>22</v>
      </c>
      <c r="BF27"/>
      <c r="BG27" s="2" t="s">
        <v>171</v>
      </c>
      <c r="BH27" s="2">
        <f xml:space="preserve"> $AR$8*$AR$29 / (2*PI()*$AR$21)</f>
        <v>8.1440994613795822E-2</v>
      </c>
      <c r="BI27" s="2"/>
      <c r="BJ27" s="2"/>
      <c r="BK27" s="2" t="s">
        <v>171</v>
      </c>
      <c r="BL27" s="2">
        <f xml:space="preserve"> $AR$8*$AR$30 / (2*PI()*$AR$22)</f>
        <v>6.1763148460265704E-2</v>
      </c>
      <c r="BM27" s="2"/>
      <c r="BN27"/>
      <c r="BO27" s="2">
        <v>23</v>
      </c>
      <c r="BP27" s="2">
        <f t="shared" si="21"/>
        <v>0.28303525956149467</v>
      </c>
      <c r="BQ27" s="2">
        <v>-1.5299126139012298E-6</v>
      </c>
      <c r="BR27" s="2">
        <f t="shared" si="22"/>
        <v>0.28303592618400503</v>
      </c>
      <c r="BS27" s="2">
        <v>2.9333338084913674E-7</v>
      </c>
      <c r="BT27" s="2">
        <f t="shared" si="7"/>
        <v>0.28303559287274982</v>
      </c>
      <c r="BU27" s="2">
        <v>-6.1828916961270686E-7</v>
      </c>
      <c r="BV27" s="2">
        <f t="shared" si="8"/>
        <v>9.4592839962899725E-13</v>
      </c>
      <c r="BW27" s="2">
        <f t="shared" si="9"/>
        <v>-1.8136485246490065E-13</v>
      </c>
      <c r="BX27" s="2">
        <f t="shared" si="10"/>
        <v>6.6662251035909392E-7</v>
      </c>
      <c r="BY27"/>
      <c r="BZ27" s="2">
        <v>23</v>
      </c>
      <c r="CA27" s="2">
        <f t="shared" si="23"/>
        <v>0.2192928151208276</v>
      </c>
      <c r="CB27" s="2">
        <v>-8.2518861142799604E-7</v>
      </c>
      <c r="CC27" s="2">
        <f t="shared" si="24"/>
        <v>0.21929348174333796</v>
      </c>
      <c r="CD27" s="2">
        <v>7.8798076690034247E-7</v>
      </c>
      <c r="CE27" s="2">
        <f t="shared" si="11"/>
        <v>0.21929314843208278</v>
      </c>
      <c r="CF27" s="2">
        <v>-1.860335560599502E-8</v>
      </c>
      <c r="CG27" s="2">
        <f t="shared" si="12"/>
        <v>1.5351277180412255E-14</v>
      </c>
      <c r="CH27" s="2">
        <f t="shared" si="13"/>
        <v>-1.4659086417331742E-14</v>
      </c>
      <c r="CI27" s="2">
        <f t="shared" si="14"/>
        <v>6.6662251035909392E-7</v>
      </c>
    </row>
    <row r="28" spans="2:87" x14ac:dyDescent="0.2">
      <c r="J28" s="6" t="s">
        <v>58</v>
      </c>
      <c r="K28" s="4" t="str">
        <f>IF(ABS(K27)&lt;1, "TRUE", "FALSE")</f>
        <v>TRUE</v>
      </c>
      <c r="N28" s="6" t="s">
        <v>38</v>
      </c>
      <c r="O28" s="6">
        <f xml:space="preserve"> 1/$C$53 * LN( EXP($C$53 * O26) + EXP($C$53 * O27) )</f>
        <v>1.1500017847514779</v>
      </c>
      <c r="U28" s="2">
        <v>24</v>
      </c>
      <c r="V28" s="2">
        <f t="shared" si="15"/>
        <v>2.9519379138946533E-2</v>
      </c>
      <c r="W28" s="2">
        <f t="shared" si="0"/>
        <v>7.2915724048938646E-9</v>
      </c>
      <c r="X28" s="2">
        <f t="shared" si="16"/>
        <v>2.9519438743591309E-2</v>
      </c>
      <c r="Y28" s="2">
        <f t="shared" si="1"/>
        <v>-5.2411977029265255E-8</v>
      </c>
      <c r="Z28" s="2">
        <f t="shared" si="3"/>
        <v>2.9519408941268921E-2</v>
      </c>
      <c r="AA28" s="2">
        <f t="shared" si="2"/>
        <v>-2.256020228963429E-8</v>
      </c>
      <c r="AB28" s="2">
        <f t="shared" si="4"/>
        <v>-1.6449934846392078E-16</v>
      </c>
      <c r="AC28" s="2">
        <f t="shared" si="5"/>
        <v>1.1824248041798899E-15</v>
      </c>
      <c r="AD28" s="2">
        <f t="shared" si="6"/>
        <v>5.9604644775390625E-8</v>
      </c>
      <c r="AF28" s="2">
        <v>24</v>
      </c>
      <c r="AG28" s="2">
        <f t="shared" si="25"/>
        <v>3920.9896922111511</v>
      </c>
      <c r="AH28" s="2">
        <v>-2.2772784268454416E-4</v>
      </c>
      <c r="AI28" s="2">
        <f t="shared" si="26"/>
        <v>3920.9902286529541</v>
      </c>
      <c r="AJ28" s="2">
        <v>5.8179492953058798E-5</v>
      </c>
      <c r="AK28" s="2">
        <f t="shared" si="17"/>
        <v>3920.9899604320526</v>
      </c>
      <c r="AL28" s="2">
        <v>-1.0241076824968331E-4</v>
      </c>
      <c r="AM28" s="2">
        <f t="shared" si="18"/>
        <v>2.3321783321167192E-8</v>
      </c>
      <c r="AN28" s="2">
        <f t="shared" si="19"/>
        <v>-5.9582065696997877E-9</v>
      </c>
      <c r="AO28" s="2">
        <f t="shared" si="20"/>
        <v>5.3644180297851562E-4</v>
      </c>
      <c r="AQ28" s="64"/>
      <c r="AR28" s="3">
        <f>0.069425*($AR$9/2)</f>
        <v>0.292018212</v>
      </c>
      <c r="AS28" s="26" t="s">
        <v>8</v>
      </c>
      <c r="AT28"/>
      <c r="AU28" s="63"/>
      <c r="AV28" s="64">
        <f>BL58</f>
        <v>4.9718247019381323E-9</v>
      </c>
      <c r="AW28" s="64"/>
      <c r="AX28"/>
      <c r="AY28" s="2" t="s">
        <v>178</v>
      </c>
      <c r="AZ28" s="33">
        <f xml:space="preserve"> $BH$46 * PI() * $AR$45 * AZ25^2 * $BH$53 * $AR$23^2 * AZ22</f>
        <v>544.76723685706452</v>
      </c>
      <c r="BA28" s="26" t="s">
        <v>179</v>
      </c>
      <c r="BB28"/>
      <c r="BC28" s="2" t="s">
        <v>178</v>
      </c>
      <c r="BD28" s="33">
        <f xml:space="preserve"> $BL$46 * PI() * $AR$45 * BD25^2 * $BL$53 * $AR$24^2 * BD22</f>
        <v>749.83890683442803</v>
      </c>
      <c r="BE28" s="26" t="s">
        <v>179</v>
      </c>
      <c r="BF28"/>
      <c r="BG28" s="2" t="s">
        <v>175</v>
      </c>
      <c r="BH28" s="2">
        <f>IF(-$AR$8*($AV$3-$AR$21)/(2*$AR$21*SIN(BH23))&gt;500, 1, 2*ACOS(MIN(1, EXP(-$AR$8*($AV$3-$AR$21)/(2*$AR$21*SIN(BH23)))))/PI() )</f>
        <v>0.99999792034446777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0.99994638177308126</v>
      </c>
      <c r="BM28" s="2"/>
      <c r="BN28"/>
      <c r="BO28" s="2">
        <v>24</v>
      </c>
      <c r="BP28" s="2">
        <f t="shared" si="21"/>
        <v>0.28303559287274982</v>
      </c>
      <c r="BQ28" s="2">
        <v>-6.1828916961270686E-7</v>
      </c>
      <c r="BR28" s="2">
        <f t="shared" si="22"/>
        <v>0.28303592618400503</v>
      </c>
      <c r="BS28" s="2">
        <v>2.9333338084913674E-7</v>
      </c>
      <c r="BT28" s="2">
        <f t="shared" si="7"/>
        <v>0.28303575952837745</v>
      </c>
      <c r="BU28" s="2">
        <v>-1.6247778261702095E-7</v>
      </c>
      <c r="BV28" s="2">
        <f t="shared" si="8"/>
        <v>1.0045825329479178E-13</v>
      </c>
      <c r="BW28" s="2">
        <f t="shared" si="9"/>
        <v>-4.7660157287921854E-14</v>
      </c>
      <c r="BX28" s="2">
        <f t="shared" si="10"/>
        <v>3.3331125520730254E-7</v>
      </c>
      <c r="BY28"/>
      <c r="BZ28" s="2">
        <v>24</v>
      </c>
      <c r="CA28" s="2">
        <f t="shared" si="23"/>
        <v>0.21929314843208278</v>
      </c>
      <c r="CB28" s="2">
        <v>-1.860335560599502E-8</v>
      </c>
      <c r="CC28" s="2">
        <f t="shared" si="24"/>
        <v>0.21929348174333796</v>
      </c>
      <c r="CD28" s="2">
        <v>7.8798076690034247E-7</v>
      </c>
      <c r="CE28" s="2">
        <f t="shared" si="11"/>
        <v>0.21929331508771038</v>
      </c>
      <c r="CF28" s="2">
        <v>3.846888473879595E-7</v>
      </c>
      <c r="CG28" s="2">
        <f t="shared" si="12"/>
        <v>-7.1565034256185589E-15</v>
      </c>
      <c r="CH28" s="2">
        <f t="shared" si="13"/>
        <v>3.0312741298277314E-13</v>
      </c>
      <c r="CI28" s="2">
        <f t="shared" si="14"/>
        <v>3.3331125517954696E-7</v>
      </c>
    </row>
    <row r="29" spans="2:87" x14ac:dyDescent="0.2">
      <c r="B29" s="54" t="s">
        <v>111</v>
      </c>
      <c r="C29" s="54"/>
      <c r="D29" s="54"/>
      <c r="F29" s="55" t="s">
        <v>289</v>
      </c>
      <c r="G29" s="58"/>
      <c r="H29" s="58"/>
      <c r="U29" s="2">
        <v>25</v>
      </c>
      <c r="V29" s="2">
        <f t="shared" si="15"/>
        <v>2.9519379138946533E-2</v>
      </c>
      <c r="W29" s="2">
        <f t="shared" si="0"/>
        <v>7.2915724048938646E-9</v>
      </c>
      <c r="X29" s="2">
        <f t="shared" si="16"/>
        <v>2.9519408941268921E-2</v>
      </c>
      <c r="Y29" s="2">
        <f t="shared" si="1"/>
        <v>-2.256020228963429E-8</v>
      </c>
      <c r="Z29" s="2">
        <f t="shared" si="3"/>
        <v>2.9519394040107727E-2</v>
      </c>
      <c r="AA29" s="2">
        <f t="shared" si="2"/>
        <v>-7.6343149371660424E-9</v>
      </c>
      <c r="AB29" s="2">
        <f t="shared" si="4"/>
        <v>-5.5666160126108957E-17</v>
      </c>
      <c r="AC29" s="2">
        <f t="shared" si="5"/>
        <v>1.7223168932524261E-16</v>
      </c>
      <c r="AD29" s="2">
        <f t="shared" si="6"/>
        <v>2.9802322387695312E-8</v>
      </c>
      <c r="AF29" s="2">
        <v>25</v>
      </c>
      <c r="AG29" s="2">
        <f t="shared" si="25"/>
        <v>3920.9899604320526</v>
      </c>
      <c r="AH29" s="2">
        <v>-1.0241076824968331E-4</v>
      </c>
      <c r="AI29" s="2">
        <f t="shared" si="26"/>
        <v>3920.9902286529541</v>
      </c>
      <c r="AJ29" s="2">
        <v>5.8179492953058798E-5</v>
      </c>
      <c r="AK29" s="2">
        <f t="shared" si="17"/>
        <v>3920.9900945425034</v>
      </c>
      <c r="AL29" s="2">
        <v>-4.4790431275032461E-6</v>
      </c>
      <c r="AM29" s="2">
        <f t="shared" si="18"/>
        <v>4.5870224771107169E-10</v>
      </c>
      <c r="AN29" s="2">
        <f t="shared" si="19"/>
        <v>-2.6058845807302154E-10</v>
      </c>
      <c r="AO29" s="2">
        <f t="shared" si="20"/>
        <v>2.6822090148925781E-4</v>
      </c>
      <c r="AQ29" s="64"/>
      <c r="AR29" s="3">
        <f>0.067375*($AR$9/2)</f>
        <v>0.28339542000000001</v>
      </c>
      <c r="AS29" s="26" t="s">
        <v>8</v>
      </c>
      <c r="AT29"/>
      <c r="AU29" s="63"/>
      <c r="AV29" s="64">
        <f>BH77</f>
        <v>3.5739770518072866E-10</v>
      </c>
      <c r="AW29" s="64"/>
      <c r="AX29"/>
      <c r="AY29"/>
      <c r="AZ29"/>
      <c r="BA29"/>
      <c r="BB29"/>
      <c r="BC29"/>
      <c r="BD29"/>
      <c r="BE29"/>
      <c r="BF29"/>
      <c r="BG29" s="2" t="s">
        <v>180</v>
      </c>
      <c r="BH29" s="2">
        <f>IF(-$AR$8*($AR$21-$AR$10)/(2*$AR$21*SIN(BH23))&gt;500, 1, 2*ACOS(MIN(1, EXP(-$AR$8*($AR$21-$AR$10)/(2*$AR$21*SIN(BH23)))))/PI() )</f>
        <v>0.99795687429435032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0.99956870744198278</v>
      </c>
      <c r="BM29" s="2"/>
      <c r="BN29"/>
      <c r="BO29" s="2">
        <v>25</v>
      </c>
      <c r="BP29" s="2">
        <f t="shared" si="21"/>
        <v>0.28303575952837745</v>
      </c>
      <c r="BQ29" s="2">
        <v>-1.6247778261702095E-7</v>
      </c>
      <c r="BR29" s="2">
        <f t="shared" si="22"/>
        <v>0.28303592618400503</v>
      </c>
      <c r="BS29" s="2">
        <v>2.9333338084913674E-7</v>
      </c>
      <c r="BT29" s="2">
        <f t="shared" si="7"/>
        <v>0.28303584285619121</v>
      </c>
      <c r="BU29" s="2">
        <v>6.5427827058983645E-8</v>
      </c>
      <c r="BV29" s="2">
        <f t="shared" si="8"/>
        <v>-1.0630568261993585E-14</v>
      </c>
      <c r="BW29" s="2">
        <f t="shared" si="9"/>
        <v>1.9192165712824303E-14</v>
      </c>
      <c r="BX29" s="2">
        <f t="shared" si="10"/>
        <v>1.6665562757589569E-7</v>
      </c>
      <c r="BY29"/>
      <c r="BZ29" s="2">
        <v>25</v>
      </c>
      <c r="CA29" s="2">
        <f t="shared" si="23"/>
        <v>0.21929314843208278</v>
      </c>
      <c r="CB29" s="2">
        <v>-1.860335560599502E-8</v>
      </c>
      <c r="CC29" s="2">
        <f t="shared" si="24"/>
        <v>0.21929331508771038</v>
      </c>
      <c r="CD29" s="2">
        <v>3.846888473879595E-7</v>
      </c>
      <c r="CE29" s="2">
        <f t="shared" si="11"/>
        <v>0.21929323175989657</v>
      </c>
      <c r="CF29" s="2">
        <v>1.8304278127934115E-7</v>
      </c>
      <c r="CG29" s="2">
        <f t="shared" si="12"/>
        <v>-3.4052099512499517E-15</v>
      </c>
      <c r="CH29" s="2">
        <f t="shared" si="13"/>
        <v>7.041451655303612E-14</v>
      </c>
      <c r="CI29" s="2">
        <f t="shared" si="14"/>
        <v>1.6665562760365127E-7</v>
      </c>
    </row>
    <row r="30" spans="2:87" x14ac:dyDescent="0.2">
      <c r="B30" s="6" t="s">
        <v>124</v>
      </c>
      <c r="C30" s="21" t="s">
        <v>260</v>
      </c>
      <c r="F30" s="9" t="s">
        <v>290</v>
      </c>
      <c r="G30" s="17">
        <f>20*60</f>
        <v>1200</v>
      </c>
      <c r="H30" s="6" t="s">
        <v>14</v>
      </c>
      <c r="J30" s="59" t="s">
        <v>116</v>
      </c>
      <c r="K30" s="59"/>
      <c r="L30" s="59"/>
      <c r="U30" s="2">
        <v>26</v>
      </c>
      <c r="V30" s="2">
        <f t="shared" si="15"/>
        <v>2.9519379138946533E-2</v>
      </c>
      <c r="W30" s="2">
        <f t="shared" si="0"/>
        <v>7.2915724048938646E-9</v>
      </c>
      <c r="X30" s="2">
        <f t="shared" si="16"/>
        <v>2.9519394040107727E-2</v>
      </c>
      <c r="Y30" s="2">
        <f t="shared" si="1"/>
        <v>-7.6343149371660424E-9</v>
      </c>
      <c r="Z30" s="2">
        <f t="shared" si="3"/>
        <v>2.951938658952713E-2</v>
      </c>
      <c r="AA30" s="2">
        <f t="shared" si="2"/>
        <v>-1.7137126440136541E-10</v>
      </c>
      <c r="AB30" s="2">
        <f t="shared" si="4"/>
        <v>-1.2495659825007663E-18</v>
      </c>
      <c r="AC30" s="2">
        <f t="shared" si="5"/>
        <v>1.3083022036203751E-18</v>
      </c>
      <c r="AD30" s="2">
        <f t="shared" si="6"/>
        <v>1.4901161193847656E-8</v>
      </c>
      <c r="AF30" s="2">
        <v>26</v>
      </c>
      <c r="AG30" s="2">
        <f t="shared" si="25"/>
        <v>3920.9900945425034</v>
      </c>
      <c r="AH30" s="2">
        <v>-4.4790431275032461E-6</v>
      </c>
      <c r="AI30" s="2">
        <f t="shared" si="26"/>
        <v>3920.9902286529541</v>
      </c>
      <c r="AJ30" s="2">
        <v>5.8179492953058798E-5</v>
      </c>
      <c r="AK30" s="2">
        <f t="shared" si="17"/>
        <v>3920.9901615977287</v>
      </c>
      <c r="AL30" s="2">
        <v>2.6850220820051618E-5</v>
      </c>
      <c r="AM30" s="2">
        <f t="shared" si="18"/>
        <v>-1.2026329703599677E-10</v>
      </c>
      <c r="AN30" s="2">
        <f t="shared" si="19"/>
        <v>1.5621322329882657E-9</v>
      </c>
      <c r="AO30" s="2">
        <f t="shared" si="20"/>
        <v>1.3411045074462891E-4</v>
      </c>
      <c r="AQ30" s="64"/>
      <c r="AR30" s="3">
        <f>0.065325*($AR$9/2)</f>
        <v>0.27477262799999996</v>
      </c>
      <c r="AS30" s="26" t="s">
        <v>8</v>
      </c>
      <c r="AT30"/>
      <c r="AU30" s="38" t="s">
        <v>205</v>
      </c>
      <c r="AV30" s="64" t="b">
        <f>IF(AV23&lt;0.00001,IF(AV24&lt;0.00001,IF(AV25&lt;0.00001,IF(AV26&lt;0.00001,IF(AV27&lt;0.00001,IF(AV28&lt;0.00001,IF(AV29&lt;0.00001,TRUE,FALSE),FALSE),FALSE),FALSE),FALSE),FALSE),FALSE)</f>
        <v>1</v>
      </c>
      <c r="AW30" s="64"/>
      <c r="AX30"/>
      <c r="AY30" s="62" t="s">
        <v>206</v>
      </c>
      <c r="AZ30" s="62"/>
      <c r="BA30" s="62"/>
      <c r="BB30"/>
      <c r="BC30" s="62" t="s">
        <v>220</v>
      </c>
      <c r="BD30" s="62"/>
      <c r="BE30" s="62"/>
      <c r="BF30"/>
      <c r="BG30" s="2" t="s">
        <v>183</v>
      </c>
      <c r="BH30" s="2">
        <f>IF(BH23=0,1,BH28*BH29)</f>
        <v>0.9979547988878158</v>
      </c>
      <c r="BI30" s="2"/>
      <c r="BJ30" s="2"/>
      <c r="BK30" s="2" t="s">
        <v>183</v>
      </c>
      <c r="BL30" s="2">
        <f>IF(BL23=0,1,BL28*BL29)</f>
        <v>0.99951511234020629</v>
      </c>
      <c r="BM30" s="2"/>
      <c r="BN30"/>
      <c r="BO30" s="2">
        <v>26</v>
      </c>
      <c r="BP30" s="2">
        <f t="shared" si="21"/>
        <v>0.28303575952837745</v>
      </c>
      <c r="BQ30" s="2">
        <v>-1.6247778261702095E-7</v>
      </c>
      <c r="BR30" s="2">
        <f t="shared" si="22"/>
        <v>0.28303584285619121</v>
      </c>
      <c r="BS30" s="2">
        <v>6.5427827058983645E-8</v>
      </c>
      <c r="BT30" s="2">
        <f t="shared" si="7"/>
        <v>0.28303580119228433</v>
      </c>
      <c r="BU30" s="2">
        <v>-4.8524970874819218E-8</v>
      </c>
      <c r="BV30" s="2">
        <f t="shared" si="8"/>
        <v>7.8842296692961491E-15</v>
      </c>
      <c r="BW30" s="2">
        <f t="shared" si="9"/>
        <v>-3.1748834024398902E-15</v>
      </c>
      <c r="BX30" s="2">
        <f t="shared" si="10"/>
        <v>8.3327813760192271E-8</v>
      </c>
      <c r="BY30"/>
      <c r="BZ30" s="2">
        <v>26</v>
      </c>
      <c r="CA30" s="2">
        <f t="shared" si="23"/>
        <v>0.21929314843208278</v>
      </c>
      <c r="CB30" s="2">
        <v>-1.860335560599502E-8</v>
      </c>
      <c r="CC30" s="2">
        <f t="shared" si="24"/>
        <v>0.21929323175989657</v>
      </c>
      <c r="CD30" s="2">
        <v>1.8304278127934115E-7</v>
      </c>
      <c r="CE30" s="2">
        <f t="shared" si="11"/>
        <v>0.21929319009598969</v>
      </c>
      <c r="CF30" s="2">
        <v>8.2219721683762792E-8</v>
      </c>
      <c r="CG30" s="2">
        <f t="shared" si="12"/>
        <v>-1.5295627203089789E-15</v>
      </c>
      <c r="CH30" s="2">
        <f t="shared" si="13"/>
        <v>1.5049726533009296E-14</v>
      </c>
      <c r="CI30" s="2">
        <f t="shared" si="14"/>
        <v>8.3327813787947846E-8</v>
      </c>
    </row>
    <row r="31" spans="2:87" x14ac:dyDescent="0.2">
      <c r="B31" s="6" t="s">
        <v>126</v>
      </c>
      <c r="C31" s="6">
        <f>IF(C30="wheeled",0.0325,0.014)</f>
        <v>1.4E-2</v>
      </c>
      <c r="F31" s="44" t="s">
        <v>225</v>
      </c>
      <c r="G31" s="43">
        <f xml:space="preserve"> G20</f>
        <v>415.23063251057084</v>
      </c>
      <c r="H31" s="43" t="s">
        <v>104</v>
      </c>
      <c r="J31" s="6" t="s">
        <v>60</v>
      </c>
      <c r="K31" s="6">
        <f>ROUND($C$13,2)</f>
        <v>600</v>
      </c>
      <c r="L31" s="6" t="s">
        <v>7</v>
      </c>
      <c r="U31" s="2">
        <v>27</v>
      </c>
      <c r="V31" s="2">
        <f t="shared" si="15"/>
        <v>2.9519379138946533E-2</v>
      </c>
      <c r="W31" s="2">
        <f t="shared" si="0"/>
        <v>7.2915724048938646E-9</v>
      </c>
      <c r="X31" s="2">
        <f t="shared" si="16"/>
        <v>2.951938658952713E-2</v>
      </c>
      <c r="Y31" s="2">
        <f t="shared" si="1"/>
        <v>-1.7137126440136541E-10</v>
      </c>
      <c r="Z31" s="2">
        <f t="shared" si="3"/>
        <v>2.9519382864236832E-2</v>
      </c>
      <c r="AA31" s="2">
        <f t="shared" si="2"/>
        <v>3.5601005719809731E-9</v>
      </c>
      <c r="AB31" s="2">
        <f t="shared" si="4"/>
        <v>2.5958731089303328E-17</v>
      </c>
      <c r="AC31" s="2">
        <f t="shared" si="5"/>
        <v>-6.1009893641640361E-19</v>
      </c>
      <c r="AD31" s="2">
        <f t="shared" si="6"/>
        <v>7.4505805969238281E-9</v>
      </c>
      <c r="AF31" s="2">
        <v>27</v>
      </c>
      <c r="AG31" s="2">
        <f t="shared" si="25"/>
        <v>3920.9900945425034</v>
      </c>
      <c r="AH31" s="2">
        <v>-4.4790431275032461E-6</v>
      </c>
      <c r="AI31" s="2">
        <f t="shared" si="26"/>
        <v>3920.9901615977287</v>
      </c>
      <c r="AJ31" s="2">
        <v>2.6850220820051618E-5</v>
      </c>
      <c r="AK31" s="2">
        <f t="shared" si="17"/>
        <v>3920.990128070116</v>
      </c>
      <c r="AL31" s="2">
        <v>1.1185586117790081E-5</v>
      </c>
      <c r="AM31" s="2">
        <f t="shared" si="18"/>
        <v>-5.0100722627983375E-11</v>
      </c>
      <c r="AN31" s="2">
        <f t="shared" si="19"/>
        <v>3.0033545726436757E-10</v>
      </c>
      <c r="AO31" s="2">
        <f t="shared" si="20"/>
        <v>6.7055225372314453E-5</v>
      </c>
      <c r="AQ31" s="64"/>
      <c r="AR31" s="3">
        <f>0.063275*($AR$9/2)</f>
        <v>0.26614983600000003</v>
      </c>
      <c r="AS31" s="26" t="s">
        <v>8</v>
      </c>
      <c r="AT31"/>
      <c r="AU31"/>
      <c r="AV31"/>
      <c r="AW31"/>
      <c r="AX31"/>
      <c r="AY31" s="2" t="s">
        <v>153</v>
      </c>
      <c r="AZ31" s="2">
        <f>$AR$25-$AR$24</f>
        <v>0.46268639999999994</v>
      </c>
      <c r="BA31" s="26" t="s">
        <v>8</v>
      </c>
      <c r="BB31"/>
      <c r="BC31" s="2" t="s">
        <v>153</v>
      </c>
      <c r="BD31" s="2">
        <f>2*($AR$9/2 - $AR$26)</f>
        <v>0.46268640000000083</v>
      </c>
      <c r="BE31" s="26" t="s">
        <v>8</v>
      </c>
      <c r="BF31"/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1.1911204487236671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1.2045483947549918</v>
      </c>
      <c r="BM31" s="2"/>
      <c r="BN31"/>
      <c r="BO31" s="2">
        <v>27</v>
      </c>
      <c r="BP31" s="2">
        <f t="shared" si="21"/>
        <v>0.28303580119228433</v>
      </c>
      <c r="BQ31" s="2">
        <v>-4.8524970874819218E-8</v>
      </c>
      <c r="BR31" s="2">
        <f t="shared" si="22"/>
        <v>0.28303584285619121</v>
      </c>
      <c r="BS31" s="2">
        <v>6.5427827058983645E-8</v>
      </c>
      <c r="BT31" s="2">
        <f t="shared" si="7"/>
        <v>0.28303582202423777</v>
      </c>
      <c r="BU31" s="2">
        <v>8.4514298753779471E-9</v>
      </c>
      <c r="BV31" s="2">
        <f t="shared" si="8"/>
        <v>-4.1010538855329188E-16</v>
      </c>
      <c r="BW31" s="2">
        <f t="shared" si="9"/>
        <v>5.5295869228735599E-16</v>
      </c>
      <c r="BX31" s="2">
        <f t="shared" si="10"/>
        <v>4.1663906880096135E-8</v>
      </c>
      <c r="BY31"/>
      <c r="BZ31" s="2">
        <v>27</v>
      </c>
      <c r="CA31" s="2">
        <f t="shared" si="23"/>
        <v>0.21929314843208278</v>
      </c>
      <c r="CB31" s="2">
        <v>-1.860335560599502E-8</v>
      </c>
      <c r="CC31" s="2">
        <f t="shared" si="24"/>
        <v>0.21929319009598969</v>
      </c>
      <c r="CD31" s="2">
        <v>8.2219721683762792E-8</v>
      </c>
      <c r="CE31" s="2">
        <f t="shared" si="11"/>
        <v>0.21929316926403625</v>
      </c>
      <c r="CF31" s="2">
        <v>3.1808185280146617E-8</v>
      </c>
      <c r="CG31" s="2">
        <f t="shared" si="12"/>
        <v>-5.9173898194794381E-16</v>
      </c>
      <c r="CH31" s="2">
        <f t="shared" si="13"/>
        <v>2.6152601409992152E-15</v>
      </c>
      <c r="CI31" s="2">
        <f t="shared" si="14"/>
        <v>4.1663906907851711E-8</v>
      </c>
    </row>
    <row r="32" spans="2:87" x14ac:dyDescent="0.2">
      <c r="B32" t="s">
        <v>261</v>
      </c>
      <c r="C32" s="1">
        <v>2.8540374719999999</v>
      </c>
      <c r="D32" t="s">
        <v>8</v>
      </c>
      <c r="J32" s="11" t="s">
        <v>55</v>
      </c>
      <c r="K32" s="6">
        <f>ROUND(K13,2)</f>
        <v>2041.32</v>
      </c>
      <c r="L32" s="6" t="s">
        <v>7</v>
      </c>
      <c r="U32" s="2">
        <v>28</v>
      </c>
      <c r="V32" s="2">
        <f t="shared" si="15"/>
        <v>2.9519382864236832E-2</v>
      </c>
      <c r="W32" s="2">
        <f t="shared" si="0"/>
        <v>3.5601005719809731E-9</v>
      </c>
      <c r="X32" s="2">
        <f t="shared" si="16"/>
        <v>2.951938658952713E-2</v>
      </c>
      <c r="Y32" s="2">
        <f t="shared" si="1"/>
        <v>-1.7137126440136541E-10</v>
      </c>
      <c r="Z32" s="2">
        <f t="shared" si="3"/>
        <v>2.9519384726881981E-2</v>
      </c>
      <c r="AA32" s="2">
        <f t="shared" si="2"/>
        <v>1.6943646555245273E-9</v>
      </c>
      <c r="AB32" s="2">
        <f t="shared" si="4"/>
        <v>6.0321085792772139E-18</v>
      </c>
      <c r="AC32" s="2">
        <f t="shared" si="5"/>
        <v>-2.9036541337422219E-19</v>
      </c>
      <c r="AD32" s="2">
        <f t="shared" si="6"/>
        <v>3.7252902984619141E-9</v>
      </c>
      <c r="AF32" s="2">
        <v>28</v>
      </c>
      <c r="AG32" s="2">
        <f t="shared" si="25"/>
        <v>3920.9900945425034</v>
      </c>
      <c r="AH32" s="2">
        <v>-4.4790431275032461E-6</v>
      </c>
      <c r="AI32" s="2">
        <f t="shared" si="26"/>
        <v>3920.990128070116</v>
      </c>
      <c r="AJ32" s="2">
        <v>1.1185586117790081E-5</v>
      </c>
      <c r="AK32" s="2">
        <f t="shared" si="17"/>
        <v>3920.9901113063097</v>
      </c>
      <c r="AL32" s="2">
        <v>3.3532683119119611E-6</v>
      </c>
      <c r="AM32" s="2">
        <f t="shared" si="18"/>
        <v>-1.5019433387143681E-11</v>
      </c>
      <c r="AN32" s="2">
        <f t="shared" si="19"/>
        <v>3.750827147894781E-11</v>
      </c>
      <c r="AO32" s="2">
        <f t="shared" si="20"/>
        <v>3.3527612686157227E-5</v>
      </c>
      <c r="AQ32" s="64"/>
      <c r="AR32" s="3">
        <f>0.061225*($AR$9/2)</f>
        <v>0.25752704400000004</v>
      </c>
      <c r="AS32" s="26" t="s">
        <v>8</v>
      </c>
      <c r="AT32"/>
      <c r="AU32"/>
      <c r="AV32"/>
      <c r="AW32"/>
      <c r="AX32"/>
      <c r="AY32" s="2" t="s">
        <v>158</v>
      </c>
      <c r="AZ32" s="2">
        <f>(1+$BH$75)*$AR$3</f>
        <v>11.67717747407594</v>
      </c>
      <c r="BA32" s="26" t="s">
        <v>10</v>
      </c>
      <c r="BB32"/>
      <c r="BC32" s="2" t="s">
        <v>158</v>
      </c>
      <c r="BD32" s="2">
        <f>(1+$BL$75)*$AR$3</f>
        <v>13.118027897258779</v>
      </c>
      <c r="BE32" s="26" t="s">
        <v>10</v>
      </c>
      <c r="BF32"/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1.7686860101165838E-2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1.8005285602784735E-2</v>
      </c>
      <c r="BM32" s="2"/>
      <c r="BN32"/>
      <c r="BO32" s="2">
        <v>28</v>
      </c>
      <c r="BP32" s="2">
        <f t="shared" si="21"/>
        <v>0.28303580119228433</v>
      </c>
      <c r="BQ32" s="2">
        <v>-4.8524970874819218E-8</v>
      </c>
      <c r="BR32" s="2">
        <f t="shared" si="22"/>
        <v>0.28303582202423777</v>
      </c>
      <c r="BS32" s="2">
        <v>8.4514298753779471E-9</v>
      </c>
      <c r="BT32" s="2">
        <f t="shared" si="7"/>
        <v>0.28303581160826108</v>
      </c>
      <c r="BU32" s="2">
        <v>-2.0036769937670229E-8</v>
      </c>
      <c r="BV32" s="2">
        <f t="shared" si="8"/>
        <v>9.7228367765090122E-16</v>
      </c>
      <c r="BW32" s="2">
        <f t="shared" si="9"/>
        <v>-1.693393560573009E-16</v>
      </c>
      <c r="BX32" s="2">
        <f t="shared" si="10"/>
        <v>2.0831953440048068E-8</v>
      </c>
      <c r="BY32"/>
      <c r="BZ32" s="2">
        <v>28</v>
      </c>
      <c r="CA32" s="2">
        <f t="shared" si="23"/>
        <v>0.21929314843208278</v>
      </c>
      <c r="CB32" s="2">
        <v>-1.860335560599502E-8</v>
      </c>
      <c r="CC32" s="2">
        <f t="shared" si="24"/>
        <v>0.21929316926403625</v>
      </c>
      <c r="CD32" s="2">
        <v>3.1808185280146617E-8</v>
      </c>
      <c r="CE32" s="2">
        <f t="shared" si="11"/>
        <v>0.2192931588480595</v>
      </c>
      <c r="CF32" s="2">
        <v>6.6024153644317352E-9</v>
      </c>
      <c r="CG32" s="2">
        <f t="shared" si="12"/>
        <v>-1.2282708088300877E-16</v>
      </c>
      <c r="CH32" s="2">
        <f t="shared" si="13"/>
        <v>2.1001085120833139E-16</v>
      </c>
      <c r="CI32" s="2">
        <f t="shared" si="14"/>
        <v>2.0831953467803643E-8</v>
      </c>
    </row>
    <row r="33" spans="2:87" x14ac:dyDescent="0.2">
      <c r="B33" t="s">
        <v>262</v>
      </c>
      <c r="C33" s="1">
        <f>(0.750222528+0.849998808)/2</f>
        <v>0.80011066800000008</v>
      </c>
      <c r="D33"/>
      <c r="J33" s="19" t="s">
        <v>81</v>
      </c>
      <c r="K33" s="6">
        <f>ROUND(SUM(K14:K17),2)</f>
        <v>861.72</v>
      </c>
      <c r="L33" s="6" t="s">
        <v>7</v>
      </c>
      <c r="U33" s="2">
        <v>29</v>
      </c>
      <c r="V33" s="2">
        <f t="shared" si="15"/>
        <v>2.9519384726881981E-2</v>
      </c>
      <c r="W33" s="2">
        <f t="shared" si="0"/>
        <v>1.6943646555245273E-9</v>
      </c>
      <c r="X33" s="2">
        <f t="shared" si="16"/>
        <v>2.951938658952713E-2</v>
      </c>
      <c r="Y33" s="2">
        <f t="shared" si="1"/>
        <v>-1.7137126440136541E-10</v>
      </c>
      <c r="Z33" s="2">
        <f t="shared" si="3"/>
        <v>2.9519385658204556E-2</v>
      </c>
      <c r="AA33" s="2">
        <f t="shared" si="2"/>
        <v>7.6149669556158095E-10</v>
      </c>
      <c r="AB33" s="2">
        <f t="shared" si="4"/>
        <v>1.290253086258264E-18</v>
      </c>
      <c r="AC33" s="2">
        <f t="shared" si="5"/>
        <v>-1.3049865155584975E-19</v>
      </c>
      <c r="AD33" s="2">
        <f t="shared" si="6"/>
        <v>1.862645149230957E-9</v>
      </c>
      <c r="AF33" s="2">
        <v>29</v>
      </c>
      <c r="AG33" s="2">
        <f t="shared" si="25"/>
        <v>3920.9900945425034</v>
      </c>
      <c r="AH33" s="2">
        <v>-4.4790431275032461E-6</v>
      </c>
      <c r="AI33" s="2">
        <f t="shared" si="26"/>
        <v>3920.9901113063097</v>
      </c>
      <c r="AJ33" s="2">
        <v>3.3532683119119611E-6</v>
      </c>
      <c r="AK33" s="2">
        <f t="shared" si="17"/>
        <v>3920.9901029244065</v>
      </c>
      <c r="AL33" s="2">
        <v>-5.6288899941137061E-7</v>
      </c>
      <c r="AM33" s="2">
        <f t="shared" si="18"/>
        <v>2.5212041043606782E-12</v>
      </c>
      <c r="AN33" s="2">
        <f t="shared" si="19"/>
        <v>-1.8875178448499796E-12</v>
      </c>
      <c r="AO33" s="2">
        <f t="shared" si="20"/>
        <v>1.6763806343078613E-5</v>
      </c>
      <c r="AQ33" s="64"/>
      <c r="AR33" s="3">
        <f>0.059175*($AR$9/2)</f>
        <v>0.24890425199999999</v>
      </c>
      <c r="AS33" s="26" t="s">
        <v>8</v>
      </c>
      <c r="AT33"/>
      <c r="AU33"/>
      <c r="AV33"/>
      <c r="AW33"/>
      <c r="AX33"/>
      <c r="AY33" s="2" t="s">
        <v>163</v>
      </c>
      <c r="AZ33" s="2">
        <f>(1-$BH$76)*$AV$5*$AR$25</f>
        <v>105.43376079591734</v>
      </c>
      <c r="BA33" s="26" t="s">
        <v>10</v>
      </c>
      <c r="BB33"/>
      <c r="BC33" s="2" t="s">
        <v>163</v>
      </c>
      <c r="BD33" s="2">
        <f>(1-$BL$76)*$AV$5*$AR$26</f>
        <v>119.28014328539393</v>
      </c>
      <c r="BE33" s="26" t="s">
        <v>10</v>
      </c>
      <c r="BF33"/>
      <c r="BG33" s="2" t="s">
        <v>190</v>
      </c>
      <c r="BH33" s="2">
        <f xml:space="preserve"> BH31*COS(BH23) - BH32*SIN(BH23)</f>
        <v>1.1680363572103816</v>
      </c>
      <c r="BI33" s="2"/>
      <c r="BJ33"/>
      <c r="BK33" s="2" t="s">
        <v>190</v>
      </c>
      <c r="BL33" s="2">
        <f xml:space="preserve"> BL31*COS(BL23) - BL32*SIN(BL23)</f>
        <v>1.1868433413241515</v>
      </c>
      <c r="BM33" s="2"/>
      <c r="BN33"/>
      <c r="BO33" s="2">
        <v>29</v>
      </c>
      <c r="BP33" s="2">
        <f t="shared" si="21"/>
        <v>0.28303581160826108</v>
      </c>
      <c r="BQ33" s="2">
        <v>-2.0036769937670229E-8</v>
      </c>
      <c r="BR33" s="2">
        <f t="shared" si="22"/>
        <v>0.28303582202423777</v>
      </c>
      <c r="BS33" s="2">
        <v>8.4514298753779471E-9</v>
      </c>
      <c r="BT33" s="2">
        <f t="shared" si="7"/>
        <v>0.28303581681624945</v>
      </c>
      <c r="BU33" s="2">
        <v>-5.7926698715515812E-9</v>
      </c>
      <c r="BV33" s="2">
        <f t="shared" si="8"/>
        <v>1.1606639354115279E-16</v>
      </c>
      <c r="BW33" s="2">
        <f t="shared" si="9"/>
        <v>-4.8956343210632771E-17</v>
      </c>
      <c r="BX33" s="2">
        <f t="shared" si="10"/>
        <v>1.0415976692268458E-8</v>
      </c>
      <c r="BY33"/>
      <c r="BZ33" s="2">
        <v>29</v>
      </c>
      <c r="CA33" s="2">
        <f t="shared" si="23"/>
        <v>0.21929314843208278</v>
      </c>
      <c r="CB33" s="2">
        <v>-1.860335560599502E-8</v>
      </c>
      <c r="CC33" s="2">
        <f t="shared" si="24"/>
        <v>0.2192931588480595</v>
      </c>
      <c r="CD33" s="2">
        <v>6.6024153644317352E-9</v>
      </c>
      <c r="CE33" s="2">
        <f t="shared" si="11"/>
        <v>0.21929315364007113</v>
      </c>
      <c r="CF33" s="2">
        <v>-6.000470079148279E-9</v>
      </c>
      <c r="CG33" s="2">
        <f t="shared" si="12"/>
        <v>1.1162887868552852E-16</v>
      </c>
      <c r="CH33" s="2">
        <f t="shared" si="13"/>
        <v>-3.9617595844381508E-17</v>
      </c>
      <c r="CI33" s="2">
        <f t="shared" si="14"/>
        <v>1.0415976720024034E-8</v>
      </c>
    </row>
    <row r="34" spans="2:87" x14ac:dyDescent="0.2">
      <c r="J34" s="20" t="s">
        <v>72</v>
      </c>
      <c r="K34" s="6">
        <f>ROUND(SUM(K18:K22),2)</f>
        <v>221.02</v>
      </c>
      <c r="L34" s="6" t="s">
        <v>7</v>
      </c>
      <c r="U34" s="2">
        <v>30</v>
      </c>
      <c r="V34" s="2">
        <f t="shared" si="15"/>
        <v>2.9519385658204556E-2</v>
      </c>
      <c r="W34" s="2">
        <f t="shared" si="0"/>
        <v>7.6149669556158095E-10</v>
      </c>
      <c r="X34" s="2">
        <f t="shared" si="16"/>
        <v>2.951938658952713E-2</v>
      </c>
      <c r="Y34" s="2">
        <f t="shared" si="1"/>
        <v>-1.7137126440136541E-10</v>
      </c>
      <c r="Z34" s="2">
        <f t="shared" si="3"/>
        <v>2.9519386123865843E-2</v>
      </c>
      <c r="AA34" s="2">
        <f t="shared" si="2"/>
        <v>2.9506271731483125E-10</v>
      </c>
      <c r="AB34" s="2">
        <f t="shared" si="4"/>
        <v>2.2468928421866485E-19</v>
      </c>
      <c r="AC34" s="2">
        <f t="shared" si="5"/>
        <v>-5.0565270943945285E-20</v>
      </c>
      <c r="AD34" s="2">
        <f>X34-V34</f>
        <v>9.3132257461547852E-10</v>
      </c>
      <c r="AF34" s="2">
        <v>30</v>
      </c>
      <c r="AG34" s="2">
        <f t="shared" si="25"/>
        <v>3920.9901029244065</v>
      </c>
      <c r="AH34" s="2">
        <v>-5.6288899941137061E-7</v>
      </c>
      <c r="AI34" s="2">
        <f t="shared" si="26"/>
        <v>3920.9901113063097</v>
      </c>
      <c r="AJ34" s="2">
        <v>3.3532683119119611E-6</v>
      </c>
      <c r="AK34" s="2">
        <f t="shared" si="17"/>
        <v>3920.9901071153581</v>
      </c>
      <c r="AL34" s="2">
        <v>1.3951935216027778E-6</v>
      </c>
      <c r="AM34" s="2">
        <f t="shared" si="18"/>
        <v>-7.8533908536021405E-13</v>
      </c>
      <c r="AN34" s="2">
        <f t="shared" si="19"/>
        <v>4.6784582249754508E-12</v>
      </c>
      <c r="AO34" s="2">
        <f t="shared" si="20"/>
        <v>8.3819031715393066E-6</v>
      </c>
      <c r="AQ34" s="64"/>
      <c r="AR34" s="3">
        <f>0.057125*($AR$9/2)</f>
        <v>0.24028146000000003</v>
      </c>
      <c r="AS34" s="26" t="s">
        <v>8</v>
      </c>
      <c r="AT34"/>
      <c r="AU34"/>
      <c r="AV34"/>
      <c r="AW34"/>
      <c r="AX34"/>
      <c r="AY34" s="2" t="s">
        <v>167</v>
      </c>
      <c r="AZ34" s="2">
        <f>SQRT(AZ32^2 + AZ33^2)</f>
        <v>106.07843508146122</v>
      </c>
      <c r="BA34" s="26" t="s">
        <v>10</v>
      </c>
      <c r="BB34"/>
      <c r="BC34" s="2" t="s">
        <v>167</v>
      </c>
      <c r="BD34" s="2">
        <f>SQRT(BD32^2 + BD33^2)</f>
        <v>119.99931349010863</v>
      </c>
      <c r="BE34" s="26" t="s">
        <v>10</v>
      </c>
      <c r="BF34"/>
      <c r="BG34" s="2" t="s">
        <v>192</v>
      </c>
      <c r="BH34" s="2">
        <f xml:space="preserve"> BH31*SIN(BH23) + BH32*COS(BH23)</f>
        <v>0.23403379376194758</v>
      </c>
      <c r="BI34" s="2"/>
      <c r="BJ34"/>
      <c r="BK34" s="2" t="s">
        <v>192</v>
      </c>
      <c r="BL34" s="2">
        <f xml:space="preserve"> BL31*SIN(BL23) + BL32*COS(BL23)</f>
        <v>0.20655243588732869</v>
      </c>
      <c r="BM34" s="2"/>
      <c r="BN34"/>
      <c r="BO34" s="2">
        <v>30</v>
      </c>
      <c r="BP34" s="2">
        <f t="shared" si="21"/>
        <v>0.28303581681624945</v>
      </c>
      <c r="BQ34" s="2">
        <v>-5.7926698715515812E-9</v>
      </c>
      <c r="BR34" s="2">
        <f t="shared" si="22"/>
        <v>0.28303582202423777</v>
      </c>
      <c r="BS34" s="2">
        <v>8.4514298753779471E-9</v>
      </c>
      <c r="BT34" s="5">
        <f t="shared" si="7"/>
        <v>0.28303581942024358</v>
      </c>
      <c r="BU34" s="2">
        <v>1.3293799117075622E-9</v>
      </c>
      <c r="BV34" s="2">
        <f t="shared" si="8"/>
        <v>-7.7006589623942959E-18</v>
      </c>
      <c r="BW34" s="2">
        <f t="shared" si="9"/>
        <v>1.1235161101532588E-17</v>
      </c>
      <c r="BX34" s="2">
        <f t="shared" si="10"/>
        <v>5.2079883183786535E-9</v>
      </c>
      <c r="BY34"/>
      <c r="BZ34" s="2">
        <v>30</v>
      </c>
      <c r="CA34" s="2">
        <f t="shared" si="23"/>
        <v>0.21929315364007113</v>
      </c>
      <c r="CB34" s="2">
        <v>-6.000470079148279E-9</v>
      </c>
      <c r="CC34" s="2">
        <f t="shared" si="24"/>
        <v>0.2192931588480595</v>
      </c>
      <c r="CD34" s="2">
        <v>6.6024153644317352E-9</v>
      </c>
      <c r="CE34" s="5">
        <f t="shared" si="11"/>
        <v>0.21929315624406531</v>
      </c>
      <c r="CF34" s="2">
        <v>3.0097273284734882E-10</v>
      </c>
      <c r="CG34" s="2">
        <f t="shared" si="12"/>
        <v>-1.8059778780900052E-18</v>
      </c>
      <c r="CH34" s="2">
        <f t="shared" si="13"/>
        <v>1.9871469956263438E-18</v>
      </c>
      <c r="CI34" s="2">
        <f t="shared" si="14"/>
        <v>5.2079883738898047E-9</v>
      </c>
    </row>
    <row r="35" spans="2:87" x14ac:dyDescent="0.2">
      <c r="B35" s="59" t="s">
        <v>2</v>
      </c>
      <c r="C35" s="59"/>
      <c r="D35" s="59"/>
      <c r="J35" s="15" t="s">
        <v>73</v>
      </c>
      <c r="K35" s="6">
        <f>ROUND(SUM(K23:K26),2)</f>
        <v>196.93</v>
      </c>
      <c r="L35" s="6" t="s">
        <v>7</v>
      </c>
      <c r="AF35" s="2">
        <v>31</v>
      </c>
      <c r="AG35" s="2">
        <f t="shared" si="25"/>
        <v>3920.9901029244065</v>
      </c>
      <c r="AH35" s="2">
        <v>-5.6288899941137061E-7</v>
      </c>
      <c r="AI35" s="2">
        <f t="shared" si="26"/>
        <v>3920.9901071153581</v>
      </c>
      <c r="AJ35" s="2">
        <v>1.3951935216027778E-6</v>
      </c>
      <c r="AK35" s="2">
        <f t="shared" si="17"/>
        <v>3920.9901050198823</v>
      </c>
      <c r="AL35" s="2">
        <v>4.1614930523792282E-7</v>
      </c>
      <c r="AM35" s="2">
        <f t="shared" si="18"/>
        <v>-2.3424586603111142E-13</v>
      </c>
      <c r="AN35" s="2">
        <f t="shared" si="19"/>
        <v>5.8060881468744683E-13</v>
      </c>
      <c r="AO35" s="2">
        <f t="shared" si="20"/>
        <v>4.1909515857696533E-6</v>
      </c>
      <c r="AQ35" s="64" t="s">
        <v>223</v>
      </c>
      <c r="AR35" s="3">
        <v>6.9</v>
      </c>
      <c r="AS35" s="26" t="s">
        <v>43</v>
      </c>
      <c r="AT35"/>
      <c r="AU35"/>
      <c r="AV35"/>
      <c r="AW35"/>
      <c r="AX35"/>
      <c r="AY35" s="2" t="s">
        <v>170</v>
      </c>
      <c r="AZ35" s="37">
        <f>$AR$45*AZ34*$AR$33/$AR$46</f>
        <v>1581108.6109149538</v>
      </c>
      <c r="BA35" s="26"/>
      <c r="BB35"/>
      <c r="BC35" s="2" t="s">
        <v>170</v>
      </c>
      <c r="BD35" s="37">
        <f>$AR$45*BD34*$AR$34/$AR$46</f>
        <v>1726638.0516420035</v>
      </c>
      <c r="BE35" s="26"/>
      <c r="BF35"/>
      <c r="BG35" s="2" t="s">
        <v>38</v>
      </c>
      <c r="BH35" s="2">
        <f xml:space="preserve"> 4*BH30*SIN(BH23)*SIN(BH23) / (BH27*BH33)</f>
        <v>1.3881779564258665</v>
      </c>
      <c r="BI35" s="2"/>
      <c r="BJ35"/>
      <c r="BK35" s="2" t="s">
        <v>38</v>
      </c>
      <c r="BL35" s="2">
        <f xml:space="preserve"> 4*BL30*SIN(BL23)*SIN(BL23) / (BL27*BL33)</f>
        <v>1.3394985364444902</v>
      </c>
      <c r="BM35" s="2"/>
      <c r="BN35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/>
      <c r="BZ35"/>
      <c r="CA35"/>
      <c r="CB35"/>
      <c r="CC35"/>
      <c r="CD35"/>
      <c r="CE35"/>
      <c r="CF35"/>
      <c r="CG35"/>
      <c r="CH35"/>
      <c r="CI35"/>
    </row>
    <row r="36" spans="2:87" x14ac:dyDescent="0.2">
      <c r="B36" s="6" t="s">
        <v>3</v>
      </c>
      <c r="C36" s="17">
        <v>250</v>
      </c>
      <c r="D36" s="6" t="s">
        <v>4</v>
      </c>
      <c r="J36" s="10" t="s">
        <v>62</v>
      </c>
      <c r="K36" s="10">
        <f>SUM(K31:K35)</f>
        <v>3920.99</v>
      </c>
      <c r="L36" s="6" t="s">
        <v>7</v>
      </c>
      <c r="AF36" s="2">
        <v>32</v>
      </c>
      <c r="AG36" s="2">
        <f t="shared" si="25"/>
        <v>3920.9901029244065</v>
      </c>
      <c r="AH36" s="2">
        <v>-5.6288899941137061E-7</v>
      </c>
      <c r="AI36" s="2">
        <f t="shared" si="26"/>
        <v>3920.9901050198823</v>
      </c>
      <c r="AJ36" s="2">
        <v>4.1614930523792282E-7</v>
      </c>
      <c r="AK36" s="2">
        <f t="shared" si="17"/>
        <v>3920.9901039721444</v>
      </c>
      <c r="AL36" s="2">
        <v>-7.337166607612744E-8</v>
      </c>
      <c r="AM36" s="2">
        <f t="shared" si="18"/>
        <v>4.1300103702736579E-14</v>
      </c>
      <c r="AN36" s="2">
        <f t="shared" si="19"/>
        <v>-3.0533567861729305E-14</v>
      </c>
      <c r="AO36" s="2">
        <f t="shared" si="20"/>
        <v>2.0954757928848267E-6</v>
      </c>
      <c r="AQ36" s="64"/>
      <c r="AR36" s="3">
        <v>5.58</v>
      </c>
      <c r="AS36" s="26" t="s">
        <v>43</v>
      </c>
      <c r="AT36"/>
      <c r="AU36"/>
      <c r="AV36"/>
      <c r="AW36"/>
      <c r="AX36"/>
      <c r="AY36" s="2" t="s">
        <v>174</v>
      </c>
      <c r="AZ36" s="33">
        <f xml:space="preserve"> $BH$65 * PI() * $AR$45 * AZ34^2 * $BH$71 * $AR$25 * AZ31</f>
        <v>2167.7419960959114</v>
      </c>
      <c r="BA36" s="26" t="s">
        <v>22</v>
      </c>
      <c r="BB36"/>
      <c r="BC36" s="2" t="s">
        <v>174</v>
      </c>
      <c r="BD36" s="33">
        <f xml:space="preserve"> $BL$65 * PI() * $AR$45 * BD34^2 * $BL$71 * $AR$26 * BD31</f>
        <v>2343.7225167519478</v>
      </c>
      <c r="BE36" s="26" t="s">
        <v>22</v>
      </c>
      <c r="BF36"/>
      <c r="BG36" s="2" t="s">
        <v>194</v>
      </c>
      <c r="BH36" s="2">
        <f xml:space="preserve"> 4*BH30*SIN(BH23)*COS(BH23) / (BH27*BH34)</f>
        <v>37.456846188149633</v>
      </c>
      <c r="BI36" s="2"/>
      <c r="BJ36"/>
      <c r="BK36" s="2" t="s">
        <v>194</v>
      </c>
      <c r="BL36" s="2">
        <f xml:space="preserve"> 4*BL30*SIN(BL23)*COS(BL23) / (BL27*BL34)</f>
        <v>48.506272690799754</v>
      </c>
      <c r="BM36" s="2"/>
      <c r="BN36"/>
      <c r="BO36" s="61" t="s">
        <v>207</v>
      </c>
      <c r="BP36" s="61"/>
      <c r="BQ36" s="61"/>
      <c r="BR36" s="61"/>
      <c r="BS36" s="61"/>
      <c r="BT36" s="61"/>
      <c r="BU36" s="61"/>
      <c r="BV36" s="61"/>
      <c r="BW36" s="61"/>
      <c r="BX36" s="61"/>
      <c r="BY36"/>
      <c r="BZ36" s="61" t="s">
        <v>208</v>
      </c>
      <c r="CA36" s="61"/>
      <c r="CB36" s="61"/>
      <c r="CC36" s="61"/>
      <c r="CD36" s="61"/>
      <c r="CE36" s="61"/>
      <c r="CF36" s="61"/>
      <c r="CG36" s="61"/>
      <c r="CH36" s="61"/>
      <c r="CI36" s="61"/>
    </row>
    <row r="37" spans="2:87" x14ac:dyDescent="0.2">
      <c r="B37" s="6" t="s">
        <v>5</v>
      </c>
      <c r="C37" s="17">
        <v>0.85</v>
      </c>
      <c r="AF37" s="2">
        <v>33</v>
      </c>
      <c r="AG37" s="2">
        <f t="shared" si="25"/>
        <v>3920.9901039721444</v>
      </c>
      <c r="AH37" s="2">
        <v>-7.337166607612744E-8</v>
      </c>
      <c r="AI37" s="2">
        <f t="shared" si="26"/>
        <v>3920.9901050198823</v>
      </c>
      <c r="AJ37" s="2">
        <v>4.1614930523792282E-7</v>
      </c>
      <c r="AK37" s="2">
        <f t="shared" si="17"/>
        <v>3920.9901044960134</v>
      </c>
      <c r="AL37" s="2">
        <v>1.7139336705440655E-7</v>
      </c>
      <c r="AM37" s="2">
        <f t="shared" si="18"/>
        <v>-1.257541689517906E-14</v>
      </c>
      <c r="AN37" s="2">
        <f t="shared" si="19"/>
        <v>7.1325230622079577E-14</v>
      </c>
      <c r="AO37" s="2">
        <f t="shared" si="20"/>
        <v>1.0477378964424133E-6</v>
      </c>
      <c r="AQ37" s="64"/>
      <c r="AR37" s="3">
        <v>4.26</v>
      </c>
      <c r="AS37" s="26" t="s">
        <v>43</v>
      </c>
      <c r="AT37"/>
      <c r="AU37"/>
      <c r="AV37"/>
      <c r="AW37"/>
      <c r="AX37"/>
      <c r="AY37" s="2" t="s">
        <v>178</v>
      </c>
      <c r="AZ37" s="33">
        <f xml:space="preserve"> $BH$65 * PI() * $AR$45 * AZ34^2 * $BH$72 * $AR$25^2 * AZ31</f>
        <v>957.63188666203996</v>
      </c>
      <c r="BA37" s="26" t="s">
        <v>179</v>
      </c>
      <c r="BB37"/>
      <c r="BC37" s="2" t="s">
        <v>178</v>
      </c>
      <c r="BD37" s="33">
        <f xml:space="preserve"> $BL$65 * PI() * $AR$45 * BD34^2 * $BL$72 * $AR$26^2 * BD31</f>
        <v>1183.4542229214453</v>
      </c>
      <c r="BE37" s="26" t="s">
        <v>179</v>
      </c>
      <c r="BF37"/>
      <c r="BG37" s="2" t="s">
        <v>45</v>
      </c>
      <c r="BH37" s="2">
        <f>1/(BH35-1)</f>
        <v>2.5761380404169811</v>
      </c>
      <c r="BI37" s="2"/>
      <c r="BJ37"/>
      <c r="BK37" s="2" t="s">
        <v>45</v>
      </c>
      <c r="BL37" s="2">
        <f>1/(BL35-1)</f>
        <v>2.9455207980359148</v>
      </c>
      <c r="BM37" s="2"/>
      <c r="BN37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Y37"/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B38" s="6" t="s">
        <v>6</v>
      </c>
      <c r="C38" s="17">
        <v>0.8</v>
      </c>
      <c r="J38" s="59" t="s">
        <v>59</v>
      </c>
      <c r="K38" s="59"/>
      <c r="L38" s="59"/>
      <c r="AF38" s="2">
        <v>34</v>
      </c>
      <c r="AG38" s="2">
        <f t="shared" si="25"/>
        <v>3920.9901039721444</v>
      </c>
      <c r="AH38" s="2">
        <v>-7.337166607612744E-8</v>
      </c>
      <c r="AI38" s="2">
        <f t="shared" si="26"/>
        <v>3920.9901044960134</v>
      </c>
      <c r="AJ38" s="2">
        <v>1.7139336705440655E-7</v>
      </c>
      <c r="AK38" s="2">
        <f t="shared" si="17"/>
        <v>3920.9901042340789</v>
      </c>
      <c r="AL38" s="2">
        <v>4.9011305236490443E-8</v>
      </c>
      <c r="AM38" s="2">
        <f t="shared" si="18"/>
        <v>-3.596041121766933E-15</v>
      </c>
      <c r="AN38" s="2">
        <f t="shared" si="19"/>
        <v>8.4002126282133645E-15</v>
      </c>
      <c r="AO38" s="2">
        <f t="shared" si="20"/>
        <v>5.2386894822120667E-7</v>
      </c>
      <c r="AQ38" s="64"/>
      <c r="AR38" s="3">
        <v>2.94</v>
      </c>
      <c r="AS38" s="26" t="s">
        <v>43</v>
      </c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s="2" t="s">
        <v>197</v>
      </c>
      <c r="BH38" s="2">
        <f>1/(BH36+1)</f>
        <v>2.6003172363836407E-2</v>
      </c>
      <c r="BI38" s="2"/>
      <c r="BJ38"/>
      <c r="BK38" s="2" t="s">
        <v>197</v>
      </c>
      <c r="BL38" s="2">
        <f>1/(BL36+1)</f>
        <v>2.0199460505655076E-2</v>
      </c>
      <c r="BM38" s="2"/>
      <c r="BN38"/>
      <c r="BO38" s="30">
        <v>0</v>
      </c>
      <c r="BP38" s="30"/>
      <c r="BQ38" s="30">
        <f>$BH$39</f>
        <v>-3.87542416907527E-9</v>
      </c>
      <c r="BR38" s="30"/>
      <c r="BS38" s="30">
        <f>$BH$39</f>
        <v>-3.87542416907527E-9</v>
      </c>
      <c r="BT38" s="30"/>
      <c r="BU38" s="30">
        <f>$BH$39</f>
        <v>-3.87542416907527E-9</v>
      </c>
      <c r="BV38" s="30"/>
      <c r="BW38" s="30"/>
      <c r="BX38" s="30"/>
      <c r="BY38"/>
      <c r="BZ38" s="30">
        <v>0</v>
      </c>
      <c r="CA38" s="30"/>
      <c r="CB38" s="30">
        <f>$BL$39</f>
        <v>9.2733064283034849E-10</v>
      </c>
      <c r="CC38" s="30"/>
      <c r="CD38" s="30">
        <f>$BL$39</f>
        <v>9.2733064283034849E-10</v>
      </c>
      <c r="CE38" s="30"/>
      <c r="CF38" s="30">
        <f>$BL$39</f>
        <v>9.2733064283034849E-10</v>
      </c>
      <c r="CG38" s="30"/>
      <c r="CH38" s="30"/>
      <c r="CI38" s="30"/>
    </row>
    <row r="39" spans="2:87" x14ac:dyDescent="0.2">
      <c r="J39" s="6" t="s">
        <v>60</v>
      </c>
      <c r="K39" s="6">
        <f>ROUND($C$13/$C$5 * 100, 2)</f>
        <v>15.3</v>
      </c>
      <c r="L39" s="6" t="s">
        <v>61</v>
      </c>
      <c r="AF39" s="2">
        <v>35</v>
      </c>
      <c r="AG39" s="2">
        <f t="shared" si="25"/>
        <v>3920.9901039721444</v>
      </c>
      <c r="AH39" s="2">
        <v>-7.337166607612744E-8</v>
      </c>
      <c r="AI39" s="2">
        <f t="shared" si="26"/>
        <v>3920.9901042340789</v>
      </c>
      <c r="AJ39" s="2">
        <v>4.9011305236490443E-8</v>
      </c>
      <c r="AK39" s="2">
        <f t="shared" si="17"/>
        <v>3920.9901041031117</v>
      </c>
      <c r="AL39" s="2">
        <v>-1.218313627759926E-8</v>
      </c>
      <c r="AM39" s="2">
        <f t="shared" si="18"/>
        <v>8.9389700671996717E-16</v>
      </c>
      <c r="AN39" s="2">
        <f t="shared" si="19"/>
        <v>-5.9711141083917731E-16</v>
      </c>
      <c r="AO39" s="2">
        <f t="shared" si="20"/>
        <v>2.6193447411060333E-7</v>
      </c>
      <c r="AQ39" s="64"/>
      <c r="AR39" s="3">
        <v>1.62</v>
      </c>
      <c r="AS39" s="26" t="s">
        <v>43</v>
      </c>
      <c r="AT39"/>
      <c r="AU39"/>
      <c r="AV39"/>
      <c r="AW39"/>
      <c r="AX39"/>
      <c r="AY39"/>
      <c r="AZ39"/>
      <c r="BA39"/>
      <c r="BB39"/>
      <c r="BC39"/>
      <c r="BD39"/>
      <c r="BE39"/>
      <c r="BF39"/>
      <c r="BG39" s="7" t="s">
        <v>199</v>
      </c>
      <c r="BH39" s="40">
        <f>SIN(BH23)/(1+BH37) - $AR$3*COS(BH23)/($AV$5*$AR$21*(1-BH38))</f>
        <v>-3.87542416907527E-9</v>
      </c>
      <c r="BI39" s="40"/>
      <c r="BJ39"/>
      <c r="BK39" s="7" t="s">
        <v>199</v>
      </c>
      <c r="BL39" s="40">
        <f>SIN(BL23)/(1+BL37) - $AR$3*COS(BL23)/($AV$5*$AR$22*(1-BL38))</f>
        <v>9.2733064283034849E-10</v>
      </c>
      <c r="BM39" s="40"/>
      <c r="BN39"/>
      <c r="BO39" s="2">
        <v>1</v>
      </c>
      <c r="BP39" s="3">
        <f>0.01*PI()</f>
        <v>3.1415926535897934E-2</v>
      </c>
      <c r="BQ39" s="2">
        <f t="dataTable" ref="BQ39:BQ68" dt2D="0" dtr="0" r1="BH23"/>
        <v>-1.0087256377495468</v>
      </c>
      <c r="BR39" s="3">
        <f>0.9*PI()</f>
        <v>2.8274333882308138</v>
      </c>
      <c r="BS39" s="2">
        <f t="dataTable" ref="BS39:BS68" dt2D="0" dtr="0" r1="BH23" ca="1"/>
        <v>0.40837363548827699</v>
      </c>
      <c r="BT39" s="2">
        <f t="shared" ref="BT39:BT68" si="27">(BP39+BR39)/2</f>
        <v>1.4294246573833558</v>
      </c>
      <c r="BU39" s="2">
        <f t="dataTable" ref="BU39:BU68" dt2D="0" dtr="0" r1="BH23" ca="1"/>
        <v>1.0165904545392206</v>
      </c>
      <c r="BV39" s="2">
        <f t="shared" ref="BV39:BV68" si="28">BQ39*BU39</f>
        <v>-1.0254608545851769</v>
      </c>
      <c r="BW39" s="2">
        <f t="shared" ref="BW39:BW68" si="29">BS39*BU39</f>
        <v>0.41514873972286148</v>
      </c>
      <c r="BX39" s="2">
        <f t="shared" ref="BX39:BX68" si="30">BR39-BP39</f>
        <v>2.7960174616949161</v>
      </c>
      <c r="BY39"/>
      <c r="BZ39" s="2">
        <v>1</v>
      </c>
      <c r="CA39" s="3">
        <f>0.01*PI()</f>
        <v>3.1415926535897934E-2</v>
      </c>
      <c r="CB39" s="2">
        <f t="dataTable" ref="CB39:CB68" dt2D="0" dtr="0" r1="BL23" ca="1"/>
        <v>-0.77576178237256532</v>
      </c>
      <c r="CC39" s="3">
        <f>0.9*PI()</f>
        <v>2.8274333882308138</v>
      </c>
      <c r="CD39" s="2">
        <f t="dataTable" ref="CD39:CD68" dt2D="0" dtr="0" r1="BL23"/>
        <v>0.38523710056642058</v>
      </c>
      <c r="CE39" s="2">
        <f t="shared" ref="CE39:CE68" si="31">(CA39+CC39)/2</f>
        <v>1.4294246573833558</v>
      </c>
      <c r="CF39" s="2">
        <f t="dataTable" ref="CF39:CF68" dt2D="0" dtr="0" r1="BL23" ca="1"/>
        <v>1.0120719601588302</v>
      </c>
      <c r="CG39" s="2">
        <f t="shared" ref="CG39:CG68" si="32">CB39*CF39</f>
        <v>-0.78512674770210999</v>
      </c>
      <c r="CH39" s="2">
        <f t="shared" ref="CH39:CH68" si="33">CD39*CF39</f>
        <v>0.38988766749616166</v>
      </c>
      <c r="CI39" s="2">
        <f t="shared" ref="CI39:CI68" si="34">CC39-CA39</f>
        <v>2.7960174616949161</v>
      </c>
    </row>
    <row r="40" spans="2:87" x14ac:dyDescent="0.2">
      <c r="B40" s="59" t="s">
        <v>272</v>
      </c>
      <c r="C40" s="60"/>
      <c r="D40" s="60"/>
      <c r="J40" s="11" t="s">
        <v>55</v>
      </c>
      <c r="K40" s="6">
        <f>ROUND(K13/$C$5 * 100, 2)</f>
        <v>52.06</v>
      </c>
      <c r="L40" s="6" t="s">
        <v>61</v>
      </c>
      <c r="AF40" s="2">
        <v>36</v>
      </c>
      <c r="AG40" s="2">
        <f t="shared" si="25"/>
        <v>3920.9901041031117</v>
      </c>
      <c r="AH40" s="2">
        <v>-1.218313627759926E-8</v>
      </c>
      <c r="AI40" s="2">
        <f t="shared" si="26"/>
        <v>3920.9901042340789</v>
      </c>
      <c r="AJ40" s="2">
        <v>4.9011305236490443E-8</v>
      </c>
      <c r="AK40" s="2">
        <f t="shared" si="17"/>
        <v>3920.9901041685953</v>
      </c>
      <c r="AL40" s="2">
        <v>1.8414084479445592E-8</v>
      </c>
      <c r="AM40" s="2">
        <f t="shared" si="18"/>
        <v>-2.2434130064031108E-16</v>
      </c>
      <c r="AN40" s="2">
        <f t="shared" si="19"/>
        <v>9.0249831507262912E-16</v>
      </c>
      <c r="AO40" s="2">
        <f t="shared" si="20"/>
        <v>1.3096723705530167E-7</v>
      </c>
      <c r="AQ40" s="64"/>
      <c r="AR40" s="3">
        <v>0.3</v>
      </c>
      <c r="AS40" s="26" t="s">
        <v>43</v>
      </c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s="2">
        <v>2</v>
      </c>
      <c r="BP40" s="2">
        <f t="shared" ref="BP40:BP68" si="35">IF(BV39&gt;0,BT39,BP39)</f>
        <v>3.1415926535897934E-2</v>
      </c>
      <c r="BQ40" s="2">
        <v>-1.0087256377495468</v>
      </c>
      <c r="BR40" s="2">
        <f t="shared" ref="BR40:BR68" si="36">IF(BW39&gt;0,BT39,BR39)</f>
        <v>1.4294246573833558</v>
      </c>
      <c r="BS40" s="2">
        <v>1.0165904545392206</v>
      </c>
      <c r="BT40" s="2">
        <f t="shared" si="27"/>
        <v>0.73042029195962688</v>
      </c>
      <c r="BU40" s="2">
        <v>0.65931242824031244</v>
      </c>
      <c r="BV40" s="2">
        <f t="shared" si="28"/>
        <v>-0.66506534965291153</v>
      </c>
      <c r="BW40" s="2">
        <f t="shared" si="29"/>
        <v>0.67025072110817652</v>
      </c>
      <c r="BX40" s="2">
        <f t="shared" si="30"/>
        <v>1.3980087308474578</v>
      </c>
      <c r="BY40"/>
      <c r="BZ40" s="2">
        <v>2</v>
      </c>
      <c r="CA40" s="2">
        <f t="shared" ref="CA40:CA68" si="37">IF(CG39&gt;0,CE39,CA39)</f>
        <v>3.1415926535897934E-2</v>
      </c>
      <c r="CB40" s="2">
        <v>-0.77576178237256532</v>
      </c>
      <c r="CC40" s="2">
        <f t="shared" ref="CC40:CC68" si="38">IF(CH39&gt;0,CE39,CC39)</f>
        <v>1.4294246573833558</v>
      </c>
      <c r="CD40" s="2">
        <v>1.0120719601588302</v>
      </c>
      <c r="CE40" s="2">
        <f t="shared" si="31"/>
        <v>0.73042029195962688</v>
      </c>
      <c r="CF40" s="2">
        <v>0.66102516343157469</v>
      </c>
      <c r="CG40" s="2">
        <f t="shared" si="32"/>
        <v>-0.51279805897679465</v>
      </c>
      <c r="CH40" s="2">
        <f t="shared" si="33"/>
        <v>0.66900503286850488</v>
      </c>
      <c r="CI40" s="2">
        <f t="shared" si="34"/>
        <v>1.3980087308474578</v>
      </c>
    </row>
    <row r="41" spans="2:87" x14ac:dyDescent="0.2">
      <c r="B41" s="6" t="s">
        <v>15</v>
      </c>
      <c r="C41" s="17">
        <v>1.0397562309141399</v>
      </c>
      <c r="D41" s="6" t="s">
        <v>16</v>
      </c>
      <c r="J41" s="19" t="s">
        <v>81</v>
      </c>
      <c r="K41" s="6">
        <f>ROUND(SUM(K14:K17)/$C$5 * 100, 2)</f>
        <v>21.98</v>
      </c>
      <c r="L41" s="6" t="s">
        <v>61</v>
      </c>
      <c r="AF41" s="2">
        <v>37</v>
      </c>
      <c r="AG41" s="2">
        <f t="shared" si="25"/>
        <v>3920.9901041031117</v>
      </c>
      <c r="AH41" s="2">
        <v>-1.218313627759926E-8</v>
      </c>
      <c r="AI41" s="2">
        <f t="shared" si="26"/>
        <v>3920.9901041685953</v>
      </c>
      <c r="AJ41" s="2">
        <v>1.8414084479445592E-8</v>
      </c>
      <c r="AK41" s="2">
        <f t="shared" si="17"/>
        <v>3920.9901041358535</v>
      </c>
      <c r="AL41" s="2">
        <v>3.1186573323793709E-9</v>
      </c>
      <c r="AM41" s="2">
        <f t="shared" si="18"/>
        <v>-3.7995027283512048E-17</v>
      </c>
      <c r="AN41" s="2">
        <f t="shared" si="19"/>
        <v>5.7427219580876166E-17</v>
      </c>
      <c r="AO41" s="2">
        <f t="shared" si="20"/>
        <v>6.5483618527650833E-8</v>
      </c>
      <c r="AQ41" s="64"/>
      <c r="AR41" s="3">
        <v>-1.02</v>
      </c>
      <c r="AS41" s="26" t="s">
        <v>43</v>
      </c>
      <c r="AT41"/>
      <c r="AU41" s="23" t="s">
        <v>143</v>
      </c>
      <c r="AV41" s="66" t="s">
        <v>218</v>
      </c>
      <c r="AW41" s="66"/>
      <c r="AX41" s="24"/>
      <c r="AY41" s="24"/>
      <c r="AZ41" s="24"/>
      <c r="BA41" s="24"/>
      <c r="BB41" s="24"/>
      <c r="BC41" s="24"/>
      <c r="BD41" s="24"/>
      <c r="BE41" s="25"/>
      <c r="BF41"/>
      <c r="BG41" s="62" t="s">
        <v>200</v>
      </c>
      <c r="BH41" s="62"/>
      <c r="BI41" s="62"/>
      <c r="BJ41" s="2"/>
      <c r="BK41" s="62" t="s">
        <v>201</v>
      </c>
      <c r="BL41" s="62"/>
      <c r="BM41" s="62"/>
      <c r="BN41"/>
      <c r="BO41" s="2">
        <v>3</v>
      </c>
      <c r="BP41" s="2">
        <f t="shared" si="35"/>
        <v>3.1415926535897934E-2</v>
      </c>
      <c r="BQ41" s="2">
        <v>-1.0087256377495468</v>
      </c>
      <c r="BR41" s="2">
        <f t="shared" si="36"/>
        <v>0.73042029195962688</v>
      </c>
      <c r="BS41" s="2">
        <v>0.65931242824031244</v>
      </c>
      <c r="BT41" s="2">
        <f t="shared" si="27"/>
        <v>0.38091810924776243</v>
      </c>
      <c r="BU41" s="2">
        <v>0.33184181392598189</v>
      </c>
      <c r="BV41" s="2">
        <f t="shared" si="28"/>
        <v>-0.33473734538445254</v>
      </c>
      <c r="BW41" s="2">
        <f t="shared" si="29"/>
        <v>0.21878743213120905</v>
      </c>
      <c r="BX41" s="2">
        <f t="shared" si="30"/>
        <v>0.6990043654237289</v>
      </c>
      <c r="BY41"/>
      <c r="BZ41" s="2">
        <v>3</v>
      </c>
      <c r="CA41" s="2">
        <f t="shared" si="37"/>
        <v>3.1415926535897934E-2</v>
      </c>
      <c r="CB41" s="2">
        <v>-0.77576178237256532</v>
      </c>
      <c r="CC41" s="2">
        <f t="shared" si="38"/>
        <v>0.73042029195962688</v>
      </c>
      <c r="CD41" s="2">
        <v>0.66102516343157469</v>
      </c>
      <c r="CE41" s="2">
        <f t="shared" si="31"/>
        <v>0.38091810924776243</v>
      </c>
      <c r="CF41" s="2">
        <v>0.34687197390166941</v>
      </c>
      <c r="CG41" s="2">
        <f t="shared" si="32"/>
        <v>-0.26909002072904903</v>
      </c>
      <c r="CH41" s="2">
        <f t="shared" si="33"/>
        <v>0.22929110323818394</v>
      </c>
      <c r="CI41" s="2">
        <f t="shared" si="34"/>
        <v>0.6990043654237289</v>
      </c>
    </row>
    <row r="42" spans="2:87" x14ac:dyDescent="0.2">
      <c r="B42" s="6" t="s">
        <v>214</v>
      </c>
      <c r="C42" s="41">
        <v>1.7363179204150701E-5</v>
      </c>
      <c r="D42" s="6" t="s">
        <v>210</v>
      </c>
      <c r="J42" s="20" t="s">
        <v>72</v>
      </c>
      <c r="K42" s="6">
        <f>ROUND(SUM(K18:K22)/$C$5 * 100, 2)</f>
        <v>5.64</v>
      </c>
      <c r="L42" s="6" t="s">
        <v>61</v>
      </c>
      <c r="AF42" s="2">
        <v>38</v>
      </c>
      <c r="AG42" s="2">
        <f t="shared" si="25"/>
        <v>3920.9901041031117</v>
      </c>
      <c r="AH42" s="2">
        <v>-1.218313627759926E-8</v>
      </c>
      <c r="AI42" s="2">
        <f t="shared" si="26"/>
        <v>3920.9901041358535</v>
      </c>
      <c r="AJ42" s="2">
        <v>3.1186573323793709E-9</v>
      </c>
      <c r="AK42" s="2">
        <f t="shared" si="17"/>
        <v>3920.9901041194826</v>
      </c>
      <c r="AL42" s="2">
        <v>-4.5329215936362743E-9</v>
      </c>
      <c r="AM42" s="2">
        <f t="shared" si="18"/>
        <v>5.5225201510943146E-17</v>
      </c>
      <c r="AN42" s="2">
        <f t="shared" si="19"/>
        <v>-1.413662916509455E-17</v>
      </c>
      <c r="AO42" s="2">
        <f t="shared" si="20"/>
        <v>3.2741809263825417E-8</v>
      </c>
      <c r="AQ42" s="64"/>
      <c r="AR42" s="3">
        <v>-2.34</v>
      </c>
      <c r="AS42" s="26" t="s">
        <v>43</v>
      </c>
      <c r="AT42"/>
      <c r="AU42" s="27"/>
      <c r="AV42" s="63" t="s">
        <v>148</v>
      </c>
      <c r="AW42" s="63"/>
      <c r="AX42" s="63"/>
      <c r="AY42" s="63" t="s">
        <v>149</v>
      </c>
      <c r="AZ42" s="63"/>
      <c r="BA42" s="63"/>
      <c r="BB42" s="63"/>
      <c r="BC42" s="63" t="s">
        <v>150</v>
      </c>
      <c r="BD42" s="63"/>
      <c r="BE42" s="65"/>
      <c r="BF42"/>
      <c r="BG42" s="28" t="s">
        <v>154</v>
      </c>
      <c r="BH42" s="29">
        <f>BT102</f>
        <v>0.13783881731052733</v>
      </c>
      <c r="BI42" s="5" t="s">
        <v>155</v>
      </c>
      <c r="BJ42" s="2"/>
      <c r="BK42" s="28" t="s">
        <v>154</v>
      </c>
      <c r="BL42" s="29">
        <f>CE102</f>
        <v>0.12222665873357111</v>
      </c>
      <c r="BM42" s="5" t="s">
        <v>155</v>
      </c>
      <c r="BN42"/>
      <c r="BO42" s="2">
        <v>4</v>
      </c>
      <c r="BP42" s="2">
        <f t="shared" si="35"/>
        <v>3.1415926535897934E-2</v>
      </c>
      <c r="BQ42" s="2">
        <v>-1.0087256377495468</v>
      </c>
      <c r="BR42" s="2">
        <f t="shared" si="36"/>
        <v>0.38091810924776243</v>
      </c>
      <c r="BS42" s="2">
        <v>0.33184181392598189</v>
      </c>
      <c r="BT42" s="2">
        <f t="shared" si="27"/>
        <v>0.20616701789183017</v>
      </c>
      <c r="BU42" s="2">
        <v>5.1052757256580726E-2</v>
      </c>
      <c r="BV42" s="2">
        <f t="shared" si="28"/>
        <v>-5.1498225122517199E-2</v>
      </c>
      <c r="BW42" s="2">
        <f t="shared" si="29"/>
        <v>1.6941439573946584E-2</v>
      </c>
      <c r="BX42" s="2">
        <f t="shared" si="30"/>
        <v>0.34950218271186451</v>
      </c>
      <c r="BY42"/>
      <c r="BZ42" s="2">
        <v>4</v>
      </c>
      <c r="CA42" s="2">
        <f t="shared" si="37"/>
        <v>3.1415926535897934E-2</v>
      </c>
      <c r="CB42" s="2">
        <v>-0.77576178237256532</v>
      </c>
      <c r="CC42" s="2">
        <f t="shared" si="38"/>
        <v>0.38091810924776243</v>
      </c>
      <c r="CD42" s="2">
        <v>0.34687197390166941</v>
      </c>
      <c r="CE42" s="2">
        <f t="shared" si="31"/>
        <v>0.20616701789183017</v>
      </c>
      <c r="CF42" s="2">
        <v>9.7808677316178858E-2</v>
      </c>
      <c r="CG42" s="2">
        <f t="shared" si="32"/>
        <v>-7.5876233846302016E-2</v>
      </c>
      <c r="CH42" s="2">
        <f t="shared" si="33"/>
        <v>3.39270889653744E-2</v>
      </c>
      <c r="CI42" s="2">
        <f t="shared" si="34"/>
        <v>0.34950218271186451</v>
      </c>
    </row>
    <row r="43" spans="2:87" x14ac:dyDescent="0.2">
      <c r="B43" s="6" t="s">
        <v>132</v>
      </c>
      <c r="C43" s="17">
        <v>333.91694458017901</v>
      </c>
      <c r="D43" s="6" t="s">
        <v>10</v>
      </c>
      <c r="J43" s="15" t="s">
        <v>73</v>
      </c>
      <c r="K43" s="6">
        <f>ROUND(SUM(K23:K26)/$C$5*100, 2)</f>
        <v>5.0199999999999996</v>
      </c>
      <c r="L43" s="6" t="s">
        <v>61</v>
      </c>
      <c r="AF43" s="2">
        <v>39</v>
      </c>
      <c r="AG43" s="2">
        <f t="shared" si="25"/>
        <v>3920.9901041194826</v>
      </c>
      <c r="AH43" s="2">
        <v>-4.5329215936362743E-9</v>
      </c>
      <c r="AI43" s="2">
        <f t="shared" si="26"/>
        <v>3920.9901041358535</v>
      </c>
      <c r="AJ43" s="2">
        <v>3.1186573323793709E-9</v>
      </c>
      <c r="AK43" s="2">
        <f t="shared" si="17"/>
        <v>3920.990104127668</v>
      </c>
      <c r="AL43" s="2">
        <v>-7.0895112003199756E-10</v>
      </c>
      <c r="AM43" s="2">
        <f t="shared" si="18"/>
        <v>3.213619840825664E-18</v>
      </c>
      <c r="AN43" s="2">
        <f t="shared" si="19"/>
        <v>-2.2109756087863567E-18</v>
      </c>
      <c r="AO43" s="2">
        <f t="shared" si="20"/>
        <v>1.6370904631912708E-8</v>
      </c>
      <c r="AQ43" s="2"/>
      <c r="AR43" s="2"/>
      <c r="AS43" s="26"/>
      <c r="AT43"/>
      <c r="AU43" s="27"/>
      <c r="AV43" s="4" t="s">
        <v>156</v>
      </c>
      <c r="AW43" s="2">
        <v>-180</v>
      </c>
      <c r="AX43" s="2">
        <v>-9.5</v>
      </c>
      <c r="AY43" s="63" t="s">
        <v>156</v>
      </c>
      <c r="AZ43" s="63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F43"/>
      <c r="BG43" s="2" t="s">
        <v>159</v>
      </c>
      <c r="BH43" s="2">
        <f>($AR$39+$AR$5)/180*PI()</f>
        <v>0.29764338324616268</v>
      </c>
      <c r="BI43" s="2" t="s">
        <v>155</v>
      </c>
      <c r="BJ43" s="2"/>
      <c r="BK43" s="2" t="s">
        <v>159</v>
      </c>
      <c r="BL43" s="2">
        <f>($AR$40+$AR$5)/180*PI()</f>
        <v>0.27460503711983758</v>
      </c>
      <c r="BM43" s="2" t="s">
        <v>155</v>
      </c>
      <c r="BN43"/>
      <c r="BO43" s="2">
        <v>5</v>
      </c>
      <c r="BP43" s="2">
        <f t="shared" si="35"/>
        <v>3.1415926535897934E-2</v>
      </c>
      <c r="BQ43" s="2">
        <v>-1.0087256377495468</v>
      </c>
      <c r="BR43" s="2">
        <f t="shared" si="36"/>
        <v>0.20616701789183017</v>
      </c>
      <c r="BS43" s="2">
        <v>5.1052757256580726E-2</v>
      </c>
      <c r="BT43" s="2">
        <f t="shared" si="27"/>
        <v>0.11879147221386405</v>
      </c>
      <c r="BU43" s="2">
        <v>-0.1838208267732083</v>
      </c>
      <c r="BV43" s="2">
        <f t="shared" si="28"/>
        <v>0.1854247807184535</v>
      </c>
      <c r="BW43" s="2">
        <f t="shared" si="29"/>
        <v>-9.3845600479565781E-3</v>
      </c>
      <c r="BX43" s="2">
        <f t="shared" si="30"/>
        <v>0.17475109135593225</v>
      </c>
      <c r="BY43"/>
      <c r="BZ43" s="2">
        <v>5</v>
      </c>
      <c r="CA43" s="2">
        <f t="shared" si="37"/>
        <v>3.1415926535897934E-2</v>
      </c>
      <c r="CB43" s="2">
        <v>-0.77576178237256532</v>
      </c>
      <c r="CC43" s="2">
        <f t="shared" si="38"/>
        <v>0.20616701789183017</v>
      </c>
      <c r="CD43" s="2">
        <v>9.7808677316178858E-2</v>
      </c>
      <c r="CE43" s="2">
        <f t="shared" si="31"/>
        <v>0.11879147221386405</v>
      </c>
      <c r="CF43" s="2">
        <v>-0.10082412041758446</v>
      </c>
      <c r="CG43" s="2">
        <f t="shared" si="32"/>
        <v>7.8215499361291477E-2</v>
      </c>
      <c r="CH43" s="2">
        <f t="shared" si="33"/>
        <v>-9.8614738596110776E-3</v>
      </c>
      <c r="CI43" s="2">
        <f t="shared" si="34"/>
        <v>0.17475109135593225</v>
      </c>
    </row>
    <row r="44" spans="2:87" x14ac:dyDescent="0.2">
      <c r="B44" s="6" t="s">
        <v>17</v>
      </c>
      <c r="C44" s="1">
        <v>9.80149119240094</v>
      </c>
      <c r="D44" s="6" t="s">
        <v>18</v>
      </c>
      <c r="J44" s="10" t="s">
        <v>62</v>
      </c>
      <c r="K44" s="10">
        <f>SUM(K39:K43)</f>
        <v>100</v>
      </c>
      <c r="L44" s="10" t="s">
        <v>61</v>
      </c>
      <c r="AF44" s="2">
        <v>40</v>
      </c>
      <c r="AG44" s="2">
        <f t="shared" si="25"/>
        <v>3920.990104127668</v>
      </c>
      <c r="AH44" s="2">
        <v>-7.0895112003199756E-10</v>
      </c>
      <c r="AI44" s="2">
        <f t="shared" si="26"/>
        <v>3920.9901041358535</v>
      </c>
      <c r="AJ44" s="2">
        <v>3.1186573323793709E-9</v>
      </c>
      <c r="AK44" s="5">
        <f>(AG44+AI44)/2</f>
        <v>3920.9901041317607</v>
      </c>
      <c r="AL44" s="2">
        <v>1.2037162377964705E-9</v>
      </c>
      <c r="AM44" s="2">
        <f t="shared" si="18"/>
        <v>-8.5337597498651009E-19</v>
      </c>
      <c r="AN44" s="2">
        <f t="shared" si="19"/>
        <v>3.7539784711080733E-18</v>
      </c>
      <c r="AO44" s="2">
        <f t="shared" si="20"/>
        <v>8.1854523159563541E-9</v>
      </c>
      <c r="AQ44" s="61" t="s">
        <v>209</v>
      </c>
      <c r="AR44" s="61"/>
      <c r="AS44" s="61"/>
      <c r="AT44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F44"/>
      <c r="BG44" s="2" t="s">
        <v>28</v>
      </c>
      <c r="BH44" s="2">
        <f>BH43-BH42</f>
        <v>0.15980456593563536</v>
      </c>
      <c r="BI44" s="2" t="s">
        <v>155</v>
      </c>
      <c r="BJ44" s="2"/>
      <c r="BK44" s="2" t="s">
        <v>28</v>
      </c>
      <c r="BL44" s="2">
        <f>BL43-BL42</f>
        <v>0.15237837838626647</v>
      </c>
      <c r="BM44" s="2" t="s">
        <v>155</v>
      </c>
      <c r="BN44"/>
      <c r="BO44" s="2">
        <v>6</v>
      </c>
      <c r="BP44" s="2">
        <f t="shared" si="35"/>
        <v>0.11879147221386405</v>
      </c>
      <c r="BQ44" s="2">
        <v>-0.1838208267732083</v>
      </c>
      <c r="BR44" s="2">
        <f t="shared" si="36"/>
        <v>0.20616701789183017</v>
      </c>
      <c r="BS44" s="2">
        <v>5.1052757256580726E-2</v>
      </c>
      <c r="BT44" s="2">
        <f t="shared" si="27"/>
        <v>0.16247924505284711</v>
      </c>
      <c r="BU44" s="2">
        <v>-5.0097478911971471E-2</v>
      </c>
      <c r="BV44" s="2">
        <f t="shared" si="28"/>
        <v>9.208959992851963E-3</v>
      </c>
      <c r="BW44" s="2">
        <f t="shared" si="29"/>
        <v>-2.5576144300595515E-3</v>
      </c>
      <c r="BX44" s="2">
        <f t="shared" si="30"/>
        <v>8.7375545677966127E-2</v>
      </c>
      <c r="BY44"/>
      <c r="BZ44" s="2">
        <v>6</v>
      </c>
      <c r="CA44" s="2">
        <f t="shared" si="37"/>
        <v>0.11879147221386405</v>
      </c>
      <c r="CB44" s="2">
        <v>-0.10082412041758446</v>
      </c>
      <c r="CC44" s="2">
        <f t="shared" si="38"/>
        <v>0.20616701789183017</v>
      </c>
      <c r="CD44" s="2">
        <v>9.7808677316178858E-2</v>
      </c>
      <c r="CE44" s="2">
        <f t="shared" si="31"/>
        <v>0.16247924505284711</v>
      </c>
      <c r="CF44" s="2">
        <v>1.1444549336160126E-2</v>
      </c>
      <c r="CG44" s="2">
        <f t="shared" si="32"/>
        <v>-1.1538866203939949E-3</v>
      </c>
      <c r="CH44" s="2">
        <f t="shared" si="33"/>
        <v>1.1193762330495747E-3</v>
      </c>
      <c r="CI44" s="2">
        <f t="shared" si="34"/>
        <v>8.7375545677966127E-2</v>
      </c>
    </row>
    <row r="45" spans="2:87" x14ac:dyDescent="0.2">
      <c r="AQ45" s="2" t="s">
        <v>19</v>
      </c>
      <c r="AR45" s="2">
        <f>$C$41</f>
        <v>1.0397562309141399</v>
      </c>
      <c r="AS45" s="26" t="s">
        <v>16</v>
      </c>
      <c r="AT45"/>
      <c r="AU45" s="34" t="s">
        <v>164</v>
      </c>
      <c r="AV45" s="35">
        <v>-1.4875000000000001E-4</v>
      </c>
      <c r="AW45" s="35">
        <v>-2.818766E-2</v>
      </c>
      <c r="AX45" s="35">
        <v>-0.15965826999999999</v>
      </c>
      <c r="AY45" s="35">
        <v>-4.4100000000000001E-6</v>
      </c>
      <c r="AZ45" s="35">
        <v>3.8060999999999998E-4</v>
      </c>
      <c r="BA45" s="35">
        <v>-2.2518899999999999E-3</v>
      </c>
      <c r="BB45" s="35">
        <v>6.2865899999999999E-3</v>
      </c>
      <c r="BC45" s="35">
        <v>-2.0911000000000001E-4</v>
      </c>
      <c r="BD45" s="35">
        <v>4.150877E-2</v>
      </c>
      <c r="BE45" s="36">
        <v>-0.59881362999999999</v>
      </c>
      <c r="BF45"/>
      <c r="BG45" s="2" t="s">
        <v>168</v>
      </c>
      <c r="BH45" s="2">
        <f>BH44/PI()*180</f>
        <v>9.1561271750319904</v>
      </c>
      <c r="BI45" s="2" t="s">
        <v>43</v>
      </c>
      <c r="BJ45" s="2"/>
      <c r="BK45" s="2" t="s">
        <v>168</v>
      </c>
      <c r="BL45" s="2">
        <f>BL44/PI()*180</f>
        <v>8.7306379705805526</v>
      </c>
      <c r="BM45" s="2" t="s">
        <v>43</v>
      </c>
      <c r="BN45"/>
      <c r="BO45" s="2">
        <v>7</v>
      </c>
      <c r="BP45" s="2">
        <f t="shared" si="35"/>
        <v>0.16247924505284711</v>
      </c>
      <c r="BQ45" s="2">
        <v>-5.0097478911971471E-2</v>
      </c>
      <c r="BR45" s="2">
        <f t="shared" si="36"/>
        <v>0.20616701789183017</v>
      </c>
      <c r="BS45" s="2">
        <v>5.1052757256580726E-2</v>
      </c>
      <c r="BT45" s="2">
        <f t="shared" si="27"/>
        <v>0.18432313147233864</v>
      </c>
      <c r="BU45" s="2">
        <v>3.2916036358679943E-3</v>
      </c>
      <c r="BV45" s="2">
        <f t="shared" si="28"/>
        <v>-1.6490104373446547E-4</v>
      </c>
      <c r="BW45" s="2">
        <f t="shared" si="29"/>
        <v>1.6804544140684724E-4</v>
      </c>
      <c r="BX45" s="2">
        <f t="shared" si="30"/>
        <v>4.3687772838983063E-2</v>
      </c>
      <c r="BY45"/>
      <c r="BZ45" s="2">
        <v>7</v>
      </c>
      <c r="CA45" s="2">
        <f t="shared" si="37"/>
        <v>0.11879147221386405</v>
      </c>
      <c r="CB45" s="2">
        <v>-0.10082412041758446</v>
      </c>
      <c r="CC45" s="2">
        <f t="shared" si="38"/>
        <v>0.16247924505284711</v>
      </c>
      <c r="CD45" s="2">
        <v>1.1444549336160126E-2</v>
      </c>
      <c r="CE45" s="2">
        <f t="shared" si="31"/>
        <v>0.14063535863335558</v>
      </c>
      <c r="CF45" s="2">
        <v>-4.013097628567084E-2</v>
      </c>
      <c r="CG45" s="2">
        <f t="shared" si="32"/>
        <v>4.0461703855017026E-3</v>
      </c>
      <c r="CH45" s="2">
        <f t="shared" si="33"/>
        <v>-4.5928093800963194E-4</v>
      </c>
      <c r="CI45" s="2">
        <f t="shared" si="34"/>
        <v>4.3687772838983063E-2</v>
      </c>
    </row>
    <row r="46" spans="2:87" x14ac:dyDescent="0.2">
      <c r="B46" s="59" t="s">
        <v>273</v>
      </c>
      <c r="C46" s="60"/>
      <c r="D46" s="60"/>
      <c r="AQ46" s="2" t="s">
        <v>31</v>
      </c>
      <c r="AR46" s="37">
        <f>$C$42</f>
        <v>1.7363179204150701E-5</v>
      </c>
      <c r="AS46" s="26" t="s">
        <v>210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s="2" t="s">
        <v>171</v>
      </c>
      <c r="BH46" s="2">
        <f xml:space="preserve"> $AR$8*$AR$31 / (2*PI()*$AR$23)</f>
        <v>4.91245318250716E-2</v>
      </c>
      <c r="BI46" s="2"/>
      <c r="BJ46" s="2"/>
      <c r="BK46" s="2" t="s">
        <v>171</v>
      </c>
      <c r="BL46" s="2">
        <f xml:space="preserve"> $AR$8*$AR$32 / (2*PI()*$AR$24)</f>
        <v>4.0321081617108803E-2</v>
      </c>
      <c r="BM46" s="2"/>
      <c r="BN46"/>
      <c r="BO46" s="2">
        <v>8</v>
      </c>
      <c r="BP46" s="2">
        <f t="shared" si="35"/>
        <v>0.16247924505284711</v>
      </c>
      <c r="BQ46" s="2">
        <v>-5.0097478911971471E-2</v>
      </c>
      <c r="BR46" s="2">
        <f t="shared" si="36"/>
        <v>0.18432313147233864</v>
      </c>
      <c r="BS46" s="2">
        <v>3.2916036358679943E-3</v>
      </c>
      <c r="BT46" s="2">
        <f t="shared" si="27"/>
        <v>0.17340118826259288</v>
      </c>
      <c r="BU46" s="2">
        <v>-2.2589718520627793E-2</v>
      </c>
      <c r="BV46" s="2">
        <f t="shared" si="28"/>
        <v>1.1316879472145222E-3</v>
      </c>
      <c r="BW46" s="2">
        <f t="shared" si="29"/>
        <v>-7.4356399615733005E-5</v>
      </c>
      <c r="BX46" s="2">
        <f t="shared" si="30"/>
        <v>2.1843886419491532E-2</v>
      </c>
      <c r="BY46"/>
      <c r="BZ46" s="2">
        <v>8</v>
      </c>
      <c r="CA46" s="2">
        <f t="shared" si="37"/>
        <v>0.14063535863335558</v>
      </c>
      <c r="CB46" s="2">
        <v>-4.013097628567084E-2</v>
      </c>
      <c r="CC46" s="2">
        <f t="shared" si="38"/>
        <v>0.16247924505284711</v>
      </c>
      <c r="CD46" s="2">
        <v>1.1444549336160126E-2</v>
      </c>
      <c r="CE46" s="2">
        <f t="shared" si="31"/>
        <v>0.15155730184310134</v>
      </c>
      <c r="CF46" s="2">
        <v>-1.3426549107574633E-2</v>
      </c>
      <c r="CG46" s="2">
        <f t="shared" si="32"/>
        <v>5.3882052383447251E-4</v>
      </c>
      <c r="CH46" s="2">
        <f t="shared" si="33"/>
        <v>-1.5366080367601459E-4</v>
      </c>
      <c r="CI46" s="2">
        <f t="shared" si="34"/>
        <v>2.1843886419491532E-2</v>
      </c>
    </row>
    <row r="47" spans="2:87" x14ac:dyDescent="0.2">
      <c r="B47" s="6" t="s">
        <v>15</v>
      </c>
      <c r="C47" s="17">
        <v>1.00854450666398</v>
      </c>
      <c r="D47" s="6" t="s">
        <v>16</v>
      </c>
      <c r="AF47" s="72" t="s">
        <v>222</v>
      </c>
      <c r="AG47" s="72"/>
      <c r="AH47" s="72"/>
      <c r="AI47" s="72"/>
      <c r="AJ47" s="2"/>
      <c r="AK47" s="2"/>
      <c r="AL47" s="2"/>
      <c r="AM47" s="2"/>
      <c r="AN47" s="2"/>
      <c r="AO47" s="2"/>
      <c r="AT47"/>
      <c r="AU47" s="23" t="s">
        <v>143</v>
      </c>
      <c r="AV47" s="66" t="s">
        <v>218</v>
      </c>
      <c r="AW47" s="66"/>
      <c r="AX47" s="24"/>
      <c r="AY47" s="24"/>
      <c r="AZ47" s="24"/>
      <c r="BA47" s="24"/>
      <c r="BB47" s="24"/>
      <c r="BC47" s="24"/>
      <c r="BD47" s="24"/>
      <c r="BE47" s="27"/>
      <c r="BF47"/>
      <c r="BG47" s="2" t="s">
        <v>175</v>
      </c>
      <c r="BH47" s="2">
        <f>IF(-$AR$8*($AV$3-$AR$23)/(2*$AR$23*SIN(BH42))&gt;500, 1, 2*ACOS(MIN(1, EXP(-$AR$8*($AV$3-$AR$23)/(2*$AR$23*SIN(BH42)))))/PI() )</f>
        <v>0.99931472082059625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0.99401310341653371</v>
      </c>
      <c r="BM47" s="2"/>
      <c r="BN47"/>
      <c r="BO47" s="2">
        <v>9</v>
      </c>
      <c r="BP47" s="2">
        <f t="shared" si="35"/>
        <v>0.17340118826259288</v>
      </c>
      <c r="BQ47" s="2">
        <v>-2.2589718520627793E-2</v>
      </c>
      <c r="BR47" s="2">
        <f t="shared" si="36"/>
        <v>0.18432313147233864</v>
      </c>
      <c r="BS47" s="2">
        <v>3.2916036358679943E-3</v>
      </c>
      <c r="BT47" s="2">
        <f t="shared" si="27"/>
        <v>0.17886215986746576</v>
      </c>
      <c r="BU47" s="2">
        <v>-9.4614391999192499E-3</v>
      </c>
      <c r="BV47" s="2">
        <f t="shared" si="28"/>
        <v>2.1373124832620968E-4</v>
      </c>
      <c r="BW47" s="2">
        <f t="shared" si="29"/>
        <v>-3.1143307670998172E-5</v>
      </c>
      <c r="BX47" s="2">
        <f t="shared" si="30"/>
        <v>1.0921943209745766E-2</v>
      </c>
      <c r="BY47"/>
      <c r="BZ47" s="2">
        <v>9</v>
      </c>
      <c r="CA47" s="2">
        <f t="shared" si="37"/>
        <v>0.15155730184310134</v>
      </c>
      <c r="CB47" s="2">
        <v>-1.3426549107574633E-2</v>
      </c>
      <c r="CC47" s="2">
        <f t="shared" si="38"/>
        <v>0.16247924505284711</v>
      </c>
      <c r="CD47" s="2">
        <v>1.1444549336160126E-2</v>
      </c>
      <c r="CE47" s="2">
        <f t="shared" si="31"/>
        <v>0.15701827344797423</v>
      </c>
      <c r="CF47" s="2">
        <v>-7.8304608813938026E-4</v>
      </c>
      <c r="CG47" s="2">
        <f t="shared" si="32"/>
        <v>1.0513606755897603E-5</v>
      </c>
      <c r="CH47" s="2">
        <f t="shared" si="33"/>
        <v>-8.9616095881983272E-6</v>
      </c>
      <c r="CI47" s="2">
        <f t="shared" si="34"/>
        <v>1.0921943209745766E-2</v>
      </c>
    </row>
    <row r="48" spans="2:87" x14ac:dyDescent="0.2">
      <c r="B48" s="6" t="s">
        <v>214</v>
      </c>
      <c r="C48" s="41">
        <v>1.7265641515845801E-5</v>
      </c>
      <c r="D48" s="6" t="s">
        <v>210</v>
      </c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T48"/>
      <c r="AU48" s="27"/>
      <c r="AV48" s="63" t="s">
        <v>148</v>
      </c>
      <c r="AW48" s="63"/>
      <c r="AX48" s="63"/>
      <c r="AY48" s="63" t="s">
        <v>149</v>
      </c>
      <c r="AZ48" s="63"/>
      <c r="BA48" s="63"/>
      <c r="BB48" s="63" t="s">
        <v>150</v>
      </c>
      <c r="BC48" s="63"/>
      <c r="BD48" s="63"/>
      <c r="BE48" s="49"/>
      <c r="BF48"/>
      <c r="BG48" s="2" t="s">
        <v>180</v>
      </c>
      <c r="BH48" s="2">
        <f>IF(-$AR$8*($AR$23-$AR$10)/(2*$AR$23*SIN(BH42))&gt;500, 1, 2*ACOS(MIN(1, EXP(-$AR$8*($AR$23-$AR$10)/(2*$AR$23*SIN(BH42)))))/PI() )</f>
        <v>0.99990275577156118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0.99997786020306723</v>
      </c>
      <c r="BM48" s="2"/>
      <c r="BN48"/>
      <c r="BO48" s="2">
        <v>10</v>
      </c>
      <c r="BP48" s="2">
        <f t="shared" si="35"/>
        <v>0.17886215986746576</v>
      </c>
      <c r="BQ48" s="2">
        <v>-9.4614391999192499E-3</v>
      </c>
      <c r="BR48" s="2">
        <f t="shared" si="36"/>
        <v>0.18432313147233864</v>
      </c>
      <c r="BS48" s="2">
        <v>3.2916036358679943E-3</v>
      </c>
      <c r="BT48" s="2">
        <f t="shared" si="27"/>
        <v>0.18159264566990219</v>
      </c>
      <c r="BU48" s="2">
        <v>-3.0397784152900106E-3</v>
      </c>
      <c r="BV48" s="2">
        <f t="shared" si="28"/>
        <v>2.8760678657493324E-5</v>
      </c>
      <c r="BW48" s="2">
        <f t="shared" si="29"/>
        <v>-1.0005745684001649E-5</v>
      </c>
      <c r="BX48" s="2">
        <f t="shared" si="30"/>
        <v>5.4609716048728829E-3</v>
      </c>
      <c r="BY48"/>
      <c r="BZ48" s="2">
        <v>10</v>
      </c>
      <c r="CA48" s="2">
        <f t="shared" si="37"/>
        <v>0.15701827344797423</v>
      </c>
      <c r="CB48" s="2">
        <v>-7.8304608813938026E-4</v>
      </c>
      <c r="CC48" s="2">
        <f t="shared" si="38"/>
        <v>0.16247924505284711</v>
      </c>
      <c r="CD48" s="2">
        <v>1.1444549336160126E-2</v>
      </c>
      <c r="CE48" s="2">
        <f t="shared" si="31"/>
        <v>0.15974875925041065</v>
      </c>
      <c r="CF48" s="2">
        <v>5.3803977335417016E-3</v>
      </c>
      <c r="CG48" s="2">
        <f t="shared" si="32"/>
        <v>-4.2130993978838168E-6</v>
      </c>
      <c r="CH48" s="2">
        <f t="shared" si="33"/>
        <v>6.1576227309682126E-5</v>
      </c>
      <c r="CI48" s="2">
        <f t="shared" si="34"/>
        <v>5.4609716048728829E-3</v>
      </c>
    </row>
    <row r="49" spans="2:87" x14ac:dyDescent="0.2">
      <c r="B49" s="6" t="s">
        <v>132</v>
      </c>
      <c r="C49" s="17">
        <v>332.721752148093</v>
      </c>
      <c r="D49" s="6" t="s">
        <v>10</v>
      </c>
      <c r="AF49" s="2">
        <v>0</v>
      </c>
      <c r="AG49" s="2"/>
      <c r="AH49" s="2">
        <f>G11</f>
        <v>0.31616106696128554</v>
      </c>
      <c r="AI49" s="2"/>
      <c r="AJ49" s="2">
        <f>G11</f>
        <v>0.31616106696128554</v>
      </c>
      <c r="AK49" s="2"/>
      <c r="AL49" s="2">
        <f>G11</f>
        <v>0.31616106696128554</v>
      </c>
      <c r="AM49" s="2"/>
      <c r="AN49" s="2"/>
      <c r="AO49" s="2"/>
      <c r="AT49"/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4" t="s">
        <v>156</v>
      </c>
      <c r="BC49" s="2">
        <v>19.25</v>
      </c>
      <c r="BD49" s="2">
        <v>180</v>
      </c>
      <c r="BE49" s="50"/>
      <c r="BF49"/>
      <c r="BG49" s="2" t="s">
        <v>183</v>
      </c>
      <c r="BH49" s="2">
        <f>IF(BH42=0,1,BH47*BH48)</f>
        <v>0.9992175432316025</v>
      </c>
      <c r="BI49" s="2"/>
      <c r="BJ49" s="2"/>
      <c r="BK49" s="2" t="s">
        <v>183</v>
      </c>
      <c r="BL49" s="2">
        <f>IF(BL42=0,1,BL47*BL48)</f>
        <v>0.99399109616827552</v>
      </c>
      <c r="BM49" s="2"/>
      <c r="BN49"/>
      <c r="BO49" s="2">
        <v>11</v>
      </c>
      <c r="BP49" s="2">
        <f t="shared" si="35"/>
        <v>0.18159264566990219</v>
      </c>
      <c r="BQ49" s="2">
        <v>-3.0397784152900106E-3</v>
      </c>
      <c r="BR49" s="2">
        <f t="shared" si="36"/>
        <v>0.18432313147233864</v>
      </c>
      <c r="BS49" s="2">
        <v>3.2916036358679943E-3</v>
      </c>
      <c r="BT49" s="2">
        <f t="shared" si="27"/>
        <v>0.18295788857112041</v>
      </c>
      <c r="BU49" s="2">
        <v>1.3698766547013547E-4</v>
      </c>
      <c r="BV49" s="2">
        <f t="shared" si="28"/>
        <v>-4.1641214865708651E-7</v>
      </c>
      <c r="BW49" s="2">
        <f t="shared" si="29"/>
        <v>4.5090909773056641E-7</v>
      </c>
      <c r="BX49" s="2">
        <f t="shared" si="30"/>
        <v>2.7304858024364553E-3</v>
      </c>
      <c r="BY49"/>
      <c r="BZ49" s="2">
        <v>11</v>
      </c>
      <c r="CA49" s="2">
        <f t="shared" si="37"/>
        <v>0.15701827344797423</v>
      </c>
      <c r="CB49" s="2">
        <v>-7.8304608813938026E-4</v>
      </c>
      <c r="CC49" s="2">
        <f t="shared" si="38"/>
        <v>0.15974875925041065</v>
      </c>
      <c r="CD49" s="2">
        <v>5.3803977335417016E-3</v>
      </c>
      <c r="CE49" s="2">
        <f t="shared" si="31"/>
        <v>0.15838351634919245</v>
      </c>
      <c r="CF49" s="2">
        <v>2.3113678967520493E-3</v>
      </c>
      <c r="CG49" s="2">
        <f t="shared" si="32"/>
        <v>-1.8099075898026392E-6</v>
      </c>
      <c r="CH49" s="2">
        <f t="shared" si="33"/>
        <v>1.2436078593065775E-5</v>
      </c>
      <c r="CI49" s="2">
        <f t="shared" si="34"/>
        <v>2.7304858024364276E-3</v>
      </c>
    </row>
    <row r="50" spans="2:87" x14ac:dyDescent="0.2">
      <c r="B50" s="6" t="s">
        <v>17</v>
      </c>
      <c r="C50" s="1">
        <v>9.8005536647414697</v>
      </c>
      <c r="D50" s="6" t="s">
        <v>18</v>
      </c>
      <c r="AF50" s="2">
        <v>1</v>
      </c>
      <c r="AG50" s="3">
        <v>50</v>
      </c>
      <c r="AH50" s="2">
        <f t="dataTable" ref="AH50:AH79" dt2D="0" dtr="0" r1="C6" ca="1"/>
        <v>9156.0857591775784</v>
      </c>
      <c r="AI50" s="3">
        <v>1500</v>
      </c>
      <c r="AJ50" s="2">
        <f t="dataTable" ref="AJ50:AJ79" dt2D="0" dtr="0" r1="C6" ca="1"/>
        <v>-243402.47948275742</v>
      </c>
      <c r="AK50" s="2">
        <f t="shared" ref="AK50:AK79" si="39">(AG50+AI50)/2</f>
        <v>775</v>
      </c>
      <c r="AL50" s="2">
        <f t="dataTable" ref="AL50:AL79" dt2D="0" dtr="0" r1="C6" ca="1"/>
        <v>-58057.080797143848</v>
      </c>
      <c r="AM50" s="2">
        <f t="shared" ref="AM50:AM79" si="40">AH50*AL50</f>
        <v>-531575610.70615083</v>
      </c>
      <c r="AN50" s="2">
        <f t="shared" ref="AN50:AN79" si="41">AJ50*AL50</f>
        <v>14131237417.555595</v>
      </c>
      <c r="AO50" s="2">
        <f t="shared" ref="AO50:AO79" si="42">AI50-AG50</f>
        <v>1450</v>
      </c>
      <c r="AT50"/>
      <c r="AU50" s="70" t="s">
        <v>160</v>
      </c>
      <c r="AV50" s="51">
        <v>-8.3549000000000003E-12</v>
      </c>
      <c r="AW50" s="24">
        <v>-4.7840743999999998E-9</v>
      </c>
      <c r="AX50" s="25">
        <v>-1.0649366135999999E-6</v>
      </c>
      <c r="AY50" s="51">
        <v>3.7015648000000001E-9</v>
      </c>
      <c r="AZ50" s="24">
        <v>-1.9299895869999999E-7</v>
      </c>
      <c r="BA50" s="25">
        <v>-1.9025591952999999E-6</v>
      </c>
      <c r="BB50" s="2">
        <v>9.9660000000000001E-12</v>
      </c>
      <c r="BC50" s="2">
        <v>-5.5831206999999999E-9</v>
      </c>
      <c r="BD50" s="2">
        <v>1.2239417548000001E-6</v>
      </c>
      <c r="BE50" s="27"/>
      <c r="BF50"/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1.1856094254233884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1.1445917569897246</v>
      </c>
      <c r="BM50" s="2"/>
      <c r="BN50"/>
      <c r="BO50" s="2">
        <v>12</v>
      </c>
      <c r="BP50" s="2">
        <f t="shared" si="35"/>
        <v>0.18159264566990219</v>
      </c>
      <c r="BQ50" s="2">
        <v>-3.0397784152900106E-3</v>
      </c>
      <c r="BR50" s="2">
        <f t="shared" si="36"/>
        <v>0.18295788857112041</v>
      </c>
      <c r="BS50" s="2">
        <v>1.3698766547013547E-4</v>
      </c>
      <c r="BT50" s="2">
        <f t="shared" si="27"/>
        <v>0.18227526712051129</v>
      </c>
      <c r="BU50" s="2">
        <v>-1.4486008492670122E-3</v>
      </c>
      <c r="BV50" s="2">
        <f t="shared" si="28"/>
        <v>4.403425593972642E-6</v>
      </c>
      <c r="BW50" s="2">
        <f t="shared" si="29"/>
        <v>-1.984404485391436E-7</v>
      </c>
      <c r="BX50" s="2">
        <f t="shared" si="30"/>
        <v>1.3652429012182277E-3</v>
      </c>
      <c r="BY50"/>
      <c r="BZ50" s="2">
        <v>12</v>
      </c>
      <c r="CA50" s="2">
        <f t="shared" si="37"/>
        <v>0.15701827344797423</v>
      </c>
      <c r="CB50" s="2">
        <v>-7.8304608813938026E-4</v>
      </c>
      <c r="CC50" s="2">
        <f t="shared" si="38"/>
        <v>0.15838351634919245</v>
      </c>
      <c r="CD50" s="2">
        <v>2.3113678967520493E-3</v>
      </c>
      <c r="CE50" s="2">
        <f t="shared" si="31"/>
        <v>0.15770089489858335</v>
      </c>
      <c r="CF50" s="2">
        <v>7.6737002062441523E-4</v>
      </c>
      <c r="CG50" s="2">
        <f t="shared" si="32"/>
        <v>-6.008860928053839E-7</v>
      </c>
      <c r="CH50" s="2">
        <f t="shared" si="33"/>
        <v>1.7736744306012312E-6</v>
      </c>
      <c r="CI50" s="2">
        <f t="shared" si="34"/>
        <v>1.3652429012182277E-3</v>
      </c>
    </row>
    <row r="51" spans="2:87" x14ac:dyDescent="0.2">
      <c r="AF51" s="2">
        <v>2</v>
      </c>
      <c r="AG51" s="2">
        <f t="shared" ref="AG51:AG79" si="43">IF(AM50&gt;0, AK50, AG50)</f>
        <v>50</v>
      </c>
      <c r="AH51" s="2">
        <v>9156.0857591775784</v>
      </c>
      <c r="AI51" s="2">
        <f t="shared" ref="AI51:AI79" si="44">IF(AN50&gt;0, AK50, AI50)</f>
        <v>775</v>
      </c>
      <c r="AJ51" s="2">
        <v>-58057.080797143848</v>
      </c>
      <c r="AK51" s="2">
        <f t="shared" si="39"/>
        <v>412.5</v>
      </c>
      <c r="AL51" s="2">
        <v>-9683.9685028216063</v>
      </c>
      <c r="AM51" s="2">
        <f t="shared" si="40"/>
        <v>-88667246.10100913</v>
      </c>
      <c r="AN51" s="2">
        <f t="shared" si="41"/>
        <v>562222941.80531013</v>
      </c>
      <c r="AO51" s="2">
        <f t="shared" si="42"/>
        <v>725</v>
      </c>
      <c r="AT51"/>
      <c r="AU51" s="70"/>
      <c r="AV51" s="27">
        <v>-1.144044407873E-4</v>
      </c>
      <c r="AW51" s="2">
        <v>-5.9672629119978003E-3</v>
      </c>
      <c r="AX51" s="31">
        <v>-0.147383228322227</v>
      </c>
      <c r="AY51" s="27">
        <v>-7.5438890733199999E-5</v>
      </c>
      <c r="AZ51" s="2">
        <v>3.1904994716390001E-4</v>
      </c>
      <c r="BA51" s="31">
        <v>0.11915386438570399</v>
      </c>
      <c r="BB51" s="2">
        <v>-1.3165317594420001E-4</v>
      </c>
      <c r="BC51" s="2">
        <v>7.1422773315944002E-3</v>
      </c>
      <c r="BD51" s="2">
        <v>-0.19867431185841999</v>
      </c>
      <c r="BE51" s="27"/>
      <c r="BF51"/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1.7564048653532942E-2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1.6786625726990557E-2</v>
      </c>
      <c r="BM51" s="2"/>
      <c r="BN51"/>
      <c r="BO51" s="2">
        <v>13</v>
      </c>
      <c r="BP51" s="2">
        <f t="shared" si="35"/>
        <v>0.18227526712051129</v>
      </c>
      <c r="BQ51" s="2">
        <v>-1.4486008492670122E-3</v>
      </c>
      <c r="BR51" s="2">
        <f t="shared" si="36"/>
        <v>0.18295788857112041</v>
      </c>
      <c r="BS51" s="2">
        <v>1.3698766547013547E-4</v>
      </c>
      <c r="BT51" s="2">
        <f t="shared" si="27"/>
        <v>0.18261657784581586</v>
      </c>
      <c r="BU51" s="2">
        <v>-6.5511120897107644E-4</v>
      </c>
      <c r="BV51" s="2">
        <f t="shared" si="28"/>
        <v>9.4899465367984042E-7</v>
      </c>
      <c r="BW51" s="2">
        <f t="shared" si="29"/>
        <v>-8.9742155140265827E-8</v>
      </c>
      <c r="BX51" s="2">
        <f t="shared" si="30"/>
        <v>6.8262145060912771E-4</v>
      </c>
      <c r="BY51"/>
      <c r="BZ51" s="2">
        <v>13</v>
      </c>
      <c r="CA51" s="2">
        <f t="shared" si="37"/>
        <v>0.15701827344797423</v>
      </c>
      <c r="CB51" s="2">
        <v>-7.8304608813938026E-4</v>
      </c>
      <c r="CC51" s="2">
        <f t="shared" si="38"/>
        <v>0.15770089489858335</v>
      </c>
      <c r="CD51" s="2">
        <v>7.6737002062441523E-4</v>
      </c>
      <c r="CE51" s="2">
        <f t="shared" si="31"/>
        <v>0.15735958417327878</v>
      </c>
      <c r="CF51" s="2">
        <v>-7.031176002300632E-6</v>
      </c>
      <c r="CG51" s="2">
        <f t="shared" si="32"/>
        <v>5.5057348636209959E-9</v>
      </c>
      <c r="CH51" s="2">
        <f t="shared" si="33"/>
        <v>-5.3955136738993295E-9</v>
      </c>
      <c r="CI51" s="2">
        <f t="shared" si="34"/>
        <v>6.8262145060912771E-4</v>
      </c>
    </row>
    <row r="52" spans="2:87" x14ac:dyDescent="0.2">
      <c r="B52" s="59" t="s">
        <v>74</v>
      </c>
      <c r="C52" s="59"/>
      <c r="D52" s="59"/>
      <c r="AF52" s="2">
        <v>3</v>
      </c>
      <c r="AG52" s="2">
        <f t="shared" si="43"/>
        <v>50</v>
      </c>
      <c r="AH52" s="2">
        <v>9156.0857591775784</v>
      </c>
      <c r="AI52" s="2">
        <f t="shared" si="44"/>
        <v>412.5</v>
      </c>
      <c r="AJ52" s="2">
        <v>-9683.9685028216063</v>
      </c>
      <c r="AK52" s="2">
        <f t="shared" si="39"/>
        <v>231.25</v>
      </c>
      <c r="AL52" s="2">
        <v>3427.6908822183659</v>
      </c>
      <c r="AM52" s="2">
        <f t="shared" si="40"/>
        <v>31384231.67354241</v>
      </c>
      <c r="AN52" s="2">
        <f t="shared" si="41"/>
        <v>-33193650.54081146</v>
      </c>
      <c r="AO52" s="2">
        <f t="shared" si="42"/>
        <v>362.5</v>
      </c>
      <c r="AT52"/>
      <c r="AU52" s="70"/>
      <c r="AV52" s="67">
        <v>-2.2751380819795499</v>
      </c>
      <c r="AW52" s="68"/>
      <c r="AX52" s="69"/>
      <c r="AY52" s="67">
        <v>0.14939144598517301</v>
      </c>
      <c r="AZ52" s="68"/>
      <c r="BA52" s="69"/>
      <c r="BB52" s="64">
        <v>3.3811980767955601</v>
      </c>
      <c r="BC52" s="64"/>
      <c r="BD52" s="73"/>
      <c r="BE52" s="27"/>
      <c r="BF52"/>
      <c r="BG52" s="2" t="s">
        <v>190</v>
      </c>
      <c r="BH52" s="2">
        <f xml:space="preserve"> BH50*COS(BH42) - BH51*SIN(BH42)</f>
        <v>1.1719508815872572</v>
      </c>
      <c r="BI52" s="2"/>
      <c r="BJ52" s="2"/>
      <c r="BK52" s="2" t="s">
        <v>190</v>
      </c>
      <c r="BL52" s="2">
        <f xml:space="preserve"> BL50*COS(BL42) - BL51*SIN(BL42)</f>
        <v>1.1340059954281272</v>
      </c>
      <c r="BM52" s="2"/>
      <c r="BN52"/>
      <c r="BO52" s="2">
        <v>14</v>
      </c>
      <c r="BP52" s="2">
        <f t="shared" si="35"/>
        <v>0.18261657784581586</v>
      </c>
      <c r="BQ52" s="2">
        <v>-6.5511120897107644E-4</v>
      </c>
      <c r="BR52" s="2">
        <f t="shared" si="36"/>
        <v>0.18295788857112041</v>
      </c>
      <c r="BS52" s="2">
        <v>1.3698766547013547E-4</v>
      </c>
      <c r="BT52" s="2">
        <f t="shared" si="27"/>
        <v>0.18278723320846813</v>
      </c>
      <c r="BU52" s="2">
        <v>-2.5888832958636393E-4</v>
      </c>
      <c r="BV52" s="2">
        <f t="shared" si="28"/>
        <v>1.6960064658382537E-7</v>
      </c>
      <c r="BW52" s="2">
        <f t="shared" si="29"/>
        <v>-3.5464507887498999E-8</v>
      </c>
      <c r="BX52" s="2">
        <f t="shared" si="30"/>
        <v>3.4131072530454998E-4</v>
      </c>
      <c r="BY52"/>
      <c r="BZ52" s="2">
        <v>14</v>
      </c>
      <c r="CA52" s="2">
        <f t="shared" si="37"/>
        <v>0.15735958417327878</v>
      </c>
      <c r="CB52" s="2">
        <v>-7.031176002300632E-6</v>
      </c>
      <c r="CC52" s="2">
        <f t="shared" si="38"/>
        <v>0.15770089489858335</v>
      </c>
      <c r="CD52" s="2">
        <v>7.6737002062441523E-4</v>
      </c>
      <c r="CE52" s="2">
        <f t="shared" si="31"/>
        <v>0.15753023953593107</v>
      </c>
      <c r="CF52" s="2">
        <v>3.8037056140675929E-4</v>
      </c>
      <c r="CG52" s="2">
        <f t="shared" si="32"/>
        <v>-2.6744523633448249E-9</v>
      </c>
      <c r="CH52" s="2">
        <f t="shared" si="33"/>
        <v>2.9188496555162529E-7</v>
      </c>
      <c r="CI52" s="2">
        <f t="shared" si="34"/>
        <v>3.4131072530457773E-4</v>
      </c>
    </row>
    <row r="53" spans="2:87" x14ac:dyDescent="0.2">
      <c r="B53" s="6" t="s">
        <v>264</v>
      </c>
      <c r="C53" s="17">
        <v>30</v>
      </c>
      <c r="AF53" s="2">
        <v>4</v>
      </c>
      <c r="AG53" s="2">
        <f t="shared" si="43"/>
        <v>231.25</v>
      </c>
      <c r="AH53" s="2">
        <v>3427.6908822183659</v>
      </c>
      <c r="AI53" s="2">
        <f t="shared" si="44"/>
        <v>412.5</v>
      </c>
      <c r="AJ53" s="2">
        <v>-9683.9685028216063</v>
      </c>
      <c r="AK53" s="2">
        <f t="shared" si="39"/>
        <v>321.875</v>
      </c>
      <c r="AL53" s="2">
        <v>-2205.2307467915271</v>
      </c>
      <c r="AM53" s="2">
        <f t="shared" si="40"/>
        <v>-7558849.3239649152</v>
      </c>
      <c r="AN53" s="2">
        <f t="shared" si="41"/>
        <v>21355385.093382917</v>
      </c>
      <c r="AO53" s="2">
        <f t="shared" si="42"/>
        <v>181.25</v>
      </c>
      <c r="AT53"/>
      <c r="AU53" s="70" t="s">
        <v>164</v>
      </c>
      <c r="AV53" s="51">
        <v>-1.2341E-12</v>
      </c>
      <c r="AW53" s="24">
        <v>-6.7451029999999997E-10</v>
      </c>
      <c r="AX53" s="25">
        <v>-1.110146934E-7</v>
      </c>
      <c r="AY53" s="2">
        <v>-1.1680000000000001E-12</v>
      </c>
      <c r="AZ53" s="2">
        <v>6.2785870000000004E-10</v>
      </c>
      <c r="BA53" s="2">
        <v>-9.5512221100000005E-8</v>
      </c>
      <c r="BB53" s="51">
        <v>5.9967578999999996E-9</v>
      </c>
      <c r="BC53" s="24">
        <v>-6.3545459699999994E-8</v>
      </c>
      <c r="BD53" s="25">
        <v>-1.1663058908000001E-6</v>
      </c>
      <c r="BE53" s="27"/>
      <c r="BF53"/>
      <c r="BG53" s="2" t="s">
        <v>192</v>
      </c>
      <c r="BH53" s="2">
        <f xml:space="preserve"> BH50*SIN(BH42) + BH51*COS(BH42)</f>
        <v>0.1803034569960637</v>
      </c>
      <c r="BI53" s="2"/>
      <c r="BJ53" s="2"/>
      <c r="BK53" s="2" t="s">
        <v>192</v>
      </c>
      <c r="BL53" s="2">
        <f xml:space="preserve"> BL50*SIN(BL42) + BL51*COS(BL42)</f>
        <v>0.15621294218209131</v>
      </c>
      <c r="BM53" s="2"/>
      <c r="BN53"/>
      <c r="BO53" s="2">
        <v>15</v>
      </c>
      <c r="BP53" s="2">
        <f t="shared" si="35"/>
        <v>0.18278723320846813</v>
      </c>
      <c r="BQ53" s="2">
        <v>-2.5888832958636393E-4</v>
      </c>
      <c r="BR53" s="2">
        <f t="shared" si="36"/>
        <v>0.18295788857112041</v>
      </c>
      <c r="BS53" s="2">
        <v>1.3698766547013547E-4</v>
      </c>
      <c r="BT53" s="2">
        <f t="shared" si="27"/>
        <v>0.18287256088979426</v>
      </c>
      <c r="BU53" s="2">
        <v>-6.0907021808324913E-5</v>
      </c>
      <c r="BV53" s="2">
        <f t="shared" si="28"/>
        <v>1.5768117136037475E-8</v>
      </c>
      <c r="BW53" s="2">
        <f t="shared" si="29"/>
        <v>-8.3435107282610587E-9</v>
      </c>
      <c r="BX53" s="2">
        <f t="shared" si="30"/>
        <v>1.7065536265228887E-4</v>
      </c>
      <c r="BY53"/>
      <c r="BZ53" s="2">
        <v>15</v>
      </c>
      <c r="CA53" s="2">
        <f t="shared" si="37"/>
        <v>0.15735958417327878</v>
      </c>
      <c r="CB53" s="2">
        <v>-7.031176002300632E-6</v>
      </c>
      <c r="CC53" s="2">
        <f t="shared" si="38"/>
        <v>0.15753023953593107</v>
      </c>
      <c r="CD53" s="2">
        <v>3.8037056140675929E-4</v>
      </c>
      <c r="CE53" s="2">
        <f t="shared" si="31"/>
        <v>0.15744491185460491</v>
      </c>
      <c r="CF53" s="2">
        <v>1.8672004920484986E-4</v>
      </c>
      <c r="CG53" s="2">
        <f t="shared" si="32"/>
        <v>-1.3128615291175335E-9</v>
      </c>
      <c r="CH53" s="2">
        <f t="shared" si="33"/>
        <v>7.1022809941946465E-8</v>
      </c>
      <c r="CI53" s="2">
        <f t="shared" si="34"/>
        <v>1.7065536265228887E-4</v>
      </c>
    </row>
    <row r="54" spans="2:87" x14ac:dyDescent="0.2">
      <c r="B54" s="6" t="s">
        <v>266</v>
      </c>
      <c r="C54" s="17">
        <v>0.8</v>
      </c>
      <c r="AF54" s="2">
        <v>5</v>
      </c>
      <c r="AG54" s="2">
        <f t="shared" si="43"/>
        <v>231.25</v>
      </c>
      <c r="AH54" s="2">
        <v>3427.6908822183659</v>
      </c>
      <c r="AI54" s="2">
        <f t="shared" si="44"/>
        <v>321.875</v>
      </c>
      <c r="AJ54" s="2">
        <v>-2205.2307467915271</v>
      </c>
      <c r="AK54" s="2">
        <f t="shared" si="39"/>
        <v>276.5625</v>
      </c>
      <c r="AL54" s="2">
        <v>841.95708359094715</v>
      </c>
      <c r="AM54" s="2">
        <f t="shared" si="40"/>
        <v>2885968.6186438561</v>
      </c>
      <c r="AN54" s="2">
        <f t="shared" si="41"/>
        <v>-1856709.6482136806</v>
      </c>
      <c r="AO54" s="2">
        <f t="shared" si="42"/>
        <v>90.625</v>
      </c>
      <c r="AT54"/>
      <c r="AU54" s="70"/>
      <c r="AV54" s="27">
        <v>-3.2678211540000002E-6</v>
      </c>
      <c r="AW54" s="2">
        <v>3.7180150473579998E-4</v>
      </c>
      <c r="AX54" s="31">
        <v>9.4028821535900006E-5</v>
      </c>
      <c r="AY54" s="2">
        <v>5.4952748939999995E-7</v>
      </c>
      <c r="AZ54" s="2">
        <v>6.0855451546649997E-4</v>
      </c>
      <c r="BA54" s="2">
        <v>-8.9360891379086007E-3</v>
      </c>
      <c r="BB54" s="27">
        <v>9.3163166799000006E-6</v>
      </c>
      <c r="BC54" s="2">
        <v>1.3750111154190001E-4</v>
      </c>
      <c r="BD54" s="31">
        <v>-3.8347379998870002E-4</v>
      </c>
      <c r="BE54"/>
      <c r="BF54"/>
      <c r="BG54" s="2" t="s">
        <v>38</v>
      </c>
      <c r="BH54" s="2">
        <f xml:space="preserve"> 4*BH49*SIN(BH42)*SIN(BH42) / (BH46*BH52)</f>
        <v>1.3106993205873452</v>
      </c>
      <c r="BI54" s="2"/>
      <c r="BJ54" s="2"/>
      <c r="BK54" s="2" t="s">
        <v>38</v>
      </c>
      <c r="BL54" s="2">
        <f xml:space="preserve"> 4*BL49*SIN(BL42)*SIN(BL42) / (BL46*BL52)</f>
        <v>1.2925967792977777</v>
      </c>
      <c r="BM54" s="2"/>
      <c r="BN54"/>
      <c r="BO54" s="2">
        <v>16</v>
      </c>
      <c r="BP54" s="2">
        <f t="shared" si="35"/>
        <v>0.18287256088979426</v>
      </c>
      <c r="BQ54" s="2">
        <v>-6.0907021808324913E-5</v>
      </c>
      <c r="BR54" s="2">
        <f t="shared" si="36"/>
        <v>0.18295788857112041</v>
      </c>
      <c r="BS54" s="2">
        <v>1.3698766547013547E-4</v>
      </c>
      <c r="BT54" s="2">
        <f t="shared" si="27"/>
        <v>0.18291522473045735</v>
      </c>
      <c r="BU54" s="2">
        <v>3.8051143116620001E-5</v>
      </c>
      <c r="BV54" s="2">
        <f t="shared" si="28"/>
        <v>-2.3175818036356668E-9</v>
      </c>
      <c r="BW54" s="2">
        <f t="shared" si="29"/>
        <v>5.2125372640157887E-9</v>
      </c>
      <c r="BX54" s="2">
        <f t="shared" si="30"/>
        <v>8.5327681326158311E-5</v>
      </c>
      <c r="BY54"/>
      <c r="BZ54" s="2">
        <v>16</v>
      </c>
      <c r="CA54" s="2">
        <f t="shared" si="37"/>
        <v>0.15735958417327878</v>
      </c>
      <c r="CB54" s="2">
        <v>-7.031176002300632E-6</v>
      </c>
      <c r="CC54" s="2">
        <f t="shared" si="38"/>
        <v>0.15744491185460491</v>
      </c>
      <c r="CD54" s="2">
        <v>1.8672004920484986E-4</v>
      </c>
      <c r="CE54" s="2">
        <f t="shared" si="31"/>
        <v>0.15740224801394184</v>
      </c>
      <c r="CF54" s="2">
        <v>8.9857034709532602E-5</v>
      </c>
      <c r="CG54" s="2">
        <f t="shared" si="32"/>
        <v>-6.3180062608756055E-10</v>
      </c>
      <c r="CH54" s="2">
        <f t="shared" si="33"/>
        <v>1.6778109942365829E-8</v>
      </c>
      <c r="CI54" s="2">
        <f t="shared" si="34"/>
        <v>8.5327681326130556E-5</v>
      </c>
    </row>
    <row r="55" spans="2:87" x14ac:dyDescent="0.2">
      <c r="B55" s="6" t="s">
        <v>267</v>
      </c>
      <c r="C55" s="17">
        <v>0.8</v>
      </c>
      <c r="AF55" s="2">
        <v>6</v>
      </c>
      <c r="AG55" s="2">
        <f t="shared" si="43"/>
        <v>276.5625</v>
      </c>
      <c r="AH55" s="2">
        <v>841.95708359094715</v>
      </c>
      <c r="AI55" s="2">
        <f t="shared" si="44"/>
        <v>321.875</v>
      </c>
      <c r="AJ55" s="2">
        <v>-2205.2307467915271</v>
      </c>
      <c r="AK55" s="2">
        <f t="shared" si="39"/>
        <v>299.21875</v>
      </c>
      <c r="AL55" s="2">
        <v>-623.95507763090791</v>
      </c>
      <c r="AM55" s="2">
        <f t="shared" si="40"/>
        <v>-525343.39745388227</v>
      </c>
      <c r="AN55" s="2">
        <f t="shared" si="41"/>
        <v>1375964.9218083723</v>
      </c>
      <c r="AO55" s="2">
        <f t="shared" si="42"/>
        <v>45.3125</v>
      </c>
      <c r="AT55"/>
      <c r="AU55" s="71"/>
      <c r="AV55" s="67">
        <v>-2.92797950805124E-2</v>
      </c>
      <c r="AW55" s="68"/>
      <c r="AX55" s="69"/>
      <c r="AY55" s="68">
        <v>4.8575804011639703E-2</v>
      </c>
      <c r="AZ55" s="68"/>
      <c r="BA55" s="68"/>
      <c r="BB55" s="67">
        <v>7.4720850653456003E-3</v>
      </c>
      <c r="BC55" s="68"/>
      <c r="BD55" s="69"/>
      <c r="BE55"/>
      <c r="BF55"/>
      <c r="BG55" s="2" t="s">
        <v>194</v>
      </c>
      <c r="BH55" s="2">
        <f xml:space="preserve"> 4*BH49*SIN(BH42)*COS(BH42) / (BH46*BH53)</f>
        <v>61.414959334624655</v>
      </c>
      <c r="BI55" s="2"/>
      <c r="BJ55" s="2"/>
      <c r="BK55" s="2" t="s">
        <v>194</v>
      </c>
      <c r="BL55" s="2">
        <f xml:space="preserve"> 4*BL49*SIN(BL42)*COS(BL42) / (BL46*BL53)</f>
        <v>76.388011402731522</v>
      </c>
      <c r="BM55" s="2"/>
      <c r="BN55"/>
      <c r="BO55" s="2">
        <v>17</v>
      </c>
      <c r="BP55" s="2">
        <f t="shared" si="35"/>
        <v>0.18287256088979426</v>
      </c>
      <c r="BQ55" s="2">
        <v>-6.0907021808324913E-5</v>
      </c>
      <c r="BR55" s="2">
        <f t="shared" si="36"/>
        <v>0.18291522473045735</v>
      </c>
      <c r="BS55" s="2">
        <v>3.8051143116620001E-5</v>
      </c>
      <c r="BT55" s="2">
        <f t="shared" si="27"/>
        <v>0.1828938928101258</v>
      </c>
      <c r="BU55" s="2">
        <v>-1.1425233240297539E-5</v>
      </c>
      <c r="BV55" s="2">
        <f t="shared" si="28"/>
        <v>6.9587693013200092E-10</v>
      </c>
      <c r="BW55" s="2">
        <f t="shared" si="29"/>
        <v>-4.3474318516732573E-10</v>
      </c>
      <c r="BX55" s="2">
        <f t="shared" si="30"/>
        <v>4.2663840663093033E-5</v>
      </c>
      <c r="BY55"/>
      <c r="BZ55" s="2">
        <v>17</v>
      </c>
      <c r="CA55" s="2">
        <f t="shared" si="37"/>
        <v>0.15735958417327878</v>
      </c>
      <c r="CB55" s="2">
        <v>-7.031176002300632E-6</v>
      </c>
      <c r="CC55" s="2">
        <f t="shared" si="38"/>
        <v>0.15740224801394184</v>
      </c>
      <c r="CD55" s="2">
        <v>8.9857034709532602E-5</v>
      </c>
      <c r="CE55" s="2">
        <f t="shared" si="31"/>
        <v>0.15738091609361032</v>
      </c>
      <c r="CF55" s="2">
        <v>4.1416080004574862E-5</v>
      </c>
      <c r="CG55" s="2">
        <f t="shared" si="32"/>
        <v>-2.9120374783752984E-10</v>
      </c>
      <c r="CH55" s="2">
        <f t="shared" si="33"/>
        <v>3.7215261385038625E-9</v>
      </c>
      <c r="CI55" s="2">
        <f t="shared" si="34"/>
        <v>4.2663840663065278E-5</v>
      </c>
    </row>
    <row r="56" spans="2:87" x14ac:dyDescent="0.2">
      <c r="B56" s="6" t="s">
        <v>268</v>
      </c>
      <c r="C56" s="17">
        <v>0.8</v>
      </c>
      <c r="AF56" s="2">
        <v>7</v>
      </c>
      <c r="AG56" s="2">
        <f t="shared" si="43"/>
        <v>276.5625</v>
      </c>
      <c r="AH56" s="2">
        <v>841.95708359094715</v>
      </c>
      <c r="AI56" s="2">
        <f t="shared" si="44"/>
        <v>299.21875</v>
      </c>
      <c r="AJ56" s="2">
        <v>-623.95507763090791</v>
      </c>
      <c r="AK56" s="2">
        <f t="shared" si="39"/>
        <v>287.890625</v>
      </c>
      <c r="AL56" s="2">
        <v>123.42144147236468</v>
      </c>
      <c r="AM56" s="2">
        <f t="shared" si="40"/>
        <v>103915.55691466294</v>
      </c>
      <c r="AN56" s="2">
        <f t="shared" si="41"/>
        <v>-77009.435095207853</v>
      </c>
      <c r="AO56" s="2">
        <f t="shared" si="42"/>
        <v>22.65625</v>
      </c>
      <c r="AT56"/>
      <c r="AU56"/>
      <c r="AV56"/>
      <c r="AW56"/>
      <c r="AX56"/>
      <c r="AY56"/>
      <c r="AZ56"/>
      <c r="BA56"/>
      <c r="BB56"/>
      <c r="BC56"/>
      <c r="BD56"/>
      <c r="BE56"/>
      <c r="BF56"/>
      <c r="BG56" s="2" t="s">
        <v>45</v>
      </c>
      <c r="BH56" s="2">
        <f>1/(BH54-1)</f>
        <v>3.2185458214379183</v>
      </c>
      <c r="BI56" s="2"/>
      <c r="BJ56" s="2"/>
      <c r="BK56" s="2" t="s">
        <v>45</v>
      </c>
      <c r="BL56" s="2">
        <f>1/(BL54-1)</f>
        <v>3.4176726155358437</v>
      </c>
      <c r="BM56" s="2"/>
      <c r="BN56"/>
      <c r="BO56" s="2">
        <v>18</v>
      </c>
      <c r="BP56" s="2">
        <f t="shared" si="35"/>
        <v>0.1828938928101258</v>
      </c>
      <c r="BQ56" s="2">
        <v>-1.1425233240297539E-5</v>
      </c>
      <c r="BR56" s="2">
        <f t="shared" si="36"/>
        <v>0.18291522473045735</v>
      </c>
      <c r="BS56" s="2">
        <v>3.8051143116620001E-5</v>
      </c>
      <c r="BT56" s="2">
        <f t="shared" si="27"/>
        <v>0.18290455877029158</v>
      </c>
      <c r="BU56" s="2">
        <v>1.3313631366564105E-5</v>
      </c>
      <c r="BV56" s="2">
        <f t="shared" si="28"/>
        <v>-1.5211134363833617E-10</v>
      </c>
      <c r="BW56" s="2">
        <f t="shared" si="29"/>
        <v>5.0659889253105191E-10</v>
      </c>
      <c r="BX56" s="2">
        <f t="shared" si="30"/>
        <v>2.1331920331546517E-5</v>
      </c>
      <c r="BY56"/>
      <c r="BZ56" s="2">
        <v>18</v>
      </c>
      <c r="CA56" s="2">
        <f t="shared" si="37"/>
        <v>0.15735958417327878</v>
      </c>
      <c r="CB56" s="2">
        <v>-7.031176002300632E-6</v>
      </c>
      <c r="CC56" s="2">
        <f t="shared" si="38"/>
        <v>0.15738091609361032</v>
      </c>
      <c r="CD56" s="2">
        <v>4.1416080004574862E-5</v>
      </c>
      <c r="CE56" s="2">
        <f t="shared" si="31"/>
        <v>0.15737025013344455</v>
      </c>
      <c r="CF56" s="2">
        <v>1.7193239804431937E-5</v>
      </c>
      <c r="CG56" s="2">
        <f t="shared" si="32"/>
        <v>-1.2088869511472185E-10</v>
      </c>
      <c r="CH56" s="2">
        <f t="shared" si="33"/>
        <v>7.1207659527819419E-10</v>
      </c>
      <c r="CI56" s="2">
        <f t="shared" si="34"/>
        <v>2.1331920331546517E-5</v>
      </c>
    </row>
    <row r="57" spans="2:87" x14ac:dyDescent="0.2">
      <c r="AF57" s="2">
        <v>8</v>
      </c>
      <c r="AG57" s="2">
        <f t="shared" si="43"/>
        <v>287.890625</v>
      </c>
      <c r="AH57" s="2">
        <v>123.42144147236468</v>
      </c>
      <c r="AI57" s="2">
        <f t="shared" si="44"/>
        <v>299.21875</v>
      </c>
      <c r="AJ57" s="2">
        <v>-623.95507763090791</v>
      </c>
      <c r="AK57" s="2">
        <f t="shared" si="39"/>
        <v>293.5546875</v>
      </c>
      <c r="AL57" s="2">
        <v>-246.66170845618217</v>
      </c>
      <c r="AM57" s="2">
        <f t="shared" si="40"/>
        <v>-30443.343613698165</v>
      </c>
      <c r="AN57" s="2">
        <f t="shared" si="41"/>
        <v>153905.82544834953</v>
      </c>
      <c r="AO57" s="2">
        <f t="shared" si="42"/>
        <v>11.328125</v>
      </c>
      <c r="AT57"/>
      <c r="AU57"/>
      <c r="AV57"/>
      <c r="AW57"/>
      <c r="AX57"/>
      <c r="AY57"/>
      <c r="AZ57"/>
      <c r="BA57"/>
      <c r="BB57"/>
      <c r="BC57"/>
      <c r="BD57"/>
      <c r="BE57"/>
      <c r="BF57"/>
      <c r="BG57" s="2" t="s">
        <v>197</v>
      </c>
      <c r="BH57" s="2">
        <f>1/(BH55+1)</f>
        <v>1.602180007261898E-2</v>
      </c>
      <c r="BI57" s="2"/>
      <c r="BJ57" s="2"/>
      <c r="BK57" s="2" t="s">
        <v>197</v>
      </c>
      <c r="BL57" s="2">
        <f>1/(BL55+1)</f>
        <v>1.2921898132204797E-2</v>
      </c>
      <c r="BM57" s="2"/>
      <c r="BN57"/>
      <c r="BO57" s="2">
        <v>19</v>
      </c>
      <c r="BP57" s="2">
        <f t="shared" si="35"/>
        <v>0.1828938928101258</v>
      </c>
      <c r="BQ57" s="2">
        <v>-1.1425233240297539E-5</v>
      </c>
      <c r="BR57" s="2">
        <f t="shared" si="36"/>
        <v>0.18290455877029158</v>
      </c>
      <c r="BS57" s="2">
        <v>1.3313631366564105E-5</v>
      </c>
      <c r="BT57" s="2">
        <f t="shared" si="27"/>
        <v>0.18289922579020867</v>
      </c>
      <c r="BU57" s="2">
        <v>9.4436818247334298E-7</v>
      </c>
      <c r="BV57" s="2">
        <f t="shared" si="28"/>
        <v>-1.078962674947381E-11</v>
      </c>
      <c r="BW57" s="2">
        <f t="shared" si="29"/>
        <v>1.2572969855762232E-11</v>
      </c>
      <c r="BX57" s="2">
        <f t="shared" si="30"/>
        <v>1.0665960165773258E-5</v>
      </c>
      <c r="BY57"/>
      <c r="BZ57" s="2">
        <v>19</v>
      </c>
      <c r="CA57" s="2">
        <f t="shared" si="37"/>
        <v>0.15735958417327878</v>
      </c>
      <c r="CB57" s="2">
        <v>-7.031176002300632E-6</v>
      </c>
      <c r="CC57" s="2">
        <f t="shared" si="38"/>
        <v>0.15737025013344455</v>
      </c>
      <c r="CD57" s="2">
        <v>1.7193239804431937E-5</v>
      </c>
      <c r="CE57" s="2">
        <f t="shared" si="31"/>
        <v>0.15736491715336165</v>
      </c>
      <c r="CF57" s="2">
        <v>5.0812288693857788E-6</v>
      </c>
      <c r="CG57" s="2">
        <f t="shared" si="32"/>
        <v>-3.5727014488622461E-11</v>
      </c>
      <c r="CH57" s="2">
        <f t="shared" si="33"/>
        <v>8.736278645255226E-11</v>
      </c>
      <c r="CI57" s="2">
        <f t="shared" si="34"/>
        <v>1.0665960165773258E-5</v>
      </c>
    </row>
    <row r="58" spans="2:87" x14ac:dyDescent="0.2">
      <c r="AF58" s="2">
        <v>9</v>
      </c>
      <c r="AG58" s="2">
        <f t="shared" si="43"/>
        <v>287.890625</v>
      </c>
      <c r="AH58" s="2">
        <v>123.42144147236468</v>
      </c>
      <c r="AI58" s="2">
        <f t="shared" si="44"/>
        <v>293.5546875</v>
      </c>
      <c r="AJ58" s="2">
        <v>-246.66170845618217</v>
      </c>
      <c r="AK58" s="2">
        <f t="shared" si="39"/>
        <v>290.72265625</v>
      </c>
      <c r="AL58" s="2">
        <v>-60.718856086139567</v>
      </c>
      <c r="AM58" s="2">
        <f t="shared" si="40"/>
        <v>-7494.0087427044082</v>
      </c>
      <c r="AN58" s="2">
        <f t="shared" si="41"/>
        <v>14977.016777712241</v>
      </c>
      <c r="AO58" s="2">
        <f t="shared" si="42"/>
        <v>5.6640625</v>
      </c>
      <c r="AT58"/>
      <c r="AU58"/>
      <c r="AV58"/>
      <c r="AW58"/>
      <c r="AX58"/>
      <c r="AY58"/>
      <c r="AZ58"/>
      <c r="BA58"/>
      <c r="BB58"/>
      <c r="BC58"/>
      <c r="BD58"/>
      <c r="BE58"/>
      <c r="BF58"/>
      <c r="BG58" s="7" t="s">
        <v>199</v>
      </c>
      <c r="BH58" s="40">
        <f>SIN(BH42)/(1+BH56) - $AR$3*COS(BH42)/($AV$5*$AR$23*(1-BH57))</f>
        <v>-2.8017441491834383E-9</v>
      </c>
      <c r="BI58" s="40"/>
      <c r="BJ58" s="2"/>
      <c r="BK58" s="7" t="s">
        <v>199</v>
      </c>
      <c r="BL58" s="40">
        <f>SIN(BL42)/(1+BL56) - $AR$3*COS(BL42)/($AV$5*$AR$24*(1-BL57))</f>
        <v>4.9718247019381323E-9</v>
      </c>
      <c r="BM58" s="40"/>
      <c r="BN58"/>
      <c r="BO58" s="2">
        <v>20</v>
      </c>
      <c r="BP58" s="2">
        <f t="shared" si="35"/>
        <v>0.1828938928101258</v>
      </c>
      <c r="BQ58" s="2">
        <v>-1.1425233240297539E-5</v>
      </c>
      <c r="BR58" s="2">
        <f t="shared" si="36"/>
        <v>0.18289922579020867</v>
      </c>
      <c r="BS58" s="2">
        <v>9.4436818247334298E-7</v>
      </c>
      <c r="BT58" s="2">
        <f t="shared" si="27"/>
        <v>0.18289655930016724</v>
      </c>
      <c r="BU58" s="2">
        <v>-5.2403902475670061E-6</v>
      </c>
      <c r="BV58" s="2">
        <f t="shared" si="28"/>
        <v>5.9872680848633611E-11</v>
      </c>
      <c r="BW58" s="2">
        <f t="shared" si="29"/>
        <v>-4.9488578135458858E-12</v>
      </c>
      <c r="BX58" s="2">
        <f t="shared" si="30"/>
        <v>5.3329800828727514E-6</v>
      </c>
      <c r="BY58"/>
      <c r="BZ58" s="2">
        <v>20</v>
      </c>
      <c r="CA58" s="2">
        <f t="shared" si="37"/>
        <v>0.15735958417327878</v>
      </c>
      <c r="CB58" s="2">
        <v>-7.031176002300632E-6</v>
      </c>
      <c r="CC58" s="2">
        <f t="shared" si="38"/>
        <v>0.15736491715336165</v>
      </c>
      <c r="CD58" s="2">
        <v>5.0812288693857788E-6</v>
      </c>
      <c r="CE58" s="2">
        <f t="shared" si="31"/>
        <v>0.15736225066332021</v>
      </c>
      <c r="CF58" s="2">
        <v>-9.7492432216822467E-7</v>
      </c>
      <c r="CG58" s="2">
        <f t="shared" si="32"/>
        <v>6.8548644980884312E-12</v>
      </c>
      <c r="CH58" s="2">
        <f t="shared" si="33"/>
        <v>-4.9538136112675448E-12</v>
      </c>
      <c r="CI58" s="2">
        <f t="shared" si="34"/>
        <v>5.3329800828727514E-6</v>
      </c>
    </row>
    <row r="59" spans="2:87" x14ac:dyDescent="0.2">
      <c r="AF59" s="2">
        <v>10</v>
      </c>
      <c r="AG59" s="2">
        <f t="shared" si="43"/>
        <v>287.890625</v>
      </c>
      <c r="AH59" s="2">
        <v>123.42144147236468</v>
      </c>
      <c r="AI59" s="2">
        <f t="shared" si="44"/>
        <v>290.72265625</v>
      </c>
      <c r="AJ59" s="2">
        <v>-60.718856086139567</v>
      </c>
      <c r="AK59" s="2">
        <f t="shared" si="39"/>
        <v>289.306640625</v>
      </c>
      <c r="AL59" s="2">
        <v>31.576612044553258</v>
      </c>
      <c r="AM59" s="2">
        <f t="shared" si="40"/>
        <v>3897.2309753523955</v>
      </c>
      <c r="AN59" s="2">
        <f t="shared" si="41"/>
        <v>-1917.2957624210906</v>
      </c>
      <c r="AO59" s="2">
        <f t="shared" si="42"/>
        <v>2.83203125</v>
      </c>
      <c r="AT59"/>
      <c r="AU59"/>
      <c r="AV59"/>
      <c r="AW59"/>
      <c r="AX59"/>
      <c r="AY59"/>
      <c r="AZ59"/>
      <c r="BA59"/>
      <c r="BB59"/>
      <c r="BC59"/>
      <c r="BD59"/>
      <c r="BE59"/>
      <c r="BF59"/>
      <c r="BG59" s="2"/>
      <c r="BH59" s="2"/>
      <c r="BI59" s="2"/>
      <c r="BJ59" s="2"/>
      <c r="BK59" s="2"/>
      <c r="BL59" s="2"/>
      <c r="BM59" s="2"/>
      <c r="BN59"/>
      <c r="BO59" s="2">
        <v>21</v>
      </c>
      <c r="BP59" s="2">
        <f t="shared" si="35"/>
        <v>0.18289655930016724</v>
      </c>
      <c r="BQ59" s="2">
        <v>-5.2403902475670061E-6</v>
      </c>
      <c r="BR59" s="2">
        <f t="shared" si="36"/>
        <v>0.18289922579020867</v>
      </c>
      <c r="BS59" s="2">
        <v>9.4436818247334298E-7</v>
      </c>
      <c r="BT59" s="2">
        <f t="shared" si="27"/>
        <v>0.18289789254518796</v>
      </c>
      <c r="BU59" s="2">
        <v>-2.1480004623736226E-6</v>
      </c>
      <c r="BV59" s="2">
        <f t="shared" si="28"/>
        <v>1.1256360674792152E-11</v>
      </c>
      <c r="BW59" s="2">
        <f t="shared" si="29"/>
        <v>-2.0285032926036785E-12</v>
      </c>
      <c r="BX59" s="2">
        <f t="shared" si="30"/>
        <v>2.6664900414363757E-6</v>
      </c>
      <c r="BY59"/>
      <c r="BZ59" s="2">
        <v>21</v>
      </c>
      <c r="CA59" s="2">
        <f t="shared" si="37"/>
        <v>0.15736225066332021</v>
      </c>
      <c r="CB59" s="2">
        <v>-9.7492432216822467E-7</v>
      </c>
      <c r="CC59" s="2">
        <f t="shared" si="38"/>
        <v>0.15736491715336165</v>
      </c>
      <c r="CD59" s="2">
        <v>5.0812288693857788E-6</v>
      </c>
      <c r="CE59" s="2">
        <f t="shared" si="31"/>
        <v>0.15736358390834093</v>
      </c>
      <c r="CF59" s="2">
        <v>2.0531645844659718E-6</v>
      </c>
      <c r="CG59" s="2">
        <f t="shared" si="32"/>
        <v>-2.0016800908102921E-12</v>
      </c>
      <c r="CH59" s="2">
        <f t="shared" si="33"/>
        <v>1.0432599160188952E-11</v>
      </c>
      <c r="CI59" s="2">
        <f t="shared" si="34"/>
        <v>2.6664900414363757E-6</v>
      </c>
    </row>
    <row r="60" spans="2:87" x14ac:dyDescent="0.2">
      <c r="AF60" s="2">
        <v>11</v>
      </c>
      <c r="AG60" s="2">
        <f t="shared" si="43"/>
        <v>289.306640625</v>
      </c>
      <c r="AH60" s="2">
        <v>31.576612044553258</v>
      </c>
      <c r="AI60" s="2">
        <f t="shared" si="44"/>
        <v>290.72265625</v>
      </c>
      <c r="AJ60" s="2">
        <v>-60.718856086139567</v>
      </c>
      <c r="AK60" s="2">
        <f t="shared" si="39"/>
        <v>290.0146484375</v>
      </c>
      <c r="AL60" s="2">
        <v>-14.514792182932069</v>
      </c>
      <c r="AM60" s="2">
        <f t="shared" si="40"/>
        <v>-458.32796166776023</v>
      </c>
      <c r="AN60" s="2">
        <f t="shared" si="41"/>
        <v>881.32157767567594</v>
      </c>
      <c r="AO60" s="2">
        <f t="shared" si="42"/>
        <v>1.416015625</v>
      </c>
      <c r="AT60"/>
      <c r="AU60"/>
      <c r="AV60"/>
      <c r="AW60"/>
      <c r="AX60"/>
      <c r="AY60"/>
      <c r="AZ60"/>
      <c r="BA60"/>
      <c r="BB60"/>
      <c r="BC60"/>
      <c r="BD60"/>
      <c r="BE60"/>
      <c r="BF60"/>
      <c r="BG60" s="62" t="s">
        <v>206</v>
      </c>
      <c r="BH60" s="62"/>
      <c r="BI60" s="62"/>
      <c r="BJ60" s="2"/>
      <c r="BK60" s="62" t="s">
        <v>220</v>
      </c>
      <c r="BL60" s="62"/>
      <c r="BM60" s="62"/>
      <c r="BN60"/>
      <c r="BO60" s="2">
        <v>22</v>
      </c>
      <c r="BP60" s="2">
        <f t="shared" si="35"/>
        <v>0.18289789254518796</v>
      </c>
      <c r="BQ60" s="2">
        <v>-2.1480004623736226E-6</v>
      </c>
      <c r="BR60" s="2">
        <f t="shared" si="36"/>
        <v>0.18289922579020867</v>
      </c>
      <c r="BS60" s="2">
        <v>9.4436818247334298E-7</v>
      </c>
      <c r="BT60" s="2">
        <f t="shared" si="27"/>
        <v>0.18289855916769832</v>
      </c>
      <c r="BU60" s="2">
        <v>-6.018134974181133E-7</v>
      </c>
      <c r="BV60" s="2">
        <f t="shared" si="28"/>
        <v>1.2926956707167942E-12</v>
      </c>
      <c r="BW60" s="2">
        <f t="shared" si="29"/>
        <v>-5.6833351874466955E-13</v>
      </c>
      <c r="BX60" s="2">
        <f t="shared" si="30"/>
        <v>1.3332450207181878E-6</v>
      </c>
      <c r="BY60"/>
      <c r="BZ60" s="2">
        <v>22</v>
      </c>
      <c r="CA60" s="2">
        <f t="shared" si="37"/>
        <v>0.15736225066332021</v>
      </c>
      <c r="CB60" s="2">
        <v>-9.7492432216822467E-7</v>
      </c>
      <c r="CC60" s="2">
        <f t="shared" si="38"/>
        <v>0.15736358390834093</v>
      </c>
      <c r="CD60" s="2">
        <v>2.0531645844659718E-6</v>
      </c>
      <c r="CE60" s="2">
        <f t="shared" si="31"/>
        <v>0.15736291728583057</v>
      </c>
      <c r="CF60" s="2">
        <v>5.3912320880505904E-7</v>
      </c>
      <c r="CG60" s="2">
        <f t="shared" si="32"/>
        <v>-5.2560432890943044E-13</v>
      </c>
      <c r="CH60" s="2">
        <f t="shared" si="33"/>
        <v>1.1069086789822004E-12</v>
      </c>
      <c r="CI60" s="2">
        <f t="shared" si="34"/>
        <v>1.3332450207181878E-6</v>
      </c>
    </row>
    <row r="61" spans="2:87" x14ac:dyDescent="0.2">
      <c r="AF61" s="2">
        <v>12</v>
      </c>
      <c r="AG61" s="2">
        <f t="shared" si="43"/>
        <v>289.306640625</v>
      </c>
      <c r="AH61" s="2">
        <v>31.576612044553258</v>
      </c>
      <c r="AI61" s="2">
        <f t="shared" si="44"/>
        <v>290.0146484375</v>
      </c>
      <c r="AJ61" s="2">
        <v>-14.514792182932069</v>
      </c>
      <c r="AK61" s="2">
        <f t="shared" si="39"/>
        <v>289.66064453125</v>
      </c>
      <c r="AL61" s="2">
        <v>8.5449923902760929</v>
      </c>
      <c r="AM61" s="2">
        <f t="shared" si="40"/>
        <v>269.821909631408</v>
      </c>
      <c r="AN61" s="2">
        <f t="shared" si="41"/>
        <v>-124.02878874959345</v>
      </c>
      <c r="AO61" s="2">
        <f t="shared" si="42"/>
        <v>0.7080078125</v>
      </c>
      <c r="AT61"/>
      <c r="AU61"/>
      <c r="AV61"/>
      <c r="AW61"/>
      <c r="AX61"/>
      <c r="AY61"/>
      <c r="AZ61"/>
      <c r="BA61"/>
      <c r="BB61"/>
      <c r="BC61"/>
      <c r="BD61"/>
      <c r="BE61"/>
      <c r="BF61"/>
      <c r="BG61" s="28" t="s">
        <v>154</v>
      </c>
      <c r="BH61" s="29">
        <f>BT136</f>
        <v>0.11030414117571608</v>
      </c>
      <c r="BI61" s="5" t="s">
        <v>155</v>
      </c>
      <c r="BJ61" s="2"/>
      <c r="BK61" s="28" t="s">
        <v>154</v>
      </c>
      <c r="BL61" s="29">
        <f>CE136</f>
        <v>0.10953641672751699</v>
      </c>
      <c r="BM61" s="5" t="s">
        <v>155</v>
      </c>
      <c r="BN61"/>
      <c r="BO61" s="2">
        <v>23</v>
      </c>
      <c r="BP61" s="2">
        <f t="shared" si="35"/>
        <v>0.18289855916769832</v>
      </c>
      <c r="BQ61" s="2">
        <v>-6.018134974181133E-7</v>
      </c>
      <c r="BR61" s="2">
        <f t="shared" si="36"/>
        <v>0.18289922579020867</v>
      </c>
      <c r="BS61" s="2">
        <v>9.4436818247334298E-7</v>
      </c>
      <c r="BT61" s="2">
        <f t="shared" si="27"/>
        <v>0.1828988924789535</v>
      </c>
      <c r="BU61" s="2">
        <v>1.71278003044395E-7</v>
      </c>
      <c r="BV61" s="2">
        <f t="shared" si="28"/>
        <v>-1.0307741404293761E-13</v>
      </c>
      <c r="BW61" s="2">
        <f t="shared" si="29"/>
        <v>1.61749496432699E-13</v>
      </c>
      <c r="BX61" s="2">
        <f t="shared" si="30"/>
        <v>6.6662251035909392E-7</v>
      </c>
      <c r="BY61"/>
      <c r="BZ61" s="2">
        <v>23</v>
      </c>
      <c r="CA61" s="2">
        <f t="shared" si="37"/>
        <v>0.15736225066332021</v>
      </c>
      <c r="CB61" s="2">
        <v>-9.7492432216822467E-7</v>
      </c>
      <c r="CC61" s="2">
        <f t="shared" si="38"/>
        <v>0.15736291728583057</v>
      </c>
      <c r="CD61" s="2">
        <v>5.3912320880505904E-7</v>
      </c>
      <c r="CE61" s="2">
        <f t="shared" si="31"/>
        <v>0.15736258397457539</v>
      </c>
      <c r="CF61" s="2">
        <v>-2.1789978722069892E-7</v>
      </c>
      <c r="CG61" s="2">
        <f t="shared" si="32"/>
        <v>2.1243580235674028E-13</v>
      </c>
      <c r="CH61" s="2">
        <f t="shared" si="33"/>
        <v>-1.1747483248436281E-13</v>
      </c>
      <c r="CI61" s="2">
        <f t="shared" si="34"/>
        <v>6.6662251035909392E-7</v>
      </c>
    </row>
    <row r="62" spans="2:87" x14ac:dyDescent="0.2">
      <c r="AF62" s="2">
        <v>13</v>
      </c>
      <c r="AG62" s="2">
        <f t="shared" si="43"/>
        <v>289.66064453125</v>
      </c>
      <c r="AH62" s="2">
        <v>8.5449923902760929</v>
      </c>
      <c r="AI62" s="2">
        <f t="shared" si="44"/>
        <v>290.0146484375</v>
      </c>
      <c r="AJ62" s="2">
        <v>-14.514792182932069</v>
      </c>
      <c r="AK62" s="2">
        <f t="shared" si="39"/>
        <v>289.837646484375</v>
      </c>
      <c r="AL62" s="2">
        <v>-2.9813792814620683</v>
      </c>
      <c r="AM62" s="2">
        <f t="shared" si="40"/>
        <v>-25.475863272620181</v>
      </c>
      <c r="AN62" s="2">
        <f t="shared" si="41"/>
        <v>43.274100688921258</v>
      </c>
      <c r="AO62" s="2">
        <f t="shared" si="42"/>
        <v>0.35400390625</v>
      </c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s="2" t="s">
        <v>159</v>
      </c>
      <c r="BH62" s="2">
        <f>($AR$41+$AR$5)/180*PI()</f>
        <v>0.25156669099351242</v>
      </c>
      <c r="BI62" s="2" t="s">
        <v>155</v>
      </c>
      <c r="BJ62" s="2"/>
      <c r="BK62" s="2" t="s">
        <v>159</v>
      </c>
      <c r="BL62" s="2">
        <f>($AR$42+$AR$5)/180*PI()</f>
        <v>0.22852834486718729</v>
      </c>
      <c r="BM62" s="2" t="s">
        <v>155</v>
      </c>
      <c r="BN62"/>
      <c r="BO62" s="2">
        <v>24</v>
      </c>
      <c r="BP62" s="2">
        <f t="shared" si="35"/>
        <v>0.18289855916769832</v>
      </c>
      <c r="BQ62" s="2">
        <v>-6.018134974181133E-7</v>
      </c>
      <c r="BR62" s="2">
        <f t="shared" si="36"/>
        <v>0.1828988924789535</v>
      </c>
      <c r="BS62" s="2">
        <v>1.71278003044395E-7</v>
      </c>
      <c r="BT62" s="2">
        <f t="shared" si="27"/>
        <v>0.18289872582332589</v>
      </c>
      <c r="BU62" s="2">
        <v>-2.15267582023837E-7</v>
      </c>
      <c r="BV62" s="2">
        <f t="shared" si="28"/>
        <v>1.2955093641850593E-13</v>
      </c>
      <c r="BW62" s="2">
        <f t="shared" si="29"/>
        <v>-3.6870601569238303E-14</v>
      </c>
      <c r="BX62" s="2">
        <f t="shared" si="30"/>
        <v>3.3331125517954696E-7</v>
      </c>
      <c r="BY62"/>
      <c r="BZ62" s="2">
        <v>24</v>
      </c>
      <c r="CA62" s="2">
        <f t="shared" si="37"/>
        <v>0.15736258397457539</v>
      </c>
      <c r="CB62" s="2">
        <v>-2.1789978722069892E-7</v>
      </c>
      <c r="CC62" s="2">
        <f t="shared" si="38"/>
        <v>0.15736291728583057</v>
      </c>
      <c r="CD62" s="2">
        <v>5.3912320880505904E-7</v>
      </c>
      <c r="CE62" s="2">
        <f t="shared" si="31"/>
        <v>0.157362750630203</v>
      </c>
      <c r="CF62" s="2">
        <v>1.6061190318689134E-7</v>
      </c>
      <c r="CG62" s="2">
        <f t="shared" si="32"/>
        <v>-3.4997299529535116E-14</v>
      </c>
      <c r="CH62" s="2">
        <f t="shared" si="33"/>
        <v>8.6589604618404341E-14</v>
      </c>
      <c r="CI62" s="2">
        <f t="shared" si="34"/>
        <v>3.3331125517954696E-7</v>
      </c>
    </row>
    <row r="63" spans="2:87" x14ac:dyDescent="0.2">
      <c r="AF63" s="2">
        <v>14</v>
      </c>
      <c r="AG63" s="2">
        <f t="shared" si="43"/>
        <v>289.66064453125</v>
      </c>
      <c r="AH63" s="2">
        <v>8.5449923902760929</v>
      </c>
      <c r="AI63" s="2">
        <f t="shared" si="44"/>
        <v>289.837646484375</v>
      </c>
      <c r="AJ63" s="2">
        <v>-2.9813792814620683</v>
      </c>
      <c r="AK63" s="2">
        <f t="shared" si="39"/>
        <v>289.7491455078125</v>
      </c>
      <c r="AL63" s="2">
        <v>2.782686708125766</v>
      </c>
      <c r="AM63" s="2">
        <f t="shared" si="40"/>
        <v>23.778036745457101</v>
      </c>
      <c r="AN63" s="2">
        <f t="shared" si="41"/>
        <v>-8.2962444984060451</v>
      </c>
      <c r="AO63" s="2">
        <f t="shared" si="42"/>
        <v>0.177001953125</v>
      </c>
      <c r="AT63"/>
      <c r="AU63"/>
      <c r="AV63"/>
      <c r="AW63"/>
      <c r="AX63"/>
      <c r="AY63"/>
      <c r="AZ63"/>
      <c r="BA63"/>
      <c r="BB63"/>
      <c r="BC63"/>
      <c r="BD63"/>
      <c r="BE63"/>
      <c r="BF63"/>
      <c r="BG63" s="2" t="s">
        <v>28</v>
      </c>
      <c r="BH63" s="2">
        <f>BH62-BH61</f>
        <v>0.14126254981779635</v>
      </c>
      <c r="BI63" s="2" t="s">
        <v>155</v>
      </c>
      <c r="BJ63" s="2"/>
      <c r="BK63" s="2" t="s">
        <v>28</v>
      </c>
      <c r="BL63" s="2">
        <f>BL62-BL61</f>
        <v>0.1189919281396703</v>
      </c>
      <c r="BM63" s="2" t="s">
        <v>155</v>
      </c>
      <c r="BN63"/>
      <c r="BO63" s="2">
        <v>25</v>
      </c>
      <c r="BP63" s="2">
        <f t="shared" si="35"/>
        <v>0.18289872582332589</v>
      </c>
      <c r="BQ63" s="2">
        <v>-2.15267582023837E-7</v>
      </c>
      <c r="BR63" s="2">
        <f t="shared" si="36"/>
        <v>0.1828988924789535</v>
      </c>
      <c r="BS63" s="2">
        <v>1.71278003044395E-7</v>
      </c>
      <c r="BT63" s="2">
        <f t="shared" si="27"/>
        <v>0.18289880915113971</v>
      </c>
      <c r="BU63" s="2">
        <v>-2.1994748126974439E-8</v>
      </c>
      <c r="BV63" s="2">
        <f t="shared" si="28"/>
        <v>4.7347562465171053E-15</v>
      </c>
      <c r="BW63" s="2">
        <f t="shared" si="29"/>
        <v>-3.7672165366526292E-15</v>
      </c>
      <c r="BX63" s="2">
        <f t="shared" si="30"/>
        <v>1.6665562760365127E-7</v>
      </c>
      <c r="BY63"/>
      <c r="BZ63" s="2">
        <v>25</v>
      </c>
      <c r="CA63" s="2">
        <f t="shared" si="37"/>
        <v>0.15736258397457539</v>
      </c>
      <c r="CB63" s="2">
        <v>-2.1789978722069892E-7</v>
      </c>
      <c r="CC63" s="2">
        <f t="shared" si="38"/>
        <v>0.157362750630203</v>
      </c>
      <c r="CD63" s="2">
        <v>1.6061190318689134E-7</v>
      </c>
      <c r="CE63" s="2">
        <f t="shared" si="31"/>
        <v>0.15736266730238918</v>
      </c>
      <c r="CF63" s="2">
        <v>-2.8643893874857884E-8</v>
      </c>
      <c r="CG63" s="2">
        <f t="shared" si="32"/>
        <v>6.2414983805038136E-15</v>
      </c>
      <c r="CH63" s="2">
        <f t="shared" si="33"/>
        <v>-4.600550309924264E-15</v>
      </c>
      <c r="CI63" s="2">
        <f t="shared" si="34"/>
        <v>1.6665562760365127E-7</v>
      </c>
    </row>
    <row r="64" spans="2:87" x14ac:dyDescent="0.2">
      <c r="AF64" s="2">
        <v>15</v>
      </c>
      <c r="AG64" s="2">
        <f t="shared" si="43"/>
        <v>289.7491455078125</v>
      </c>
      <c r="AH64" s="2">
        <v>2.782686708125766</v>
      </c>
      <c r="AI64" s="2">
        <f t="shared" si="44"/>
        <v>289.837646484375</v>
      </c>
      <c r="AJ64" s="2">
        <v>-2.9813792814620683</v>
      </c>
      <c r="AK64" s="2">
        <f t="shared" si="39"/>
        <v>289.79339599609375</v>
      </c>
      <c r="AL64" s="2">
        <v>-9.9126248238462722E-2</v>
      </c>
      <c r="AM64" s="2">
        <f t="shared" si="40"/>
        <v>-0.27583729339954532</v>
      </c>
      <c r="AN64" s="2">
        <f t="shared" si="41"/>
        <v>0.29553294274721859</v>
      </c>
      <c r="AO64" s="2">
        <f t="shared" si="42"/>
        <v>8.85009765625E-2</v>
      </c>
      <c r="AT64"/>
      <c r="AU64"/>
      <c r="AV64"/>
      <c r="AW64"/>
      <c r="AX64"/>
      <c r="AY64"/>
      <c r="AZ64"/>
      <c r="BA64"/>
      <c r="BB64"/>
      <c r="BC64"/>
      <c r="BD64"/>
      <c r="BE64"/>
      <c r="BF64"/>
      <c r="BG64" s="2" t="s">
        <v>168</v>
      </c>
      <c r="BH64" s="2">
        <f>BH63/PI()*180</f>
        <v>8.0937479078162671</v>
      </c>
      <c r="BI64" s="2" t="s">
        <v>43</v>
      </c>
      <c r="BJ64" s="2"/>
      <c r="BK64" s="2" t="s">
        <v>168</v>
      </c>
      <c r="BL64" s="2">
        <f>BL63/PI()*180</f>
        <v>6.8177352785270857</v>
      </c>
      <c r="BM64" s="2" t="s">
        <v>43</v>
      </c>
      <c r="BN64"/>
      <c r="BO64" s="2">
        <v>26</v>
      </c>
      <c r="BP64" s="2">
        <f t="shared" si="35"/>
        <v>0.18289880915113971</v>
      </c>
      <c r="BQ64" s="2">
        <v>-2.1994748126974439E-8</v>
      </c>
      <c r="BR64" s="2">
        <f t="shared" si="36"/>
        <v>0.1828988924789535</v>
      </c>
      <c r="BS64" s="2">
        <v>1.71278003044395E-7</v>
      </c>
      <c r="BT64" s="2">
        <f t="shared" si="27"/>
        <v>0.18289885081504659</v>
      </c>
      <c r="BU64" s="2">
        <v>7.4641637745620493E-8</v>
      </c>
      <c r="BV64" s="2">
        <f t="shared" si="28"/>
        <v>-1.641724021999791E-15</v>
      </c>
      <c r="BW64" s="2">
        <f t="shared" si="29"/>
        <v>1.2784470657033015E-14</v>
      </c>
      <c r="BX64" s="2">
        <f t="shared" si="30"/>
        <v>8.3327813787947846E-8</v>
      </c>
      <c r="BY64"/>
      <c r="BZ64" s="2">
        <v>26</v>
      </c>
      <c r="CA64" s="2">
        <f t="shared" si="37"/>
        <v>0.15736266730238918</v>
      </c>
      <c r="CB64" s="2">
        <v>-2.8643893874857884E-8</v>
      </c>
      <c r="CC64" s="2">
        <f t="shared" si="38"/>
        <v>0.157362750630203</v>
      </c>
      <c r="CD64" s="2">
        <v>1.6061190318689134E-7</v>
      </c>
      <c r="CE64" s="2">
        <f t="shared" si="31"/>
        <v>0.15736270896629609</v>
      </c>
      <c r="CF64" s="2">
        <v>6.5984016667242074E-8</v>
      </c>
      <c r="CG64" s="2">
        <f t="shared" si="32"/>
        <v>-1.8900391708533357E-15</v>
      </c>
      <c r="CH64" s="2">
        <f t="shared" si="33"/>
        <v>1.0597818496841308E-14</v>
      </c>
      <c r="CI64" s="2">
        <f t="shared" si="34"/>
        <v>8.3327813815703422E-8</v>
      </c>
    </row>
    <row r="65" spans="32:87" x14ac:dyDescent="0.2">
      <c r="AF65" s="2">
        <v>16</v>
      </c>
      <c r="AG65" s="2">
        <f t="shared" si="43"/>
        <v>289.7491455078125</v>
      </c>
      <c r="AH65" s="2">
        <v>2.782686708125766</v>
      </c>
      <c r="AI65" s="2">
        <f t="shared" si="44"/>
        <v>289.79339599609375</v>
      </c>
      <c r="AJ65" s="2">
        <v>-9.9126248238462722E-2</v>
      </c>
      <c r="AK65" s="2">
        <f t="shared" si="39"/>
        <v>289.77127075195312</v>
      </c>
      <c r="AL65" s="2">
        <v>1.3418352395510738</v>
      </c>
      <c r="AM65" s="2">
        <f t="shared" si="40"/>
        <v>3.7339070855935259</v>
      </c>
      <c r="AN65" s="2">
        <f t="shared" si="41"/>
        <v>-0.13301109305085682</v>
      </c>
      <c r="AO65" s="2">
        <f t="shared" si="42"/>
        <v>4.425048828125E-2</v>
      </c>
      <c r="AQ65" s="2"/>
      <c r="AR65" s="2"/>
      <c r="AS65" s="26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s="2" t="s">
        <v>171</v>
      </c>
      <c r="BH65" s="2">
        <f xml:space="preserve"> $AR$8*$AR$33 / (2*PI()*$AR$25)</f>
        <v>3.3837103320226013E-2</v>
      </c>
      <c r="BI65" s="2"/>
      <c r="BJ65" s="2"/>
      <c r="BK65" s="2" t="s">
        <v>171</v>
      </c>
      <c r="BL65" s="2">
        <f xml:space="preserve"> $AR$8*$AR$34 / (2*PI()*$AR$26)</f>
        <v>2.8862622616268326E-2</v>
      </c>
      <c r="BM65" s="2"/>
      <c r="BN65"/>
      <c r="BO65" s="2">
        <v>27</v>
      </c>
      <c r="BP65" s="2">
        <f t="shared" si="35"/>
        <v>0.18289880915113971</v>
      </c>
      <c r="BQ65" s="2">
        <v>-2.1994748126974439E-8</v>
      </c>
      <c r="BR65" s="2">
        <f t="shared" si="36"/>
        <v>0.18289885081504659</v>
      </c>
      <c r="BS65" s="2">
        <v>7.4641637745620493E-8</v>
      </c>
      <c r="BT65" s="2">
        <f t="shared" si="27"/>
        <v>0.18289882998309315</v>
      </c>
      <c r="BU65" s="2">
        <v>2.6323447387122112E-8</v>
      </c>
      <c r="BV65" s="2">
        <f t="shared" si="28"/>
        <v>-5.7897759511341427E-16</v>
      </c>
      <c r="BW65" s="2">
        <f t="shared" si="29"/>
        <v>1.9648252240854689E-15</v>
      </c>
      <c r="BX65" s="2">
        <f t="shared" si="30"/>
        <v>4.1663906880096135E-8</v>
      </c>
      <c r="BY65"/>
      <c r="BZ65" s="2">
        <v>27</v>
      </c>
      <c r="CA65" s="2">
        <f t="shared" si="37"/>
        <v>0.15736266730238918</v>
      </c>
      <c r="CB65" s="2">
        <v>-2.8643893874857884E-8</v>
      </c>
      <c r="CC65" s="2">
        <f t="shared" si="38"/>
        <v>0.15736270896629609</v>
      </c>
      <c r="CD65" s="2">
        <v>6.5984016667242074E-8</v>
      </c>
      <c r="CE65" s="2">
        <f t="shared" si="31"/>
        <v>0.15736268813434262</v>
      </c>
      <c r="CF65" s="2">
        <v>1.8670064341752557E-8</v>
      </c>
      <c r="CG65" s="2">
        <f t="shared" si="32"/>
        <v>-5.3478334164192865E-16</v>
      </c>
      <c r="CH65" s="2">
        <f t="shared" si="33"/>
        <v>1.2319258367046827E-15</v>
      </c>
      <c r="CI65" s="2">
        <f t="shared" si="34"/>
        <v>4.1663906907851711E-8</v>
      </c>
    </row>
    <row r="66" spans="32:87" x14ac:dyDescent="0.2">
      <c r="AF66" s="2">
        <v>17</v>
      </c>
      <c r="AG66" s="2">
        <f t="shared" si="43"/>
        <v>289.77127075195312</v>
      </c>
      <c r="AH66" s="2">
        <v>1.3418352395510738</v>
      </c>
      <c r="AI66" s="2">
        <f t="shared" si="44"/>
        <v>289.79339599609375</v>
      </c>
      <c r="AJ66" s="2">
        <v>-9.9126248238462722E-2</v>
      </c>
      <c r="AK66" s="2">
        <f t="shared" si="39"/>
        <v>289.78233337402344</v>
      </c>
      <c r="AL66" s="2">
        <v>0.62136824805747892</v>
      </c>
      <c r="AM66" s="2">
        <f t="shared" si="40"/>
        <v>0.83377381198163825</v>
      </c>
      <c r="AN66" s="2">
        <f t="shared" si="41"/>
        <v>-6.1593903204444335E-2</v>
      </c>
      <c r="AO66" s="2">
        <f t="shared" si="42"/>
        <v>2.2125244140625E-2</v>
      </c>
      <c r="AT66"/>
      <c r="AU66"/>
      <c r="AV66"/>
      <c r="AW66"/>
      <c r="AX66"/>
      <c r="AY66"/>
      <c r="AZ66"/>
      <c r="BA66"/>
      <c r="BB66"/>
      <c r="BC66"/>
      <c r="BD66"/>
      <c r="BE66"/>
      <c r="BF66"/>
      <c r="BG66" s="2" t="s">
        <v>175</v>
      </c>
      <c r="BH66" s="2">
        <f>IF(-$AR$8*($AV$3-$AR$25)/(2*$AR$25*SIN(BH61))&gt;500, 1, 2*ACOS(MIN(1, EXP(-$AR$8*($AV$3-$AR$25)/(2*$AR$25*SIN(BH61)))))/PI() )</f>
        <v>0.95686650032046661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0.70287940088482248</v>
      </c>
      <c r="BM66" s="2"/>
      <c r="BN66"/>
      <c r="BO66" s="2">
        <v>28</v>
      </c>
      <c r="BP66" s="2">
        <f t="shared" si="35"/>
        <v>0.18289880915113971</v>
      </c>
      <c r="BQ66" s="2">
        <v>-2.1994748126974439E-8</v>
      </c>
      <c r="BR66" s="2">
        <f t="shared" si="36"/>
        <v>0.18289882998309315</v>
      </c>
      <c r="BS66" s="2">
        <v>2.6323447387122112E-8</v>
      </c>
      <c r="BT66" s="2">
        <f t="shared" si="27"/>
        <v>0.18289881956711643</v>
      </c>
      <c r="BU66" s="2">
        <v>2.1643503378410145E-9</v>
      </c>
      <c r="BV66" s="2">
        <f t="shared" si="28"/>
        <v>-4.7604340539345151E-17</v>
      </c>
      <c r="BW66" s="2">
        <f t="shared" si="29"/>
        <v>5.6973162245457908E-17</v>
      </c>
      <c r="BX66" s="2">
        <f t="shared" si="30"/>
        <v>2.0831953440048068E-8</v>
      </c>
      <c r="BY66"/>
      <c r="BZ66" s="2">
        <v>28</v>
      </c>
      <c r="CA66" s="2">
        <f t="shared" si="37"/>
        <v>0.15736266730238918</v>
      </c>
      <c r="CB66" s="2">
        <v>-2.8643893874857884E-8</v>
      </c>
      <c r="CC66" s="2">
        <f t="shared" si="38"/>
        <v>0.15736268813434262</v>
      </c>
      <c r="CD66" s="2">
        <v>1.8670064341752557E-8</v>
      </c>
      <c r="CE66" s="2">
        <f t="shared" si="31"/>
        <v>0.1573626777183659</v>
      </c>
      <c r="CF66" s="2">
        <v>-4.9869140622549324E-9</v>
      </c>
      <c r="CG66" s="2">
        <f t="shared" si="32"/>
        <v>1.428446371622667E-16</v>
      </c>
      <c r="CH66" s="2">
        <f t="shared" si="33"/>
        <v>-9.310600640909021E-17</v>
      </c>
      <c r="CI66" s="2">
        <f t="shared" si="34"/>
        <v>2.0831953440048068E-8</v>
      </c>
    </row>
    <row r="67" spans="32:87" x14ac:dyDescent="0.2">
      <c r="AF67" s="2">
        <v>18</v>
      </c>
      <c r="AG67" s="2">
        <f t="shared" si="43"/>
        <v>289.78233337402344</v>
      </c>
      <c r="AH67" s="2">
        <v>0.62136824805747892</v>
      </c>
      <c r="AI67" s="2">
        <f t="shared" si="44"/>
        <v>289.79339599609375</v>
      </c>
      <c r="AJ67" s="2">
        <v>-9.9126248238462722E-2</v>
      </c>
      <c r="AK67" s="2">
        <f t="shared" si="39"/>
        <v>289.78786468505859</v>
      </c>
      <c r="AL67" s="2">
        <v>0.26112443800775509</v>
      </c>
      <c r="AM67" s="2">
        <f t="shared" si="40"/>
        <v>0.16225443456987254</v>
      </c>
      <c r="AN67" s="2">
        <f t="shared" si="41"/>
        <v>-2.5884285863085801E-2</v>
      </c>
      <c r="AO67" s="2">
        <f t="shared" si="42"/>
        <v>1.10626220703125E-2</v>
      </c>
      <c r="AT67"/>
      <c r="AU67"/>
      <c r="AV67"/>
      <c r="AW67"/>
      <c r="AX67"/>
      <c r="AY67"/>
      <c r="AZ67"/>
      <c r="BA67"/>
      <c r="BB67"/>
      <c r="BC67"/>
      <c r="BD67"/>
      <c r="BE67"/>
      <c r="BF67"/>
      <c r="BG67" s="2" t="s">
        <v>180</v>
      </c>
      <c r="BH67" s="2">
        <f>IF(-$AR$8*($AR$25-$AR$10)/(2*$AR$25*SIN(BH61))&gt;500, 1, 2*ACOS(MIN(1, EXP(-$AR$8*($AR$25-$AR$10)/(2*$AR$25*SIN(BH61)))))/PI() )</f>
        <v>0.99999454882847305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0.99999600580524028</v>
      </c>
      <c r="BM67" s="2"/>
      <c r="BN67"/>
      <c r="BO67" s="2">
        <v>29</v>
      </c>
      <c r="BP67" s="2">
        <f t="shared" si="35"/>
        <v>0.18289880915113971</v>
      </c>
      <c r="BQ67" s="2">
        <v>-2.1994748126974439E-8</v>
      </c>
      <c r="BR67" s="2">
        <f t="shared" si="36"/>
        <v>0.18289881956711643</v>
      </c>
      <c r="BS67" s="2">
        <v>2.1643503378410145E-9</v>
      </c>
      <c r="BT67" s="2">
        <f t="shared" si="27"/>
        <v>0.18289881435912808</v>
      </c>
      <c r="BU67" s="2">
        <v>-9.9151987384415996E-9</v>
      </c>
      <c r="BV67" s="2">
        <f t="shared" si="28"/>
        <v>2.180822988809177E-16</v>
      </c>
      <c r="BW67" s="2">
        <f t="shared" si="29"/>
        <v>-2.1459963739306878E-17</v>
      </c>
      <c r="BX67" s="2">
        <f t="shared" si="30"/>
        <v>1.0415976720024034E-8</v>
      </c>
      <c r="BY67"/>
      <c r="BZ67" s="2">
        <v>29</v>
      </c>
      <c r="CA67" s="2">
        <f t="shared" si="37"/>
        <v>0.1573626777183659</v>
      </c>
      <c r="CB67" s="2">
        <v>-4.9869140622549324E-9</v>
      </c>
      <c r="CC67" s="2">
        <f t="shared" si="38"/>
        <v>0.15736268813434262</v>
      </c>
      <c r="CD67" s="2">
        <v>1.8670064341752557E-8</v>
      </c>
      <c r="CE67" s="2">
        <f t="shared" si="31"/>
        <v>0.15736268292635425</v>
      </c>
      <c r="CF67" s="2">
        <v>6.8415752924044781E-9</v>
      </c>
      <c r="CG67" s="2">
        <f t="shared" si="32"/>
        <v>-3.4118348033667794E-17</v>
      </c>
      <c r="CH67" s="2">
        <f t="shared" si="33"/>
        <v>1.2773265090813618E-16</v>
      </c>
      <c r="CI67" s="2">
        <f t="shared" si="34"/>
        <v>1.0415976720024034E-8</v>
      </c>
    </row>
    <row r="68" spans="32:87" x14ac:dyDescent="0.2">
      <c r="AF68" s="2">
        <v>19</v>
      </c>
      <c r="AG68" s="2">
        <f t="shared" si="43"/>
        <v>289.78786468505859</v>
      </c>
      <c r="AH68" s="2">
        <v>0.26112443800775509</v>
      </c>
      <c r="AI68" s="2">
        <f t="shared" si="44"/>
        <v>289.79339599609375</v>
      </c>
      <c r="AJ68" s="2">
        <v>-9.9126248238462722E-2</v>
      </c>
      <c r="AK68" s="2">
        <f t="shared" si="39"/>
        <v>289.79063034057617</v>
      </c>
      <c r="AL68" s="2">
        <v>8.0999954410799546E-2</v>
      </c>
      <c r="AM68" s="2">
        <f t="shared" si="40"/>
        <v>2.1151067574173815E-2</v>
      </c>
      <c r="AN68" s="2">
        <f t="shared" si="41"/>
        <v>-8.0292215882290796E-3</v>
      </c>
      <c r="AO68" s="2">
        <f t="shared" si="42"/>
        <v>5.53131103515625E-3</v>
      </c>
      <c r="AT68"/>
      <c r="AU68"/>
      <c r="AV68"/>
      <c r="AW68"/>
      <c r="AX68"/>
      <c r="AY68"/>
      <c r="AZ68"/>
      <c r="BA68"/>
      <c r="BB68"/>
      <c r="BC68"/>
      <c r="BD68"/>
      <c r="BE68"/>
      <c r="BF68"/>
      <c r="BG68" s="2" t="s">
        <v>183</v>
      </c>
      <c r="BH68" s="2">
        <f>IF(BH61=0,1,BH66*BH67)</f>
        <v>0.95686128427704498</v>
      </c>
      <c r="BI68" s="2"/>
      <c r="BJ68" s="2"/>
      <c r="BK68" s="2" t="s">
        <v>183</v>
      </c>
      <c r="BL68" s="2">
        <f>IF(BL61=0,1,BL66*BL67)</f>
        <v>0.70287659344760278</v>
      </c>
      <c r="BM68" s="2"/>
      <c r="BN68"/>
      <c r="BO68" s="2">
        <v>30</v>
      </c>
      <c r="BP68" s="2">
        <f t="shared" si="35"/>
        <v>0.18289881435912808</v>
      </c>
      <c r="BQ68" s="2">
        <v>-9.9151987384415996E-9</v>
      </c>
      <c r="BR68" s="2">
        <f t="shared" si="36"/>
        <v>0.18289881956711643</v>
      </c>
      <c r="BS68" s="2">
        <v>2.1643503378410145E-9</v>
      </c>
      <c r="BT68" s="5">
        <f t="shared" si="27"/>
        <v>0.18289881696312227</v>
      </c>
      <c r="BU68" s="2">
        <v>-3.87542416907527E-9</v>
      </c>
      <c r="BV68" s="2">
        <f t="shared" si="28"/>
        <v>3.8425600832141204E-17</v>
      </c>
      <c r="BW68" s="2">
        <f t="shared" si="29"/>
        <v>-8.3877756096152933E-18</v>
      </c>
      <c r="BX68" s="2">
        <f t="shared" si="30"/>
        <v>5.2079883461342291E-9</v>
      </c>
      <c r="BY68"/>
      <c r="BZ68" s="2">
        <v>30</v>
      </c>
      <c r="CA68" s="2">
        <f t="shared" si="37"/>
        <v>0.1573626777183659</v>
      </c>
      <c r="CB68" s="2">
        <v>-4.9869140622549324E-9</v>
      </c>
      <c r="CC68" s="2">
        <f t="shared" si="38"/>
        <v>0.15736268292635425</v>
      </c>
      <c r="CD68" s="2">
        <v>6.8415752924044781E-9</v>
      </c>
      <c r="CE68" s="5">
        <f t="shared" si="31"/>
        <v>0.15736268032236006</v>
      </c>
      <c r="CF68" s="2">
        <v>9.2733064283034849E-10</v>
      </c>
      <c r="CG68" s="2">
        <f t="shared" si="32"/>
        <v>-4.6245182230905712E-18</v>
      </c>
      <c r="CH68" s="2">
        <f t="shared" si="33"/>
        <v>6.344402413877674E-18</v>
      </c>
      <c r="CI68" s="2">
        <f t="shared" si="34"/>
        <v>5.2079883461342291E-9</v>
      </c>
    </row>
    <row r="69" spans="32:87" x14ac:dyDescent="0.2">
      <c r="AF69" s="2">
        <v>20</v>
      </c>
      <c r="AG69" s="2">
        <f t="shared" si="43"/>
        <v>289.79063034057617</v>
      </c>
      <c r="AH69" s="2">
        <v>8.0999954410799546E-2</v>
      </c>
      <c r="AI69" s="2">
        <f t="shared" si="44"/>
        <v>289.79339599609375</v>
      </c>
      <c r="AJ69" s="2">
        <v>-9.9126248238462722E-2</v>
      </c>
      <c r="AK69" s="2">
        <f t="shared" si="39"/>
        <v>289.79201316833496</v>
      </c>
      <c r="AL69" s="2">
        <v>-9.0629320347943576E-3</v>
      </c>
      <c r="AM69" s="2">
        <f t="shared" si="40"/>
        <v>-7.3409708164651774E-4</v>
      </c>
      <c r="AN69" s="2">
        <f t="shared" si="41"/>
        <v>8.9837445064934159E-4</v>
      </c>
      <c r="AO69" s="2">
        <f t="shared" si="42"/>
        <v>2.765655517578125E-3</v>
      </c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1.0808672309321863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0.94609272131434463</v>
      </c>
      <c r="BM69" s="2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</row>
    <row r="70" spans="32:87" x14ac:dyDescent="0.2">
      <c r="AF70" s="2">
        <v>21</v>
      </c>
      <c r="AG70" s="2">
        <f t="shared" si="43"/>
        <v>289.79063034057617</v>
      </c>
      <c r="AH70" s="2">
        <v>8.0999954410799546E-2</v>
      </c>
      <c r="AI70" s="2">
        <f t="shared" si="44"/>
        <v>289.79201316833496</v>
      </c>
      <c r="AJ70" s="2">
        <v>-9.0629320347943576E-3</v>
      </c>
      <c r="AK70" s="2">
        <f t="shared" si="39"/>
        <v>289.79132175445557</v>
      </c>
      <c r="AL70" s="2">
        <v>3.5968564910945133E-2</v>
      </c>
      <c r="AM70" s="2">
        <f t="shared" si="40"/>
        <v>2.9134521180084402E-3</v>
      </c>
      <c r="AN70" s="2">
        <f t="shared" si="41"/>
        <v>-3.2598065917698493E-4</v>
      </c>
      <c r="AO70" s="2">
        <f t="shared" si="42"/>
        <v>1.3828277587890625E-3</v>
      </c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1.601796424487386E-2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1.5915367686296672E-2</v>
      </c>
      <c r="BM70" s="2"/>
      <c r="BN70"/>
      <c r="BO70" s="61" t="s">
        <v>211</v>
      </c>
      <c r="BP70" s="61"/>
      <c r="BQ70" s="61"/>
      <c r="BR70" s="61"/>
      <c r="BS70" s="61"/>
      <c r="BT70" s="61"/>
      <c r="BU70" s="61"/>
      <c r="BV70" s="61"/>
      <c r="BW70" s="61"/>
      <c r="BX70" s="61"/>
      <c r="BY70"/>
      <c r="BZ70" s="61" t="s">
        <v>212</v>
      </c>
      <c r="CA70" s="61"/>
      <c r="CB70" s="61"/>
      <c r="CC70" s="61"/>
      <c r="CD70" s="61"/>
      <c r="CE70" s="61"/>
      <c r="CF70" s="61"/>
      <c r="CG70" s="61"/>
      <c r="CH70" s="61"/>
      <c r="CI70" s="61"/>
    </row>
    <row r="71" spans="32:87" x14ac:dyDescent="0.2">
      <c r="AF71" s="2">
        <v>22</v>
      </c>
      <c r="AG71" s="2">
        <f t="shared" si="43"/>
        <v>289.79132175445557</v>
      </c>
      <c r="AH71" s="2">
        <v>3.5968564910945133E-2</v>
      </c>
      <c r="AI71" s="2">
        <f t="shared" si="44"/>
        <v>289.79201316833496</v>
      </c>
      <c r="AJ71" s="2">
        <v>-9.0629320347943576E-3</v>
      </c>
      <c r="AK71" s="2">
        <f t="shared" si="39"/>
        <v>289.79166746139526</v>
      </c>
      <c r="AL71" s="2">
        <v>1.3452829865855165E-2</v>
      </c>
      <c r="AM71" s="2">
        <f t="shared" si="40"/>
        <v>4.8387898426591278E-4</v>
      </c>
      <c r="AN71" s="2">
        <f t="shared" si="41"/>
        <v>-1.2192208274989705E-4</v>
      </c>
      <c r="AO71" s="2">
        <f t="shared" si="42"/>
        <v>6.9141387939453125E-4</v>
      </c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 s="2" t="s">
        <v>190</v>
      </c>
      <c r="BH71" s="2">
        <f xml:space="preserve"> BH69*COS(BH61) - BH70*SIN(BH61)</f>
        <v>1.0725351703788704</v>
      </c>
      <c r="BI71" s="2"/>
      <c r="BJ71" s="2"/>
      <c r="BK71" s="2" t="s">
        <v>190</v>
      </c>
      <c r="BL71" s="2">
        <f xml:space="preserve"> BL69*COS(BL61) - BL70*SIN(BL61)</f>
        <v>0.93868284817276015</v>
      </c>
      <c r="BM71" s="2"/>
      <c r="BN71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Y71"/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32:87" x14ac:dyDescent="0.2">
      <c r="AF72" s="2">
        <v>23</v>
      </c>
      <c r="AG72" s="2">
        <f t="shared" si="43"/>
        <v>289.79166746139526</v>
      </c>
      <c r="AH72" s="2">
        <v>1.3452829865855165E-2</v>
      </c>
      <c r="AI72" s="2">
        <f t="shared" si="44"/>
        <v>289.79201316833496</v>
      </c>
      <c r="AJ72" s="2">
        <v>-9.0629320347943576E-3</v>
      </c>
      <c r="AK72" s="2">
        <f t="shared" si="39"/>
        <v>289.79184031486511</v>
      </c>
      <c r="AL72" s="2">
        <v>2.1949522761133267E-3</v>
      </c>
      <c r="AM72" s="2">
        <f t="shared" si="40"/>
        <v>2.9528319534224132E-5</v>
      </c>
      <c r="AN72" s="2">
        <f t="shared" si="41"/>
        <v>-1.9892703298032258E-5</v>
      </c>
      <c r="AO72" s="2">
        <f t="shared" si="42"/>
        <v>3.4570693969726562E-4</v>
      </c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 s="2" t="s">
        <v>192</v>
      </c>
      <c r="BH72" s="2">
        <f xml:space="preserve"> BH69*SIN(BH61) + BH70*COS(BH61)</f>
        <v>0.134903129622444</v>
      </c>
      <c r="BI72" s="2"/>
      <c r="BJ72" s="2"/>
      <c r="BK72" s="2" t="s">
        <v>192</v>
      </c>
      <c r="BL72" s="2">
        <f xml:space="preserve"> BL69*SIN(BL61) + BL70*COS(BL61)</f>
        <v>0.11924448330571501</v>
      </c>
      <c r="BM72" s="2"/>
      <c r="BN72"/>
      <c r="BO72" s="30">
        <v>0</v>
      </c>
      <c r="BP72" s="30"/>
      <c r="BQ72" s="30">
        <f>$BH$58</f>
        <v>-2.8017441491834383E-9</v>
      </c>
      <c r="BR72" s="30"/>
      <c r="BS72" s="30">
        <f>$BH$58</f>
        <v>-2.8017441491834383E-9</v>
      </c>
      <c r="BT72" s="30"/>
      <c r="BU72" s="30">
        <f>$BH$58</f>
        <v>-2.8017441491834383E-9</v>
      </c>
      <c r="BV72" s="30"/>
      <c r="BW72" s="30"/>
      <c r="BX72" s="30"/>
      <c r="BY72"/>
      <c r="BZ72" s="30">
        <v>0</v>
      </c>
      <c r="CA72" s="30"/>
      <c r="CB72" s="30">
        <f>$BL$58</f>
        <v>4.9718247019381323E-9</v>
      </c>
      <c r="CC72" s="30"/>
      <c r="CD72" s="30">
        <f>$BL$58</f>
        <v>4.9718247019381323E-9</v>
      </c>
      <c r="CE72" s="30"/>
      <c r="CF72" s="30">
        <f>$BL$58</f>
        <v>4.9718247019381323E-9</v>
      </c>
      <c r="CG72" s="30"/>
      <c r="CH72" s="30"/>
      <c r="CI72" s="30"/>
    </row>
    <row r="73" spans="32:87" x14ac:dyDescent="0.2">
      <c r="AF73" s="2">
        <v>24</v>
      </c>
      <c r="AG73" s="2">
        <f t="shared" si="43"/>
        <v>289.79184031486511</v>
      </c>
      <c r="AH73" s="2">
        <v>2.1949522761133267E-3</v>
      </c>
      <c r="AI73" s="2">
        <f t="shared" si="44"/>
        <v>289.79201316833496</v>
      </c>
      <c r="AJ73" s="2">
        <v>-9.0629320347943576E-3</v>
      </c>
      <c r="AK73" s="2">
        <f t="shared" si="39"/>
        <v>289.79192674160004</v>
      </c>
      <c r="AL73" s="2">
        <v>-3.4339890371484216E-3</v>
      </c>
      <c r="AM73" s="2">
        <f t="shared" si="40"/>
        <v>-7.5374420532371387E-6</v>
      </c>
      <c r="AN73" s="2">
        <f t="shared" si="41"/>
        <v>3.112200925190506E-5</v>
      </c>
      <c r="AO73" s="2">
        <f t="shared" si="42"/>
        <v>1.7285346984863281E-4</v>
      </c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 s="2" t="s">
        <v>38</v>
      </c>
      <c r="BH73" s="2">
        <f xml:space="preserve"> 4*BH68*SIN(BH61)*SIN(BH61) / (BH65*BH71)</f>
        <v>1.2779851882276014</v>
      </c>
      <c r="BI73" s="2"/>
      <c r="BJ73" s="2"/>
      <c r="BK73" s="2" t="s">
        <v>38</v>
      </c>
      <c r="BL73" s="2">
        <f xml:space="preserve"> 4*BL68*SIN(BL61)*SIN(BL61) / (BL65*BL71)</f>
        <v>1.2401203725940468</v>
      </c>
      <c r="BM73" s="2"/>
      <c r="BN73"/>
      <c r="BO73" s="2">
        <v>1</v>
      </c>
      <c r="BP73" s="3">
        <f>0.01*PI()</f>
        <v>3.1415926535897934E-2</v>
      </c>
      <c r="BQ73" s="2">
        <f t="dataTable" ref="BQ73:BQ102" dt2D="0" dtr="0" r1="BH42" ca="1"/>
        <v>-0.61029069147569137</v>
      </c>
      <c r="BR73" s="3">
        <f>0.9*PI()</f>
        <v>2.8274333882308138</v>
      </c>
      <c r="BS73" s="2">
        <f t="dataTable" ref="BS73:BS102" dt2D="0" dtr="0" r1="BH42" ca="1"/>
        <v>0.37118098335395872</v>
      </c>
      <c r="BT73" s="2">
        <f t="shared" ref="BT73:BT102" si="45">(BP73+BR73)/2</f>
        <v>1.4294246573833558</v>
      </c>
      <c r="BU73" s="2">
        <f t="dataTable" ref="BU73:BU102" dt2D="0" dtr="0" r1="BH42" ca="1"/>
        <v>1.010545604885817</v>
      </c>
      <c r="BV73" s="2">
        <f t="shared" ref="BV73:BV102" si="46">BQ73*BU73</f>
        <v>-0.61672657597348601</v>
      </c>
      <c r="BW73" s="2">
        <f t="shared" ref="BW73:BW102" si="47">BS73*BU73</f>
        <v>0.37509531134553858</v>
      </c>
      <c r="BX73" s="2">
        <f t="shared" ref="BX73:BX102" si="48">BR73-BP73</f>
        <v>2.7960174616949161</v>
      </c>
      <c r="BY73"/>
      <c r="BZ73" s="2">
        <v>1</v>
      </c>
      <c r="CA73" s="3">
        <f>0.01*PI()</f>
        <v>3.1415926535897934E-2</v>
      </c>
      <c r="CB73" s="2">
        <f t="dataTable" ref="CB73:CB102" dt2D="0" dtr="0" r1="BL42" ca="1"/>
        <v>-0.48443428038202185</v>
      </c>
      <c r="CC73" s="3">
        <f>0.9*PI()</f>
        <v>2.8274333882308138</v>
      </c>
      <c r="CD73" s="2">
        <f t="dataTable" ref="CD73:CD102" dt2D="0" dtr="0" r1="BL42" ca="1"/>
        <v>0.36278621154630303</v>
      </c>
      <c r="CE73" s="2">
        <f t="shared" ref="CE73:CE102" si="49">(CA73+CC73)/2</f>
        <v>1.4294246573833558</v>
      </c>
      <c r="CF73" s="2">
        <f t="dataTable" ref="CF73:CF102" dt2D="0" dtr="0" r1="BL42" ca="1"/>
        <v>1.0110792229004721</v>
      </c>
      <c r="CG73" s="2">
        <f t="shared" ref="CG73:CG102" si="50">CB73*CF73</f>
        <v>-0.48980143575500407</v>
      </c>
      <c r="CH73" s="2">
        <f t="shared" ref="CH73:CH102" si="51">CD73*CF73</f>
        <v>0.36680560084924235</v>
      </c>
      <c r="CI73" s="2">
        <f t="shared" ref="CI73:CI102" si="52">CC73-CA73</f>
        <v>2.7960174616949161</v>
      </c>
    </row>
    <row r="74" spans="32:87" x14ac:dyDescent="0.2">
      <c r="AF74" s="2">
        <v>25</v>
      </c>
      <c r="AG74" s="2">
        <f t="shared" si="43"/>
        <v>289.79184031486511</v>
      </c>
      <c r="AH74" s="2">
        <v>2.1949522761133267E-3</v>
      </c>
      <c r="AI74" s="2">
        <f t="shared" si="44"/>
        <v>289.79192674160004</v>
      </c>
      <c r="AJ74" s="2">
        <v>-3.4339890371484216E-3</v>
      </c>
      <c r="AK74" s="2">
        <f t="shared" si="39"/>
        <v>289.79188352823257</v>
      </c>
      <c r="AL74" s="2">
        <v>-6.1951817224326078E-4</v>
      </c>
      <c r="AM74" s="2">
        <f t="shared" si="40"/>
        <v>-1.3598128222589132E-6</v>
      </c>
      <c r="AN74" s="2">
        <f t="shared" si="41"/>
        <v>2.1274186117975853E-6</v>
      </c>
      <c r="AO74" s="2">
        <f t="shared" si="42"/>
        <v>8.6426734924316406E-5</v>
      </c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 s="2" t="s">
        <v>194</v>
      </c>
      <c r="BH74" s="2">
        <f xml:space="preserve"> 4*BH68*SIN(BH61)*COS(BH61) / (BH65*BH72)</f>
        <v>91.739664692988995</v>
      </c>
      <c r="BI74" s="2"/>
      <c r="BJ74" s="2"/>
      <c r="BK74" s="2" t="s">
        <v>194</v>
      </c>
      <c r="BL74" s="2">
        <f xml:space="preserve"> 4*BL68*SIN(BL61)*COS(BL61) / (BL65*BL72)</f>
        <v>88.765478469939623</v>
      </c>
      <c r="BM74" s="2"/>
      <c r="BN74"/>
      <c r="BO74" s="2">
        <v>2</v>
      </c>
      <c r="BP74" s="2">
        <f t="shared" ref="BP74:BP102" si="53">IF(BV73&gt;0,BT73,BP73)</f>
        <v>3.1415926535897934E-2</v>
      </c>
      <c r="BQ74" s="2">
        <v>-0.61029069147569137</v>
      </c>
      <c r="BR74" s="2">
        <f t="shared" ref="BR74:BR102" si="54">IF(BW73&gt;0,BT73,BR73)</f>
        <v>1.4294246573833558</v>
      </c>
      <c r="BS74" s="2">
        <v>1.010545604885817</v>
      </c>
      <c r="BT74" s="2">
        <f t="shared" si="45"/>
        <v>0.73042029195962688</v>
      </c>
      <c r="BU74" s="2">
        <v>0.66331750835312375</v>
      </c>
      <c r="BV74" s="2">
        <f t="shared" si="46"/>
        <v>-0.4048165008407606</v>
      </c>
      <c r="BW74" s="2">
        <f t="shared" si="47"/>
        <v>0.67031259271006038</v>
      </c>
      <c r="BX74" s="2">
        <f t="shared" si="48"/>
        <v>1.3980087308474578</v>
      </c>
      <c r="BY74"/>
      <c r="BZ74" s="2">
        <v>2</v>
      </c>
      <c r="CA74" s="2">
        <f t="shared" ref="CA74:CA102" si="55">IF(CG73&gt;0,CE73,CA73)</f>
        <v>3.1415926535897934E-2</v>
      </c>
      <c r="CB74" s="2">
        <v>-0.48443428038202185</v>
      </c>
      <c r="CC74" s="2">
        <f t="shared" ref="CC74:CC102" si="56">IF(CH73&gt;0,CE73,CC73)</f>
        <v>1.4294246573833558</v>
      </c>
      <c r="CD74" s="2">
        <v>1.0110792229004721</v>
      </c>
      <c r="CE74" s="2">
        <f t="shared" si="49"/>
        <v>0.73042029195962688</v>
      </c>
      <c r="CF74" s="2">
        <v>0.66624509128218856</v>
      </c>
      <c r="CG74" s="2">
        <f t="shared" si="50"/>
        <v>-0.3227519613533415</v>
      </c>
      <c r="CH74" s="2">
        <f t="shared" si="51"/>
        <v>0.67362656915484931</v>
      </c>
      <c r="CI74" s="2">
        <f t="shared" si="52"/>
        <v>1.3980087308474578</v>
      </c>
    </row>
    <row r="75" spans="32:87" x14ac:dyDescent="0.2">
      <c r="AF75" s="2">
        <v>26</v>
      </c>
      <c r="AG75" s="2">
        <f t="shared" si="43"/>
        <v>289.79184031486511</v>
      </c>
      <c r="AH75" s="2">
        <v>2.1949522761133267E-3</v>
      </c>
      <c r="AI75" s="2">
        <f t="shared" si="44"/>
        <v>289.79188352823257</v>
      </c>
      <c r="AJ75" s="2">
        <v>-6.1951817224326078E-4</v>
      </c>
      <c r="AK75" s="2">
        <f t="shared" si="39"/>
        <v>289.79186192154884</v>
      </c>
      <c r="AL75" s="2">
        <v>7.8771710286673624E-4</v>
      </c>
      <c r="AM75" s="2">
        <f t="shared" si="40"/>
        <v>1.7290014478707382E-6</v>
      </c>
      <c r="AN75" s="2">
        <f t="shared" si="41"/>
        <v>-4.8800505981275708E-7</v>
      </c>
      <c r="AO75" s="2">
        <f t="shared" si="42"/>
        <v>4.3213367462158203E-5</v>
      </c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 s="2" t="s">
        <v>45</v>
      </c>
      <c r="BH75" s="2">
        <f>1/(BH73-1)</f>
        <v>3.59731396617163</v>
      </c>
      <c r="BI75" s="2"/>
      <c r="BJ75" s="2"/>
      <c r="BK75" s="2" t="s">
        <v>45</v>
      </c>
      <c r="BL75" s="2">
        <f>1/(BL73-1)</f>
        <v>4.1645779123066058</v>
      </c>
      <c r="BM75" s="2"/>
      <c r="BN75"/>
      <c r="BO75" s="2">
        <v>3</v>
      </c>
      <c r="BP75" s="2">
        <f t="shared" si="53"/>
        <v>3.1415926535897934E-2</v>
      </c>
      <c r="BQ75" s="2">
        <v>-0.61029069147569137</v>
      </c>
      <c r="BR75" s="2">
        <f t="shared" si="54"/>
        <v>0.73042029195962688</v>
      </c>
      <c r="BS75" s="2">
        <v>0.66331750835312375</v>
      </c>
      <c r="BT75" s="2">
        <f t="shared" si="45"/>
        <v>0.38091810924776243</v>
      </c>
      <c r="BU75" s="2">
        <v>0.35658008927437412</v>
      </c>
      <c r="BV75" s="2">
        <f t="shared" si="46"/>
        <v>-0.21761750924972154</v>
      </c>
      <c r="BW75" s="2">
        <f t="shared" si="47"/>
        <v>0.23652581634581227</v>
      </c>
      <c r="BX75" s="2">
        <f t="shared" si="48"/>
        <v>0.6990043654237289</v>
      </c>
      <c r="BY75"/>
      <c r="BZ75" s="2">
        <v>3</v>
      </c>
      <c r="CA75" s="2">
        <f t="shared" si="55"/>
        <v>3.1415926535897934E-2</v>
      </c>
      <c r="CB75" s="2">
        <v>-0.48443428038202185</v>
      </c>
      <c r="CC75" s="2">
        <f t="shared" si="56"/>
        <v>0.73042029195962688</v>
      </c>
      <c r="CD75" s="2">
        <v>0.66624509128218856</v>
      </c>
      <c r="CE75" s="2">
        <f t="shared" si="49"/>
        <v>0.38091810924776243</v>
      </c>
      <c r="CF75" s="2">
        <v>0.36425869641864106</v>
      </c>
      <c r="CG75" s="2">
        <f t="shared" si="50"/>
        <v>-0.17645939947245773</v>
      </c>
      <c r="CH75" s="2">
        <f t="shared" si="51"/>
        <v>0.24268556844576852</v>
      </c>
      <c r="CI75" s="2">
        <f t="shared" si="52"/>
        <v>0.6990043654237289</v>
      </c>
    </row>
    <row r="76" spans="32:87" x14ac:dyDescent="0.2">
      <c r="AF76" s="2">
        <v>27</v>
      </c>
      <c r="AG76" s="2">
        <f t="shared" si="43"/>
        <v>289.79186192154884</v>
      </c>
      <c r="AH76" s="2">
        <v>7.8771710286673624E-4</v>
      </c>
      <c r="AI76" s="2">
        <f t="shared" si="44"/>
        <v>289.79188352823257</v>
      </c>
      <c r="AJ76" s="2">
        <v>-6.1951817224326078E-4</v>
      </c>
      <c r="AK76" s="2">
        <f t="shared" si="39"/>
        <v>289.79187272489071</v>
      </c>
      <c r="AL76" s="2">
        <v>8.4099479863652959E-5</v>
      </c>
      <c r="AM76" s="2">
        <f t="shared" si="40"/>
        <v>6.6246598630796125E-8</v>
      </c>
      <c r="AN76" s="2">
        <f t="shared" si="41"/>
        <v>-5.2101156051739196E-8</v>
      </c>
      <c r="AO76" s="2">
        <f t="shared" si="42"/>
        <v>2.1606683731079102E-5</v>
      </c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 s="2" t="s">
        <v>197</v>
      </c>
      <c r="BH76" s="2">
        <f>1/(BH74+1)</f>
        <v>1.0782872714824455E-2</v>
      </c>
      <c r="BI76" s="2"/>
      <c r="BJ76"/>
      <c r="BK76" s="2" t="s">
        <v>197</v>
      </c>
      <c r="BL76" s="2">
        <f>1/(BL74+1)</f>
        <v>1.1140140029832034E-2</v>
      </c>
      <c r="BM76" s="2"/>
      <c r="BN76"/>
      <c r="BO76" s="2">
        <v>4</v>
      </c>
      <c r="BP76" s="2">
        <f t="shared" si="53"/>
        <v>3.1415926535897934E-2</v>
      </c>
      <c r="BQ76" s="2">
        <v>-0.61029069147569137</v>
      </c>
      <c r="BR76" s="2">
        <f t="shared" si="54"/>
        <v>0.38091810924776243</v>
      </c>
      <c r="BS76" s="2">
        <v>0.35658008927437412</v>
      </c>
      <c r="BT76" s="2">
        <f t="shared" si="45"/>
        <v>0.20616701789183017</v>
      </c>
      <c r="BU76" s="2">
        <v>0.12735135562061764</v>
      </c>
      <c r="BV76" s="2">
        <f t="shared" si="46"/>
        <v>-7.7721346882073411E-2</v>
      </c>
      <c r="BW76" s="2">
        <f t="shared" si="47"/>
        <v>4.5410957756412407E-2</v>
      </c>
      <c r="BX76" s="2">
        <f t="shared" si="48"/>
        <v>0.34950218271186451</v>
      </c>
      <c r="BY76"/>
      <c r="BZ76" s="2">
        <v>4</v>
      </c>
      <c r="CA76" s="2">
        <f t="shared" si="55"/>
        <v>3.1415926535897934E-2</v>
      </c>
      <c r="CB76" s="2">
        <v>-0.48443428038202185</v>
      </c>
      <c r="CC76" s="2">
        <f t="shared" si="56"/>
        <v>0.38091810924776243</v>
      </c>
      <c r="CD76" s="2">
        <v>0.36425869641864106</v>
      </c>
      <c r="CE76" s="2">
        <f t="shared" si="49"/>
        <v>0.20616701789183017</v>
      </c>
      <c r="CF76" s="2">
        <v>0.14690050221255291</v>
      </c>
      <c r="CG76" s="2">
        <f t="shared" si="50"/>
        <v>-7.1163639077095678E-2</v>
      </c>
      <c r="CH76" s="2">
        <f t="shared" si="51"/>
        <v>5.3509785439188218E-2</v>
      </c>
      <c r="CI76" s="2">
        <f t="shared" si="52"/>
        <v>0.34950218271186451</v>
      </c>
    </row>
    <row r="77" spans="32:87" x14ac:dyDescent="0.2">
      <c r="AF77" s="2">
        <v>28</v>
      </c>
      <c r="AG77" s="2">
        <f t="shared" si="43"/>
        <v>289.79187272489071</v>
      </c>
      <c r="AH77" s="2">
        <v>8.4099479863652959E-5</v>
      </c>
      <c r="AI77" s="2">
        <f t="shared" si="44"/>
        <v>289.79188352823257</v>
      </c>
      <c r="AJ77" s="2">
        <v>-6.1951817224326078E-4</v>
      </c>
      <c r="AK77" s="2">
        <f t="shared" si="39"/>
        <v>289.79187812656164</v>
      </c>
      <c r="AL77" s="2">
        <v>-2.677093434613198E-4</v>
      </c>
      <c r="AM77" s="2">
        <f t="shared" si="40"/>
        <v>-2.2514216539737019E-8</v>
      </c>
      <c r="AN77" s="2">
        <f t="shared" si="41"/>
        <v>1.6585080315360018E-7</v>
      </c>
      <c r="AO77" s="2">
        <f t="shared" si="42"/>
        <v>1.0803341865539551E-5</v>
      </c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s="7" t="s">
        <v>199</v>
      </c>
      <c r="BH77" s="40">
        <f>SIN(BH61)/(1+BH75) - $AR$3*COS(BH61)/($AV$5*$AR$25*(1-BH76))</f>
        <v>3.5739770518072866E-10</v>
      </c>
      <c r="BI77" s="40"/>
      <c r="BJ77"/>
      <c r="BK77" s="7" t="s">
        <v>199</v>
      </c>
      <c r="BL77" s="40">
        <f>SIN(BL61)/(1+BL75) - $AR$3*COS(BL61)/($AV$5*$AR$26*(1-BL76))</f>
        <v>-3.3125123442834248E-9</v>
      </c>
      <c r="BM77" s="40"/>
      <c r="BN77"/>
      <c r="BO77" s="2">
        <v>5</v>
      </c>
      <c r="BP77" s="2">
        <f t="shared" si="53"/>
        <v>3.1415926535897934E-2</v>
      </c>
      <c r="BQ77" s="2">
        <v>-0.61029069147569137</v>
      </c>
      <c r="BR77" s="2">
        <f t="shared" si="54"/>
        <v>0.20616701789183017</v>
      </c>
      <c r="BS77" s="2">
        <v>0.12735135562061764</v>
      </c>
      <c r="BT77" s="2">
        <f t="shared" si="45"/>
        <v>0.11879147221386405</v>
      </c>
      <c r="BU77" s="2">
        <v>-4.6120720727791199E-2</v>
      </c>
      <c r="BV77" s="2">
        <f t="shared" si="46"/>
        <v>2.8147046544320944E-2</v>
      </c>
      <c r="BW77" s="2">
        <f t="shared" si="47"/>
        <v>-5.8735363068841279E-3</v>
      </c>
      <c r="BX77" s="2">
        <f t="shared" si="48"/>
        <v>0.17475109135593225</v>
      </c>
      <c r="BY77"/>
      <c r="BZ77" s="2">
        <v>5</v>
      </c>
      <c r="CA77" s="2">
        <f t="shared" si="55"/>
        <v>3.1415926535897934E-2</v>
      </c>
      <c r="CB77" s="2">
        <v>-0.48443428038202185</v>
      </c>
      <c r="CC77" s="2">
        <f t="shared" si="56"/>
        <v>0.20616701789183017</v>
      </c>
      <c r="CD77" s="2">
        <v>0.14690050221255291</v>
      </c>
      <c r="CE77" s="2">
        <f t="shared" si="49"/>
        <v>0.11879147221386405</v>
      </c>
      <c r="CF77" s="2">
        <v>-7.7356119979861519E-3</v>
      </c>
      <c r="CG77" s="2">
        <f t="shared" si="50"/>
        <v>3.7473956315589559E-3</v>
      </c>
      <c r="CH77" s="2">
        <f t="shared" si="51"/>
        <v>-1.1363652874256155E-3</v>
      </c>
      <c r="CI77" s="2">
        <f t="shared" si="52"/>
        <v>0.17475109135593225</v>
      </c>
    </row>
    <row r="78" spans="32:87" x14ac:dyDescent="0.2">
      <c r="AF78" s="2">
        <v>29</v>
      </c>
      <c r="AG78" s="2">
        <f t="shared" si="43"/>
        <v>289.79187272489071</v>
      </c>
      <c r="AH78" s="2">
        <v>8.4099479863652959E-5</v>
      </c>
      <c r="AI78" s="2">
        <f t="shared" si="44"/>
        <v>289.79187812656164</v>
      </c>
      <c r="AJ78" s="2">
        <v>-2.677093434613198E-4</v>
      </c>
      <c r="AK78" s="2">
        <f t="shared" si="39"/>
        <v>289.79187542572618</v>
      </c>
      <c r="AL78" s="2">
        <v>-9.1804933617822826E-5</v>
      </c>
      <c r="AM78" s="2">
        <f t="shared" si="40"/>
        <v>-7.7207471661760874E-9</v>
      </c>
      <c r="AN78" s="2">
        <f t="shared" si="41"/>
        <v>2.4577038505337396E-8</v>
      </c>
      <c r="AO78" s="2">
        <f t="shared" si="42"/>
        <v>5.4016709327697754E-6</v>
      </c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 s="2">
        <v>6</v>
      </c>
      <c r="BP78" s="2">
        <f t="shared" si="53"/>
        <v>0.11879147221386405</v>
      </c>
      <c r="BQ78" s="2">
        <v>-4.6120720727791199E-2</v>
      </c>
      <c r="BR78" s="2">
        <f t="shared" si="54"/>
        <v>0.20616701789183017</v>
      </c>
      <c r="BS78" s="2">
        <v>0.12735135562061764</v>
      </c>
      <c r="BT78" s="2">
        <f t="shared" si="45"/>
        <v>0.16247924505284711</v>
      </c>
      <c r="BU78" s="2">
        <v>5.1117662665398612E-2</v>
      </c>
      <c r="BV78" s="2">
        <f t="shared" si="46"/>
        <v>-2.3575834440482881E-3</v>
      </c>
      <c r="BW78" s="2">
        <f t="shared" si="47"/>
        <v>6.5099036365959479E-3</v>
      </c>
      <c r="BX78" s="2">
        <f t="shared" si="48"/>
        <v>8.7375545677966127E-2</v>
      </c>
      <c r="BY78"/>
      <c r="BZ78" s="2">
        <v>6</v>
      </c>
      <c r="CA78" s="2">
        <f t="shared" si="55"/>
        <v>0.11879147221386405</v>
      </c>
      <c r="CB78" s="2">
        <v>-7.7356119979861519E-3</v>
      </c>
      <c r="CC78" s="2">
        <f t="shared" si="56"/>
        <v>0.20616701789183017</v>
      </c>
      <c r="CD78" s="2">
        <v>0.14690050221255291</v>
      </c>
      <c r="CE78" s="2">
        <f t="shared" si="49"/>
        <v>0.16247924505284711</v>
      </c>
      <c r="CF78" s="2">
        <v>7.7953663440290866E-2</v>
      </c>
      <c r="CG78" s="2">
        <f t="shared" si="50"/>
        <v>-6.0301929419568842E-4</v>
      </c>
      <c r="CH78" s="2">
        <f t="shared" si="51"/>
        <v>1.1451432308687053E-2</v>
      </c>
      <c r="CI78" s="2">
        <f t="shared" si="52"/>
        <v>8.7375545677966127E-2</v>
      </c>
    </row>
    <row r="79" spans="32:87" x14ac:dyDescent="0.2">
      <c r="AF79" s="2">
        <v>30</v>
      </c>
      <c r="AG79" s="2">
        <f t="shared" si="43"/>
        <v>289.79187272489071</v>
      </c>
      <c r="AH79" s="2">
        <v>8.4099479863652959E-5</v>
      </c>
      <c r="AI79" s="2">
        <f t="shared" si="44"/>
        <v>289.79187542572618</v>
      </c>
      <c r="AJ79" s="2">
        <v>-9.1804933617822826E-5</v>
      </c>
      <c r="AK79" s="5">
        <f t="shared" si="39"/>
        <v>289.79187407530844</v>
      </c>
      <c r="AL79" s="2">
        <v>-3.8527268770849332E-6</v>
      </c>
      <c r="AM79" s="2">
        <f t="shared" si="40"/>
        <v>-3.2401232641955889E-10</v>
      </c>
      <c r="AN79" s="2">
        <f t="shared" si="41"/>
        <v>3.5369933519838414E-10</v>
      </c>
      <c r="AO79" s="2">
        <f t="shared" si="42"/>
        <v>2.7008354663848877E-6</v>
      </c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 s="2">
        <v>7</v>
      </c>
      <c r="BP79" s="2">
        <f t="shared" si="53"/>
        <v>0.11879147221386405</v>
      </c>
      <c r="BQ79" s="2">
        <v>-4.6120720727791199E-2</v>
      </c>
      <c r="BR79" s="2">
        <f t="shared" si="54"/>
        <v>0.16247924505284711</v>
      </c>
      <c r="BS79" s="2">
        <v>5.1117662665398612E-2</v>
      </c>
      <c r="BT79" s="2">
        <f t="shared" si="45"/>
        <v>0.14063535863335558</v>
      </c>
      <c r="BU79" s="2">
        <v>6.2174983186392904E-3</v>
      </c>
      <c r="BV79" s="2">
        <f t="shared" si="46"/>
        <v>-2.8675550357947405E-4</v>
      </c>
      <c r="BW79" s="2">
        <f t="shared" si="47"/>
        <v>3.178239816748863E-4</v>
      </c>
      <c r="BX79" s="2">
        <f t="shared" si="48"/>
        <v>4.3687772838983063E-2</v>
      </c>
      <c r="BY79"/>
      <c r="BZ79" s="2">
        <v>7</v>
      </c>
      <c r="CA79" s="2">
        <f t="shared" si="55"/>
        <v>0.11879147221386405</v>
      </c>
      <c r="CB79" s="2">
        <v>-7.7356119979861519E-3</v>
      </c>
      <c r="CC79" s="2">
        <f t="shared" si="56"/>
        <v>0.16247924505284711</v>
      </c>
      <c r="CD79" s="2">
        <v>7.7953663440290866E-2</v>
      </c>
      <c r="CE79" s="2">
        <f t="shared" si="49"/>
        <v>0.14063535863335558</v>
      </c>
      <c r="CF79" s="2">
        <v>3.8120617129338764E-2</v>
      </c>
      <c r="CG79" s="2">
        <f t="shared" si="50"/>
        <v>-2.9488630323634934E-4</v>
      </c>
      <c r="CH79" s="2">
        <f t="shared" si="51"/>
        <v>2.9716417578366612E-3</v>
      </c>
      <c r="CI79" s="2">
        <f t="shared" si="52"/>
        <v>4.3687772838983063E-2</v>
      </c>
    </row>
    <row r="80" spans="32:87" x14ac:dyDescent="0.2"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 s="2">
        <v>8</v>
      </c>
      <c r="BP80" s="2">
        <f t="shared" si="53"/>
        <v>0.11879147221386405</v>
      </c>
      <c r="BQ80" s="2">
        <v>-4.6120720727791199E-2</v>
      </c>
      <c r="BR80" s="2">
        <f t="shared" si="54"/>
        <v>0.14063535863335558</v>
      </c>
      <c r="BS80" s="2">
        <v>6.2174983186392904E-3</v>
      </c>
      <c r="BT80" s="2">
        <f t="shared" si="45"/>
        <v>0.12971341542360981</v>
      </c>
      <c r="BU80" s="2">
        <v>-1.8807337215473494E-2</v>
      </c>
      <c r="BV80" s="2">
        <f t="shared" si="46"/>
        <v>8.6740794734824721E-4</v>
      </c>
      <c r="BW80" s="2">
        <f t="shared" si="47"/>
        <v>-1.1693458751528861E-4</v>
      </c>
      <c r="BX80" s="2">
        <f t="shared" si="48"/>
        <v>2.1843886419491532E-2</v>
      </c>
      <c r="BY80"/>
      <c r="BZ80" s="2">
        <v>8</v>
      </c>
      <c r="CA80" s="2">
        <f t="shared" si="55"/>
        <v>0.11879147221386405</v>
      </c>
      <c r="CB80" s="2">
        <v>-7.7356119979861519E-3</v>
      </c>
      <c r="CC80" s="2">
        <f t="shared" si="56"/>
        <v>0.14063535863335558</v>
      </c>
      <c r="CD80" s="2">
        <v>3.8120617129338764E-2</v>
      </c>
      <c r="CE80" s="2">
        <f t="shared" si="49"/>
        <v>0.12971341542360981</v>
      </c>
      <c r="CF80" s="2">
        <v>1.6126644544272969E-2</v>
      </c>
      <c r="CG80" s="2">
        <f t="shared" si="50"/>
        <v>-1.247494650239359E-4</v>
      </c>
      <c r="CH80" s="2">
        <f t="shared" si="51"/>
        <v>6.1475764225316966E-4</v>
      </c>
      <c r="CI80" s="2">
        <f t="shared" si="52"/>
        <v>2.1843886419491532E-2</v>
      </c>
    </row>
    <row r="81" spans="43:87" x14ac:dyDescent="0.2"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 s="2">
        <v>9</v>
      </c>
      <c r="BP81" s="2">
        <f t="shared" si="53"/>
        <v>0.12971341542360981</v>
      </c>
      <c r="BQ81" s="2">
        <v>-1.8807337215473494E-2</v>
      </c>
      <c r="BR81" s="2">
        <f t="shared" si="54"/>
        <v>0.14063535863335558</v>
      </c>
      <c r="BS81" s="2">
        <v>6.2174983186392904E-3</v>
      </c>
      <c r="BT81" s="2">
        <f t="shared" si="45"/>
        <v>0.1351743870284827</v>
      </c>
      <c r="BU81" s="2">
        <v>-6.040970484832188E-3</v>
      </c>
      <c r="BV81" s="2">
        <f t="shared" si="46"/>
        <v>1.1361456901696136E-4</v>
      </c>
      <c r="BW81" s="2">
        <f t="shared" si="47"/>
        <v>-3.7559723832393706E-5</v>
      </c>
      <c r="BX81" s="2">
        <f t="shared" si="48"/>
        <v>1.0921943209745766E-2</v>
      </c>
      <c r="BY81"/>
      <c r="BZ81" s="2">
        <v>9</v>
      </c>
      <c r="CA81" s="2">
        <f t="shared" si="55"/>
        <v>0.11879147221386405</v>
      </c>
      <c r="CB81" s="2">
        <v>-7.7356119979861519E-3</v>
      </c>
      <c r="CC81" s="2">
        <f t="shared" si="56"/>
        <v>0.12971341542360981</v>
      </c>
      <c r="CD81" s="2">
        <v>1.6126644544272969E-2</v>
      </c>
      <c r="CE81" s="2">
        <f t="shared" si="49"/>
        <v>0.12425244381873693</v>
      </c>
      <c r="CF81" s="2">
        <v>4.4585257985042918E-3</v>
      </c>
      <c r="CG81" s="2">
        <f t="shared" si="50"/>
        <v>-3.448942566024059E-5</v>
      </c>
      <c r="CH81" s="2">
        <f t="shared" si="51"/>
        <v>7.1901060743949518E-5</v>
      </c>
      <c r="CI81" s="2">
        <f t="shared" si="52"/>
        <v>1.0921943209745766E-2</v>
      </c>
    </row>
    <row r="82" spans="43:87" x14ac:dyDescent="0.2"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 s="2">
        <v>10</v>
      </c>
      <c r="BP82" s="2">
        <f t="shared" si="53"/>
        <v>0.1351743870284827</v>
      </c>
      <c r="BQ82" s="2">
        <v>-6.040970484832188E-3</v>
      </c>
      <c r="BR82" s="2">
        <f t="shared" si="54"/>
        <v>0.14063535863335558</v>
      </c>
      <c r="BS82" s="2">
        <v>6.2174983186392904E-3</v>
      </c>
      <c r="BT82" s="2">
        <f t="shared" si="45"/>
        <v>0.13790487283091912</v>
      </c>
      <c r="BU82" s="2">
        <v>1.4828355125218184E-4</v>
      </c>
      <c r="BV82" s="2">
        <f t="shared" si="46"/>
        <v>-8.9577655650053151E-7</v>
      </c>
      <c r="BW82" s="2">
        <f t="shared" si="47"/>
        <v>9.2195273059230364E-7</v>
      </c>
      <c r="BX82" s="2">
        <f t="shared" si="48"/>
        <v>5.4609716048728829E-3</v>
      </c>
      <c r="BY82"/>
      <c r="BZ82" s="2">
        <v>10</v>
      </c>
      <c r="CA82" s="2">
        <f t="shared" si="55"/>
        <v>0.11879147221386405</v>
      </c>
      <c r="CB82" s="2">
        <v>-7.7356119979861519E-3</v>
      </c>
      <c r="CC82" s="2">
        <f t="shared" si="56"/>
        <v>0.12425244381873693</v>
      </c>
      <c r="CD82" s="2">
        <v>4.4585257985042918E-3</v>
      </c>
      <c r="CE82" s="2">
        <f t="shared" si="49"/>
        <v>0.12152195801630049</v>
      </c>
      <c r="CF82" s="2">
        <v>-1.5685397817500057E-3</v>
      </c>
      <c r="CG82" s="2">
        <f t="shared" si="50"/>
        <v>1.2133615155023924E-5</v>
      </c>
      <c r="CH82" s="2">
        <f t="shared" si="51"/>
        <v>-6.9933750829126923E-6</v>
      </c>
      <c r="CI82" s="2">
        <f t="shared" si="52"/>
        <v>5.4609716048728829E-3</v>
      </c>
    </row>
    <row r="83" spans="43:87" x14ac:dyDescent="0.2"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 s="2">
        <v>11</v>
      </c>
      <c r="BP83" s="2">
        <f t="shared" si="53"/>
        <v>0.1351743870284827</v>
      </c>
      <c r="BQ83" s="2">
        <v>-6.040970484832188E-3</v>
      </c>
      <c r="BR83" s="2">
        <f t="shared" si="54"/>
        <v>0.13790487283091912</v>
      </c>
      <c r="BS83" s="2">
        <v>1.4828355125218184E-4</v>
      </c>
      <c r="BT83" s="2">
        <f t="shared" si="45"/>
        <v>0.13653962992970092</v>
      </c>
      <c r="BU83" s="2">
        <v>-2.9309263473596553E-3</v>
      </c>
      <c r="BV83" s="2">
        <f t="shared" si="46"/>
        <v>1.7705639557616692E-5</v>
      </c>
      <c r="BW83" s="2">
        <f t="shared" si="47"/>
        <v>-4.3460816724507556E-7</v>
      </c>
      <c r="BX83" s="2">
        <f t="shared" si="48"/>
        <v>2.7304858024364276E-3</v>
      </c>
      <c r="BY83"/>
      <c r="BZ83" s="2">
        <v>11</v>
      </c>
      <c r="CA83" s="2">
        <f t="shared" si="55"/>
        <v>0.12152195801630049</v>
      </c>
      <c r="CB83" s="2">
        <v>-1.5685397817500057E-3</v>
      </c>
      <c r="CC83" s="2">
        <f t="shared" si="56"/>
        <v>0.12425244381873693</v>
      </c>
      <c r="CD83" s="2">
        <v>4.4585257985042918E-3</v>
      </c>
      <c r="CE83" s="2">
        <f t="shared" si="49"/>
        <v>0.1228872009175187</v>
      </c>
      <c r="CF83" s="2">
        <v>1.4619335870482558E-3</v>
      </c>
      <c r="CG83" s="2">
        <f t="shared" si="50"/>
        <v>-2.2931009895616741E-6</v>
      </c>
      <c r="CH83" s="2">
        <f t="shared" si="51"/>
        <v>6.5180686135545684E-6</v>
      </c>
      <c r="CI83" s="2">
        <f t="shared" si="52"/>
        <v>2.7304858024364415E-3</v>
      </c>
    </row>
    <row r="84" spans="43:87" x14ac:dyDescent="0.2"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 s="2">
        <v>12</v>
      </c>
      <c r="BP84" s="2">
        <f t="shared" si="53"/>
        <v>0.13653962992970092</v>
      </c>
      <c r="BQ84" s="2">
        <v>-2.9309263473596553E-3</v>
      </c>
      <c r="BR84" s="2">
        <f t="shared" si="54"/>
        <v>0.13790487283091912</v>
      </c>
      <c r="BS84" s="2">
        <v>1.4828355125218184E-4</v>
      </c>
      <c r="BT84" s="2">
        <f t="shared" si="45"/>
        <v>0.13722225138031002</v>
      </c>
      <c r="BU84" s="2">
        <v>-1.3875198989998852E-3</v>
      </c>
      <c r="BV84" s="2">
        <f t="shared" si="46"/>
        <v>4.0667186294645714E-6</v>
      </c>
      <c r="BW84" s="2">
        <f t="shared" si="47"/>
        <v>-2.0574637805677166E-7</v>
      </c>
      <c r="BX84" s="2">
        <f t="shared" si="48"/>
        <v>1.3652429012181999E-3</v>
      </c>
      <c r="BY84"/>
      <c r="BZ84" s="2">
        <v>12</v>
      </c>
      <c r="CA84" s="2">
        <f t="shared" si="55"/>
        <v>0.12152195801630049</v>
      </c>
      <c r="CB84" s="2">
        <v>-1.5685397817500057E-3</v>
      </c>
      <c r="CC84" s="2">
        <f t="shared" si="56"/>
        <v>0.1228872009175187</v>
      </c>
      <c r="CD84" s="2">
        <v>1.4619335870482558E-3</v>
      </c>
      <c r="CE84" s="2">
        <f t="shared" si="49"/>
        <v>0.1222045794669096</v>
      </c>
      <c r="CF84" s="2">
        <v>-4.8999835573944328E-5</v>
      </c>
      <c r="CG84" s="2">
        <f t="shared" si="50"/>
        <v>7.6858191396940805E-8</v>
      </c>
      <c r="CH84" s="2">
        <f t="shared" si="51"/>
        <v>-7.163450538539116E-8</v>
      </c>
      <c r="CI84" s="2">
        <f t="shared" si="52"/>
        <v>1.3652429012182138E-3</v>
      </c>
    </row>
    <row r="85" spans="43:87" x14ac:dyDescent="0.2"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 s="2">
        <v>13</v>
      </c>
      <c r="BP85" s="2">
        <f t="shared" si="53"/>
        <v>0.13722225138031002</v>
      </c>
      <c r="BQ85" s="2">
        <v>-1.3875198989998852E-3</v>
      </c>
      <c r="BR85" s="2">
        <f t="shared" si="54"/>
        <v>0.13790487283091912</v>
      </c>
      <c r="BS85" s="2">
        <v>1.4828355125218184E-4</v>
      </c>
      <c r="BT85" s="2">
        <f t="shared" si="45"/>
        <v>0.13756356210561457</v>
      </c>
      <c r="BU85" s="2">
        <v>-6.186742844822013E-4</v>
      </c>
      <c r="BV85" s="2">
        <f t="shared" si="46"/>
        <v>8.5842288071857023E-7</v>
      </c>
      <c r="BW85" s="2">
        <f t="shared" si="47"/>
        <v>-9.1739219971423427E-8</v>
      </c>
      <c r="BX85" s="2">
        <f t="shared" si="48"/>
        <v>6.8262145060909996E-4</v>
      </c>
      <c r="BY85"/>
      <c r="BZ85" s="2">
        <v>13</v>
      </c>
      <c r="CA85" s="2">
        <f t="shared" si="55"/>
        <v>0.1222045794669096</v>
      </c>
      <c r="CB85" s="2">
        <v>-4.8999835573944328E-5</v>
      </c>
      <c r="CC85" s="2">
        <f t="shared" si="56"/>
        <v>0.1228872009175187</v>
      </c>
      <c r="CD85" s="2">
        <v>1.4619335870482558E-3</v>
      </c>
      <c r="CE85" s="2">
        <f t="shared" si="49"/>
        <v>0.12254589019221415</v>
      </c>
      <c r="CF85" s="2">
        <v>7.0753406050727205E-4</v>
      </c>
      <c r="CG85" s="2">
        <f t="shared" si="50"/>
        <v>-3.466905262782151E-8</v>
      </c>
      <c r="CH85" s="2">
        <f t="shared" si="51"/>
        <v>1.0343678070362138E-6</v>
      </c>
      <c r="CI85" s="2">
        <f t="shared" si="52"/>
        <v>6.8262145060909996E-4</v>
      </c>
    </row>
    <row r="86" spans="43:87" x14ac:dyDescent="0.2"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 s="2">
        <v>14</v>
      </c>
      <c r="BP86" s="2">
        <f t="shared" si="53"/>
        <v>0.13756356210561457</v>
      </c>
      <c r="BQ86" s="2">
        <v>-6.186742844822013E-4</v>
      </c>
      <c r="BR86" s="2">
        <f t="shared" si="54"/>
        <v>0.13790487283091912</v>
      </c>
      <c r="BS86" s="2">
        <v>1.4828355125218184E-4</v>
      </c>
      <c r="BT86" s="2">
        <f t="shared" si="45"/>
        <v>0.13773421746826686</v>
      </c>
      <c r="BU86" s="2">
        <v>-2.349601980553076E-4</v>
      </c>
      <c r="BV86" s="2">
        <f t="shared" si="46"/>
        <v>1.4536383241366374E-7</v>
      </c>
      <c r="BW86" s="2">
        <f t="shared" si="47"/>
        <v>-3.4840732570557001E-8</v>
      </c>
      <c r="BX86" s="2">
        <f t="shared" si="48"/>
        <v>3.4131072530454998E-4</v>
      </c>
      <c r="BY86"/>
      <c r="BZ86" s="2">
        <v>14</v>
      </c>
      <c r="CA86" s="2">
        <f t="shared" si="55"/>
        <v>0.1222045794669096</v>
      </c>
      <c r="CB86" s="2">
        <v>-4.8999835573944328E-5</v>
      </c>
      <c r="CC86" s="2">
        <f t="shared" si="56"/>
        <v>0.12254589019221415</v>
      </c>
      <c r="CD86" s="2">
        <v>7.0753406050727205E-4</v>
      </c>
      <c r="CE86" s="2">
        <f t="shared" si="49"/>
        <v>0.12237523482956188</v>
      </c>
      <c r="CF86" s="2">
        <v>3.2953498013187782E-4</v>
      </c>
      <c r="CG86" s="2">
        <f t="shared" si="50"/>
        <v>-1.6147159842325026E-8</v>
      </c>
      <c r="CH86" s="2">
        <f t="shared" si="51"/>
        <v>2.3315722257189074E-7</v>
      </c>
      <c r="CI86" s="2">
        <f t="shared" si="52"/>
        <v>3.4131072530454998E-4</v>
      </c>
    </row>
    <row r="87" spans="43:87" x14ac:dyDescent="0.2"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 s="2">
        <v>15</v>
      </c>
      <c r="BP87" s="2">
        <f t="shared" si="53"/>
        <v>0.13773421746826686</v>
      </c>
      <c r="BQ87" s="2">
        <v>-2.349601980553076E-4</v>
      </c>
      <c r="BR87" s="2">
        <f t="shared" si="54"/>
        <v>0.13790487283091912</v>
      </c>
      <c r="BS87" s="2">
        <v>1.4828355125218184E-4</v>
      </c>
      <c r="BT87" s="2">
        <f t="shared" si="45"/>
        <v>0.13781954514959299</v>
      </c>
      <c r="BU87" s="2">
        <v>-4.3279631309026123E-5</v>
      </c>
      <c r="BV87" s="2">
        <f t="shared" si="46"/>
        <v>1.0168990744129469E-8</v>
      </c>
      <c r="BW87" s="2">
        <f t="shared" si="47"/>
        <v>-6.4176574273875091E-9</v>
      </c>
      <c r="BX87" s="2">
        <f t="shared" si="48"/>
        <v>1.7065536265226111E-4</v>
      </c>
      <c r="BY87"/>
      <c r="BZ87" s="2">
        <v>15</v>
      </c>
      <c r="CA87" s="2">
        <f t="shared" si="55"/>
        <v>0.1222045794669096</v>
      </c>
      <c r="CB87" s="2">
        <v>-4.8999835573944328E-5</v>
      </c>
      <c r="CC87" s="2">
        <f t="shared" si="56"/>
        <v>0.12237523482956188</v>
      </c>
      <c r="CD87" s="2">
        <v>3.2953498013187782E-4</v>
      </c>
      <c r="CE87" s="2">
        <f t="shared" si="49"/>
        <v>0.12228990714823573</v>
      </c>
      <c r="CF87" s="2">
        <v>1.4033467376951131E-4</v>
      </c>
      <c r="CG87" s="2">
        <f t="shared" si="50"/>
        <v>-6.8763759400291721E-9</v>
      </c>
      <c r="CH87" s="2">
        <f t="shared" si="51"/>
        <v>4.6245183932449467E-8</v>
      </c>
      <c r="CI87" s="2">
        <f t="shared" si="52"/>
        <v>1.7065536265227499E-4</v>
      </c>
    </row>
    <row r="88" spans="43:87" x14ac:dyDescent="0.2"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 s="2">
        <v>16</v>
      </c>
      <c r="BP88" s="2">
        <f t="shared" si="53"/>
        <v>0.13781954514959299</v>
      </c>
      <c r="BQ88" s="2">
        <v>-4.3279631309026123E-5</v>
      </c>
      <c r="BR88" s="2">
        <f t="shared" si="54"/>
        <v>0.13790487283091912</v>
      </c>
      <c r="BS88" s="2">
        <v>1.4828355125218184E-4</v>
      </c>
      <c r="BT88" s="2">
        <f t="shared" si="45"/>
        <v>0.13786220899025606</v>
      </c>
      <c r="BU88" s="2">
        <v>5.2516620515224988E-5</v>
      </c>
      <c r="BV88" s="2">
        <f t="shared" si="46"/>
        <v>-2.2728999734949749E-9</v>
      </c>
      <c r="BW88" s="2">
        <f t="shared" si="47"/>
        <v>7.7873509897607497E-9</v>
      </c>
      <c r="BX88" s="2">
        <f t="shared" si="48"/>
        <v>8.5327681326130556E-5</v>
      </c>
      <c r="BY88"/>
      <c r="BZ88" s="2">
        <v>16</v>
      </c>
      <c r="CA88" s="2">
        <f t="shared" si="55"/>
        <v>0.1222045794669096</v>
      </c>
      <c r="CB88" s="2">
        <v>-4.8999835573944328E-5</v>
      </c>
      <c r="CC88" s="2">
        <f t="shared" si="56"/>
        <v>0.12228990714823573</v>
      </c>
      <c r="CD88" s="2">
        <v>1.4033467376951131E-4</v>
      </c>
      <c r="CE88" s="2">
        <f t="shared" si="49"/>
        <v>0.12224724330757267</v>
      </c>
      <c r="CF88" s="2">
        <v>4.5684211332445296E-5</v>
      </c>
      <c r="CG88" s="2">
        <f t="shared" si="50"/>
        <v>-2.2385188436151437E-9</v>
      </c>
      <c r="CH88" s="2">
        <f t="shared" si="51"/>
        <v>6.4110788937561221E-9</v>
      </c>
      <c r="CI88" s="2">
        <f t="shared" si="52"/>
        <v>8.5327681326130556E-5</v>
      </c>
    </row>
    <row r="89" spans="43:87" x14ac:dyDescent="0.2"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 s="2">
        <v>17</v>
      </c>
      <c r="BP89" s="2">
        <f t="shared" si="53"/>
        <v>0.13781954514959299</v>
      </c>
      <c r="BQ89" s="2">
        <v>-4.3279631309026123E-5</v>
      </c>
      <c r="BR89" s="2">
        <f t="shared" si="54"/>
        <v>0.13786220899025606</v>
      </c>
      <c r="BS89" s="2">
        <v>5.2516620515224988E-5</v>
      </c>
      <c r="BT89" s="2">
        <f t="shared" si="45"/>
        <v>0.13784087706992454</v>
      </c>
      <c r="BU89" s="2">
        <v>4.6221612978111781E-6</v>
      </c>
      <c r="BV89" s="2">
        <f t="shared" si="46"/>
        <v>-2.0004543682011747E-10</v>
      </c>
      <c r="BW89" s="2">
        <f t="shared" si="47"/>
        <v>2.4274029083730947E-10</v>
      </c>
      <c r="BX89" s="2">
        <f t="shared" si="48"/>
        <v>4.2663840663065278E-5</v>
      </c>
      <c r="BY89"/>
      <c r="BZ89" s="2">
        <v>17</v>
      </c>
      <c r="CA89" s="2">
        <f t="shared" si="55"/>
        <v>0.1222045794669096</v>
      </c>
      <c r="CB89" s="2">
        <v>-4.8999835573944328E-5</v>
      </c>
      <c r="CC89" s="2">
        <f t="shared" si="56"/>
        <v>0.12224724330757267</v>
      </c>
      <c r="CD89" s="2">
        <v>4.5684211332445296E-5</v>
      </c>
      <c r="CE89" s="2">
        <f t="shared" si="49"/>
        <v>0.12222591138724113</v>
      </c>
      <c r="CF89" s="2">
        <v>-1.6536119518371917E-6</v>
      </c>
      <c r="CG89" s="2">
        <f t="shared" si="50"/>
        <v>8.102671374313154E-11</v>
      </c>
      <c r="CH89" s="2">
        <f t="shared" si="51"/>
        <v>-7.5543957869587611E-11</v>
      </c>
      <c r="CI89" s="2">
        <f t="shared" si="52"/>
        <v>4.2663840663065278E-5</v>
      </c>
    </row>
    <row r="90" spans="43:87" x14ac:dyDescent="0.2"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 s="2">
        <v>18</v>
      </c>
      <c r="BP90" s="2">
        <f t="shared" si="53"/>
        <v>0.13781954514959299</v>
      </c>
      <c r="BQ90" s="2">
        <v>-4.3279631309026123E-5</v>
      </c>
      <c r="BR90" s="2">
        <f t="shared" si="54"/>
        <v>0.13784087706992454</v>
      </c>
      <c r="BS90" s="2">
        <v>4.6221612978111781E-6</v>
      </c>
      <c r="BT90" s="2">
        <f t="shared" si="45"/>
        <v>0.13783021110975877</v>
      </c>
      <c r="BU90" s="2">
        <v>-1.9327818136953556E-5</v>
      </c>
      <c r="BV90" s="2">
        <f t="shared" si="46"/>
        <v>8.3650084297525811E-10</v>
      </c>
      <c r="BW90" s="2">
        <f t="shared" si="47"/>
        <v>-8.9336292963759677E-11</v>
      </c>
      <c r="BX90" s="2">
        <f t="shared" si="48"/>
        <v>2.1331920331546517E-5</v>
      </c>
      <c r="BY90"/>
      <c r="BZ90" s="2">
        <v>18</v>
      </c>
      <c r="CA90" s="2">
        <f t="shared" si="55"/>
        <v>0.12222591138724113</v>
      </c>
      <c r="CB90" s="2">
        <v>-1.6536119518371917E-6</v>
      </c>
      <c r="CC90" s="2">
        <f t="shared" si="56"/>
        <v>0.12224724330757267</v>
      </c>
      <c r="CD90" s="2">
        <v>4.5684211332445296E-5</v>
      </c>
      <c r="CE90" s="2">
        <f t="shared" si="49"/>
        <v>0.12223657734740689</v>
      </c>
      <c r="CF90" s="2">
        <v>2.2016349468620411E-5</v>
      </c>
      <c r="CG90" s="2">
        <f t="shared" si="50"/>
        <v>-3.6406498617135113E-11</v>
      </c>
      <c r="CH90" s="2">
        <f t="shared" si="51"/>
        <v>1.0057995618934246E-9</v>
      </c>
      <c r="CI90" s="2">
        <f t="shared" si="52"/>
        <v>2.1331920331532639E-5</v>
      </c>
    </row>
    <row r="91" spans="43:87" x14ac:dyDescent="0.2"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 s="2">
        <v>19</v>
      </c>
      <c r="BP91" s="2">
        <f t="shared" si="53"/>
        <v>0.13783021110975877</v>
      </c>
      <c r="BQ91" s="2">
        <v>-1.9327818136953556E-5</v>
      </c>
      <c r="BR91" s="2">
        <f t="shared" si="54"/>
        <v>0.13784087706992454</v>
      </c>
      <c r="BS91" s="2">
        <v>4.6221612978111781E-6</v>
      </c>
      <c r="BT91" s="2">
        <f t="shared" si="45"/>
        <v>0.13783554408984167</v>
      </c>
      <c r="BU91" s="2">
        <v>-7.3525992268022589E-6</v>
      </c>
      <c r="BV91" s="2">
        <f t="shared" si="46"/>
        <v>1.4210970068953938E-10</v>
      </c>
      <c r="BW91" s="2">
        <f t="shared" si="47"/>
        <v>-3.3984899584441792E-11</v>
      </c>
      <c r="BX91" s="2">
        <f t="shared" si="48"/>
        <v>1.0665960165773258E-5</v>
      </c>
      <c r="BY91"/>
      <c r="BZ91" s="2">
        <v>19</v>
      </c>
      <c r="CA91" s="2">
        <f t="shared" si="55"/>
        <v>0.12222591138724113</v>
      </c>
      <c r="CB91" s="2">
        <v>-1.6536119518371917E-6</v>
      </c>
      <c r="CC91" s="2">
        <f t="shared" si="56"/>
        <v>0.12223657734740689</v>
      </c>
      <c r="CD91" s="2">
        <v>2.2016349468620411E-5</v>
      </c>
      <c r="CE91" s="2">
        <f t="shared" si="49"/>
        <v>0.12223124436732402</v>
      </c>
      <c r="CF91" s="2">
        <v>1.0181631235950395E-5</v>
      </c>
      <c r="CG91" s="2">
        <f t="shared" si="50"/>
        <v>-1.683646710096645E-11</v>
      </c>
      <c r="CH91" s="2">
        <f t="shared" si="51"/>
        <v>2.2416235145130545E-10</v>
      </c>
      <c r="CI91" s="2">
        <f t="shared" si="52"/>
        <v>1.0665960165759381E-5</v>
      </c>
    </row>
    <row r="92" spans="43:87" x14ac:dyDescent="0.2"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 s="2">
        <v>20</v>
      </c>
      <c r="BP92" s="2">
        <f t="shared" si="53"/>
        <v>0.13783554408984167</v>
      </c>
      <c r="BQ92" s="2">
        <v>-7.3525992268022589E-6</v>
      </c>
      <c r="BR92" s="2">
        <f t="shared" si="54"/>
        <v>0.13784087706992454</v>
      </c>
      <c r="BS92" s="2">
        <v>4.6221612978111781E-6</v>
      </c>
      <c r="BT92" s="2">
        <f t="shared" si="45"/>
        <v>0.1378382105798831</v>
      </c>
      <c r="BU92" s="2">
        <v>-1.3651616693199919E-6</v>
      </c>
      <c r="BV92" s="2">
        <f t="shared" si="46"/>
        <v>1.0037486634302254E-11</v>
      </c>
      <c r="BW92" s="2">
        <f t="shared" si="47"/>
        <v>-6.3099974331861684E-12</v>
      </c>
      <c r="BX92" s="2">
        <f t="shared" si="48"/>
        <v>5.3329800828727514E-6</v>
      </c>
      <c r="BY92"/>
      <c r="BZ92" s="2">
        <v>20</v>
      </c>
      <c r="CA92" s="2">
        <f t="shared" si="55"/>
        <v>0.12222591138724113</v>
      </c>
      <c r="CB92" s="2">
        <v>-1.6536119518371917E-6</v>
      </c>
      <c r="CC92" s="2">
        <f t="shared" si="56"/>
        <v>0.12223124436732402</v>
      </c>
      <c r="CD92" s="2">
        <v>1.0181631235950395E-5</v>
      </c>
      <c r="CE92" s="2">
        <f t="shared" si="49"/>
        <v>0.12222857787728258</v>
      </c>
      <c r="CF92" s="2">
        <v>4.2640752655857816E-6</v>
      </c>
      <c r="CG92" s="2">
        <f t="shared" si="50"/>
        <v>-7.051125822705996E-12</v>
      </c>
      <c r="CH92" s="2">
        <f t="shared" si="51"/>
        <v>4.341524191653167E-11</v>
      </c>
      <c r="CI92" s="2">
        <f t="shared" si="52"/>
        <v>5.3329800828866292E-6</v>
      </c>
    </row>
    <row r="93" spans="43:87" x14ac:dyDescent="0.2"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 s="2">
        <v>21</v>
      </c>
      <c r="BP93" s="2">
        <f t="shared" si="53"/>
        <v>0.1378382105798831</v>
      </c>
      <c r="BQ93" s="2">
        <v>-1.3651616693199919E-6</v>
      </c>
      <c r="BR93" s="2">
        <f t="shared" si="54"/>
        <v>0.13784087706992454</v>
      </c>
      <c r="BS93" s="2">
        <v>4.6221612978111781E-6</v>
      </c>
      <c r="BT93" s="2">
        <f t="shared" si="45"/>
        <v>0.13783954382490382</v>
      </c>
      <c r="BU93" s="2">
        <v>1.6285141377012091E-6</v>
      </c>
      <c r="BV93" s="2">
        <f t="shared" si="46"/>
        <v>-2.2231850787353901E-12</v>
      </c>
      <c r="BW93" s="2">
        <f t="shared" si="47"/>
        <v>7.5272550202208719E-12</v>
      </c>
      <c r="BX93" s="2">
        <f t="shared" si="48"/>
        <v>2.6664900414363757E-6</v>
      </c>
      <c r="BY93"/>
      <c r="BZ93" s="2">
        <v>21</v>
      </c>
      <c r="CA93" s="2">
        <f t="shared" si="55"/>
        <v>0.12222591138724113</v>
      </c>
      <c r="CB93" s="2">
        <v>-1.6536119518371917E-6</v>
      </c>
      <c r="CC93" s="2">
        <f t="shared" si="56"/>
        <v>0.12222857787728258</v>
      </c>
      <c r="CD93" s="2">
        <v>4.2640752655857816E-6</v>
      </c>
      <c r="CE93" s="2">
        <f t="shared" si="49"/>
        <v>0.12222724463226187</v>
      </c>
      <c r="CF93" s="2">
        <v>1.3052480632644303E-6</v>
      </c>
      <c r="CG93" s="2">
        <f t="shared" si="50"/>
        <v>-2.1583737975264089E-12</v>
      </c>
      <c r="CH93" s="2">
        <f t="shared" si="51"/>
        <v>5.5656759820196032E-12</v>
      </c>
      <c r="CI93" s="2">
        <f t="shared" si="52"/>
        <v>2.6664900414502535E-6</v>
      </c>
    </row>
    <row r="94" spans="43:87" x14ac:dyDescent="0.2"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 s="2">
        <v>22</v>
      </c>
      <c r="BP94" s="2">
        <f t="shared" si="53"/>
        <v>0.1378382105798831</v>
      </c>
      <c r="BQ94" s="2">
        <v>-1.3651616693199919E-6</v>
      </c>
      <c r="BR94" s="2">
        <f t="shared" si="54"/>
        <v>0.13783954382490382</v>
      </c>
      <c r="BS94" s="2">
        <v>1.6285141377012091E-6</v>
      </c>
      <c r="BT94" s="2">
        <f t="shared" si="45"/>
        <v>0.13783887720239346</v>
      </c>
      <c r="BU94" s="2">
        <v>1.3167981507272719E-7</v>
      </c>
      <c r="BV94" s="2">
        <f t="shared" si="46"/>
        <v>-1.797642361604321E-13</v>
      </c>
      <c r="BW94" s="2">
        <f t="shared" si="47"/>
        <v>2.1444244049581701E-13</v>
      </c>
      <c r="BX94" s="2">
        <f t="shared" si="48"/>
        <v>1.3332450207181878E-6</v>
      </c>
      <c r="BY94"/>
      <c r="BZ94" s="2">
        <v>22</v>
      </c>
      <c r="CA94" s="2">
        <f t="shared" si="55"/>
        <v>0.12222591138724113</v>
      </c>
      <c r="CB94" s="2">
        <v>-1.6536119518371917E-6</v>
      </c>
      <c r="CC94" s="2">
        <f t="shared" si="56"/>
        <v>0.12222724463226187</v>
      </c>
      <c r="CD94" s="2">
        <v>1.3052480632644303E-6</v>
      </c>
      <c r="CE94" s="2">
        <f t="shared" si="49"/>
        <v>0.12222657800975151</v>
      </c>
      <c r="CF94" s="2">
        <v>-1.7417784261078428E-7</v>
      </c>
      <c r="CG94" s="2">
        <f t="shared" si="50"/>
        <v>2.8802256228641018E-13</v>
      </c>
      <c r="CH94" s="2">
        <f t="shared" si="51"/>
        <v>-2.2734529173130294E-13</v>
      </c>
      <c r="CI94" s="2">
        <f t="shared" si="52"/>
        <v>1.3332450207320656E-6</v>
      </c>
    </row>
    <row r="95" spans="43:87" x14ac:dyDescent="0.2"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 s="2">
        <v>23</v>
      </c>
      <c r="BP95" s="2">
        <f t="shared" si="53"/>
        <v>0.1378382105798831</v>
      </c>
      <c r="BQ95" s="2">
        <v>-1.3651616693199919E-6</v>
      </c>
      <c r="BR95" s="2">
        <f t="shared" si="54"/>
        <v>0.13783887720239346</v>
      </c>
      <c r="BS95" s="2">
        <v>1.3167981507272719E-7</v>
      </c>
      <c r="BT95" s="2">
        <f t="shared" si="45"/>
        <v>0.13783854389113828</v>
      </c>
      <c r="BU95" s="2">
        <v>-6.1674003192652149E-7</v>
      </c>
      <c r="BV95" s="2">
        <f t="shared" si="46"/>
        <v>8.4194985152127519E-13</v>
      </c>
      <c r="BW95" s="2">
        <f t="shared" si="47"/>
        <v>-8.1212213352032209E-14</v>
      </c>
      <c r="BX95" s="2">
        <f t="shared" si="48"/>
        <v>6.6662251035909392E-7</v>
      </c>
      <c r="BY95"/>
      <c r="BZ95" s="2">
        <v>23</v>
      </c>
      <c r="CA95" s="2">
        <f t="shared" si="55"/>
        <v>0.12222657800975151</v>
      </c>
      <c r="CB95" s="2">
        <v>-1.7417784261078428E-7</v>
      </c>
      <c r="CC95" s="2">
        <f t="shared" si="56"/>
        <v>0.12222724463226187</v>
      </c>
      <c r="CD95" s="2">
        <v>1.3052480632644303E-6</v>
      </c>
      <c r="CE95" s="2">
        <f t="shared" si="49"/>
        <v>0.12222691132100669</v>
      </c>
      <c r="CF95" s="2">
        <v>5.6553613575829886E-7</v>
      </c>
      <c r="CG95" s="2">
        <f t="shared" si="50"/>
        <v>-9.8503864044820118E-14</v>
      </c>
      <c r="CH95" s="2">
        <f t="shared" si="51"/>
        <v>7.381649459045695E-13</v>
      </c>
      <c r="CI95" s="2">
        <f t="shared" si="52"/>
        <v>6.6662251035909392E-7</v>
      </c>
    </row>
    <row r="96" spans="43:87" x14ac:dyDescent="0.2"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 s="2">
        <v>24</v>
      </c>
      <c r="BP96" s="2">
        <f t="shared" si="53"/>
        <v>0.13783854389113828</v>
      </c>
      <c r="BQ96" s="2">
        <v>-6.1674003192652149E-7</v>
      </c>
      <c r="BR96" s="2">
        <f t="shared" si="54"/>
        <v>0.13783887720239346</v>
      </c>
      <c r="BS96" s="2">
        <v>1.3167981507272719E-7</v>
      </c>
      <c r="BT96" s="2">
        <f t="shared" si="45"/>
        <v>0.13783871054676589</v>
      </c>
      <c r="BU96" s="2">
        <v>-2.4252988460593539E-7</v>
      </c>
      <c r="BV96" s="2">
        <f t="shared" si="46"/>
        <v>1.4957788877500016E-13</v>
      </c>
      <c r="BW96" s="2">
        <f t="shared" si="47"/>
        <v>-3.1936290354519436E-14</v>
      </c>
      <c r="BX96" s="2">
        <f t="shared" si="48"/>
        <v>3.3331125517954696E-7</v>
      </c>
      <c r="BY96"/>
      <c r="BZ96" s="2">
        <v>24</v>
      </c>
      <c r="CA96" s="2">
        <f t="shared" si="55"/>
        <v>0.12222657800975151</v>
      </c>
      <c r="CB96" s="2">
        <v>-1.7417784261078428E-7</v>
      </c>
      <c r="CC96" s="2">
        <f t="shared" si="56"/>
        <v>0.12222691132100669</v>
      </c>
      <c r="CD96" s="2">
        <v>5.6553613575829886E-7</v>
      </c>
      <c r="CE96" s="2">
        <f t="shared" si="49"/>
        <v>0.1222267446653791</v>
      </c>
      <c r="CF96" s="2">
        <v>1.956794028964981E-7</v>
      </c>
      <c r="CG96" s="2">
        <f t="shared" si="50"/>
        <v>-3.4083016239878495E-14</v>
      </c>
      <c r="CH96" s="2">
        <f t="shared" si="51"/>
        <v>1.1066377336157681E-13</v>
      </c>
      <c r="CI96" s="2">
        <f t="shared" si="52"/>
        <v>3.3331125517954696E-7</v>
      </c>
    </row>
    <row r="97" spans="43:87" x14ac:dyDescent="0.2"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 s="2">
        <v>25</v>
      </c>
      <c r="BP97" s="2">
        <f t="shared" si="53"/>
        <v>0.13783871054676589</v>
      </c>
      <c r="BQ97" s="2">
        <v>-2.4252988460593539E-7</v>
      </c>
      <c r="BR97" s="2">
        <f t="shared" si="54"/>
        <v>0.13783887720239346</v>
      </c>
      <c r="BS97" s="2">
        <v>1.3167981507272719E-7</v>
      </c>
      <c r="BT97" s="2">
        <f t="shared" si="45"/>
        <v>0.13783879387457967</v>
      </c>
      <c r="BU97" s="2">
        <v>-5.5424978814833104E-8</v>
      </c>
      <c r="BV97" s="2">
        <f t="shared" si="46"/>
        <v>1.3442213716247885E-14</v>
      </c>
      <c r="BW97" s="2">
        <f t="shared" si="47"/>
        <v>-7.2983509607470448E-15</v>
      </c>
      <c r="BX97" s="2">
        <f t="shared" si="48"/>
        <v>1.6665562757589569E-7</v>
      </c>
      <c r="BY97"/>
      <c r="BZ97" s="2">
        <v>25</v>
      </c>
      <c r="CA97" s="2">
        <f t="shared" si="55"/>
        <v>0.12222657800975151</v>
      </c>
      <c r="CB97" s="2">
        <v>-1.7417784261078428E-7</v>
      </c>
      <c r="CC97" s="2">
        <f t="shared" si="56"/>
        <v>0.1222267446653791</v>
      </c>
      <c r="CD97" s="2">
        <v>1.956794028964981E-7</v>
      </c>
      <c r="CE97" s="2">
        <f t="shared" si="49"/>
        <v>0.1222266613375653</v>
      </c>
      <c r="CF97" s="2">
        <v>1.0750844239154622E-8</v>
      </c>
      <c r="CG97" s="2">
        <f t="shared" si="50"/>
        <v>-1.8725588558205305E-15</v>
      </c>
      <c r="CH97" s="2">
        <f t="shared" si="51"/>
        <v>2.1037187813510328E-15</v>
      </c>
      <c r="CI97" s="2">
        <f t="shared" si="52"/>
        <v>1.6665562758977348E-7</v>
      </c>
    </row>
    <row r="98" spans="43:87" x14ac:dyDescent="0.2"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 s="2">
        <v>26</v>
      </c>
      <c r="BP98" s="2">
        <f t="shared" si="53"/>
        <v>0.13783879387457967</v>
      </c>
      <c r="BQ98" s="2">
        <v>-5.5424978814833104E-8</v>
      </c>
      <c r="BR98" s="2">
        <f t="shared" si="54"/>
        <v>0.13783887720239346</v>
      </c>
      <c r="BS98" s="2">
        <v>1.3167981507272719E-7</v>
      </c>
      <c r="BT98" s="2">
        <f t="shared" si="45"/>
        <v>0.13783883553848658</v>
      </c>
      <c r="BU98" s="2">
        <v>3.8127432162859964E-8</v>
      </c>
      <c r="BV98" s="2">
        <f t="shared" si="46"/>
        <v>-2.1132121198904997E-15</v>
      </c>
      <c r="BW98" s="2">
        <f t="shared" si="47"/>
        <v>5.0206132164033508E-15</v>
      </c>
      <c r="BX98" s="2">
        <f t="shared" si="48"/>
        <v>8.3327813787947846E-8</v>
      </c>
      <c r="BY98"/>
      <c r="BZ98" s="2">
        <v>26</v>
      </c>
      <c r="CA98" s="2">
        <f t="shared" si="55"/>
        <v>0.12222657800975151</v>
      </c>
      <c r="CB98" s="2">
        <v>-1.7417784261078428E-7</v>
      </c>
      <c r="CC98" s="2">
        <f t="shared" si="56"/>
        <v>0.1222266613375653</v>
      </c>
      <c r="CD98" s="2">
        <v>1.0750844239154622E-8</v>
      </c>
      <c r="CE98" s="2">
        <f t="shared" si="49"/>
        <v>0.1222266196736584</v>
      </c>
      <c r="CF98" s="2">
        <v>-8.1713483174317147E-8</v>
      </c>
      <c r="CG98" s="2">
        <f t="shared" si="50"/>
        <v>1.4232678211515183E-14</v>
      </c>
      <c r="CH98" s="2">
        <f t="shared" si="51"/>
        <v>-8.7848892984586565E-16</v>
      </c>
      <c r="CI98" s="2">
        <f t="shared" si="52"/>
        <v>8.3327813787947846E-8</v>
      </c>
    </row>
    <row r="99" spans="43:87" x14ac:dyDescent="0.2"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 s="2">
        <v>27</v>
      </c>
      <c r="BP99" s="2">
        <f t="shared" si="53"/>
        <v>0.13783879387457967</v>
      </c>
      <c r="BQ99" s="2">
        <v>-5.5424978814833104E-8</v>
      </c>
      <c r="BR99" s="2">
        <f t="shared" si="54"/>
        <v>0.13783883553848658</v>
      </c>
      <c r="BS99" s="2">
        <v>3.8127432162859964E-8</v>
      </c>
      <c r="BT99" s="2">
        <f t="shared" si="45"/>
        <v>0.13783881470653314</v>
      </c>
      <c r="BU99" s="2">
        <v>-8.6487697698034438E-9</v>
      </c>
      <c r="BV99" s="2">
        <f t="shared" si="46"/>
        <v>4.7935788126572481E-16</v>
      </c>
      <c r="BW99" s="2">
        <f t="shared" si="47"/>
        <v>-3.2975538269037482E-16</v>
      </c>
      <c r="BX99" s="2">
        <f t="shared" si="48"/>
        <v>4.1663906907851711E-8</v>
      </c>
      <c r="BY99"/>
      <c r="BZ99" s="2">
        <v>27</v>
      </c>
      <c r="CA99" s="2">
        <f t="shared" si="55"/>
        <v>0.1222266196736584</v>
      </c>
      <c r="CB99" s="2">
        <v>-8.1713483174317147E-8</v>
      </c>
      <c r="CC99" s="2">
        <f t="shared" si="56"/>
        <v>0.1222266613375653</v>
      </c>
      <c r="CD99" s="2">
        <v>1.0750844239154622E-8</v>
      </c>
      <c r="CE99" s="2">
        <f t="shared" si="49"/>
        <v>0.12222664050561186</v>
      </c>
      <c r="CF99" s="2">
        <v>-3.5481315462104757E-8</v>
      </c>
      <c r="CG99" s="2">
        <f t="shared" si="50"/>
        <v>2.899301874015336E-15</v>
      </c>
      <c r="CH99" s="2">
        <f t="shared" si="51"/>
        <v>-3.8145409593339676E-16</v>
      </c>
      <c r="CI99" s="2">
        <f t="shared" si="52"/>
        <v>4.1663906893973923E-8</v>
      </c>
    </row>
    <row r="100" spans="43:87" x14ac:dyDescent="0.2"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 s="2">
        <v>28</v>
      </c>
      <c r="BP100" s="2">
        <f t="shared" si="53"/>
        <v>0.13783881470653314</v>
      </c>
      <c r="BQ100" s="2">
        <v>-8.6487697698034438E-9</v>
      </c>
      <c r="BR100" s="2">
        <f t="shared" si="54"/>
        <v>0.13783883553848658</v>
      </c>
      <c r="BS100" s="2">
        <v>3.8127432162859964E-8</v>
      </c>
      <c r="BT100" s="2">
        <f t="shared" si="45"/>
        <v>0.13783882512250986</v>
      </c>
      <c r="BU100" s="2">
        <v>1.4739332102053915E-8</v>
      </c>
      <c r="BV100" s="2">
        <f t="shared" si="46"/>
        <v>-1.2747708991133734E-16</v>
      </c>
      <c r="BW100" s="2">
        <f t="shared" si="47"/>
        <v>5.6197288484692481E-16</v>
      </c>
      <c r="BX100" s="2">
        <f t="shared" si="48"/>
        <v>2.0831953440048068E-8</v>
      </c>
      <c r="BY100"/>
      <c r="BZ100" s="2">
        <v>28</v>
      </c>
      <c r="CA100" s="2">
        <f t="shared" si="55"/>
        <v>0.12222664050561186</v>
      </c>
      <c r="CB100" s="2">
        <v>-3.5481315462104757E-8</v>
      </c>
      <c r="CC100" s="2">
        <f t="shared" si="56"/>
        <v>0.1222266613375653</v>
      </c>
      <c r="CD100" s="2">
        <v>1.0750844239154622E-8</v>
      </c>
      <c r="CE100" s="2">
        <f t="shared" si="49"/>
        <v>0.12222665092158858</v>
      </c>
      <c r="CF100" s="2">
        <v>-1.2365234610539622E-8</v>
      </c>
      <c r="CG100" s="2">
        <f t="shared" si="50"/>
        <v>4.3873478997949238E-16</v>
      </c>
      <c r="CH100" s="2">
        <f t="shared" si="51"/>
        <v>-1.3293671127851525E-16</v>
      </c>
      <c r="CI100" s="2">
        <f t="shared" si="52"/>
        <v>2.0831953440048068E-8</v>
      </c>
    </row>
    <row r="101" spans="43:87" x14ac:dyDescent="0.2"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 s="2">
        <v>29</v>
      </c>
      <c r="BP101" s="2">
        <f t="shared" si="53"/>
        <v>0.13783881470653314</v>
      </c>
      <c r="BQ101" s="2">
        <v>-8.6487697698034438E-9</v>
      </c>
      <c r="BR101" s="2">
        <f t="shared" si="54"/>
        <v>0.13783882512250986</v>
      </c>
      <c r="BS101" s="2">
        <v>1.4739332102053915E-8</v>
      </c>
      <c r="BT101" s="2">
        <f t="shared" si="45"/>
        <v>0.13783881991452152</v>
      </c>
      <c r="BU101" s="2">
        <v>3.0452814020476282E-9</v>
      </c>
      <c r="BV101" s="2">
        <f t="shared" si="46"/>
        <v>-2.6337937730574174E-17</v>
      </c>
      <c r="BW101" s="2">
        <f t="shared" si="47"/>
        <v>4.4885413928988361E-17</v>
      </c>
      <c r="BX101" s="2">
        <f t="shared" si="48"/>
        <v>1.0415976720024034E-8</v>
      </c>
      <c r="BY101"/>
      <c r="BZ101" s="2">
        <v>29</v>
      </c>
      <c r="CA101" s="2">
        <f t="shared" si="55"/>
        <v>0.12222665092158858</v>
      </c>
      <c r="CB101" s="2">
        <v>-1.2365234610539622E-8</v>
      </c>
      <c r="CC101" s="2">
        <f t="shared" si="56"/>
        <v>0.1222266613375653</v>
      </c>
      <c r="CD101" s="2">
        <v>1.0750844239154622E-8</v>
      </c>
      <c r="CE101" s="2">
        <f t="shared" si="49"/>
        <v>0.12222665612957694</v>
      </c>
      <c r="CF101" s="2">
        <v>-8.0719492548397831E-10</v>
      </c>
      <c r="CG101" s="2">
        <f t="shared" si="50"/>
        <v>9.98115463004644E-18</v>
      </c>
      <c r="CH101" s="2">
        <f t="shared" si="51"/>
        <v>-8.6780269145142732E-18</v>
      </c>
      <c r="CI101" s="2">
        <f t="shared" si="52"/>
        <v>1.0415976720024034E-8</v>
      </c>
    </row>
    <row r="102" spans="43:87" x14ac:dyDescent="0.2"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 s="2">
        <v>30</v>
      </c>
      <c r="BP102" s="2">
        <f t="shared" si="53"/>
        <v>0.13783881470653314</v>
      </c>
      <c r="BQ102" s="2">
        <v>-8.6487697698034438E-9</v>
      </c>
      <c r="BR102" s="2">
        <f t="shared" si="54"/>
        <v>0.13783881991452152</v>
      </c>
      <c r="BS102" s="2">
        <v>3.0452814020476282E-9</v>
      </c>
      <c r="BT102" s="5">
        <f t="shared" si="45"/>
        <v>0.13783881731052733</v>
      </c>
      <c r="BU102" s="2">
        <v>-2.8017441491834383E-9</v>
      </c>
      <c r="BV102" s="2">
        <f t="shared" si="46"/>
        <v>2.4231640100181392E-17</v>
      </c>
      <c r="BW102" s="2">
        <f t="shared" si="47"/>
        <v>-8.5320993508040795E-18</v>
      </c>
      <c r="BX102" s="2">
        <f t="shared" si="48"/>
        <v>5.2079883738898047E-9</v>
      </c>
      <c r="BY102"/>
      <c r="BZ102" s="2">
        <v>30</v>
      </c>
      <c r="CA102" s="2">
        <f t="shared" si="55"/>
        <v>0.12222665612957694</v>
      </c>
      <c r="CB102" s="2">
        <v>-8.0719492548397831E-10</v>
      </c>
      <c r="CC102" s="2">
        <f t="shared" si="56"/>
        <v>0.1222266613375653</v>
      </c>
      <c r="CD102" s="2">
        <v>1.0750844239154622E-8</v>
      </c>
      <c r="CE102" s="5">
        <f t="shared" si="49"/>
        <v>0.12222665873357111</v>
      </c>
      <c r="CF102" s="2">
        <v>4.9718247019381323E-9</v>
      </c>
      <c r="CG102" s="2">
        <f t="shared" si="50"/>
        <v>-4.0132316698003535E-18</v>
      </c>
      <c r="CH102" s="2">
        <f t="shared" si="51"/>
        <v>5.3451312954918214E-17</v>
      </c>
      <c r="CI102" s="2">
        <f t="shared" si="52"/>
        <v>5.2079883600120169E-9</v>
      </c>
    </row>
    <row r="103" spans="43:87" x14ac:dyDescent="0.2"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</row>
    <row r="104" spans="43:87" x14ac:dyDescent="0.2"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 s="61" t="s">
        <v>213</v>
      </c>
      <c r="BP104" s="61"/>
      <c r="BQ104" s="61"/>
      <c r="BR104" s="61"/>
      <c r="BS104" s="61"/>
      <c r="BT104" s="61"/>
      <c r="BU104" s="61"/>
      <c r="BV104" s="61"/>
      <c r="BW104" s="61"/>
      <c r="BX104" s="61"/>
      <c r="BY104"/>
      <c r="BZ104" s="61" t="s">
        <v>221</v>
      </c>
      <c r="CA104" s="61"/>
      <c r="CB104" s="61"/>
      <c r="CC104" s="61"/>
      <c r="CD104" s="61"/>
      <c r="CE104" s="61"/>
      <c r="CF104" s="61"/>
      <c r="CG104" s="61"/>
      <c r="CH104" s="61"/>
      <c r="CI104" s="61"/>
    </row>
    <row r="105" spans="43:87" x14ac:dyDescent="0.2"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Y105"/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43:87" x14ac:dyDescent="0.2"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 s="30">
        <v>0</v>
      </c>
      <c r="BP106" s="30"/>
      <c r="BQ106" s="30">
        <f>$BH$77</f>
        <v>3.5739770518072866E-10</v>
      </c>
      <c r="BR106" s="30"/>
      <c r="BS106" s="30">
        <f>$BH$77</f>
        <v>3.5739770518072866E-10</v>
      </c>
      <c r="BT106" s="30"/>
      <c r="BU106" s="30">
        <f>$BH$77</f>
        <v>3.5739770518072866E-10</v>
      </c>
      <c r="BV106" s="30"/>
      <c r="BW106" s="30"/>
      <c r="BX106" s="30"/>
      <c r="BY106"/>
      <c r="BZ106" s="30">
        <v>0</v>
      </c>
      <c r="CA106" s="30"/>
      <c r="CB106" s="30">
        <f>$BL$77</f>
        <v>-3.3125123442834248E-9</v>
      </c>
      <c r="CC106" s="30"/>
      <c r="CD106" s="30">
        <f>$BL$77</f>
        <v>-3.3125123442834248E-9</v>
      </c>
      <c r="CE106" s="30"/>
      <c r="CF106" s="30">
        <f>$BL$77</f>
        <v>-3.3125123442834248E-9</v>
      </c>
      <c r="CG106" s="30"/>
      <c r="CH106" s="30"/>
      <c r="CI106" s="30"/>
    </row>
    <row r="107" spans="43:87" x14ac:dyDescent="0.2"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 s="2">
        <v>1</v>
      </c>
      <c r="BP107" s="3">
        <f>0.01*PI()</f>
        <v>3.1415926535897934E-2</v>
      </c>
      <c r="BQ107" s="2">
        <f t="dataTable" ref="BQ107:BQ136" dt2D="0" dtr="0" r1="BH61" ca="1"/>
        <v>-0.38480956463426624</v>
      </c>
      <c r="BR107" s="3">
        <f>0.9*PI()</f>
        <v>2.8274333882308138</v>
      </c>
      <c r="BS107" s="2">
        <f t="dataTable" ref="BS107:BS136" dt2D="0" dtr="0" r1="BH61" ca="1"/>
        <v>0.35940609742914098</v>
      </c>
      <c r="BT107" s="2">
        <f t="shared" ref="BT107:BT136" si="57">(BP107+BR107)/2</f>
        <v>1.4294246573833558</v>
      </c>
      <c r="BU107" s="2">
        <f t="dataTable" ref="BU107:BU136" dt2D="0" dtr="0" r1="BH61" ca="1"/>
        <v>1.0145076662865513</v>
      </c>
      <c r="BV107" s="2">
        <f t="shared" ref="BV107:BV136" si="58">BQ107*BU107</f>
        <v>-0.39039225338185329</v>
      </c>
      <c r="BW107" s="2">
        <f t="shared" ref="BW107:BW136" si="59">BS107*BU107</f>
        <v>0.36462024115199471</v>
      </c>
      <c r="BX107" s="2">
        <f t="shared" ref="BX107:BX136" si="60">BR107-BP107</f>
        <v>2.7960174616949161</v>
      </c>
      <c r="BY107"/>
      <c r="BZ107" s="2">
        <v>1</v>
      </c>
      <c r="CA107" s="3">
        <f>0.001*PI()</f>
        <v>3.1415926535897933E-3</v>
      </c>
      <c r="CB107" s="2">
        <f t="dataTable" ref="CB107:CB136" dt2D="0" dtr="0" r1="BL61" ca="1"/>
        <v>-3.404546560397709</v>
      </c>
      <c r="CC107" s="3">
        <f>0.9*PI()</f>
        <v>2.8274333882308138</v>
      </c>
      <c r="CD107" s="2">
        <f t="dataTable" ref="CD107:CD136" dt2D="0" dtr="0" r1="BL61" ca="1"/>
        <v>0.3677587070916043</v>
      </c>
      <c r="CE107" s="2">
        <f t="shared" ref="CE107:CE136" si="61">(CA107+CC107)/2</f>
        <v>1.4152874904422017</v>
      </c>
      <c r="CF107" s="2">
        <f t="dataTable" ref="CF107:CF136" dt2D="0" dtr="0" r1="BL61" ca="1"/>
        <v>1.0270399763560538</v>
      </c>
      <c r="CG107" s="2">
        <f t="shared" ref="CG107:CG136" si="62">CB107*CF107</f>
        <v>-3.4966054188939473</v>
      </c>
      <c r="CH107" s="2">
        <f t="shared" ref="CH107:CH136" si="63">CD107*CF107</f>
        <v>0.37770289383609418</v>
      </c>
      <c r="CI107" s="2">
        <f t="shared" ref="CI107:CI136" si="64">CC107-CA107</f>
        <v>2.8242917955772242</v>
      </c>
    </row>
    <row r="108" spans="43:87" x14ac:dyDescent="0.2"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 s="2">
        <v>2</v>
      </c>
      <c r="BP108" s="2">
        <f t="shared" ref="BP108:BP136" si="65">IF(BV107&gt;0,BT107,BP107)</f>
        <v>3.1415926535897934E-2</v>
      </c>
      <c r="BQ108" s="2">
        <v>-0.38480956463426624</v>
      </c>
      <c r="BR108" s="2">
        <f t="shared" ref="BR108:BR136" si="66">IF(BW107&gt;0,BT107,BR107)</f>
        <v>1.4294246573833558</v>
      </c>
      <c r="BS108" s="2">
        <v>1.0145076662865513</v>
      </c>
      <c r="BT108" s="2">
        <f t="shared" si="57"/>
        <v>0.73042029195962688</v>
      </c>
      <c r="BU108" s="2">
        <v>0.67077739104693346</v>
      </c>
      <c r="BV108" s="2">
        <f t="shared" si="58"/>
        <v>-0.2581215558152794</v>
      </c>
      <c r="BW108" s="2">
        <f t="shared" si="59"/>
        <v>0.68050880558880589</v>
      </c>
      <c r="BX108" s="2">
        <f t="shared" si="60"/>
        <v>1.3980087308474578</v>
      </c>
      <c r="BY108"/>
      <c r="BZ108" s="2">
        <v>2</v>
      </c>
      <c r="CA108" s="2">
        <f t="shared" ref="CA108:CA136" si="67">IF(CG107&gt;0,CE107,CA107)</f>
        <v>3.1415926535897933E-3</v>
      </c>
      <c r="CB108" s="2">
        <v>-3.404546560397709</v>
      </c>
      <c r="CC108" s="2">
        <f t="shared" ref="CC108:CC136" si="68">IF(CH107&gt;0,CE107,CC107)</f>
        <v>1.4152874904422017</v>
      </c>
      <c r="CD108" s="2">
        <v>1.0270399763560538</v>
      </c>
      <c r="CE108" s="2">
        <f t="shared" si="61"/>
        <v>0.70921454154789576</v>
      </c>
      <c r="CF108" s="2">
        <v>0.66750824845108447</v>
      </c>
      <c r="CG108" s="2">
        <f t="shared" si="62"/>
        <v>-2.2725629113012391</v>
      </c>
      <c r="CH108" s="2">
        <f t="shared" si="63"/>
        <v>0.68555765570667271</v>
      </c>
      <c r="CI108" s="2">
        <f t="shared" si="64"/>
        <v>1.4121458977886119</v>
      </c>
    </row>
    <row r="109" spans="43:87" x14ac:dyDescent="0.2"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 s="2">
        <v>3</v>
      </c>
      <c r="BP109" s="2">
        <f t="shared" si="65"/>
        <v>3.1415926535897934E-2</v>
      </c>
      <c r="BQ109" s="2">
        <v>-0.38480956463426624</v>
      </c>
      <c r="BR109" s="2">
        <f t="shared" si="66"/>
        <v>0.73042029195962688</v>
      </c>
      <c r="BS109" s="2">
        <v>0.67077739104693346</v>
      </c>
      <c r="BT109" s="2">
        <f t="shared" si="57"/>
        <v>0.38091810924776243</v>
      </c>
      <c r="BU109" s="2">
        <v>0.37261798715282213</v>
      </c>
      <c r="BV109" s="2">
        <f t="shared" si="58"/>
        <v>-0.1433869654111741</v>
      </c>
      <c r="BW109" s="2">
        <f t="shared" si="59"/>
        <v>0.2499437212795298</v>
      </c>
      <c r="BX109" s="2">
        <f t="shared" si="60"/>
        <v>0.6990043654237289</v>
      </c>
      <c r="BY109"/>
      <c r="BZ109" s="2">
        <v>3</v>
      </c>
      <c r="CA109" s="2">
        <f t="shared" si="67"/>
        <v>3.1415926535897933E-3</v>
      </c>
      <c r="CB109" s="2">
        <v>-3.404546560397709</v>
      </c>
      <c r="CC109" s="2">
        <f t="shared" si="68"/>
        <v>0.70921454154789576</v>
      </c>
      <c r="CD109" s="2">
        <v>0.66750824845108447</v>
      </c>
      <c r="CE109" s="2">
        <f t="shared" si="61"/>
        <v>0.35617806710074279</v>
      </c>
      <c r="CF109" s="2">
        <v>0.36236271799480646</v>
      </c>
      <c r="CG109" s="2">
        <f t="shared" si="62"/>
        <v>-1.2336807451655833</v>
      </c>
      <c r="CH109" s="2">
        <f t="shared" si="63"/>
        <v>0.24188010319268752</v>
      </c>
      <c r="CI109" s="2">
        <f t="shared" si="64"/>
        <v>0.70607294889430594</v>
      </c>
    </row>
    <row r="110" spans="43:87" x14ac:dyDescent="0.2"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 s="2">
        <v>4</v>
      </c>
      <c r="BP110" s="2">
        <f t="shared" si="65"/>
        <v>3.1415926535897934E-2</v>
      </c>
      <c r="BQ110" s="2">
        <v>-0.38480956463426624</v>
      </c>
      <c r="BR110" s="2">
        <f t="shared" si="66"/>
        <v>0.38091810924776243</v>
      </c>
      <c r="BS110" s="2">
        <v>0.37261798715282213</v>
      </c>
      <c r="BT110" s="2">
        <f t="shared" si="57"/>
        <v>0.20616701789183017</v>
      </c>
      <c r="BU110" s="2">
        <v>0.15958824376940089</v>
      </c>
      <c r="BV110" s="2">
        <f t="shared" si="58"/>
        <v>-6.1411082605650313E-2</v>
      </c>
      <c r="BW110" s="2">
        <f t="shared" si="59"/>
        <v>5.9465450166608071E-2</v>
      </c>
      <c r="BX110" s="2">
        <f t="shared" si="60"/>
        <v>0.34950218271186451</v>
      </c>
      <c r="BY110"/>
      <c r="BZ110" s="2">
        <v>4</v>
      </c>
      <c r="CA110" s="2">
        <f t="shared" si="67"/>
        <v>3.1415926535897933E-3</v>
      </c>
      <c r="CB110" s="2">
        <v>-3.404546560397709</v>
      </c>
      <c r="CC110" s="2">
        <f t="shared" si="68"/>
        <v>0.35617806710074279</v>
      </c>
      <c r="CD110" s="2">
        <v>0.36236271799480646</v>
      </c>
      <c r="CE110" s="2">
        <f t="shared" si="61"/>
        <v>0.1796598298771663</v>
      </c>
      <c r="CF110" s="2">
        <v>0.12498559621770555</v>
      </c>
      <c r="CG110" s="2">
        <f t="shared" si="62"/>
        <v>-0.42551928170224634</v>
      </c>
      <c r="CH110" s="2">
        <f t="shared" si="63"/>
        <v>4.5290120355649187E-2</v>
      </c>
      <c r="CI110" s="2">
        <f t="shared" si="64"/>
        <v>0.35303647444715297</v>
      </c>
    </row>
    <row r="111" spans="43:87" x14ac:dyDescent="0.2"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 s="2">
        <v>5</v>
      </c>
      <c r="BP111" s="2">
        <f t="shared" si="65"/>
        <v>3.1415926535897934E-2</v>
      </c>
      <c r="BQ111" s="2">
        <v>-0.38480956463426624</v>
      </c>
      <c r="BR111" s="2">
        <f t="shared" si="66"/>
        <v>0.20616701789183017</v>
      </c>
      <c r="BS111" s="2">
        <v>0.15958824376940089</v>
      </c>
      <c r="BT111" s="2">
        <f t="shared" si="57"/>
        <v>0.11879147221386405</v>
      </c>
      <c r="BU111" s="2">
        <v>1.7674306205138421E-2</v>
      </c>
      <c r="BV111" s="2">
        <f t="shared" si="58"/>
        <v>-6.8012420760120264E-3</v>
      </c>
      <c r="BW111" s="2">
        <f t="shared" si="59"/>
        <v>2.8206114871206652E-3</v>
      </c>
      <c r="BX111" s="2">
        <f t="shared" si="60"/>
        <v>0.17475109135593225</v>
      </c>
      <c r="BY111"/>
      <c r="BZ111" s="2">
        <v>5</v>
      </c>
      <c r="CA111" s="2">
        <f t="shared" si="67"/>
        <v>3.1415926535897933E-3</v>
      </c>
      <c r="CB111" s="2">
        <v>-3.404546560397709</v>
      </c>
      <c r="CC111" s="2">
        <f t="shared" si="68"/>
        <v>0.1796598298771663</v>
      </c>
      <c r="CD111" s="2">
        <v>0.12498559621770555</v>
      </c>
      <c r="CE111" s="2">
        <f t="shared" si="61"/>
        <v>9.1400711265378048E-2</v>
      </c>
      <c r="CF111" s="2">
        <v>-4.0850719906382324E-2</v>
      </c>
      <c r="CG111" s="2">
        <f t="shared" si="62"/>
        <v>0.13907817794704416</v>
      </c>
      <c r="CH111" s="2">
        <f t="shared" si="63"/>
        <v>-5.1057515834216872E-3</v>
      </c>
      <c r="CI111" s="2">
        <f t="shared" si="64"/>
        <v>0.17651823722357651</v>
      </c>
    </row>
    <row r="112" spans="43:87" x14ac:dyDescent="0.2"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 s="2">
        <v>6</v>
      </c>
      <c r="BP112" s="2">
        <f t="shared" si="65"/>
        <v>3.1415926535897934E-2</v>
      </c>
      <c r="BQ112" s="2">
        <v>-0.38480956463426624</v>
      </c>
      <c r="BR112" s="2">
        <f t="shared" si="66"/>
        <v>0.11879147221386405</v>
      </c>
      <c r="BS112" s="2">
        <v>1.7674306205138421E-2</v>
      </c>
      <c r="BT112" s="2">
        <f t="shared" si="57"/>
        <v>7.5103699374880983E-2</v>
      </c>
      <c r="BU112" s="2">
        <v>-9.3698396045099566E-2</v>
      </c>
      <c r="BV112" s="2">
        <f t="shared" si="58"/>
        <v>3.6056038989043818E-2</v>
      </c>
      <c r="BW112" s="2">
        <f t="shared" si="59"/>
        <v>-1.6560541426314205E-3</v>
      </c>
      <c r="BX112" s="2">
        <f t="shared" si="60"/>
        <v>8.7375545677966113E-2</v>
      </c>
      <c r="BY112"/>
      <c r="BZ112" s="2">
        <v>6</v>
      </c>
      <c r="CA112" s="2">
        <f t="shared" si="67"/>
        <v>9.1400711265378048E-2</v>
      </c>
      <c r="CB112" s="2">
        <v>-4.0850719906382324E-2</v>
      </c>
      <c r="CC112" s="2">
        <f t="shared" si="68"/>
        <v>0.1796598298771663</v>
      </c>
      <c r="CD112" s="2">
        <v>0.12498559621770555</v>
      </c>
      <c r="CE112" s="2">
        <f t="shared" si="61"/>
        <v>0.13553027057127218</v>
      </c>
      <c r="CF112" s="2">
        <v>5.0654362075792159E-2</v>
      </c>
      <c r="CG112" s="2">
        <f t="shared" si="62"/>
        <v>-2.0692671571946606E-3</v>
      </c>
      <c r="CH112" s="2">
        <f t="shared" si="63"/>
        <v>6.3310656450704158E-3</v>
      </c>
      <c r="CI112" s="2">
        <f t="shared" si="64"/>
        <v>8.8259118611788256E-2</v>
      </c>
    </row>
    <row r="113" spans="43:87" x14ac:dyDescent="0.2"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 s="2">
        <v>7</v>
      </c>
      <c r="BP113" s="2">
        <f t="shared" si="65"/>
        <v>7.5103699374880983E-2</v>
      </c>
      <c r="BQ113" s="2">
        <v>-9.3698396045099566E-2</v>
      </c>
      <c r="BR113" s="2">
        <f t="shared" si="66"/>
        <v>0.11879147221386405</v>
      </c>
      <c r="BS113" s="2">
        <v>1.7674306205138421E-2</v>
      </c>
      <c r="BT113" s="2">
        <f t="shared" si="57"/>
        <v>9.6947585794372515E-2</v>
      </c>
      <c r="BU113" s="2">
        <v>-3.0791224821739242E-2</v>
      </c>
      <c r="BV113" s="2">
        <f t="shared" si="58"/>
        <v>2.885088378061024E-3</v>
      </c>
      <c r="BW113" s="2">
        <f t="shared" si="59"/>
        <v>-5.4421353593067808E-4</v>
      </c>
      <c r="BX113" s="2">
        <f t="shared" si="60"/>
        <v>4.3687772838983063E-2</v>
      </c>
      <c r="BY113"/>
      <c r="BZ113" s="2">
        <v>7</v>
      </c>
      <c r="CA113" s="2">
        <f t="shared" si="67"/>
        <v>9.1400711265378048E-2</v>
      </c>
      <c r="CB113" s="2">
        <v>-4.0850719906382324E-2</v>
      </c>
      <c r="CC113" s="2">
        <f t="shared" si="68"/>
        <v>0.13553027057127218</v>
      </c>
      <c r="CD113" s="2">
        <v>5.0654362075792159E-2</v>
      </c>
      <c r="CE113" s="2">
        <f t="shared" si="61"/>
        <v>0.11346549091832511</v>
      </c>
      <c r="CF113" s="2">
        <v>8.1454398969355579E-3</v>
      </c>
      <c r="CG113" s="2">
        <f t="shared" si="62"/>
        <v>-3.3274708374398618E-4</v>
      </c>
      <c r="CH113" s="2">
        <f t="shared" si="63"/>
        <v>4.1260206180597693E-4</v>
      </c>
      <c r="CI113" s="2">
        <f t="shared" si="64"/>
        <v>4.4129559305894128E-2</v>
      </c>
    </row>
    <row r="114" spans="43:87" x14ac:dyDescent="0.2"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s="2">
        <v>8</v>
      </c>
      <c r="BP114" s="2">
        <f t="shared" si="65"/>
        <v>9.6947585794372515E-2</v>
      </c>
      <c r="BQ114" s="2">
        <v>-3.0791224821739242E-2</v>
      </c>
      <c r="BR114" s="2">
        <f t="shared" si="66"/>
        <v>0.11879147221386405</v>
      </c>
      <c r="BS114" s="2">
        <v>1.7674306205138421E-2</v>
      </c>
      <c r="BT114" s="2">
        <f t="shared" si="57"/>
        <v>0.10786952900411828</v>
      </c>
      <c r="BU114" s="2">
        <v>-5.3131223959250601E-3</v>
      </c>
      <c r="BV114" s="2">
        <f t="shared" si="58"/>
        <v>1.6359754619834637E-4</v>
      </c>
      <c r="BW114" s="2">
        <f t="shared" si="59"/>
        <v>-9.3905752130958199E-5</v>
      </c>
      <c r="BX114" s="2">
        <f t="shared" si="60"/>
        <v>2.1843886419491532E-2</v>
      </c>
      <c r="BY114"/>
      <c r="BZ114" s="2">
        <v>8</v>
      </c>
      <c r="CA114" s="2">
        <f t="shared" si="67"/>
        <v>9.1400711265378048E-2</v>
      </c>
      <c r="CB114" s="2">
        <v>-4.0850719906382324E-2</v>
      </c>
      <c r="CC114" s="2">
        <f t="shared" si="68"/>
        <v>0.11346549091832511</v>
      </c>
      <c r="CD114" s="2">
        <v>8.1454398969355579E-3</v>
      </c>
      <c r="CE114" s="2">
        <f t="shared" si="61"/>
        <v>0.10243310109185158</v>
      </c>
      <c r="CF114" s="2">
        <v>-1.5297969250437447E-2</v>
      </c>
      <c r="CG114" s="2">
        <f t="shared" si="62"/>
        <v>6.2493305698606966E-4</v>
      </c>
      <c r="CH114" s="2">
        <f t="shared" si="63"/>
        <v>-1.2460868907460652E-4</v>
      </c>
      <c r="CI114" s="2">
        <f t="shared" si="64"/>
        <v>2.2064779652947064E-2</v>
      </c>
    </row>
    <row r="115" spans="43:87" x14ac:dyDescent="0.2"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 s="2">
        <v>9</v>
      </c>
      <c r="BP115" s="2">
        <f t="shared" si="65"/>
        <v>0.10786952900411828</v>
      </c>
      <c r="BQ115" s="2">
        <v>-5.3131223959250601E-3</v>
      </c>
      <c r="BR115" s="2">
        <f t="shared" si="66"/>
        <v>0.11879147221386405</v>
      </c>
      <c r="BS115" s="2">
        <v>1.7674306205138421E-2</v>
      </c>
      <c r="BT115" s="2">
        <f t="shared" si="57"/>
        <v>0.11333050060899116</v>
      </c>
      <c r="BU115" s="2">
        <v>6.4459081575482802E-3</v>
      </c>
      <c r="BV115" s="2">
        <f t="shared" si="58"/>
        <v>-3.4247898993945807E-5</v>
      </c>
      <c r="BW115" s="2">
        <f t="shared" si="59"/>
        <v>1.1392695454670793E-4</v>
      </c>
      <c r="BX115" s="2">
        <f t="shared" si="60"/>
        <v>1.0921943209745766E-2</v>
      </c>
      <c r="BY115"/>
      <c r="BZ115" s="2">
        <v>9</v>
      </c>
      <c r="CA115" s="2">
        <f t="shared" si="67"/>
        <v>0.10243310109185158</v>
      </c>
      <c r="CB115" s="2">
        <v>-1.5297969250437447E-2</v>
      </c>
      <c r="CC115" s="2">
        <f t="shared" si="68"/>
        <v>0.11346549091832511</v>
      </c>
      <c r="CD115" s="2">
        <v>8.1454398969355579E-3</v>
      </c>
      <c r="CE115" s="2">
        <f t="shared" si="61"/>
        <v>0.10794929600508835</v>
      </c>
      <c r="CF115" s="2">
        <v>-3.3511291137447857E-3</v>
      </c>
      <c r="CG115" s="2">
        <f t="shared" si="62"/>
        <v>5.1265470136313422E-5</v>
      </c>
      <c r="CH115" s="2">
        <f t="shared" si="63"/>
        <v>-2.7296420782879075E-5</v>
      </c>
      <c r="CI115" s="2">
        <f t="shared" si="64"/>
        <v>1.1032389826473532E-2</v>
      </c>
    </row>
    <row r="116" spans="43:87" x14ac:dyDescent="0.2"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 s="2">
        <v>10</v>
      </c>
      <c r="BP116" s="2">
        <f t="shared" si="65"/>
        <v>0.10786952900411828</v>
      </c>
      <c r="BQ116" s="2">
        <v>-5.3131223959250601E-3</v>
      </c>
      <c r="BR116" s="2">
        <f t="shared" si="66"/>
        <v>0.11333050060899116</v>
      </c>
      <c r="BS116" s="2">
        <v>6.4459081575482802E-3</v>
      </c>
      <c r="BT116" s="2">
        <f t="shared" si="57"/>
        <v>0.11060001480655472</v>
      </c>
      <c r="BU116" s="2">
        <v>6.3774500521931662E-4</v>
      </c>
      <c r="BV116" s="2">
        <f t="shared" si="58"/>
        <v>-3.3884172701200955E-6</v>
      </c>
      <c r="BW116" s="2">
        <f t="shared" si="59"/>
        <v>4.1108457315788637E-6</v>
      </c>
      <c r="BX116" s="2">
        <f t="shared" si="60"/>
        <v>5.4609716048728829E-3</v>
      </c>
      <c r="BY116"/>
      <c r="BZ116" s="2">
        <v>10</v>
      </c>
      <c r="CA116" s="2">
        <f t="shared" si="67"/>
        <v>0.10794929600508835</v>
      </c>
      <c r="CB116" s="2">
        <v>-3.3511291137447857E-3</v>
      </c>
      <c r="CC116" s="2">
        <f t="shared" si="68"/>
        <v>0.11346549091832511</v>
      </c>
      <c r="CD116" s="2">
        <v>8.1454398969355579E-3</v>
      </c>
      <c r="CE116" s="2">
        <f t="shared" si="61"/>
        <v>0.11070739346170673</v>
      </c>
      <c r="CF116" s="2">
        <v>2.4494927726310088E-3</v>
      </c>
      <c r="CG116" s="2">
        <f t="shared" si="62"/>
        <v>-8.20856654427121E-6</v>
      </c>
      <c r="CH116" s="2">
        <f t="shared" si="63"/>
        <v>1.9952196157443917E-5</v>
      </c>
      <c r="CI116" s="2">
        <f t="shared" si="64"/>
        <v>5.516194913236766E-3</v>
      </c>
    </row>
    <row r="117" spans="43:87" x14ac:dyDescent="0.2"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 s="2">
        <v>11</v>
      </c>
      <c r="BP117" s="2">
        <f t="shared" si="65"/>
        <v>0.10786952900411828</v>
      </c>
      <c r="BQ117" s="2">
        <v>-5.3131223959250601E-3</v>
      </c>
      <c r="BR117" s="2">
        <f t="shared" si="66"/>
        <v>0.11060001480655472</v>
      </c>
      <c r="BS117" s="2">
        <v>6.3774500521931662E-4</v>
      </c>
      <c r="BT117" s="2">
        <f t="shared" si="57"/>
        <v>0.10923477190533651</v>
      </c>
      <c r="BU117" s="2">
        <v>-2.3191661402582261E-3</v>
      </c>
      <c r="BV117" s="2">
        <f t="shared" si="58"/>
        <v>1.2322013559677061E-5</v>
      </c>
      <c r="BW117" s="2">
        <f t="shared" si="59"/>
        <v>-1.4790366222234448E-6</v>
      </c>
      <c r="BX117" s="2">
        <f t="shared" si="60"/>
        <v>2.7304858024364415E-3</v>
      </c>
      <c r="BY117"/>
      <c r="BZ117" s="2">
        <v>11</v>
      </c>
      <c r="CA117" s="2">
        <f t="shared" si="67"/>
        <v>0.10794929600508835</v>
      </c>
      <c r="CB117" s="2">
        <v>-3.3511291137447857E-3</v>
      </c>
      <c r="CC117" s="2">
        <f t="shared" si="68"/>
        <v>0.11070739346170673</v>
      </c>
      <c r="CD117" s="2">
        <v>2.4494927726310088E-3</v>
      </c>
      <c r="CE117" s="2">
        <f t="shared" si="61"/>
        <v>0.10932834473339753</v>
      </c>
      <c r="CF117" s="2">
        <v>-4.3727272108085372E-4</v>
      </c>
      <c r="CG117" s="2">
        <f t="shared" si="62"/>
        <v>1.4653573462604521E-6</v>
      </c>
      <c r="CH117" s="2">
        <f t="shared" si="63"/>
        <v>-1.0710963699562461E-6</v>
      </c>
      <c r="CI117" s="2">
        <f t="shared" si="64"/>
        <v>2.758097456618383E-3</v>
      </c>
    </row>
    <row r="118" spans="43:87" x14ac:dyDescent="0.2"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 s="2">
        <v>12</v>
      </c>
      <c r="BP118" s="2">
        <f t="shared" si="65"/>
        <v>0.10923477190533651</v>
      </c>
      <c r="BQ118" s="2">
        <v>-2.3191661402582261E-3</v>
      </c>
      <c r="BR118" s="2">
        <f t="shared" si="66"/>
        <v>0.11060001480655472</v>
      </c>
      <c r="BS118" s="2">
        <v>6.3774500521931662E-4</v>
      </c>
      <c r="BT118" s="2">
        <f t="shared" si="57"/>
        <v>0.10991739335594561</v>
      </c>
      <c r="BU118" s="2">
        <v>-8.3616822709933411E-4</v>
      </c>
      <c r="BV118" s="2">
        <f t="shared" si="58"/>
        <v>1.9392130398485267E-6</v>
      </c>
      <c r="BW118" s="2">
        <f t="shared" si="59"/>
        <v>-5.3326211035569161E-7</v>
      </c>
      <c r="BX118" s="2">
        <f t="shared" si="60"/>
        <v>1.3652429012182138E-3</v>
      </c>
      <c r="BY118"/>
      <c r="BZ118" s="2">
        <v>12</v>
      </c>
      <c r="CA118" s="2">
        <f t="shared" si="67"/>
        <v>0.10932834473339753</v>
      </c>
      <c r="CB118" s="2">
        <v>-4.3727272108085372E-4</v>
      </c>
      <c r="CC118" s="2">
        <f t="shared" si="68"/>
        <v>0.11070739346170673</v>
      </c>
      <c r="CD118" s="2">
        <v>2.4494927726310088E-3</v>
      </c>
      <c r="CE118" s="2">
        <f t="shared" si="61"/>
        <v>0.11001786909755212</v>
      </c>
      <c r="CF118" s="2">
        <v>1.0094368815283111E-3</v>
      </c>
      <c r="CG118" s="2">
        <f t="shared" si="62"/>
        <v>-4.4139921194525596E-7</v>
      </c>
      <c r="CH118" s="2">
        <f t="shared" si="63"/>
        <v>2.4726083457307818E-6</v>
      </c>
      <c r="CI118" s="2">
        <f t="shared" si="64"/>
        <v>1.3790487283091984E-3</v>
      </c>
    </row>
    <row r="119" spans="43:87" x14ac:dyDescent="0.2"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 s="2">
        <v>13</v>
      </c>
      <c r="BP119" s="2">
        <f t="shared" si="65"/>
        <v>0.10991739335594561</v>
      </c>
      <c r="BQ119" s="2">
        <v>-8.3616822709933411E-4</v>
      </c>
      <c r="BR119" s="2">
        <f t="shared" si="66"/>
        <v>0.11060001480655472</v>
      </c>
      <c r="BS119" s="2">
        <v>6.3774500521931662E-4</v>
      </c>
      <c r="BT119" s="2">
        <f t="shared" si="57"/>
        <v>0.11025870408125016</v>
      </c>
      <c r="BU119" s="2">
        <v>-9.8086817349265359E-5</v>
      </c>
      <c r="BV119" s="2">
        <f t="shared" si="58"/>
        <v>8.2017080164751427E-8</v>
      </c>
      <c r="BW119" s="2">
        <f t="shared" si="59"/>
        <v>-6.2554377842353391E-8</v>
      </c>
      <c r="BX119" s="2">
        <f t="shared" si="60"/>
        <v>6.8262145060911383E-4</v>
      </c>
      <c r="BY119"/>
      <c r="BZ119" s="2">
        <v>13</v>
      </c>
      <c r="CA119" s="2">
        <f t="shared" si="67"/>
        <v>0.10932834473339753</v>
      </c>
      <c r="CB119" s="2">
        <v>-4.3727272108085372E-4</v>
      </c>
      <c r="CC119" s="2">
        <f t="shared" si="68"/>
        <v>0.11001786909755212</v>
      </c>
      <c r="CD119" s="2">
        <v>1.0094368815283111E-3</v>
      </c>
      <c r="CE119" s="2">
        <f t="shared" si="61"/>
        <v>0.10967310691547483</v>
      </c>
      <c r="CF119" s="2">
        <v>2.8692111149614466E-4</v>
      </c>
      <c r="CG119" s="2">
        <f t="shared" si="62"/>
        <v>-1.2546277515946221E-7</v>
      </c>
      <c r="CH119" s="2">
        <f t="shared" si="63"/>
        <v>2.8962875203330513E-7</v>
      </c>
      <c r="CI119" s="2">
        <f t="shared" si="64"/>
        <v>6.8952436415459228E-4</v>
      </c>
    </row>
    <row r="120" spans="43:87" x14ac:dyDescent="0.2"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 s="2">
        <v>14</v>
      </c>
      <c r="BP120" s="2">
        <f t="shared" si="65"/>
        <v>0.11025870408125016</v>
      </c>
      <c r="BQ120" s="2">
        <v>-9.8086817349265359E-5</v>
      </c>
      <c r="BR120" s="2">
        <f t="shared" si="66"/>
        <v>0.11060001480655472</v>
      </c>
      <c r="BS120" s="2">
        <v>6.3774500521931662E-4</v>
      </c>
      <c r="BT120" s="2">
        <f t="shared" si="57"/>
        <v>0.11042935944390245</v>
      </c>
      <c r="BU120" s="2">
        <v>2.7010895839912896E-4</v>
      </c>
      <c r="BV120" s="2">
        <f t="shared" si="58"/>
        <v>-2.6494128066895678E-8</v>
      </c>
      <c r="BW120" s="2">
        <f t="shared" si="59"/>
        <v>1.7226063908403668E-7</v>
      </c>
      <c r="BX120" s="2">
        <f t="shared" si="60"/>
        <v>3.4131072530456386E-4</v>
      </c>
      <c r="BY120"/>
      <c r="BZ120" s="2">
        <v>14</v>
      </c>
      <c r="CA120" s="2">
        <f t="shared" si="67"/>
        <v>0.10932834473339753</v>
      </c>
      <c r="CB120" s="2">
        <v>-4.3727272108085372E-4</v>
      </c>
      <c r="CC120" s="2">
        <f t="shared" si="68"/>
        <v>0.10967310691547483</v>
      </c>
      <c r="CD120" s="2">
        <v>2.8692111149614466E-4</v>
      </c>
      <c r="CE120" s="2">
        <f t="shared" si="61"/>
        <v>0.10950072582443618</v>
      </c>
      <c r="CF120" s="2">
        <v>-7.496512187681395E-5</v>
      </c>
      <c r="CG120" s="2">
        <f t="shared" si="62"/>
        <v>3.278020282923227E-8</v>
      </c>
      <c r="CH120" s="2">
        <f t="shared" si="63"/>
        <v>-2.1509076092339408E-8</v>
      </c>
      <c r="CI120" s="2">
        <f t="shared" si="64"/>
        <v>3.4476218207729614E-4</v>
      </c>
    </row>
    <row r="121" spans="43:87" x14ac:dyDescent="0.2"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 s="2">
        <v>15</v>
      </c>
      <c r="BP121" s="2">
        <f t="shared" si="65"/>
        <v>0.11025870408125016</v>
      </c>
      <c r="BQ121" s="2">
        <v>-9.8086817349265359E-5</v>
      </c>
      <c r="BR121" s="2">
        <f t="shared" si="66"/>
        <v>0.11042935944390245</v>
      </c>
      <c r="BS121" s="2">
        <v>2.7010895839912896E-4</v>
      </c>
      <c r="BT121" s="2">
        <f t="shared" si="57"/>
        <v>0.1103440317625763</v>
      </c>
      <c r="BU121" s="2">
        <v>8.6081202719502647E-5</v>
      </c>
      <c r="BV121" s="2">
        <f t="shared" si="58"/>
        <v>-8.443431208352941E-9</v>
      </c>
      <c r="BW121" s="2">
        <f t="shared" si="59"/>
        <v>2.3251304004309126E-8</v>
      </c>
      <c r="BX121" s="2">
        <f t="shared" si="60"/>
        <v>1.7065536265228887E-4</v>
      </c>
      <c r="BY121"/>
      <c r="BZ121" s="2">
        <v>15</v>
      </c>
      <c r="CA121" s="2">
        <f t="shared" si="67"/>
        <v>0.10950072582443618</v>
      </c>
      <c r="CB121" s="2">
        <v>-7.496512187681395E-5</v>
      </c>
      <c r="CC121" s="2">
        <f t="shared" si="68"/>
        <v>0.10967310691547483</v>
      </c>
      <c r="CD121" s="2">
        <v>2.8692111149614466E-4</v>
      </c>
      <c r="CE121" s="2">
        <f t="shared" si="61"/>
        <v>0.1095869163699555</v>
      </c>
      <c r="CF121" s="2">
        <v>1.0603054943077866E-4</v>
      </c>
      <c r="CG121" s="2">
        <f t="shared" si="62"/>
        <v>-7.9485930607438692E-9</v>
      </c>
      <c r="CH121" s="2">
        <f t="shared" si="63"/>
        <v>3.0422403095225924E-8</v>
      </c>
      <c r="CI121" s="2">
        <f t="shared" si="64"/>
        <v>1.7238109103864807E-4</v>
      </c>
    </row>
    <row r="122" spans="43:87" x14ac:dyDescent="0.2"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 s="2">
        <v>16</v>
      </c>
      <c r="BP122" s="2">
        <f t="shared" si="65"/>
        <v>0.11025870408125016</v>
      </c>
      <c r="BQ122" s="2">
        <v>-9.8086817349265359E-5</v>
      </c>
      <c r="BR122" s="2">
        <f t="shared" si="66"/>
        <v>0.1103440317625763</v>
      </c>
      <c r="BS122" s="2">
        <v>8.6081202719502647E-5</v>
      </c>
      <c r="BT122" s="2">
        <f t="shared" si="57"/>
        <v>0.11030136792191322</v>
      </c>
      <c r="BU122" s="2">
        <v>-5.9852534486232178E-6</v>
      </c>
      <c r="BV122" s="2">
        <f t="shared" si="58"/>
        <v>5.8707446180416615E-10</v>
      </c>
      <c r="BW122" s="2">
        <f t="shared" si="59"/>
        <v>-5.1521781543853755E-10</v>
      </c>
      <c r="BX122" s="2">
        <f t="shared" si="60"/>
        <v>8.5327681326144433E-5</v>
      </c>
      <c r="BY122"/>
      <c r="BZ122" s="2">
        <v>16</v>
      </c>
      <c r="CA122" s="2">
        <f t="shared" si="67"/>
        <v>0.10950072582443618</v>
      </c>
      <c r="CB122" s="2">
        <v>-7.496512187681395E-5</v>
      </c>
      <c r="CC122" s="2">
        <f t="shared" si="68"/>
        <v>0.1095869163699555</v>
      </c>
      <c r="CD122" s="2">
        <v>1.0603054943077866E-4</v>
      </c>
      <c r="CE122" s="2">
        <f t="shared" si="61"/>
        <v>0.10954382109719585</v>
      </c>
      <c r="CF122" s="2">
        <v>1.5545866916190365E-5</v>
      </c>
      <c r="CG122" s="2">
        <f t="shared" si="62"/>
        <v>-1.1653978080529406E-9</v>
      </c>
      <c r="CH122" s="2">
        <f t="shared" si="63"/>
        <v>1.6483368105014292E-9</v>
      </c>
      <c r="CI122" s="2">
        <f t="shared" si="64"/>
        <v>8.6190545519324036E-5</v>
      </c>
    </row>
    <row r="123" spans="43:87" x14ac:dyDescent="0.2"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 s="2">
        <v>17</v>
      </c>
      <c r="BP123" s="2">
        <f t="shared" si="65"/>
        <v>0.11030136792191322</v>
      </c>
      <c r="BQ123" s="2">
        <v>-5.9852534486232178E-6</v>
      </c>
      <c r="BR123" s="2">
        <f t="shared" si="66"/>
        <v>0.1103440317625763</v>
      </c>
      <c r="BS123" s="2">
        <v>8.6081202719502647E-5</v>
      </c>
      <c r="BT123" s="2">
        <f t="shared" si="57"/>
        <v>0.11032269984224477</v>
      </c>
      <c r="BU123" s="2">
        <v>4.0052360497245393E-5</v>
      </c>
      <c r="BV123" s="2">
        <f t="shared" si="58"/>
        <v>-2.3972352879163831E-10</v>
      </c>
      <c r="BW123" s="2">
        <f t="shared" si="59"/>
        <v>3.4477553633579803E-9</v>
      </c>
      <c r="BX123" s="2">
        <f t="shared" si="60"/>
        <v>4.2663840663079156E-5</v>
      </c>
      <c r="BY123"/>
      <c r="BZ123" s="2">
        <v>17</v>
      </c>
      <c r="CA123" s="2">
        <f t="shared" si="67"/>
        <v>0.10950072582443618</v>
      </c>
      <c r="CB123" s="2">
        <v>-7.496512187681395E-5</v>
      </c>
      <c r="CC123" s="2">
        <f t="shared" si="68"/>
        <v>0.10954382109719585</v>
      </c>
      <c r="CD123" s="2">
        <v>1.5545866916190365E-5</v>
      </c>
      <c r="CE123" s="2">
        <f t="shared" si="61"/>
        <v>0.10952227346081601</v>
      </c>
      <c r="CF123" s="2">
        <v>-2.9706337382445769E-5</v>
      </c>
      <c r="CG123" s="2">
        <f t="shared" si="62"/>
        <v>2.2269392023888016E-9</v>
      </c>
      <c r="CH123" s="2">
        <f t="shared" si="63"/>
        <v>-4.6181076751495278E-10</v>
      </c>
      <c r="CI123" s="2">
        <f t="shared" si="64"/>
        <v>4.3095272759668957E-5</v>
      </c>
    </row>
    <row r="124" spans="43:87" x14ac:dyDescent="0.2"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 s="2">
        <v>18</v>
      </c>
      <c r="BP124" s="2">
        <f t="shared" si="65"/>
        <v>0.11030136792191322</v>
      </c>
      <c r="BQ124" s="2">
        <v>-5.9852534486232178E-6</v>
      </c>
      <c r="BR124" s="2">
        <f t="shared" si="66"/>
        <v>0.11032269984224477</v>
      </c>
      <c r="BS124" s="2">
        <v>4.0052360497245393E-5</v>
      </c>
      <c r="BT124" s="2">
        <f t="shared" si="57"/>
        <v>0.110312033882079</v>
      </c>
      <c r="BU124" s="2">
        <v>1.7034650315210509E-5</v>
      </c>
      <c r="BV124" s="2">
        <f t="shared" si="58"/>
        <v>-1.0195669954520428E-10</v>
      </c>
      <c r="BW124" s="2">
        <f t="shared" si="59"/>
        <v>6.8227795536932615E-10</v>
      </c>
      <c r="BX124" s="2">
        <f t="shared" si="60"/>
        <v>2.1331920331546517E-5</v>
      </c>
      <c r="BY124"/>
      <c r="BZ124" s="2">
        <v>18</v>
      </c>
      <c r="CA124" s="2">
        <f t="shared" si="67"/>
        <v>0.10952227346081601</v>
      </c>
      <c r="CB124" s="2">
        <v>-2.9706337382445769E-5</v>
      </c>
      <c r="CC124" s="2">
        <f t="shared" si="68"/>
        <v>0.10954382109719585</v>
      </c>
      <c r="CD124" s="2">
        <v>1.5545866916190365E-5</v>
      </c>
      <c r="CE124" s="2">
        <f t="shared" si="61"/>
        <v>0.10953304727900592</v>
      </c>
      <c r="CF124" s="2">
        <v>-7.079412935442897E-6</v>
      </c>
      <c r="CG124" s="2">
        <f t="shared" si="62"/>
        <v>2.1030342912991747E-10</v>
      </c>
      <c r="CH124" s="2">
        <f t="shared" si="63"/>
        <v>-1.1005561133915184E-10</v>
      </c>
      <c r="CI124" s="2">
        <f t="shared" si="64"/>
        <v>2.1547636379834478E-5</v>
      </c>
    </row>
    <row r="125" spans="43:87" x14ac:dyDescent="0.2"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 s="2">
        <v>19</v>
      </c>
      <c r="BP125" s="2">
        <f t="shared" si="65"/>
        <v>0.11030136792191322</v>
      </c>
      <c r="BQ125" s="2">
        <v>-5.9852534486232178E-6</v>
      </c>
      <c r="BR125" s="2">
        <f t="shared" si="66"/>
        <v>0.110312033882079</v>
      </c>
      <c r="BS125" s="2">
        <v>1.7034650315210509E-5</v>
      </c>
      <c r="BT125" s="2">
        <f t="shared" si="57"/>
        <v>0.11030670090199611</v>
      </c>
      <c r="BU125" s="2">
        <v>5.5249726717138126E-6</v>
      </c>
      <c r="BV125" s="2">
        <f t="shared" si="58"/>
        <v>-3.306836173692413E-11</v>
      </c>
      <c r="BW125" s="2">
        <f t="shared" si="59"/>
        <v>9.4115977463739144E-11</v>
      </c>
      <c r="BX125" s="2">
        <f t="shared" si="60"/>
        <v>1.0665960165773258E-5</v>
      </c>
      <c r="BY125"/>
      <c r="BZ125" s="2">
        <v>19</v>
      </c>
      <c r="CA125" s="2">
        <f t="shared" si="67"/>
        <v>0.10953304727900592</v>
      </c>
      <c r="CB125" s="2">
        <v>-7.079412935442897E-6</v>
      </c>
      <c r="CC125" s="2">
        <f t="shared" si="68"/>
        <v>0.10954382109719585</v>
      </c>
      <c r="CD125" s="2">
        <v>1.5545866916190365E-5</v>
      </c>
      <c r="CE125" s="2">
        <f t="shared" si="61"/>
        <v>0.10953843418810089</v>
      </c>
      <c r="CF125" s="2">
        <v>4.2334325364816461E-6</v>
      </c>
      <c r="CG125" s="2">
        <f t="shared" si="62"/>
        <v>-2.9970217060093001E-11</v>
      </c>
      <c r="CH125" s="2">
        <f t="shared" si="63"/>
        <v>6.5812378810813881E-11</v>
      </c>
      <c r="CI125" s="2">
        <f t="shared" si="64"/>
        <v>1.0773818189924178E-5</v>
      </c>
    </row>
    <row r="126" spans="43:87" x14ac:dyDescent="0.2"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 s="2">
        <v>20</v>
      </c>
      <c r="BP126" s="2">
        <f t="shared" si="65"/>
        <v>0.11030136792191322</v>
      </c>
      <c r="BQ126" s="2">
        <v>-5.9852534486232178E-6</v>
      </c>
      <c r="BR126" s="2">
        <f t="shared" si="66"/>
        <v>0.11030670090199611</v>
      </c>
      <c r="BS126" s="2">
        <v>5.5249726717138126E-6</v>
      </c>
      <c r="BT126" s="2">
        <f t="shared" si="57"/>
        <v>0.11030403441195466</v>
      </c>
      <c r="BU126" s="2">
        <v>-2.3007182378687041E-7</v>
      </c>
      <c r="BV126" s="2">
        <f t="shared" si="58"/>
        <v>1.3770381767513994E-12</v>
      </c>
      <c r="BW126" s="2">
        <f t="shared" si="59"/>
        <v>-1.2711405389538148E-12</v>
      </c>
      <c r="BX126" s="2">
        <f t="shared" si="60"/>
        <v>5.3329800828866292E-6</v>
      </c>
      <c r="BY126"/>
      <c r="BZ126" s="2">
        <v>20</v>
      </c>
      <c r="CA126" s="2">
        <f t="shared" si="67"/>
        <v>0.10953304727900592</v>
      </c>
      <c r="CB126" s="2">
        <v>-7.079412935442897E-6</v>
      </c>
      <c r="CC126" s="2">
        <f t="shared" si="68"/>
        <v>0.10953843418810089</v>
      </c>
      <c r="CD126" s="2">
        <v>4.2334325364816461E-6</v>
      </c>
      <c r="CE126" s="2">
        <f t="shared" si="61"/>
        <v>0.10953574073355341</v>
      </c>
      <c r="CF126" s="2">
        <v>-1.4229388094200157E-6</v>
      </c>
      <c r="CG126" s="2">
        <f t="shared" si="62"/>
        <v>1.0073571413751775E-11</v>
      </c>
      <c r="CH126" s="2">
        <f t="shared" si="63"/>
        <v>-6.023915453221151E-12</v>
      </c>
      <c r="CI126" s="2">
        <f t="shared" si="64"/>
        <v>5.386909094962089E-6</v>
      </c>
    </row>
    <row r="127" spans="43:87" x14ac:dyDescent="0.2"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 s="2">
        <v>21</v>
      </c>
      <c r="BP127" s="2">
        <f t="shared" si="65"/>
        <v>0.11030403441195466</v>
      </c>
      <c r="BQ127" s="2">
        <v>-2.3007182378687041E-7</v>
      </c>
      <c r="BR127" s="2">
        <f t="shared" si="66"/>
        <v>0.11030670090199611</v>
      </c>
      <c r="BS127" s="2">
        <v>5.5249726717138126E-6</v>
      </c>
      <c r="BT127" s="2">
        <f t="shared" si="57"/>
        <v>0.11030536765697538</v>
      </c>
      <c r="BU127" s="2">
        <v>2.6474675644642953E-6</v>
      </c>
      <c r="BV127" s="2">
        <f t="shared" si="58"/>
        <v>-6.0910769097288437E-13</v>
      </c>
      <c r="BW127" s="2">
        <f t="shared" si="59"/>
        <v>1.4627185942913959E-11</v>
      </c>
      <c r="BX127" s="2">
        <f t="shared" si="60"/>
        <v>2.6664900414502535E-6</v>
      </c>
      <c r="BY127"/>
      <c r="BZ127" s="2">
        <v>21</v>
      </c>
      <c r="CA127" s="2">
        <f t="shared" si="67"/>
        <v>0.10953574073355341</v>
      </c>
      <c r="CB127" s="2">
        <v>-1.4229388094200157E-6</v>
      </c>
      <c r="CC127" s="2">
        <f t="shared" si="68"/>
        <v>0.10953843418810089</v>
      </c>
      <c r="CD127" s="2">
        <v>4.2334325364816461E-6</v>
      </c>
      <c r="CE127" s="2">
        <f t="shared" si="61"/>
        <v>0.10953708746082715</v>
      </c>
      <c r="CF127" s="2">
        <v>1.4052597106135878E-6</v>
      </c>
      <c r="CG127" s="2">
        <f t="shared" si="62"/>
        <v>-1.9995985795464145E-12</v>
      </c>
      <c r="CH127" s="2">
        <f t="shared" si="63"/>
        <v>5.9490721811183451E-12</v>
      </c>
      <c r="CI127" s="2">
        <f t="shared" si="64"/>
        <v>2.6934545474810445E-6</v>
      </c>
    </row>
    <row r="128" spans="43:87" x14ac:dyDescent="0.2"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 s="2">
        <v>22</v>
      </c>
      <c r="BP128" s="2">
        <f t="shared" si="65"/>
        <v>0.11030403441195466</v>
      </c>
      <c r="BQ128" s="2">
        <v>-2.3007182378687041E-7</v>
      </c>
      <c r="BR128" s="2">
        <f t="shared" si="66"/>
        <v>0.11030536765697538</v>
      </c>
      <c r="BS128" s="2">
        <v>2.6474675644642953E-6</v>
      </c>
      <c r="BT128" s="2">
        <f t="shared" si="57"/>
        <v>0.11030470103446502</v>
      </c>
      <c r="BU128" s="2">
        <v>1.2087021555653998E-6</v>
      </c>
      <c r="BV128" s="2">
        <f t="shared" si="58"/>
        <v>-2.7808830934605308E-13</v>
      </c>
      <c r="BW128" s="2">
        <f t="shared" si="59"/>
        <v>3.1999997519574728E-12</v>
      </c>
      <c r="BX128" s="2">
        <f t="shared" si="60"/>
        <v>1.3332450207181878E-6</v>
      </c>
      <c r="BY128"/>
      <c r="BZ128" s="2">
        <v>22</v>
      </c>
      <c r="CA128" s="2">
        <f t="shared" si="67"/>
        <v>0.10953574073355341</v>
      </c>
      <c r="CB128" s="2">
        <v>-1.4229388094200157E-6</v>
      </c>
      <c r="CC128" s="2">
        <f t="shared" si="68"/>
        <v>0.10953708746082715</v>
      </c>
      <c r="CD128" s="2">
        <v>1.4052597106135878E-6</v>
      </c>
      <c r="CE128" s="2">
        <f t="shared" si="61"/>
        <v>0.10953641409719028</v>
      </c>
      <c r="CF128" s="2">
        <v>-8.836337547085682E-9</v>
      </c>
      <c r="CG128" s="2">
        <f t="shared" si="62"/>
        <v>1.2573567628883483E-14</v>
      </c>
      <c r="CH128" s="2">
        <f t="shared" si="63"/>
        <v>-1.2417349144301606E-14</v>
      </c>
      <c r="CI128" s="2">
        <f t="shared" si="64"/>
        <v>1.3467272737405223E-6</v>
      </c>
    </row>
    <row r="129" spans="43:87" x14ac:dyDescent="0.2"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 s="2">
        <v>23</v>
      </c>
      <c r="BP129" s="2">
        <f t="shared" si="65"/>
        <v>0.11030403441195466</v>
      </c>
      <c r="BQ129" s="2">
        <v>-2.3007182378687041E-7</v>
      </c>
      <c r="BR129" s="2">
        <f t="shared" si="66"/>
        <v>0.11030470103446502</v>
      </c>
      <c r="BS129" s="2">
        <v>1.2087021555653998E-6</v>
      </c>
      <c r="BT129" s="2">
        <f t="shared" si="57"/>
        <v>0.11030436772320984</v>
      </c>
      <c r="BU129" s="2">
        <v>4.8931623724407514E-7</v>
      </c>
      <c r="BV129" s="2">
        <f t="shared" si="58"/>
        <v>-1.1257787911127333E-13</v>
      </c>
      <c r="BW129" s="2">
        <f t="shared" si="59"/>
        <v>5.9143759071006417E-13</v>
      </c>
      <c r="BX129" s="2">
        <f t="shared" si="60"/>
        <v>6.6662251035909392E-7</v>
      </c>
      <c r="BY129"/>
      <c r="BZ129" s="2">
        <v>23</v>
      </c>
      <c r="CA129" s="2">
        <f t="shared" si="67"/>
        <v>0.10953641409719028</v>
      </c>
      <c r="CB129" s="2">
        <v>-8.836337547085682E-9</v>
      </c>
      <c r="CC129" s="2">
        <f t="shared" si="68"/>
        <v>0.10953708746082715</v>
      </c>
      <c r="CD129" s="2">
        <v>1.4052597106135878E-6</v>
      </c>
      <c r="CE129" s="2">
        <f t="shared" si="61"/>
        <v>0.10953675077900871</v>
      </c>
      <c r="CF129" s="2">
        <v>6.9821248946735914E-7</v>
      </c>
      <c r="CG129" s="2">
        <f t="shared" si="62"/>
        <v>-6.1696412365245916E-15</v>
      </c>
      <c r="CH129" s="2">
        <f t="shared" si="63"/>
        <v>9.8116988089569375E-13</v>
      </c>
      <c r="CI129" s="2">
        <f t="shared" si="64"/>
        <v>6.7336363686332223E-7</v>
      </c>
    </row>
    <row r="130" spans="43:87" x14ac:dyDescent="0.2"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 s="2">
        <v>24</v>
      </c>
      <c r="BP130" s="2">
        <f t="shared" si="65"/>
        <v>0.11030403441195466</v>
      </c>
      <c r="BQ130" s="2">
        <v>-2.3007182378687041E-7</v>
      </c>
      <c r="BR130" s="2">
        <f t="shared" si="66"/>
        <v>0.11030436772320984</v>
      </c>
      <c r="BS130" s="2">
        <v>4.8931623724407514E-7</v>
      </c>
      <c r="BT130" s="2">
        <f t="shared" si="57"/>
        <v>0.11030420106758225</v>
      </c>
      <c r="BU130" s="2">
        <v>1.2962247455255982E-7</v>
      </c>
      <c r="BV130" s="2">
        <f t="shared" si="58"/>
        <v>-2.9822479124074638E-14</v>
      </c>
      <c r="BW130" s="2">
        <f t="shared" si="59"/>
        <v>6.3426381510324447E-14</v>
      </c>
      <c r="BX130" s="2">
        <f t="shared" si="60"/>
        <v>3.3331125517954696E-7</v>
      </c>
      <c r="BY130"/>
      <c r="BZ130" s="2">
        <v>24</v>
      </c>
      <c r="CA130" s="2">
        <f t="shared" si="67"/>
        <v>0.10953641409719028</v>
      </c>
      <c r="CB130" s="2">
        <v>-8.836337547085682E-9</v>
      </c>
      <c r="CC130" s="2">
        <f t="shared" si="68"/>
        <v>0.10953675077900871</v>
      </c>
      <c r="CD130" s="2">
        <v>6.9821248946735914E-7</v>
      </c>
      <c r="CE130" s="2">
        <f t="shared" si="61"/>
        <v>0.10953658243809949</v>
      </c>
      <c r="CF130" s="2">
        <v>3.4468827668152069E-7</v>
      </c>
      <c r="CG130" s="2">
        <f t="shared" si="62"/>
        <v>-3.0457819612811795E-15</v>
      </c>
      <c r="CH130" s="2">
        <f t="shared" si="63"/>
        <v>2.4066565975201845E-13</v>
      </c>
      <c r="CI130" s="2">
        <f t="shared" si="64"/>
        <v>3.3668181842472222E-7</v>
      </c>
    </row>
    <row r="131" spans="43:87" x14ac:dyDescent="0.2"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 s="2">
        <v>25</v>
      </c>
      <c r="BP131" s="2">
        <f t="shared" si="65"/>
        <v>0.11030403441195466</v>
      </c>
      <c r="BQ131" s="2">
        <v>-2.3007182378687041E-7</v>
      </c>
      <c r="BR131" s="2">
        <f t="shared" si="66"/>
        <v>0.11030420106758225</v>
      </c>
      <c r="BS131" s="2">
        <v>1.2962247455255982E-7</v>
      </c>
      <c r="BT131" s="2">
        <f t="shared" si="57"/>
        <v>0.11030411773976845</v>
      </c>
      <c r="BU131" s="2">
        <v>-5.0224607691523593E-8</v>
      </c>
      <c r="BV131" s="2">
        <f t="shared" si="58"/>
        <v>1.1555267090568913E-14</v>
      </c>
      <c r="BW131" s="2">
        <f t="shared" si="59"/>
        <v>-6.5102379324068172E-15</v>
      </c>
      <c r="BX131" s="2">
        <f t="shared" si="60"/>
        <v>1.6665562758977348E-7</v>
      </c>
      <c r="BY131"/>
      <c r="BZ131" s="2">
        <v>25</v>
      </c>
      <c r="CA131" s="2">
        <f t="shared" si="67"/>
        <v>0.10953641409719028</v>
      </c>
      <c r="CB131" s="2">
        <v>-8.836337547085682E-9</v>
      </c>
      <c r="CC131" s="2">
        <f t="shared" si="68"/>
        <v>0.10953658243809949</v>
      </c>
      <c r="CD131" s="2">
        <v>3.4468827668152069E-7</v>
      </c>
      <c r="CE131" s="2">
        <f t="shared" si="61"/>
        <v>0.10953649826764489</v>
      </c>
      <c r="CF131" s="2">
        <v>1.6792601973888988E-7</v>
      </c>
      <c r="CG131" s="2">
        <f t="shared" si="62"/>
        <v>-1.483850993351404E-15</v>
      </c>
      <c r="CH131" s="2">
        <f t="shared" si="63"/>
        <v>5.7882130353784978E-14</v>
      </c>
      <c r="CI131" s="2">
        <f t="shared" si="64"/>
        <v>1.6834090921236111E-7</v>
      </c>
    </row>
    <row r="132" spans="43:87" x14ac:dyDescent="0.2"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 s="2">
        <v>26</v>
      </c>
      <c r="BP132" s="2">
        <f t="shared" si="65"/>
        <v>0.11030411773976845</v>
      </c>
      <c r="BQ132" s="2">
        <v>-5.0224607691523593E-8</v>
      </c>
      <c r="BR132" s="2">
        <f t="shared" si="66"/>
        <v>0.11030420106758225</v>
      </c>
      <c r="BS132" s="2">
        <v>1.2962247455255982E-7</v>
      </c>
      <c r="BT132" s="2">
        <f t="shared" si="57"/>
        <v>0.11030415940367536</v>
      </c>
      <c r="BU132" s="2">
        <v>3.9698950165395486E-8</v>
      </c>
      <c r="BV132" s="2">
        <f t="shared" si="58"/>
        <v>-1.9938641978223337E-15</v>
      </c>
      <c r="BW132" s="2">
        <f t="shared" si="59"/>
        <v>5.1458761575773165E-15</v>
      </c>
      <c r="BX132" s="2">
        <f t="shared" si="60"/>
        <v>8.3327813801825634E-8</v>
      </c>
      <c r="BY132"/>
      <c r="BZ132" s="2">
        <v>26</v>
      </c>
      <c r="CA132" s="2">
        <f t="shared" si="67"/>
        <v>0.10953641409719028</v>
      </c>
      <c r="CB132" s="2">
        <v>-8.836337547085682E-9</v>
      </c>
      <c r="CC132" s="2">
        <f t="shared" si="68"/>
        <v>0.10953649826764489</v>
      </c>
      <c r="CD132" s="2">
        <v>1.6792601973888988E-7</v>
      </c>
      <c r="CE132" s="2">
        <f t="shared" si="61"/>
        <v>0.10953645618241759</v>
      </c>
      <c r="CF132" s="2">
        <v>7.9544853620605593E-8</v>
      </c>
      <c r="CG132" s="2">
        <f t="shared" si="62"/>
        <v>-7.0288517672519162E-16</v>
      </c>
      <c r="CH132" s="2">
        <f t="shared" si="63"/>
        <v>1.335765065922092E-14</v>
      </c>
      <c r="CI132" s="2">
        <f t="shared" si="64"/>
        <v>8.4170454606180556E-8</v>
      </c>
    </row>
    <row r="133" spans="43:87" x14ac:dyDescent="0.2"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 s="2">
        <v>27</v>
      </c>
      <c r="BP133" s="2">
        <f t="shared" si="65"/>
        <v>0.11030411773976845</v>
      </c>
      <c r="BQ133" s="2">
        <v>-5.0224607691523593E-8</v>
      </c>
      <c r="BR133" s="2">
        <f t="shared" si="66"/>
        <v>0.11030415940367536</v>
      </c>
      <c r="BS133" s="2">
        <v>3.9698950165395486E-8</v>
      </c>
      <c r="BT133" s="2">
        <f t="shared" si="57"/>
        <v>0.1103041385717219</v>
      </c>
      <c r="BU133" s="2">
        <v>-5.2628245789110295E-9</v>
      </c>
      <c r="BV133" s="2">
        <f t="shared" si="58"/>
        <v>2.6432329982511429E-16</v>
      </c>
      <c r="BW133" s="2">
        <f t="shared" si="59"/>
        <v>-2.0892861068740743E-16</v>
      </c>
      <c r="BX133" s="2">
        <f t="shared" si="60"/>
        <v>4.1663906907851711E-8</v>
      </c>
      <c r="BY133"/>
      <c r="BZ133" s="2">
        <v>27</v>
      </c>
      <c r="CA133" s="2">
        <f t="shared" si="67"/>
        <v>0.10953641409719028</v>
      </c>
      <c r="CB133" s="2">
        <v>-8.836337547085682E-9</v>
      </c>
      <c r="CC133" s="2">
        <f t="shared" si="68"/>
        <v>0.10953645618241759</v>
      </c>
      <c r="CD133" s="2">
        <v>7.9544853620605593E-8</v>
      </c>
      <c r="CE133" s="2">
        <f t="shared" si="61"/>
        <v>0.10953643513980393</v>
      </c>
      <c r="CF133" s="2">
        <v>3.5354261154058042E-8</v>
      </c>
      <c r="CG133" s="2">
        <f t="shared" si="62"/>
        <v>-3.1240218528507585E-16</v>
      </c>
      <c r="CH133" s="2">
        <f t="shared" si="63"/>
        <v>2.8122495283642097E-15</v>
      </c>
      <c r="CI133" s="2">
        <f t="shared" si="64"/>
        <v>4.2085227303090278E-8</v>
      </c>
    </row>
    <row r="134" spans="43:87" x14ac:dyDescent="0.2"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F134"/>
      <c r="BG134"/>
      <c r="BH134"/>
      <c r="BI134"/>
      <c r="BJ134"/>
      <c r="BK134"/>
      <c r="BL134"/>
      <c r="BM134"/>
      <c r="BN134"/>
      <c r="BO134" s="2">
        <v>28</v>
      </c>
      <c r="BP134" s="2">
        <f t="shared" si="65"/>
        <v>0.1103041385717219</v>
      </c>
      <c r="BQ134" s="2">
        <v>-5.2628245789110295E-9</v>
      </c>
      <c r="BR134" s="2">
        <f t="shared" si="66"/>
        <v>0.11030415940367536</v>
      </c>
      <c r="BS134" s="2">
        <v>3.9698950165395486E-8</v>
      </c>
      <c r="BT134" s="2">
        <f t="shared" si="57"/>
        <v>0.11030414898769864</v>
      </c>
      <c r="BU134" s="2">
        <v>1.7218063887852741E-8</v>
      </c>
      <c r="BV134" s="2">
        <f t="shared" si="58"/>
        <v>-9.0615649830251802E-17</v>
      </c>
      <c r="BW134" s="2">
        <f t="shared" si="59"/>
        <v>6.8353906022846164E-16</v>
      </c>
      <c r="BX134" s="2">
        <f t="shared" si="60"/>
        <v>2.0831953453925856E-8</v>
      </c>
      <c r="BY134"/>
      <c r="BZ134" s="2">
        <v>28</v>
      </c>
      <c r="CA134" s="2">
        <f t="shared" si="67"/>
        <v>0.10953641409719028</v>
      </c>
      <c r="CB134" s="2">
        <v>-8.836337547085682E-9</v>
      </c>
      <c r="CC134" s="2">
        <f t="shared" si="68"/>
        <v>0.10953643513980393</v>
      </c>
      <c r="CD134" s="2">
        <v>3.5354261154058042E-8</v>
      </c>
      <c r="CE134" s="2">
        <f t="shared" si="61"/>
        <v>0.10953642461849711</v>
      </c>
      <c r="CF134" s="2">
        <v>1.3258962594520085E-8</v>
      </c>
      <c r="CG134" s="2">
        <f t="shared" si="62"/>
        <v>-1.1716066900936242E-16</v>
      </c>
      <c r="CH134" s="2">
        <f t="shared" si="63"/>
        <v>4.687608261985501E-16</v>
      </c>
      <c r="CI134" s="2">
        <f t="shared" si="64"/>
        <v>2.1042613651545139E-8</v>
      </c>
    </row>
    <row r="135" spans="43:87" x14ac:dyDescent="0.2"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F135"/>
      <c r="BG135"/>
      <c r="BH135"/>
      <c r="BI135"/>
      <c r="BJ135"/>
      <c r="BK135"/>
      <c r="BL135"/>
      <c r="BM135"/>
      <c r="BN135"/>
      <c r="BO135" s="2">
        <v>29</v>
      </c>
      <c r="BP135" s="2">
        <f t="shared" si="65"/>
        <v>0.1103041385717219</v>
      </c>
      <c r="BQ135" s="2">
        <v>-5.2628245789110295E-9</v>
      </c>
      <c r="BR135" s="2">
        <f t="shared" si="66"/>
        <v>0.11030414898769864</v>
      </c>
      <c r="BS135" s="2">
        <v>1.7218063887852741E-8</v>
      </c>
      <c r="BT135" s="2">
        <f t="shared" si="57"/>
        <v>0.11030414377971026</v>
      </c>
      <c r="BU135" s="2">
        <v>5.9776199407002295E-9</v>
      </c>
      <c r="BV135" s="2">
        <f t="shared" si="58"/>
        <v>-3.1459165147305858E-17</v>
      </c>
      <c r="BW135" s="2">
        <f t="shared" si="59"/>
        <v>1.0292304203627907E-16</v>
      </c>
      <c r="BX135" s="2">
        <f t="shared" si="60"/>
        <v>1.0415976733901822E-8</v>
      </c>
      <c r="BY135"/>
      <c r="BZ135" s="2">
        <v>29</v>
      </c>
      <c r="CA135" s="2">
        <f t="shared" si="67"/>
        <v>0.10953641409719028</v>
      </c>
      <c r="CB135" s="2">
        <v>-8.836337547085682E-9</v>
      </c>
      <c r="CC135" s="2">
        <f t="shared" si="68"/>
        <v>0.10953642461849711</v>
      </c>
      <c r="CD135" s="2">
        <v>1.3258962594520085E-8</v>
      </c>
      <c r="CE135" s="2">
        <f t="shared" si="61"/>
        <v>0.1095364193578437</v>
      </c>
      <c r="CF135" s="2">
        <v>2.2113127058631665E-9</v>
      </c>
      <c r="CG135" s="2">
        <f t="shared" si="62"/>
        <v>-1.9539905491166334E-17</v>
      </c>
      <c r="CH135" s="2">
        <f t="shared" si="63"/>
        <v>2.9319712451826721E-17</v>
      </c>
      <c r="CI135" s="2">
        <f t="shared" si="64"/>
        <v>1.0521306825772569E-8</v>
      </c>
    </row>
    <row r="136" spans="43:87" x14ac:dyDescent="0.2">
      <c r="AQ136"/>
      <c r="AR136"/>
      <c r="AS136"/>
      <c r="AT136"/>
      <c r="BF136"/>
      <c r="BG136"/>
      <c r="BH136"/>
      <c r="BI136"/>
      <c r="BJ136"/>
      <c r="BK136"/>
      <c r="BL136"/>
      <c r="BM136"/>
      <c r="BN136"/>
      <c r="BO136" s="2">
        <v>30</v>
      </c>
      <c r="BP136" s="2">
        <f t="shared" si="65"/>
        <v>0.1103041385717219</v>
      </c>
      <c r="BQ136" s="2">
        <v>-5.2628245789110295E-9</v>
      </c>
      <c r="BR136" s="2">
        <f t="shared" si="66"/>
        <v>0.11030414377971026</v>
      </c>
      <c r="BS136" s="2">
        <v>5.9776199407002295E-9</v>
      </c>
      <c r="BT136" s="5">
        <f t="shared" si="57"/>
        <v>0.11030414117571608</v>
      </c>
      <c r="BU136" s="2">
        <v>3.5739770518072866E-10</v>
      </c>
      <c r="BV136" s="2">
        <f t="shared" si="58"/>
        <v>-1.8809214272715366E-18</v>
      </c>
      <c r="BW136" s="2">
        <f t="shared" si="59"/>
        <v>2.1363876492488255E-18</v>
      </c>
      <c r="BX136" s="2">
        <f t="shared" si="60"/>
        <v>5.2079883600120169E-9</v>
      </c>
      <c r="BY136"/>
      <c r="BZ136" s="2">
        <v>30</v>
      </c>
      <c r="CA136" s="2">
        <f t="shared" si="67"/>
        <v>0.10953641409719028</v>
      </c>
      <c r="CB136" s="2">
        <v>-8.836337547085682E-9</v>
      </c>
      <c r="CC136" s="2">
        <f t="shared" si="68"/>
        <v>0.1095364193578437</v>
      </c>
      <c r="CD136" s="2">
        <v>2.2113127058631665E-9</v>
      </c>
      <c r="CE136" s="5">
        <f t="shared" si="61"/>
        <v>0.10953641672751699</v>
      </c>
      <c r="CF136" s="2">
        <v>-3.3125123442834248E-9</v>
      </c>
      <c r="CG136" s="2">
        <f t="shared" si="62"/>
        <v>2.927047720297644E-17</v>
      </c>
      <c r="CH136" s="2">
        <f t="shared" si="63"/>
        <v>-7.3250006352425213E-18</v>
      </c>
      <c r="CI136" s="2">
        <f t="shared" si="64"/>
        <v>5.2606534128862847E-9</v>
      </c>
    </row>
  </sheetData>
  <mergeCells count="86">
    <mergeCell ref="BZ104:CI104"/>
    <mergeCell ref="AF47:AI47"/>
    <mergeCell ref="BO104:BX104"/>
    <mergeCell ref="BG60:BI60"/>
    <mergeCell ref="BO70:BX70"/>
    <mergeCell ref="BZ70:CI70"/>
    <mergeCell ref="AY52:BA52"/>
    <mergeCell ref="AY55:BA55"/>
    <mergeCell ref="BB52:BD52"/>
    <mergeCell ref="BB55:BD55"/>
    <mergeCell ref="AV47:AW47"/>
    <mergeCell ref="AV48:AX48"/>
    <mergeCell ref="AY48:BA48"/>
    <mergeCell ref="BB48:BD48"/>
    <mergeCell ref="AQ35:AQ42"/>
    <mergeCell ref="AV42:AX42"/>
    <mergeCell ref="BK60:BM60"/>
    <mergeCell ref="BZ36:CI36"/>
    <mergeCell ref="BK41:BM41"/>
    <mergeCell ref="AQ44:AS44"/>
    <mergeCell ref="BG41:BI41"/>
    <mergeCell ref="BO36:BX36"/>
    <mergeCell ref="AY42:BB42"/>
    <mergeCell ref="BC42:BE42"/>
    <mergeCell ref="AY43:AZ43"/>
    <mergeCell ref="AV41:AW41"/>
    <mergeCell ref="AV52:AX52"/>
    <mergeCell ref="AU50:AU52"/>
    <mergeCell ref="AU53:AU55"/>
    <mergeCell ref="AV55:AX55"/>
    <mergeCell ref="AQ7:AS7"/>
    <mergeCell ref="AU9:AW9"/>
    <mergeCell ref="AY12:BA12"/>
    <mergeCell ref="BC12:BE12"/>
    <mergeCell ref="AY21:BA21"/>
    <mergeCell ref="BC21:BE21"/>
    <mergeCell ref="AQ11:AQ18"/>
    <mergeCell ref="AQ19:AQ26"/>
    <mergeCell ref="AQ27:AQ34"/>
    <mergeCell ref="AV29:AW29"/>
    <mergeCell ref="AV30:AW30"/>
    <mergeCell ref="AY30:BA30"/>
    <mergeCell ref="BC30:BE30"/>
    <mergeCell ref="BK22:BM22"/>
    <mergeCell ref="AU23:AU29"/>
    <mergeCell ref="AV23:AW23"/>
    <mergeCell ref="AV24:AW24"/>
    <mergeCell ref="AU14:AW14"/>
    <mergeCell ref="AU22:AW22"/>
    <mergeCell ref="BG22:BI22"/>
    <mergeCell ref="AV25:AW25"/>
    <mergeCell ref="AV26:AW26"/>
    <mergeCell ref="AV27:AW27"/>
    <mergeCell ref="AV28:AW28"/>
    <mergeCell ref="BZ2:CI2"/>
    <mergeCell ref="AY3:BA3"/>
    <mergeCell ref="BC3:BE3"/>
    <mergeCell ref="BG3:BI3"/>
    <mergeCell ref="AQ2:AS2"/>
    <mergeCell ref="AU2:AW2"/>
    <mergeCell ref="AY2:BE2"/>
    <mergeCell ref="BG2:BM2"/>
    <mergeCell ref="BO2:BX2"/>
    <mergeCell ref="BK3:BM3"/>
    <mergeCell ref="N12:P12"/>
    <mergeCell ref="N3:P3"/>
    <mergeCell ref="N16:P16"/>
    <mergeCell ref="F15:H15"/>
    <mergeCell ref="F22:H22"/>
    <mergeCell ref="B52:D52"/>
    <mergeCell ref="J30:L30"/>
    <mergeCell ref="B29:D29"/>
    <mergeCell ref="B35:D35"/>
    <mergeCell ref="J38:L38"/>
    <mergeCell ref="B40:D40"/>
    <mergeCell ref="B46:D46"/>
    <mergeCell ref="F29:H29"/>
    <mergeCell ref="B1:D1"/>
    <mergeCell ref="B3:D3"/>
    <mergeCell ref="F3:H3"/>
    <mergeCell ref="J3:L3"/>
    <mergeCell ref="B24:D24"/>
    <mergeCell ref="J7:L7"/>
    <mergeCell ref="J11:L11"/>
    <mergeCell ref="B12:D12"/>
    <mergeCell ref="B17:D17"/>
  </mergeCells>
  <conditionalFormatting sqref="G12">
    <cfRule type="containsText" dxfId="35" priority="1" operator="containsText" text="FALSE">
      <formula>NOT(ISERROR(SEARCH("FALSE",G12)))</formula>
    </cfRule>
    <cfRule type="containsText" dxfId="34" priority="2" operator="containsText" text="TRUE">
      <formula>NOT(ISERROR(SEARCH("TRUE",G12)))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NOT(ISERROR(SEARCH("YES",G12)))</formula>
    </cfRule>
    <cfRule type="cellIs" dxfId="30" priority="6" operator="equal">
      <formula>"""YES"""</formula>
    </cfRule>
  </conditionalFormatting>
  <conditionalFormatting sqref="K28">
    <cfRule type="containsText" dxfId="29" priority="13" operator="containsText" text="FALSE">
      <formula>NOT(ISERROR(SEARCH("FALSE",K28)))</formula>
    </cfRule>
    <cfRule type="containsText" dxfId="28" priority="14" operator="containsText" text="TRUE">
      <formula>NOT(ISERROR(SEARCH("TRUE",K28)))</formula>
    </cfRule>
    <cfRule type="cellIs" dxfId="27" priority="15" operator="equal">
      <formula>1</formula>
    </cfRule>
    <cfRule type="cellIs" dxfId="26" priority="16" operator="equal">
      <formula>TRUE</formula>
    </cfRule>
    <cfRule type="containsText" dxfId="25" priority="17" operator="containsText" text="YES">
      <formula>NOT(ISERROR(SEARCH("YES",K28)))</formula>
    </cfRule>
    <cfRule type="cellIs" dxfId="24" priority="18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81"/>
  <sheetViews>
    <sheetView topLeftCell="B1"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57" t="s">
        <v>0</v>
      </c>
      <c r="C1" s="57"/>
      <c r="D1" s="57"/>
    </row>
    <row r="2" spans="2:41" x14ac:dyDescent="0.2">
      <c r="U2" s="16" t="s">
        <v>96</v>
      </c>
      <c r="AF2" s="48" t="s">
        <v>226</v>
      </c>
    </row>
    <row r="3" spans="2:41" x14ac:dyDescent="0.2">
      <c r="B3" s="59" t="s">
        <v>127</v>
      </c>
      <c r="C3" s="60"/>
      <c r="D3" s="60"/>
      <c r="F3" s="55" t="s">
        <v>83</v>
      </c>
      <c r="G3" s="58"/>
      <c r="H3" s="58"/>
      <c r="J3" s="59" t="s">
        <v>101</v>
      </c>
      <c r="K3" s="59"/>
      <c r="L3" s="59"/>
      <c r="N3" s="59" t="s">
        <v>95</v>
      </c>
      <c r="O3" s="59"/>
      <c r="P3" s="59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(1+$C$25/100)*MAX(G10,G29)</f>
        <v>925.63129818931588</v>
      </c>
      <c r="L4" s="6" t="s">
        <v>104</v>
      </c>
      <c r="N4" s="6" t="s">
        <v>228</v>
      </c>
      <c r="O4" s="6">
        <f xml:space="preserve"> $C$5 * $C$74</f>
        <v>28018.686114507374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1.2671226240580435</v>
      </c>
      <c r="X4" s="3">
        <v>1</v>
      </c>
      <c r="Y4" s="2">
        <f t="shared" ref="Y4:Y34" si="1" xml:space="preserve"> $O$22 * TAN($O$19/180*PI()) + $O$23 / (2 * SQRT($O$22^2 + X4^2)) - X4</f>
        <v>-4.2512687593519671E-2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0.48428710075949355</v>
      </c>
      <c r="AB4" s="2">
        <f>W4*AA4</f>
        <v>0.61365114191183157</v>
      </c>
      <c r="AC4" s="2">
        <f>Y4*AA4</f>
        <v>-2.0588346220159731E-2</v>
      </c>
      <c r="AD4" s="2">
        <f>X4-V4</f>
        <v>1</v>
      </c>
      <c r="AF4" s="2">
        <v>0</v>
      </c>
      <c r="AH4" s="2">
        <f>K30</f>
        <v>-4.3495135196280899E-4</v>
      </c>
      <c r="AJ4" s="2">
        <f>K30</f>
        <v>-4.3495135196280899E-4</v>
      </c>
      <c r="AL4" s="2">
        <f>K30</f>
        <v>-4.3495135196280899E-4</v>
      </c>
    </row>
    <row r="5" spans="2:41" x14ac:dyDescent="0.2">
      <c r="B5" s="10" t="s">
        <v>40</v>
      </c>
      <c r="C5" s="10">
        <v>2858.8880866300001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K4/$C$21</f>
        <v>115.70391227366449</v>
      </c>
      <c r="L5" s="6" t="s">
        <v>104</v>
      </c>
      <c r="N5" s="6" t="s">
        <v>25</v>
      </c>
      <c r="O5" s="6">
        <f xml:space="preserve"> 0.5 * $C$71 * $C$7^2</f>
        <v>2267.4637855940923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0.48428710075949355</v>
      </c>
      <c r="X5" s="2">
        <f>IF(AC4&gt;0, Z4, X4)</f>
        <v>1</v>
      </c>
      <c r="Y5" s="2">
        <f t="shared" si="1"/>
        <v>-4.2512687593519671E-2</v>
      </c>
      <c r="Z5" s="2">
        <f t="shared" ref="Z5:Z34" si="3" xml:space="preserve"> (V5 + X5)/2</f>
        <v>0.75</v>
      </c>
      <c r="AA5" s="2">
        <f t="shared" si="2"/>
        <v>0.2165048872800911</v>
      </c>
      <c r="AB5" s="2">
        <f t="shared" ref="AB5:AB34" si="4">W5*AA5</f>
        <v>0.10485052416113627</v>
      </c>
      <c r="AC5" s="2">
        <f t="shared" ref="AC5:AC34" si="5">Y5*AA5</f>
        <v>-9.2042046354087036E-3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-952.93050976720406</v>
      </c>
      <c r="AI5" s="3">
        <v>3500</v>
      </c>
      <c r="AJ5" s="2">
        <f t="dataTable" ref="AJ5:AJ44" dt2D="0" dtr="0" r1="C5" ca="1"/>
        <v>173.00575656916726</v>
      </c>
      <c r="AK5" s="2">
        <f>(AG5+AI5)/2</f>
        <v>2000</v>
      </c>
      <c r="AL5" s="2">
        <f t="dataTable" ref="AL5:AL44" dt2D="0" dtr="0" r1="C5" ca="1"/>
        <v>-293.75881117584322</v>
      </c>
      <c r="AM5" s="2">
        <f>AH5*AL5</f>
        <v>279931.7336824041</v>
      </c>
      <c r="AN5" s="2">
        <f>AJ5*AL5</f>
        <v>-50821.965376335902</v>
      </c>
      <c r="AO5" s="2">
        <f>AI5-AG5</f>
        <v>3000</v>
      </c>
    </row>
    <row r="6" spans="2:41" x14ac:dyDescent="0.2">
      <c r="B6" s="6" t="s">
        <v>271</v>
      </c>
      <c r="C6" s="17">
        <v>500</v>
      </c>
      <c r="D6" s="6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(1+$C$32/100)*MAX(G20)</f>
        <v>178.53848782332432</v>
      </c>
      <c r="L6" s="6" t="s">
        <v>104</v>
      </c>
      <c r="N6" s="6" t="s">
        <v>119</v>
      </c>
      <c r="O6" s="6">
        <f xml:space="preserve"> ($C$21+$C$28) * 0.4 * ($C$5/($C$21+$C$28) *2.20462/1000)^(2/3) * 0.3048^2</f>
        <v>0.26374932188562883</v>
      </c>
      <c r="P6" s="6" t="s">
        <v>120</v>
      </c>
      <c r="U6" s="2">
        <v>2</v>
      </c>
      <c r="V6" s="2">
        <f t="shared" ref="V6:V34" si="7">IF(AB5&gt;0, Z5, V5)</f>
        <v>0.75</v>
      </c>
      <c r="W6" s="2">
        <f t="shared" si="0"/>
        <v>0.2165048872800911</v>
      </c>
      <c r="X6" s="2">
        <f t="shared" ref="X6:X34" si="8">IF(AC5&gt;0, Z5, X5)</f>
        <v>1</v>
      </c>
      <c r="Y6" s="2">
        <f t="shared" si="1"/>
        <v>-4.2512687593519671E-2</v>
      </c>
      <c r="Z6" s="2">
        <f t="shared" si="3"/>
        <v>0.875</v>
      </c>
      <c r="AA6" s="2">
        <f t="shared" si="2"/>
        <v>8.6360386142530943E-2</v>
      </c>
      <c r="AB6" s="2">
        <f t="shared" si="4"/>
        <v>1.8697445667253804E-2</v>
      </c>
      <c r="AC6" s="2">
        <f t="shared" si="5"/>
        <v>-3.6714121165331431E-3</v>
      </c>
      <c r="AD6" s="2">
        <f t="shared" si="6"/>
        <v>0.25</v>
      </c>
      <c r="AF6" s="2">
        <v>2</v>
      </c>
      <c r="AG6" s="2">
        <f>IF(AM5&gt;0,AK5,AG5)</f>
        <v>2000</v>
      </c>
      <c r="AH6" s="2">
        <v>-293.75881117584322</v>
      </c>
      <c r="AI6" s="2">
        <f>IF(AN5&gt;0,AK5,AI5)</f>
        <v>3500</v>
      </c>
      <c r="AJ6" s="2">
        <v>173.00575656916726</v>
      </c>
      <c r="AK6" s="2">
        <f t="shared" ref="AK6:AK44" si="9">(AG6+AI6)/2</f>
        <v>2750</v>
      </c>
      <c r="AL6" s="2">
        <v>-33.349335740677361</v>
      </c>
      <c r="AM6" s="2">
        <f t="shared" ref="AM6:AM44" si="10">AH6*AL6</f>
        <v>9796.6612206854406</v>
      </c>
      <c r="AN6" s="2">
        <f t="shared" ref="AN6:AN44" si="11">AJ6*AL6</f>
        <v>-5769.6270608950572</v>
      </c>
      <c r="AO6" s="2">
        <f t="shared" ref="AO6:AO44" si="12">AI6-AG6</f>
        <v>1500</v>
      </c>
    </row>
    <row r="7" spans="2:41" x14ac:dyDescent="0.2">
      <c r="B7" s="6" t="s">
        <v>9</v>
      </c>
      <c r="C7" s="17">
        <f>150 * 1609.344 / 3600</f>
        <v>67.055999999999997</v>
      </c>
      <c r="D7" s="6" t="s">
        <v>10</v>
      </c>
      <c r="F7" s="6" t="s">
        <v>21</v>
      </c>
      <c r="G7" s="6">
        <f xml:space="preserve"> $C$5 * $C$68 / $C$21</f>
        <v>3502.6708001454904</v>
      </c>
      <c r="H7" s="6" t="s">
        <v>22</v>
      </c>
      <c r="J7" s="6" t="s">
        <v>230</v>
      </c>
      <c r="K7" s="6">
        <f>K6/$C$28</f>
        <v>178.53848782332432</v>
      </c>
      <c r="L7" s="6" t="s">
        <v>104</v>
      </c>
      <c r="N7" s="6" t="s">
        <v>293</v>
      </c>
      <c r="O7" s="17">
        <v>9.1534090314177498E-3</v>
      </c>
      <c r="U7" s="2">
        <v>3</v>
      </c>
      <c r="V7" s="2">
        <f t="shared" si="7"/>
        <v>0.875</v>
      </c>
      <c r="W7" s="2">
        <f t="shared" si="0"/>
        <v>8.6360386142530943E-2</v>
      </c>
      <c r="X7" s="2">
        <f t="shared" si="8"/>
        <v>1</v>
      </c>
      <c r="Y7" s="2">
        <f t="shared" si="1"/>
        <v>-4.2512687593519671E-2</v>
      </c>
      <c r="Z7" s="2">
        <f t="shared" si="3"/>
        <v>0.9375</v>
      </c>
      <c r="AA7" s="2">
        <f t="shared" si="2"/>
        <v>2.1796199306675645E-2</v>
      </c>
      <c r="AB7" s="2">
        <f t="shared" si="4"/>
        <v>1.882328188564074E-3</v>
      </c>
      <c r="AC7" s="2">
        <f t="shared" si="5"/>
        <v>-9.2661501185079182E-4</v>
      </c>
      <c r="AD7" s="2">
        <f t="shared" si="6"/>
        <v>0.125</v>
      </c>
      <c r="AF7" s="2">
        <v>3</v>
      </c>
      <c r="AG7" s="2">
        <f t="shared" ref="AG7:AG44" si="13">IF(AM6&gt;0,AK6,AG6)</f>
        <v>2750</v>
      </c>
      <c r="AH7" s="2">
        <v>-33.349335740677361</v>
      </c>
      <c r="AI7" s="2">
        <f t="shared" ref="AI7:AI44" si="14">IF(AN6&gt;0,AK6,AI6)</f>
        <v>3500</v>
      </c>
      <c r="AJ7" s="2">
        <v>173.00575656916726</v>
      </c>
      <c r="AK7" s="2">
        <f t="shared" si="9"/>
        <v>3125</v>
      </c>
      <c r="AL7" s="2">
        <v>76.672448143480779</v>
      </c>
      <c r="AM7" s="2">
        <f t="shared" si="10"/>
        <v>-2556.975215196615</v>
      </c>
      <c r="AN7" s="2">
        <f t="shared" si="11"/>
        <v>13264.774899073136</v>
      </c>
      <c r="AO7" s="2">
        <f t="shared" si="12"/>
        <v>750</v>
      </c>
    </row>
    <row r="8" spans="2:41" x14ac:dyDescent="0.2">
      <c r="B8" s="6" t="s">
        <v>98</v>
      </c>
      <c r="C8" s="17">
        <v>1.524</v>
      </c>
      <c r="D8" s="6" t="s">
        <v>8</v>
      </c>
      <c r="F8" t="s">
        <v>100</v>
      </c>
      <c r="G8" s="6">
        <f>G10/$C$21</f>
        <v>77.135941515776324</v>
      </c>
      <c r="H8" s="6" t="s">
        <v>20</v>
      </c>
      <c r="N8" s="6" t="s">
        <v>294</v>
      </c>
      <c r="O8" s="17">
        <v>0.272912140344656</v>
      </c>
      <c r="U8" s="2">
        <v>4</v>
      </c>
      <c r="V8" s="2">
        <f t="shared" si="7"/>
        <v>0.9375</v>
      </c>
      <c r="W8" s="2">
        <f t="shared" si="0"/>
        <v>2.1796199306675645E-2</v>
      </c>
      <c r="X8" s="2">
        <f t="shared" si="8"/>
        <v>1</v>
      </c>
      <c r="Y8" s="2">
        <f t="shared" si="1"/>
        <v>-4.2512687593519671E-2</v>
      </c>
      <c r="Z8" s="2">
        <f t="shared" si="3"/>
        <v>0.96875</v>
      </c>
      <c r="AA8" s="2">
        <f t="shared" si="2"/>
        <v>-1.0387112873933568E-2</v>
      </c>
      <c r="AB8" s="2">
        <f t="shared" si="4"/>
        <v>-2.263995824211925E-4</v>
      </c>
      <c r="AC8" s="2">
        <f t="shared" si="5"/>
        <v>4.4158408460816408E-4</v>
      </c>
      <c r="AD8" s="2">
        <f t="shared" si="6"/>
        <v>6.25E-2</v>
      </c>
      <c r="AF8" s="2">
        <v>4</v>
      </c>
      <c r="AG8" s="2">
        <f t="shared" si="13"/>
        <v>2750</v>
      </c>
      <c r="AH8" s="2">
        <v>-33.349335740677361</v>
      </c>
      <c r="AI8" s="2">
        <f t="shared" si="14"/>
        <v>3125</v>
      </c>
      <c r="AJ8" s="2">
        <v>76.672448143480779</v>
      </c>
      <c r="AK8" s="2">
        <f t="shared" si="9"/>
        <v>2937.5</v>
      </c>
      <c r="AL8" s="2">
        <v>23.363982490529906</v>
      </c>
      <c r="AM8" s="2">
        <f t="shared" si="10"/>
        <v>-779.17329631598909</v>
      </c>
      <c r="AN8" s="2">
        <f t="shared" si="11"/>
        <v>1791.373735930347</v>
      </c>
      <c r="AO8" s="2">
        <f t="shared" si="12"/>
        <v>375</v>
      </c>
    </row>
    <row r="9" spans="2:41" x14ac:dyDescent="0.2">
      <c r="B9" s="6" t="s">
        <v>224</v>
      </c>
      <c r="C9" s="17">
        <f>(0.548288+0.530863+0.513438+0.496013+0.478588+0.461163+0.443738+0.426313)/8</f>
        <v>0.48730050000000003</v>
      </c>
      <c r="D9" s="6" t="s">
        <v>8</v>
      </c>
      <c r="F9" t="s">
        <v>274</v>
      </c>
      <c r="G9" s="6">
        <f xml:space="preserve"> (G7/$C$68*1000) / (G8*1000)</f>
        <v>4.6328728710164286</v>
      </c>
      <c r="H9" s="6" t="s">
        <v>275</v>
      </c>
      <c r="J9" s="59" t="s">
        <v>23</v>
      </c>
      <c r="K9" s="59"/>
      <c r="L9" s="59"/>
      <c r="N9" s="6" t="s">
        <v>122</v>
      </c>
      <c r="O9" s="6">
        <f xml:space="preserve"> $O$8/$C$12 + $O$7</f>
        <v>2.3123486142309087E-2</v>
      </c>
      <c r="U9" s="2">
        <v>5</v>
      </c>
      <c r="V9" s="2">
        <f t="shared" si="7"/>
        <v>0.9375</v>
      </c>
      <c r="W9" s="2">
        <f t="shared" si="0"/>
        <v>2.1796199306675645E-2</v>
      </c>
      <c r="X9" s="2">
        <f t="shared" si="8"/>
        <v>0.96875</v>
      </c>
      <c r="Y9" s="2">
        <f t="shared" si="1"/>
        <v>-1.0387112873933568E-2</v>
      </c>
      <c r="Z9" s="2">
        <f t="shared" si="3"/>
        <v>0.953125</v>
      </c>
      <c r="AA9" s="2">
        <f t="shared" si="2"/>
        <v>5.6969761773515426E-3</v>
      </c>
      <c r="AB9" s="2">
        <f t="shared" si="4"/>
        <v>1.2417242820693736E-4</v>
      </c>
      <c r="AC9" s="2">
        <f t="shared" si="5"/>
        <v>-5.9175134594261058E-5</v>
      </c>
      <c r="AD9" s="2">
        <f t="shared" si="6"/>
        <v>3.125E-2</v>
      </c>
      <c r="AF9" s="2">
        <v>5</v>
      </c>
      <c r="AG9" s="2">
        <f t="shared" si="13"/>
        <v>2750</v>
      </c>
      <c r="AH9" s="2">
        <v>-33.349335740677361</v>
      </c>
      <c r="AI9" s="2">
        <f t="shared" si="14"/>
        <v>2937.5</v>
      </c>
      <c r="AJ9" s="2">
        <v>23.363982490529906</v>
      </c>
      <c r="AK9" s="2">
        <f t="shared" si="9"/>
        <v>2843.75</v>
      </c>
      <c r="AL9" s="2">
        <v>-4.5682682309743541</v>
      </c>
      <c r="AM9" s="2">
        <f t="shared" si="10"/>
        <v>152.34871098823396</v>
      </c>
      <c r="AN9" s="2">
        <f t="shared" si="11"/>
        <v>-106.73293896052884</v>
      </c>
      <c r="AO9" s="2">
        <f t="shared" si="12"/>
        <v>187.5</v>
      </c>
    </row>
    <row r="10" spans="2:41" x14ac:dyDescent="0.2">
      <c r="B10" s="6" t="s">
        <v>231</v>
      </c>
      <c r="C10" s="17">
        <v>1.3715999999999999</v>
      </c>
      <c r="D10" s="6" t="s">
        <v>8</v>
      </c>
      <c r="F10" s="43" t="s">
        <v>85</v>
      </c>
      <c r="G10" s="43">
        <f xml:space="preserve"> 1/1000 * (($C$5*$C$68)/$C$24 * ( ($G$4/2) + SQRT( ($G$4/2)^2 + ($C$5*$C$68) / (2*$C$65*PI()*$C$8^2 * $C$21) ) ) )</f>
        <v>617.08753212621059</v>
      </c>
      <c r="H10" s="43" t="s">
        <v>104</v>
      </c>
      <c r="J10" s="6" t="s">
        <v>99</v>
      </c>
      <c r="K10" s="6">
        <f xml:space="preserve"> $C$18 * (G10*G6 + G20*G13 + G29*G25 + G33*G32)/3600</f>
        <v>139.39164298949655</v>
      </c>
      <c r="L10" s="6" t="s">
        <v>105</v>
      </c>
      <c r="N10" s="6" t="s">
        <v>41</v>
      </c>
      <c r="O10" s="6">
        <f xml:space="preserve"> O5 * $C$12 * O9</f>
        <v>1024.2777090663999</v>
      </c>
      <c r="P10" s="6" t="s">
        <v>22</v>
      </c>
      <c r="U10" s="2">
        <v>6</v>
      </c>
      <c r="V10" s="2">
        <f t="shared" si="7"/>
        <v>0.953125</v>
      </c>
      <c r="W10" s="2">
        <f t="shared" si="0"/>
        <v>5.6969761773515426E-3</v>
      </c>
      <c r="X10" s="2">
        <f t="shared" si="8"/>
        <v>0.96875</v>
      </c>
      <c r="Y10" s="2">
        <f t="shared" si="1"/>
        <v>-1.0387112873933568E-2</v>
      </c>
      <c r="Z10" s="2">
        <f t="shared" si="3"/>
        <v>0.9609375</v>
      </c>
      <c r="AA10" s="2">
        <f t="shared" si="2"/>
        <v>-2.3469146299999188E-3</v>
      </c>
      <c r="AB10" s="2">
        <f t="shared" si="4"/>
        <v>-1.3370316737387348E-5</v>
      </c>
      <c r="AC10" s="2">
        <f t="shared" si="5"/>
        <v>2.4377667167295196E-5</v>
      </c>
      <c r="AD10" s="2">
        <f t="shared" si="6"/>
        <v>1.5625E-2</v>
      </c>
      <c r="AF10" s="2">
        <v>6</v>
      </c>
      <c r="AG10" s="2">
        <f t="shared" si="13"/>
        <v>2843.75</v>
      </c>
      <c r="AH10" s="2">
        <v>-4.5682682309743541</v>
      </c>
      <c r="AI10" s="2">
        <f t="shared" si="14"/>
        <v>2937.5</v>
      </c>
      <c r="AJ10" s="2">
        <v>23.363982490529906</v>
      </c>
      <c r="AK10" s="2">
        <f t="shared" si="9"/>
        <v>2890.625</v>
      </c>
      <c r="AL10" s="2">
        <v>9.5041161167878272</v>
      </c>
      <c r="AM10" s="2">
        <f t="shared" si="10"/>
        <v>-43.417351719813176</v>
      </c>
      <c r="AN10" s="2">
        <f t="shared" si="11"/>
        <v>222.05400254059387</v>
      </c>
      <c r="AO10" s="2">
        <f t="shared" si="12"/>
        <v>93.75</v>
      </c>
    </row>
    <row r="11" spans="2:41" x14ac:dyDescent="0.2">
      <c r="B11" s="6" t="s">
        <v>259</v>
      </c>
      <c r="C11" s="17">
        <f>(0.500656+0.484769+0.468881+0.452994+0.437106+0.421219+0.405331+0.389444)/8</f>
        <v>0.44505</v>
      </c>
      <c r="D11" s="6" t="s">
        <v>8</v>
      </c>
      <c r="J11" s="6" t="s">
        <v>24</v>
      </c>
      <c r="K11" s="6">
        <f xml:space="preserve"> (G6 + G13 + G25 + G32)/60</f>
        <v>49.333333333333336</v>
      </c>
      <c r="L11" s="6" t="s">
        <v>106</v>
      </c>
      <c r="N11" s="6" t="s">
        <v>234</v>
      </c>
      <c r="O11" s="6">
        <f xml:space="preserve"> 1.78 * (1 - 0.045 * $C$13^0.68) - 0.64</f>
        <v>0.7028810168808014</v>
      </c>
      <c r="U11" s="2">
        <v>7</v>
      </c>
      <c r="V11" s="2">
        <f t="shared" si="7"/>
        <v>0.953125</v>
      </c>
      <c r="W11" s="2">
        <f t="shared" si="0"/>
        <v>5.6969761773515426E-3</v>
      </c>
      <c r="X11" s="2">
        <f t="shared" si="8"/>
        <v>0.9609375</v>
      </c>
      <c r="Y11" s="2">
        <f t="shared" si="1"/>
        <v>-2.3469146299999188E-3</v>
      </c>
      <c r="Z11" s="2">
        <f t="shared" si="3"/>
        <v>0.95703125</v>
      </c>
      <c r="AA11" s="2">
        <f t="shared" si="2"/>
        <v>1.6745636324111413E-3</v>
      </c>
      <c r="AB11" s="2">
        <f t="shared" si="4"/>
        <v>9.5399491213055372E-6</v>
      </c>
      <c r="AC11" s="2">
        <f t="shared" si="5"/>
        <v>-3.9300578877715133E-6</v>
      </c>
      <c r="AD11" s="2">
        <f t="shared" si="6"/>
        <v>7.8125E-3</v>
      </c>
      <c r="AF11" s="2">
        <v>7</v>
      </c>
      <c r="AG11" s="2">
        <f t="shared" si="13"/>
        <v>2843.75</v>
      </c>
      <c r="AH11" s="2">
        <v>-4.5682682309743541</v>
      </c>
      <c r="AI11" s="2">
        <f t="shared" si="14"/>
        <v>2890.625</v>
      </c>
      <c r="AJ11" s="2">
        <v>9.5041161167878272</v>
      </c>
      <c r="AK11" s="2">
        <f t="shared" si="9"/>
        <v>2867.1875</v>
      </c>
      <c r="AL11" s="2">
        <v>2.4944698702306596</v>
      </c>
      <c r="AM11" s="2">
        <f t="shared" si="10"/>
        <v>-11.395407461297442</v>
      </c>
      <c r="AN11" s="2">
        <f t="shared" si="11"/>
        <v>23.707731296500853</v>
      </c>
      <c r="AO11" s="2">
        <f t="shared" si="12"/>
        <v>46.875</v>
      </c>
    </row>
    <row r="12" spans="2:41" x14ac:dyDescent="0.2">
      <c r="B12" s="6" t="s">
        <v>232</v>
      </c>
      <c r="C12" s="17">
        <v>19.535478449999999</v>
      </c>
      <c r="D12" s="6" t="s">
        <v>11</v>
      </c>
      <c r="F12" s="55" t="s">
        <v>89</v>
      </c>
      <c r="G12" s="58"/>
      <c r="H12" s="58"/>
      <c r="N12" s="6" t="s">
        <v>235</v>
      </c>
      <c r="O12" s="6">
        <f xml:space="preserve"> O4 / (O5 * $C$12)</f>
        <v>0.63253324206874761</v>
      </c>
      <c r="U12" s="2">
        <v>8</v>
      </c>
      <c r="V12" s="2">
        <f t="shared" si="7"/>
        <v>0.95703125</v>
      </c>
      <c r="W12" s="2">
        <f t="shared" si="0"/>
        <v>1.6745636324111413E-3</v>
      </c>
      <c r="X12" s="2">
        <f t="shared" si="8"/>
        <v>0.9609375</v>
      </c>
      <c r="Y12" s="2">
        <f t="shared" si="1"/>
        <v>-2.3469146299999188E-3</v>
      </c>
      <c r="Z12" s="2">
        <f t="shared" si="3"/>
        <v>0.958984375</v>
      </c>
      <c r="AA12" s="2">
        <f t="shared" si="2"/>
        <v>-3.3629158079206967E-4</v>
      </c>
      <c r="AB12" s="2">
        <f t="shared" si="4"/>
        <v>-5.6314165108045294E-7</v>
      </c>
      <c r="AC12" s="2">
        <f t="shared" si="5"/>
        <v>7.8924763090670799E-7</v>
      </c>
      <c r="AD12" s="2">
        <f t="shared" si="6"/>
        <v>3.90625E-3</v>
      </c>
      <c r="AF12" s="2">
        <v>8</v>
      </c>
      <c r="AG12" s="2">
        <f t="shared" si="13"/>
        <v>2843.75</v>
      </c>
      <c r="AH12" s="2">
        <v>-4.5682682309743541</v>
      </c>
      <c r="AI12" s="2">
        <f t="shared" si="14"/>
        <v>2867.1875</v>
      </c>
      <c r="AJ12" s="2">
        <v>2.4944698702306596</v>
      </c>
      <c r="AK12" s="2">
        <f t="shared" si="9"/>
        <v>2855.46875</v>
      </c>
      <c r="AL12" s="2">
        <v>-1.0302651956003501</v>
      </c>
      <c r="AM12" s="2">
        <f t="shared" si="10"/>
        <v>4.7065277625396584</v>
      </c>
      <c r="AN12" s="2">
        <f t="shared" si="11"/>
        <v>-2.5699654887723704</v>
      </c>
      <c r="AO12" s="2">
        <f t="shared" si="12"/>
        <v>23.4375</v>
      </c>
    </row>
    <row r="13" spans="2:41" x14ac:dyDescent="0.2">
      <c r="B13" s="6" t="s">
        <v>233</v>
      </c>
      <c r="C13" s="17">
        <v>12.127610000000001</v>
      </c>
      <c r="F13" s="9" t="s">
        <v>92</v>
      </c>
      <c r="G13" s="6">
        <f xml:space="preserve"> $C$17/$C$7</f>
        <v>1440</v>
      </c>
      <c r="H13" s="6" t="s">
        <v>14</v>
      </c>
      <c r="J13" s="45" t="s">
        <v>54</v>
      </c>
      <c r="K13" s="45"/>
      <c r="L13" s="45"/>
      <c r="N13" s="6" t="s">
        <v>236</v>
      </c>
      <c r="O13" s="6">
        <f xml:space="preserve"> O9 + O12^2 / ( PI() * O11 * $C$13 )</f>
        <v>3.8063802691337072E-2</v>
      </c>
      <c r="U13" s="2">
        <v>9</v>
      </c>
      <c r="V13" s="2">
        <f t="shared" si="7"/>
        <v>0.95703125</v>
      </c>
      <c r="W13" s="2">
        <f t="shared" si="0"/>
        <v>1.6745636324111413E-3</v>
      </c>
      <c r="X13" s="2">
        <f t="shared" si="8"/>
        <v>0.958984375</v>
      </c>
      <c r="Y13" s="2">
        <f t="shared" si="1"/>
        <v>-3.3629158079206967E-4</v>
      </c>
      <c r="Z13" s="2">
        <f t="shared" si="3"/>
        <v>0.9580078125</v>
      </c>
      <c r="AA13" s="2">
        <f t="shared" si="2"/>
        <v>6.6910691783528264E-4</v>
      </c>
      <c r="AB13" s="2">
        <f t="shared" si="4"/>
        <v>1.120462110801674E-6</v>
      </c>
      <c r="AC13" s="2">
        <f t="shared" si="5"/>
        <v>-2.2501502311773666E-7</v>
      </c>
      <c r="AD13" s="2">
        <f t="shared" si="6"/>
        <v>1.953125E-3</v>
      </c>
      <c r="AF13" s="2">
        <v>9</v>
      </c>
      <c r="AG13" s="2">
        <f t="shared" si="13"/>
        <v>2855.46875</v>
      </c>
      <c r="AH13" s="2">
        <v>-1.0302651956003501</v>
      </c>
      <c r="AI13" s="2">
        <f t="shared" si="14"/>
        <v>2867.1875</v>
      </c>
      <c r="AJ13" s="2">
        <v>2.4944698702306596</v>
      </c>
      <c r="AK13" s="2">
        <f t="shared" si="9"/>
        <v>2861.328125</v>
      </c>
      <c r="AL13" s="2">
        <v>0.7337609025717029</v>
      </c>
      <c r="AM13" s="2">
        <f t="shared" si="10"/>
        <v>-0.75596831981192492</v>
      </c>
      <c r="AN13" s="2">
        <f t="shared" si="11"/>
        <v>1.8303444634183674</v>
      </c>
      <c r="AO13" s="2">
        <f t="shared" si="12"/>
        <v>11.71875</v>
      </c>
    </row>
    <row r="14" spans="2:41" x14ac:dyDescent="0.2">
      <c r="F14" s="6" t="s">
        <v>239</v>
      </c>
      <c r="G14" s="6">
        <f>O21*$C$10</f>
        <v>71.816808061062659</v>
      </c>
      <c r="H14" s="6" t="s">
        <v>10</v>
      </c>
      <c r="J14" s="10" t="s">
        <v>82</v>
      </c>
      <c r="K14" s="18">
        <f>C5</f>
        <v>2858.8880866300001</v>
      </c>
      <c r="L14" s="6" t="s">
        <v>7</v>
      </c>
      <c r="N14" s="6" t="s">
        <v>42</v>
      </c>
      <c r="O14" s="6">
        <f xml:space="preserve"> O5 * O13 * $C$12</f>
        <v>1686.0738203182068</v>
      </c>
      <c r="P14" s="6" t="s">
        <v>22</v>
      </c>
      <c r="U14" s="2">
        <v>10</v>
      </c>
      <c r="V14" s="2">
        <f t="shared" si="7"/>
        <v>0.9580078125</v>
      </c>
      <c r="W14" s="2">
        <f t="shared" si="0"/>
        <v>6.6910691783528264E-4</v>
      </c>
      <c r="X14" s="2">
        <f t="shared" si="8"/>
        <v>0.958984375</v>
      </c>
      <c r="Y14" s="2">
        <f t="shared" si="1"/>
        <v>-3.3629158079206967E-4</v>
      </c>
      <c r="Z14" s="2">
        <f t="shared" si="3"/>
        <v>0.95849609375</v>
      </c>
      <c r="AA14" s="2">
        <f t="shared" si="2"/>
        <v>1.6640040248983023E-4</v>
      </c>
      <c r="AB14" s="2">
        <f t="shared" si="4"/>
        <v>1.113396604365208E-7</v>
      </c>
      <c r="AC14" s="2">
        <f t="shared" si="5"/>
        <v>-5.5959054397741654E-8</v>
      </c>
      <c r="AD14" s="2">
        <f t="shared" si="6"/>
        <v>9.765625E-4</v>
      </c>
      <c r="AF14" s="2">
        <v>10</v>
      </c>
      <c r="AG14" s="2">
        <f t="shared" si="13"/>
        <v>2855.46875</v>
      </c>
      <c r="AH14" s="2">
        <v>-1.0302651956003501</v>
      </c>
      <c r="AI14" s="2">
        <f t="shared" si="14"/>
        <v>2861.328125</v>
      </c>
      <c r="AJ14" s="2">
        <v>0.7337609025717029</v>
      </c>
      <c r="AK14" s="2">
        <f t="shared" si="9"/>
        <v>2858.3984375</v>
      </c>
      <c r="AL14" s="2">
        <v>-0.14783762573733839</v>
      </c>
      <c r="AM14" s="2">
        <f t="shared" si="10"/>
        <v>0.1523119603973703</v>
      </c>
      <c r="AN14" s="2">
        <f t="shared" si="11"/>
        <v>-0.10847746969508702</v>
      </c>
      <c r="AO14" s="2">
        <f t="shared" si="12"/>
        <v>5.859375</v>
      </c>
    </row>
    <row r="15" spans="2:41" x14ac:dyDescent="0.2">
      <c r="B15" s="59" t="s">
        <v>12</v>
      </c>
      <c r="C15" s="59"/>
      <c r="D15" s="59"/>
      <c r="F15" s="6" t="s">
        <v>240</v>
      </c>
      <c r="G15" s="6">
        <f>G14/$C$73</f>
        <v>0.21584644706095835</v>
      </c>
      <c r="H15" s="6" t="s">
        <v>131</v>
      </c>
      <c r="J15" s="11" t="s">
        <v>55</v>
      </c>
      <c r="K15" s="6">
        <f xml:space="preserve"> 1000 * K10 / ($C$60 * $C$61 * $C$62)</f>
        <v>819.95084111468566</v>
      </c>
      <c r="L15" s="6" t="s">
        <v>7</v>
      </c>
      <c r="N15" s="6" t="s">
        <v>237</v>
      </c>
      <c r="O15" s="6">
        <f>O4/O14</f>
        <v>16.617710195642267</v>
      </c>
      <c r="U15" s="2">
        <v>11</v>
      </c>
      <c r="V15" s="2">
        <f t="shared" si="7"/>
        <v>0.95849609375</v>
      </c>
      <c r="W15" s="2">
        <f t="shared" si="0"/>
        <v>1.6640040248983023E-4</v>
      </c>
      <c r="X15" s="2">
        <f t="shared" si="8"/>
        <v>0.958984375</v>
      </c>
      <c r="Y15" s="2">
        <f t="shared" si="1"/>
        <v>-3.3629158079206967E-4</v>
      </c>
      <c r="Z15" s="2">
        <f t="shared" si="3"/>
        <v>0.958740234375</v>
      </c>
      <c r="AA15" s="2">
        <f t="shared" si="2"/>
        <v>-8.4947404291213502E-5</v>
      </c>
      <c r="AB15" s="2">
        <f t="shared" si="4"/>
        <v>-1.413528226452426E-8</v>
      </c>
      <c r="AC15" s="2">
        <f t="shared" si="5"/>
        <v>2.856709687327523E-8</v>
      </c>
      <c r="AD15" s="2">
        <f t="shared" si="6"/>
        <v>4.8828125E-4</v>
      </c>
      <c r="AF15" s="2">
        <v>11</v>
      </c>
      <c r="AG15" s="2">
        <f t="shared" si="13"/>
        <v>2858.3984375</v>
      </c>
      <c r="AH15" s="2">
        <v>-0.14783762573733839</v>
      </c>
      <c r="AI15" s="2">
        <f t="shared" si="14"/>
        <v>2861.328125</v>
      </c>
      <c r="AJ15" s="2">
        <v>0.7337609025717029</v>
      </c>
      <c r="AK15" s="2">
        <f t="shared" si="9"/>
        <v>2859.86328125</v>
      </c>
      <c r="AL15" s="2">
        <v>0.29306568150468593</v>
      </c>
      <c r="AM15" s="2">
        <f t="shared" si="10"/>
        <v>-4.3326134538747771E-2</v>
      </c>
      <c r="AN15" s="2">
        <f t="shared" si="11"/>
        <v>0.21504013897366955</v>
      </c>
      <c r="AO15" s="2">
        <f t="shared" si="12"/>
        <v>2.9296875</v>
      </c>
    </row>
    <row r="16" spans="2:41" x14ac:dyDescent="0.2">
      <c r="B16" s="6" t="s">
        <v>71</v>
      </c>
      <c r="C16" s="6">
        <f>C35*100</f>
        <v>600</v>
      </c>
      <c r="D16" s="6" t="s">
        <v>7</v>
      </c>
      <c r="F16" s="9" t="s">
        <v>21</v>
      </c>
      <c r="G16" s="6">
        <f>O20</f>
        <v>1686.0738203182068</v>
      </c>
      <c r="H16" s="6" t="s">
        <v>22</v>
      </c>
      <c r="J16" s="12" t="s">
        <v>135</v>
      </c>
      <c r="K16" s="6">
        <f xml:space="preserve"> $C$78 * ( $C$21 * (0.0095 * MAX(G7,G26) - 1.9275) +  $C$28 * (0.0095 * MAX(O20) - 1.9275) )</f>
        <v>211.89854568326419</v>
      </c>
      <c r="L16" s="6" t="s">
        <v>7</v>
      </c>
      <c r="N16" s="6" t="s">
        <v>118</v>
      </c>
      <c r="O16" s="6">
        <f>(O13*$C$12)/(0.3048^2)/($C$5*2.20462/1000)^(2/3)</f>
        <v>2.3457714795091777</v>
      </c>
      <c r="U16" s="2">
        <v>12</v>
      </c>
      <c r="V16" s="2">
        <f t="shared" si="7"/>
        <v>0.95849609375</v>
      </c>
      <c r="W16" s="2">
        <f t="shared" si="0"/>
        <v>1.6640040248983023E-4</v>
      </c>
      <c r="X16" s="2">
        <f t="shared" si="8"/>
        <v>0.958740234375</v>
      </c>
      <c r="Y16" s="2">
        <f t="shared" si="1"/>
        <v>-8.4947404291213502E-5</v>
      </c>
      <c r="Z16" s="2">
        <f t="shared" si="3"/>
        <v>0.9586181640625</v>
      </c>
      <c r="AA16" s="2">
        <f t="shared" si="2"/>
        <v>4.0726045143379963E-5</v>
      </c>
      <c r="AB16" s="2">
        <f t="shared" si="4"/>
        <v>6.7768303036774214E-9</v>
      </c>
      <c r="AC16" s="2">
        <f t="shared" si="5"/>
        <v>-3.4595718219769097E-9</v>
      </c>
      <c r="AD16" s="2">
        <f t="shared" si="6"/>
        <v>2.44140625E-4</v>
      </c>
      <c r="AF16" s="2">
        <v>12</v>
      </c>
      <c r="AG16" s="2">
        <f t="shared" si="13"/>
        <v>2858.3984375</v>
      </c>
      <c r="AH16" s="2">
        <v>-0.14783762573733839</v>
      </c>
      <c r="AI16" s="2">
        <f t="shared" si="14"/>
        <v>2859.86328125</v>
      </c>
      <c r="AJ16" s="2">
        <v>0.29306568150468593</v>
      </c>
      <c r="AK16" s="2">
        <f t="shared" si="9"/>
        <v>2859.130859375</v>
      </c>
      <c r="AL16" s="2">
        <v>7.263979320987346E-2</v>
      </c>
      <c r="AM16" s="2">
        <f t="shared" si="10"/>
        <v>-1.0738894562198927E-2</v>
      </c>
      <c r="AN16" s="2">
        <f t="shared" si="11"/>
        <v>2.1288230501411022E-2</v>
      </c>
      <c r="AO16" s="2">
        <f t="shared" si="12"/>
        <v>1.46484375</v>
      </c>
    </row>
    <row r="17" spans="2:41" x14ac:dyDescent="0.2">
      <c r="B17" s="6" t="s">
        <v>13</v>
      </c>
      <c r="C17" s="17">
        <f>60 * 1609.344</f>
        <v>96560.639999999999</v>
      </c>
      <c r="D17" s="6" t="s">
        <v>8</v>
      </c>
      <c r="F17" s="9" t="s">
        <v>100</v>
      </c>
      <c r="G17" s="6">
        <f xml:space="preserve"> 1/1000 * (O25 + O20 * (O30 * O27 + $C$7 * SIN(O19/180*PI())))</f>
        <v>119.02565854888289</v>
      </c>
      <c r="H17" s="6" t="s">
        <v>104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7"/>
        <v>0.9586181640625</v>
      </c>
      <c r="W17" s="2">
        <f t="shared" si="0"/>
        <v>4.0726045143379963E-5</v>
      </c>
      <c r="X17" s="2">
        <f t="shared" si="8"/>
        <v>0.958740234375</v>
      </c>
      <c r="Y17" s="2">
        <f t="shared" si="1"/>
        <v>-8.4947404291213502E-5</v>
      </c>
      <c r="Z17" s="2">
        <f t="shared" si="3"/>
        <v>0.95867919921875</v>
      </c>
      <c r="AA17" s="2">
        <f t="shared" si="2"/>
        <v>-2.2110793041596466E-5</v>
      </c>
      <c r="AB17" s="2">
        <f t="shared" si="4"/>
        <v>-9.0048515556798924E-10</v>
      </c>
      <c r="AC17" s="2">
        <f t="shared" si="5"/>
        <v>1.8782544757038451E-9</v>
      </c>
      <c r="AD17" s="2">
        <f t="shared" si="6"/>
        <v>1.220703125E-4</v>
      </c>
      <c r="AF17" s="2">
        <v>13</v>
      </c>
      <c r="AG17" s="2">
        <f t="shared" si="13"/>
        <v>2858.3984375</v>
      </c>
      <c r="AH17" s="2">
        <v>-0.14783762573733839</v>
      </c>
      <c r="AI17" s="2">
        <f t="shared" si="14"/>
        <v>2859.130859375</v>
      </c>
      <c r="AJ17" s="2">
        <v>7.263979320987346E-2</v>
      </c>
      <c r="AK17" s="2">
        <f t="shared" si="9"/>
        <v>2858.7646484375</v>
      </c>
      <c r="AL17" s="2">
        <v>-3.7591903929296677E-2</v>
      </c>
      <c r="AM17" s="2">
        <f t="shared" si="10"/>
        <v>5.5574978238533421E-3</v>
      </c>
      <c r="AN17" s="2">
        <f t="shared" si="11"/>
        <v>-2.7306681277895401E-3</v>
      </c>
      <c r="AO17" s="2">
        <f t="shared" si="12"/>
        <v>0.732421875</v>
      </c>
    </row>
    <row r="18" spans="2:41" x14ac:dyDescent="0.2">
      <c r="B18" s="6" t="s">
        <v>263</v>
      </c>
      <c r="C18" s="17">
        <v>1</v>
      </c>
      <c r="F18" t="s">
        <v>274</v>
      </c>
      <c r="G18" s="6">
        <f xml:space="preserve"> (G16/$C$74*1000) / (G17*1000)</f>
        <v>1.4453911160491952</v>
      </c>
      <c r="H18" s="6" t="s">
        <v>275</v>
      </c>
      <c r="J18" s="13" t="s">
        <v>56</v>
      </c>
      <c r="K18" s="6">
        <f xml:space="preserve"> $C$78 * (0.2138 * K4 + 0.2138 * K6)</f>
        <v>188.857200199602</v>
      </c>
      <c r="L18" s="6" t="s">
        <v>7</v>
      </c>
      <c r="N18" s="55" t="s">
        <v>238</v>
      </c>
      <c r="O18" s="56"/>
      <c r="P18" s="56"/>
      <c r="U18" s="2">
        <v>14</v>
      </c>
      <c r="V18" s="2">
        <f t="shared" si="7"/>
        <v>0.9586181640625</v>
      </c>
      <c r="W18" s="2">
        <f t="shared" si="0"/>
        <v>4.0726045143379963E-5</v>
      </c>
      <c r="X18" s="2">
        <f t="shared" si="8"/>
        <v>0.95867919921875</v>
      </c>
      <c r="Y18" s="2">
        <f t="shared" si="1"/>
        <v>-2.2110793041596466E-5</v>
      </c>
      <c r="Z18" s="2">
        <f t="shared" si="3"/>
        <v>0.958648681640625</v>
      </c>
      <c r="AA18" s="2">
        <f t="shared" si="2"/>
        <v>9.3075976813628003E-6</v>
      </c>
      <c r="AB18" s="2">
        <f t="shared" si="4"/>
        <v>3.7906164334760009E-10</v>
      </c>
      <c r="AC18" s="2">
        <f t="shared" si="5"/>
        <v>-2.0579836604705601E-10</v>
      </c>
      <c r="AD18" s="2">
        <f t="shared" si="6"/>
        <v>6.103515625E-5</v>
      </c>
      <c r="AF18" s="2">
        <v>14</v>
      </c>
      <c r="AG18" s="2">
        <f t="shared" si="13"/>
        <v>2858.7646484375</v>
      </c>
      <c r="AH18" s="2">
        <v>-3.7591903929296677E-2</v>
      </c>
      <c r="AI18" s="2">
        <f t="shared" si="14"/>
        <v>2859.130859375</v>
      </c>
      <c r="AJ18" s="2">
        <v>7.263979320987346E-2</v>
      </c>
      <c r="AK18" s="2">
        <f t="shared" si="9"/>
        <v>2858.94775390625</v>
      </c>
      <c r="AL18" s="2">
        <v>1.752553458481998E-2</v>
      </c>
      <c r="AM18" s="2">
        <f t="shared" si="10"/>
        <v>-6.5881821242211899E-4</v>
      </c>
      <c r="AN18" s="2">
        <f t="shared" si="11"/>
        <v>1.2730512081338089E-3</v>
      </c>
      <c r="AO18" s="2">
        <f t="shared" si="12"/>
        <v>0.3662109375</v>
      </c>
    </row>
    <row r="19" spans="2:41" x14ac:dyDescent="0.2">
      <c r="F19" s="9" t="s">
        <v>276</v>
      </c>
      <c r="G19" s="6">
        <f>O23 / ($C$29*$C$11/PI())</f>
        <v>6.452296420341723E-2</v>
      </c>
      <c r="J19" s="13" t="s">
        <v>80</v>
      </c>
      <c r="K19" s="6">
        <f xml:space="preserve"> $C$78 * (0.1149 * K4 + 0.1149 * K6)</f>
        <v>101.4952867302819</v>
      </c>
      <c r="L19" s="6" t="s">
        <v>7</v>
      </c>
      <c r="N19" s="6" t="s">
        <v>28</v>
      </c>
      <c r="O19" s="6">
        <f xml:space="preserve"> 90 - $C$81</f>
        <v>85</v>
      </c>
      <c r="P19" s="6" t="s">
        <v>43</v>
      </c>
      <c r="U19" s="2">
        <v>15</v>
      </c>
      <c r="V19" s="2">
        <f t="shared" si="7"/>
        <v>0.958648681640625</v>
      </c>
      <c r="W19" s="2">
        <f t="shared" si="0"/>
        <v>9.3075976813628003E-6</v>
      </c>
      <c r="X19" s="2">
        <f t="shared" si="8"/>
        <v>0.95867919921875</v>
      </c>
      <c r="Y19" s="2">
        <f t="shared" si="1"/>
        <v>-2.2110793041596466E-5</v>
      </c>
      <c r="Z19" s="2">
        <f t="shared" si="3"/>
        <v>0.9586639404296875</v>
      </c>
      <c r="AA19" s="2">
        <f t="shared" si="2"/>
        <v>-6.401604772166003E-6</v>
      </c>
      <c r="AB19" s="2">
        <f t="shared" si="4"/>
        <v>-5.9583561734413325E-11</v>
      </c>
      <c r="AC19" s="2">
        <f t="shared" si="5"/>
        <v>1.4154455825145879E-10</v>
      </c>
      <c r="AD19" s="2">
        <f t="shared" si="6"/>
        <v>3.0517578125E-5</v>
      </c>
      <c r="AF19" s="2">
        <v>15</v>
      </c>
      <c r="AG19" s="2">
        <f t="shared" si="13"/>
        <v>2858.7646484375</v>
      </c>
      <c r="AH19" s="2">
        <v>-3.7591903929296677E-2</v>
      </c>
      <c r="AI19" s="2">
        <f t="shared" si="14"/>
        <v>2858.94775390625</v>
      </c>
      <c r="AJ19" s="2">
        <v>1.752553458481998E-2</v>
      </c>
      <c r="AK19" s="2">
        <f t="shared" si="9"/>
        <v>2858.856201171875</v>
      </c>
      <c r="AL19" s="2">
        <v>-1.0033113519511971E-2</v>
      </c>
      <c r="AM19" s="2">
        <f t="shared" si="10"/>
        <v>3.7716383953722172E-4</v>
      </c>
      <c r="AN19" s="2">
        <f t="shared" si="11"/>
        <v>-1.7583567797963196E-4</v>
      </c>
      <c r="AO19" s="2">
        <f t="shared" si="12"/>
        <v>0.18310546875</v>
      </c>
    </row>
    <row r="20" spans="2:41" x14ac:dyDescent="0.2">
      <c r="B20" s="59" t="s">
        <v>115</v>
      </c>
      <c r="C20" s="59"/>
      <c r="D20" s="59"/>
      <c r="F20" s="44" t="s">
        <v>225</v>
      </c>
      <c r="G20" s="43">
        <f xml:space="preserve"> $C$28 * G17</f>
        <v>119.02565854888289</v>
      </c>
      <c r="H20" s="43" t="s">
        <v>104</v>
      </c>
      <c r="J20" s="14" t="s">
        <v>63</v>
      </c>
      <c r="K20" s="6">
        <f xml:space="preserve"> $C$79 * (14.86 * ($C$5*2.20462)^0.144 * ($C$36/(PI()*$C$37))^0.778 * ($C$36*3.28084)^0.383 * $C$35^0.455 * 0.453592)</f>
        <v>223.17108297340584</v>
      </c>
      <c r="L20" s="6" t="s">
        <v>7</v>
      </c>
      <c r="N20" s="6" t="s">
        <v>21</v>
      </c>
      <c r="O20" s="6">
        <f xml:space="preserve"> O14 / $C$28</f>
        <v>1686.0738203182068</v>
      </c>
      <c r="P20" s="6" t="s">
        <v>22</v>
      </c>
      <c r="U20" s="2">
        <v>16</v>
      </c>
      <c r="V20" s="2">
        <f t="shared" si="7"/>
        <v>0.958648681640625</v>
      </c>
      <c r="W20" s="2">
        <f t="shared" si="0"/>
        <v>9.3075976813628003E-6</v>
      </c>
      <c r="X20" s="2">
        <f t="shared" si="8"/>
        <v>0.9586639404296875</v>
      </c>
      <c r="Y20" s="2">
        <f t="shared" si="1"/>
        <v>-6.401604772166003E-6</v>
      </c>
      <c r="Z20" s="2">
        <f t="shared" si="3"/>
        <v>0.95865631103515625</v>
      </c>
      <c r="AA20" s="2">
        <f t="shared" si="2"/>
        <v>1.452994681461206E-6</v>
      </c>
      <c r="AB20" s="2">
        <f t="shared" si="4"/>
        <v>1.3523889928200802E-11</v>
      </c>
      <c r="AC20" s="2">
        <f t="shared" si="5"/>
        <v>-9.3014976867738778E-12</v>
      </c>
      <c r="AD20" s="2">
        <f t="shared" si="6"/>
        <v>1.52587890625E-5</v>
      </c>
      <c r="AF20" s="2">
        <v>16</v>
      </c>
      <c r="AG20" s="2">
        <f t="shared" si="13"/>
        <v>2858.856201171875</v>
      </c>
      <c r="AH20" s="2">
        <v>-1.0033113519511971E-2</v>
      </c>
      <c r="AI20" s="2">
        <f t="shared" si="14"/>
        <v>2858.94775390625</v>
      </c>
      <c r="AJ20" s="2">
        <v>1.752553458481998E-2</v>
      </c>
      <c r="AK20" s="2">
        <f t="shared" si="9"/>
        <v>2858.9019775390625</v>
      </c>
      <c r="AL20" s="2">
        <v>3.7466362391569419E-3</v>
      </c>
      <c r="AM20" s="2">
        <f t="shared" si="10"/>
        <v>-3.7590426703779004E-5</v>
      </c>
      <c r="AN20" s="2">
        <f t="shared" si="11"/>
        <v>6.5661802986084845E-5</v>
      </c>
      <c r="AO20" s="2">
        <f t="shared" si="12"/>
        <v>9.1552734375E-2</v>
      </c>
    </row>
    <row r="21" spans="2:41" x14ac:dyDescent="0.2">
      <c r="B21" s="6" t="s">
        <v>97</v>
      </c>
      <c r="C21" s="17">
        <v>8</v>
      </c>
      <c r="J21" s="14" t="s">
        <v>64</v>
      </c>
      <c r="K21" s="6">
        <f xml:space="preserve"> $C$79 * C41 * $C$5</f>
        <v>74.331090252380008</v>
      </c>
      <c r="L21" s="6" t="s">
        <v>7</v>
      </c>
      <c r="N21" s="6" t="s">
        <v>29</v>
      </c>
      <c r="O21" s="6">
        <f>$C$6*2*PI()/60</f>
        <v>52.359877559829883</v>
      </c>
      <c r="P21" s="6" t="s">
        <v>30</v>
      </c>
      <c r="U21" s="2">
        <v>17</v>
      </c>
      <c r="V21" s="2">
        <f t="shared" si="7"/>
        <v>0.95865631103515625</v>
      </c>
      <c r="W21" s="2">
        <f t="shared" si="0"/>
        <v>1.452994681461206E-6</v>
      </c>
      <c r="X21" s="2">
        <f t="shared" si="8"/>
        <v>0.9586639404296875</v>
      </c>
      <c r="Y21" s="2">
        <f t="shared" si="1"/>
        <v>-6.401604772166003E-6</v>
      </c>
      <c r="Z21" s="2">
        <f t="shared" si="3"/>
        <v>0.95866012573242188</v>
      </c>
      <c r="AA21" s="2">
        <f t="shared" si="2"/>
        <v>-2.4743054886089411E-6</v>
      </c>
      <c r="AB21" s="2">
        <f t="shared" si="4"/>
        <v>-3.5951527152590622E-12</v>
      </c>
      <c r="AC21" s="2">
        <f t="shared" si="5"/>
        <v>1.5839525823675532E-11</v>
      </c>
      <c r="AD21" s="2">
        <f t="shared" si="6"/>
        <v>7.62939453125E-6</v>
      </c>
      <c r="AF21" s="2">
        <v>17</v>
      </c>
      <c r="AG21" s="2">
        <f t="shared" si="13"/>
        <v>2858.856201171875</v>
      </c>
      <c r="AH21" s="2">
        <v>-1.0033113519511971E-2</v>
      </c>
      <c r="AI21" s="2">
        <f t="shared" si="14"/>
        <v>2858.9019775390625</v>
      </c>
      <c r="AJ21" s="2">
        <v>3.7466362391569419E-3</v>
      </c>
      <c r="AK21" s="2">
        <f t="shared" si="9"/>
        <v>2858.8790893554688</v>
      </c>
      <c r="AL21" s="2">
        <v>-3.1428874640369031E-3</v>
      </c>
      <c r="AM21" s="2">
        <f t="shared" si="10"/>
        <v>3.1532946705733347E-5</v>
      </c>
      <c r="AN21" s="2">
        <f t="shared" si="11"/>
        <v>-1.1775256068352721E-5</v>
      </c>
      <c r="AO21" s="2">
        <f t="shared" si="12"/>
        <v>4.57763671875E-2</v>
      </c>
    </row>
    <row r="22" spans="2:41" x14ac:dyDescent="0.2">
      <c r="B22" s="6" t="s">
        <v>114</v>
      </c>
      <c r="C22" s="17">
        <v>2</v>
      </c>
      <c r="F22" s="59" t="s">
        <v>84</v>
      </c>
      <c r="G22" s="59"/>
      <c r="H22" s="59"/>
      <c r="J22" s="14" t="s">
        <v>241</v>
      </c>
      <c r="K22" s="6">
        <f xml:space="preserve"> $C$79 * (0.04674 * ($C$5*2.20462)^0.397 * ($C$12*3.28084^2)^0.36 * $C$46^0.397 * $C$13^1.712 * 0.453592)</f>
        <v>415.81874414931031</v>
      </c>
      <c r="L22" s="6" t="s">
        <v>7</v>
      </c>
      <c r="N22" s="6" t="s">
        <v>31</v>
      </c>
      <c r="O22" s="6">
        <f xml:space="preserve"> $C$7 * COS(O19/180*PI()) / (O21 * $C$10)</f>
        <v>8.1378101359194571E-2</v>
      </c>
      <c r="U22" s="2">
        <v>18</v>
      </c>
      <c r="V22" s="2">
        <f t="shared" si="7"/>
        <v>0.95865631103515625</v>
      </c>
      <c r="W22" s="2">
        <f t="shared" si="0"/>
        <v>1.452994681461206E-6</v>
      </c>
      <c r="X22" s="2">
        <f t="shared" si="8"/>
        <v>0.95866012573242188</v>
      </c>
      <c r="Y22" s="2">
        <f t="shared" si="1"/>
        <v>-2.4743054886089411E-6</v>
      </c>
      <c r="Z22" s="2">
        <f t="shared" si="3"/>
        <v>0.95865821838378906</v>
      </c>
      <c r="AA22" s="2">
        <f t="shared" si="2"/>
        <v>-5.1065551431861422E-7</v>
      </c>
      <c r="AB22" s="2">
        <f t="shared" si="4"/>
        <v>-7.4197974636378319E-13</v>
      </c>
      <c r="AC22" s="2">
        <f t="shared" si="5"/>
        <v>1.2635177418669689E-12</v>
      </c>
      <c r="AD22" s="2">
        <f t="shared" si="6"/>
        <v>3.814697265625E-6</v>
      </c>
      <c r="AF22" s="2">
        <v>18</v>
      </c>
      <c r="AG22" s="2">
        <f t="shared" si="13"/>
        <v>2858.8790893554688</v>
      </c>
      <c r="AH22" s="2">
        <v>-3.1428874640369031E-3</v>
      </c>
      <c r="AI22" s="2">
        <f t="shared" si="14"/>
        <v>2858.9019775390625</v>
      </c>
      <c r="AJ22" s="2">
        <v>3.7466362391569419E-3</v>
      </c>
      <c r="AK22" s="2">
        <f t="shared" si="9"/>
        <v>2858.8905334472656</v>
      </c>
      <c r="AL22" s="2">
        <v>3.0155426293276832E-4</v>
      </c>
      <c r="AM22" s="2">
        <f t="shared" si="10"/>
        <v>-9.4775111269828577E-7</v>
      </c>
      <c r="AN22" s="2">
        <f t="shared" si="11"/>
        <v>1.1298141295761707E-6</v>
      </c>
      <c r="AO22" s="2">
        <f t="shared" si="12"/>
        <v>2.288818359375E-2</v>
      </c>
    </row>
    <row r="23" spans="2:41" x14ac:dyDescent="0.2">
      <c r="B23" s="6" t="s">
        <v>128</v>
      </c>
      <c r="C23" s="6">
        <f>$C$22*$C$9/PI()</f>
        <v>0.31022513338460861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$C$79 * (3.184 * ($C$5*2.20462)^0.887 * ($C$50*3.28084*3.28084)^0.101 * ($C$49)^0.138 ) / ( 174.04 * ($C$51*3.28084)^0.223 ) * 0.453592</f>
        <v>31.315563870664075</v>
      </c>
      <c r="L23" s="6" t="s">
        <v>7</v>
      </c>
      <c r="N23" s="6" t="s">
        <v>32</v>
      </c>
      <c r="O23" s="6">
        <f xml:space="preserve"> O20 / ( $C$71 * PI() * $C$10^2 * O21^2 * $C$10^2)</f>
        <v>5.4843415525405094E-2</v>
      </c>
      <c r="U23" s="2">
        <v>19</v>
      </c>
      <c r="V23" s="2">
        <f t="shared" si="7"/>
        <v>0.95865631103515625</v>
      </c>
      <c r="W23" s="2">
        <f t="shared" si="0"/>
        <v>1.452994681461206E-6</v>
      </c>
      <c r="X23" s="2">
        <f t="shared" si="8"/>
        <v>0.95865821838378906</v>
      </c>
      <c r="Y23" s="2">
        <f t="shared" si="1"/>
        <v>-5.1065551431861422E-7</v>
      </c>
      <c r="Z23" s="2">
        <f t="shared" si="3"/>
        <v>0.95865726470947266</v>
      </c>
      <c r="AA23" s="2">
        <f t="shared" si="2"/>
        <v>4.7116955592674259E-7</v>
      </c>
      <c r="AB23" s="2">
        <f t="shared" si="4"/>
        <v>6.8460685882799527E-13</v>
      </c>
      <c r="AC23" s="2">
        <f t="shared" si="5"/>
        <v>-2.4060533191304383E-13</v>
      </c>
      <c r="AD23" s="2">
        <f t="shared" si="6"/>
        <v>1.9073486328125E-6</v>
      </c>
      <c r="AF23" s="2">
        <v>19</v>
      </c>
      <c r="AG23" s="2">
        <f t="shared" si="13"/>
        <v>2858.8790893554688</v>
      </c>
      <c r="AH23" s="2">
        <v>-3.1428874640369031E-3</v>
      </c>
      <c r="AI23" s="2">
        <f t="shared" si="14"/>
        <v>2858.8905334472656</v>
      </c>
      <c r="AJ23" s="2">
        <v>3.0155426293276832E-4</v>
      </c>
      <c r="AK23" s="2">
        <f t="shared" si="9"/>
        <v>2858.8848114013672</v>
      </c>
      <c r="AL23" s="2">
        <v>-1.4206650466803694E-3</v>
      </c>
      <c r="AM23" s="2">
        <f t="shared" si="10"/>
        <v>4.4649903658071344E-6</v>
      </c>
      <c r="AN23" s="2">
        <f t="shared" si="11"/>
        <v>-4.2840760102604572E-7</v>
      </c>
      <c r="AO23" s="2">
        <f t="shared" si="12"/>
        <v>1.1444091796875E-2</v>
      </c>
    </row>
    <row r="24" spans="2:41" x14ac:dyDescent="0.2">
      <c r="B24" s="6" t="s">
        <v>242</v>
      </c>
      <c r="C24" s="17">
        <v>0.75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$C$79 * ( 1.68 * ($C$5*2.20462)^0.567 * ($C$55*3.28084*3.28084)^1.249 * ($C$54)^0.482 ) / (639.95 * ($C$56*3.28084)^0.747 * (COS($C$57/180*PI()))^0.882 ) * 0.453592</f>
        <v>10.051228199363907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7"/>
        <v>0.95865726470947266</v>
      </c>
      <c r="W24" s="2">
        <f t="shared" si="0"/>
        <v>4.7116955592674259E-7</v>
      </c>
      <c r="X24" s="2">
        <f t="shared" si="8"/>
        <v>0.95865821838378906</v>
      </c>
      <c r="Y24" s="2">
        <f t="shared" si="1"/>
        <v>-5.1065551431861422E-7</v>
      </c>
      <c r="Z24" s="2">
        <f t="shared" si="3"/>
        <v>0.95865774154663086</v>
      </c>
      <c r="AA24" s="2">
        <f t="shared" si="2"/>
        <v>-1.9742986134829721E-8</v>
      </c>
      <c r="AB24" s="2">
        <f t="shared" si="4"/>
        <v>-9.3022940098155556E-15</v>
      </c>
      <c r="AC24" s="2">
        <f t="shared" si="5"/>
        <v>1.008186473886674E-14</v>
      </c>
      <c r="AD24" s="2">
        <f t="shared" si="6"/>
        <v>9.5367431640625E-7</v>
      </c>
      <c r="AF24" s="2">
        <v>20</v>
      </c>
      <c r="AG24" s="2">
        <f t="shared" si="13"/>
        <v>2858.8848114013672</v>
      </c>
      <c r="AH24" s="2">
        <v>-1.4206650466803694E-3</v>
      </c>
      <c r="AI24" s="2">
        <f t="shared" si="14"/>
        <v>2858.8905334472656</v>
      </c>
      <c r="AJ24" s="2">
        <v>3.0155426293276832E-4</v>
      </c>
      <c r="AK24" s="2">
        <f t="shared" si="9"/>
        <v>2858.8876724243164</v>
      </c>
      <c r="AL24" s="2">
        <v>-5.5988134090512176E-4</v>
      </c>
      <c r="AM24" s="2">
        <f t="shared" si="10"/>
        <v>7.9540385131244264E-7</v>
      </c>
      <c r="AN24" s="2">
        <f t="shared" si="11"/>
        <v>-1.6883460508645399E-7</v>
      </c>
      <c r="AO24" s="2">
        <f t="shared" si="12"/>
        <v>5.7220458984375E-3</v>
      </c>
    </row>
    <row r="25" spans="2:41" x14ac:dyDescent="0.2">
      <c r="B25" s="6" t="s">
        <v>288</v>
      </c>
      <c r="C25" s="17">
        <v>50</v>
      </c>
      <c r="D25" s="6" t="s">
        <v>61</v>
      </c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$C$79*(0.14*$G$10*1000/745.7)*0.453592</f>
        <v>42.040322383915132</v>
      </c>
      <c r="L25" s="6" t="s">
        <v>7</v>
      </c>
      <c r="N25" s="6" t="s">
        <v>33</v>
      </c>
      <c r="O25" s="6">
        <f xml:space="preserve"> ($C$30 * $O$24 / 8) * (1 + 4.65 * O22^2) * ( PI() * $C$71 * O21^3 * $C$10^5)</f>
        <v>2152.0895223310586</v>
      </c>
      <c r="P25" s="6" t="s">
        <v>20</v>
      </c>
      <c r="U25" s="2">
        <v>21</v>
      </c>
      <c r="V25" s="2">
        <f t="shared" si="7"/>
        <v>0.95865726470947266</v>
      </c>
      <c r="W25" s="2">
        <f t="shared" si="0"/>
        <v>4.7116955592674259E-7</v>
      </c>
      <c r="X25" s="2">
        <f t="shared" si="8"/>
        <v>0.95865774154663086</v>
      </c>
      <c r="Y25" s="2">
        <f t="shared" si="1"/>
        <v>-1.9742986134829721E-8</v>
      </c>
      <c r="Z25" s="2">
        <f t="shared" si="3"/>
        <v>0.95865750312805176</v>
      </c>
      <c r="AA25" s="2">
        <f t="shared" si="2"/>
        <v>2.2571328317511075E-7</v>
      </c>
      <c r="AB25" s="2">
        <f t="shared" si="4"/>
        <v>1.0634922740038403E-13</v>
      </c>
      <c r="AC25" s="2">
        <f t="shared" si="5"/>
        <v>-4.4562542201731059E-15</v>
      </c>
      <c r="AD25" s="2">
        <f t="shared" si="6"/>
        <v>4.76837158203125E-7</v>
      </c>
      <c r="AF25" s="2">
        <v>21</v>
      </c>
      <c r="AG25" s="2">
        <f t="shared" si="13"/>
        <v>2858.8876724243164</v>
      </c>
      <c r="AH25" s="2">
        <v>-5.5988134090512176E-4</v>
      </c>
      <c r="AI25" s="2">
        <f t="shared" si="14"/>
        <v>2858.8905334472656</v>
      </c>
      <c r="AJ25" s="2">
        <v>3.0155426293276832E-4</v>
      </c>
      <c r="AK25" s="2">
        <f t="shared" si="9"/>
        <v>2858.889102935791</v>
      </c>
      <c r="AL25" s="2">
        <v>-1.2883710587630048E-4</v>
      </c>
      <c r="AM25" s="2">
        <f t="shared" si="10"/>
        <v>7.2133491596358254E-8</v>
      </c>
      <c r="AN25" s="2">
        <f t="shared" si="11"/>
        <v>-3.8851378500918824E-8</v>
      </c>
      <c r="AO25" s="2">
        <f t="shared" si="12"/>
        <v>2.86102294921875E-3</v>
      </c>
    </row>
    <row r="26" spans="2:41" x14ac:dyDescent="0.2">
      <c r="F26" s="6" t="s">
        <v>21</v>
      </c>
      <c r="G26" s="6">
        <f xml:space="preserve"> $C$5 * $C$68 / $C$21</f>
        <v>3502.6708001454904</v>
      </c>
      <c r="H26" s="6" t="s">
        <v>22</v>
      </c>
      <c r="J26" s="15" t="s">
        <v>67</v>
      </c>
      <c r="K26" s="6">
        <f xml:space="preserve"> $C$80 * (0.0268 * $C$5)</f>
        <v>61.294560577347205</v>
      </c>
      <c r="L26" s="6" t="s">
        <v>7</v>
      </c>
      <c r="N26" s="6" t="s">
        <v>34</v>
      </c>
      <c r="O26" s="18">
        <f>Z34</f>
        <v>0.95865772245451808</v>
      </c>
      <c r="U26" s="2">
        <v>22</v>
      </c>
      <c r="V26" s="2">
        <f t="shared" si="7"/>
        <v>0.95865750312805176</v>
      </c>
      <c r="W26" s="2">
        <f t="shared" si="0"/>
        <v>2.2571328317511075E-7</v>
      </c>
      <c r="X26" s="2">
        <f t="shared" si="8"/>
        <v>0.95865774154663086</v>
      </c>
      <c r="Y26" s="2">
        <f t="shared" si="1"/>
        <v>-1.9742986134829721E-8</v>
      </c>
      <c r="Z26" s="2">
        <f t="shared" si="3"/>
        <v>0.95865762233734131</v>
      </c>
      <c r="AA26" s="2">
        <f t="shared" si="2"/>
        <v>1.029851480760513E-7</v>
      </c>
      <c r="AB26" s="2">
        <f t="shared" si="4"/>
        <v>2.324511589052048E-14</v>
      </c>
      <c r="AC26" s="2">
        <f t="shared" si="5"/>
        <v>-2.0332343505588666E-15</v>
      </c>
      <c r="AD26" s="2">
        <f t="shared" si="6"/>
        <v>2.384185791015625E-7</v>
      </c>
      <c r="AF26" s="2">
        <v>22</v>
      </c>
      <c r="AG26" s="2">
        <f t="shared" si="13"/>
        <v>2858.889102935791</v>
      </c>
      <c r="AH26" s="2">
        <v>-1.2883710587630048E-4</v>
      </c>
      <c r="AI26" s="2">
        <f t="shared" si="14"/>
        <v>2858.8905334472656</v>
      </c>
      <c r="AJ26" s="2">
        <v>3.0155426293276832E-4</v>
      </c>
      <c r="AK26" s="2">
        <f t="shared" si="9"/>
        <v>2858.8898181915283</v>
      </c>
      <c r="AL26" s="2">
        <v>8.6358602857217193E-5</v>
      </c>
      <c r="AM26" s="2">
        <f t="shared" si="10"/>
        <v>-1.1126192459644677E-8</v>
      </c>
      <c r="AN26" s="2">
        <f t="shared" si="11"/>
        <v>2.6041804832511791E-8</v>
      </c>
      <c r="AO26" s="2">
        <f t="shared" si="12"/>
        <v>1.430511474609375E-3</v>
      </c>
    </row>
    <row r="27" spans="2:41" x14ac:dyDescent="0.2">
      <c r="B27" s="59" t="s">
        <v>243</v>
      </c>
      <c r="C27" s="59"/>
      <c r="D27" s="59"/>
      <c r="F27" t="s">
        <v>100</v>
      </c>
      <c r="G27" s="6">
        <f>G29/$C$21</f>
        <v>70.957295211244627</v>
      </c>
      <c r="H27" t="s">
        <v>104</v>
      </c>
      <c r="J27" s="15" t="s">
        <v>68</v>
      </c>
      <c r="K27" s="6">
        <f xml:space="preserve"> $C$80 * (11.5 * ($C$5*2.20462/1000)^0.4 * 0.453592)</f>
        <v>8.7149635050418404</v>
      </c>
      <c r="L27" s="6" t="s">
        <v>7</v>
      </c>
      <c r="N27" s="6" t="s">
        <v>35</v>
      </c>
      <c r="O27" s="6">
        <f xml:space="preserve"> O21 * $C$10 * O26 - $C$7 * SIN(O19/180*PI())</f>
        <v>2.0469059745315121</v>
      </c>
      <c r="P27" s="6" t="s">
        <v>10</v>
      </c>
      <c r="U27" s="2">
        <v>23</v>
      </c>
      <c r="V27" s="2">
        <f t="shared" si="7"/>
        <v>0.95865762233734131</v>
      </c>
      <c r="W27" s="2">
        <f t="shared" si="0"/>
        <v>1.029851480760513E-7</v>
      </c>
      <c r="X27" s="2">
        <f t="shared" si="8"/>
        <v>0.95865774154663086</v>
      </c>
      <c r="Y27" s="2">
        <f t="shared" si="1"/>
        <v>-1.9742986134829721E-8</v>
      </c>
      <c r="Z27" s="2">
        <f t="shared" si="3"/>
        <v>0.95865768194198608</v>
      </c>
      <c r="AA27" s="2">
        <f t="shared" si="2"/>
        <v>4.1621080804077337E-8</v>
      </c>
      <c r="AB27" s="2">
        <f t="shared" si="4"/>
        <v>4.2863531696932011E-15</v>
      </c>
      <c r="AC27" s="2">
        <f t="shared" si="5"/>
        <v>-8.2172442123152632E-16</v>
      </c>
      <c r="AD27" s="2">
        <f t="shared" si="6"/>
        <v>1.1920928955078125E-7</v>
      </c>
      <c r="AF27" s="2">
        <v>23</v>
      </c>
      <c r="AG27" s="2">
        <f t="shared" si="13"/>
        <v>2858.889102935791</v>
      </c>
      <c r="AH27" s="2">
        <v>-1.2883710587630048E-4</v>
      </c>
      <c r="AI27" s="2">
        <f t="shared" si="14"/>
        <v>2858.8898181915283</v>
      </c>
      <c r="AJ27" s="2">
        <v>8.6358602857217193E-5</v>
      </c>
      <c r="AK27" s="2">
        <f t="shared" si="9"/>
        <v>2858.8894605636597</v>
      </c>
      <c r="AL27" s="2">
        <v>-2.1239245597826084E-5</v>
      </c>
      <c r="AM27" s="2">
        <f t="shared" si="10"/>
        <v>2.7364029338198682E-9</v>
      </c>
      <c r="AN27" s="2">
        <f t="shared" si="11"/>
        <v>-1.8341915755695613E-9</v>
      </c>
      <c r="AO27" s="2">
        <f t="shared" si="12"/>
        <v>7.152557373046875E-4</v>
      </c>
    </row>
    <row r="28" spans="2:41" x14ac:dyDescent="0.2">
      <c r="B28" s="6" t="s">
        <v>244</v>
      </c>
      <c r="C28" s="17">
        <v>1</v>
      </c>
      <c r="F28" t="s">
        <v>274</v>
      </c>
      <c r="G28" s="6">
        <f xml:space="preserve"> (G26/$C$68*1000) / (G27*1000)</f>
        <v>5.0362828764098513</v>
      </c>
      <c r="H28" s="6" t="s">
        <v>275</v>
      </c>
      <c r="J28" s="15" t="s">
        <v>69</v>
      </c>
      <c r="K28" s="6">
        <f xml:space="preserve"> $C$80 * (8 * ($C$5/1000))</f>
        <v>18.296883754431999</v>
      </c>
      <c r="L28" s="6" t="s">
        <v>7</v>
      </c>
      <c r="N28" s="6" t="s">
        <v>36</v>
      </c>
      <c r="O28" s="6">
        <f xml:space="preserve"> 1/$C$31 - O25 * SQRT( (2*$C$71*PI()*$C$10^2) / O20^3 )</f>
        <v>1.2260059848925091</v>
      </c>
      <c r="U28" s="2">
        <v>24</v>
      </c>
      <c r="V28" s="2">
        <f t="shared" si="7"/>
        <v>0.95865768194198608</v>
      </c>
      <c r="W28" s="2">
        <f t="shared" si="0"/>
        <v>4.1621080804077337E-8</v>
      </c>
      <c r="X28" s="2">
        <f t="shared" si="8"/>
        <v>0.95865774154663086</v>
      </c>
      <c r="Y28" s="2">
        <f t="shared" si="1"/>
        <v>-1.9742986134829721E-8</v>
      </c>
      <c r="Z28" s="2">
        <f t="shared" si="3"/>
        <v>0.95865771174430847</v>
      </c>
      <c r="AA28" s="2">
        <f t="shared" si="2"/>
        <v>1.0939047334623808E-8</v>
      </c>
      <c r="AB28" s="2">
        <f t="shared" si="4"/>
        <v>4.5529497303400434E-16</v>
      </c>
      <c r="AC28" s="2">
        <f t="shared" si="5"/>
        <v>-2.1596945985572386E-16</v>
      </c>
      <c r="AD28" s="2">
        <f t="shared" si="6"/>
        <v>5.9604644775390625E-8</v>
      </c>
      <c r="AF28" s="2">
        <v>24</v>
      </c>
      <c r="AG28" s="2">
        <f t="shared" si="13"/>
        <v>2858.8894605636597</v>
      </c>
      <c r="AH28" s="2">
        <v>-2.1239245597826084E-5</v>
      </c>
      <c r="AI28" s="2">
        <f t="shared" si="14"/>
        <v>2858.8898181915283</v>
      </c>
      <c r="AJ28" s="2">
        <v>8.6358602857217193E-5</v>
      </c>
      <c r="AK28" s="2">
        <f t="shared" si="9"/>
        <v>2858.889639377594</v>
      </c>
      <c r="AL28" s="2">
        <v>3.2233343517873436E-5</v>
      </c>
      <c r="AM28" s="2">
        <f t="shared" si="10"/>
        <v>-6.8461189941520932E-10</v>
      </c>
      <c r="AN28" s="2">
        <f t="shared" si="11"/>
        <v>2.7836265116202882E-9</v>
      </c>
      <c r="AO28" s="2">
        <f t="shared" si="12"/>
        <v>3.5762786865234375E-4</v>
      </c>
    </row>
    <row r="29" spans="2:41" x14ac:dyDescent="0.2">
      <c r="B29" s="6" t="s">
        <v>245</v>
      </c>
      <c r="C29" s="17">
        <v>6</v>
      </c>
      <c r="F29" s="43" t="s">
        <v>86</v>
      </c>
      <c r="G29" s="43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567.65836168995702</v>
      </c>
      <c r="H29" s="43" t="s">
        <v>104</v>
      </c>
      <c r="J29" s="15" t="s">
        <v>70</v>
      </c>
      <c r="K29" s="6">
        <f xml:space="preserve"> $C$80 * (13 * ($C$5*2.20462/1000)^1.3 * 0.453592)</f>
        <v>51.652208187658324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7"/>
        <v>0.95865771174430847</v>
      </c>
      <c r="W29" s="2">
        <f t="shared" si="0"/>
        <v>1.0939047334623808E-8</v>
      </c>
      <c r="X29" s="2">
        <f t="shared" si="8"/>
        <v>0.95865774154663086</v>
      </c>
      <c r="Y29" s="2">
        <f t="shared" si="1"/>
        <v>-1.9742986134829721E-8</v>
      </c>
      <c r="Z29" s="2">
        <f t="shared" si="3"/>
        <v>0.95865772664546967</v>
      </c>
      <c r="AA29" s="2">
        <f t="shared" si="2"/>
        <v>-4.4019694556141076E-9</v>
      </c>
      <c r="AB29" s="2">
        <f t="shared" si="4"/>
        <v>-4.8153352240530919E-17</v>
      </c>
      <c r="AC29" s="2">
        <f t="shared" si="5"/>
        <v>8.690802192813326E-17</v>
      </c>
      <c r="AD29" s="2">
        <f t="shared" si="6"/>
        <v>2.9802322387695312E-8</v>
      </c>
      <c r="AF29" s="2">
        <v>25</v>
      </c>
      <c r="AG29" s="2">
        <f t="shared" si="13"/>
        <v>2858.8894605636597</v>
      </c>
      <c r="AH29" s="2">
        <v>-2.1239245597826084E-5</v>
      </c>
      <c r="AI29" s="2">
        <f t="shared" si="14"/>
        <v>2858.889639377594</v>
      </c>
      <c r="AJ29" s="2">
        <v>3.2233343517873436E-5</v>
      </c>
      <c r="AK29" s="2">
        <f t="shared" si="9"/>
        <v>2858.8895499706268</v>
      </c>
      <c r="AL29" s="2">
        <v>5.4970496421447024E-6</v>
      </c>
      <c r="AM29" s="2">
        <f t="shared" si="10"/>
        <v>-1.1675318741295332E-10</v>
      </c>
      <c r="AN29" s="2">
        <f t="shared" si="11"/>
        <v>1.7718828945005343E-10</v>
      </c>
      <c r="AO29" s="2">
        <f t="shared" si="12"/>
        <v>1.7881393432617188E-4</v>
      </c>
    </row>
    <row r="30" spans="2:41" x14ac:dyDescent="0.2">
      <c r="B30" s="6" t="s">
        <v>246</v>
      </c>
      <c r="C30" s="6">
        <f>$C$29*$C$11/PI()</f>
        <v>0.84998288907657626</v>
      </c>
      <c r="J30" s="10" t="s">
        <v>57</v>
      </c>
      <c r="K30" s="10">
        <f>$C$5 - $C$16 - SUM(K15:K29)</f>
        <v>-4.3495135196280899E-4</v>
      </c>
      <c r="L30" s="10" t="s">
        <v>7</v>
      </c>
      <c r="N30" s="6" t="s">
        <v>38</v>
      </c>
      <c r="O30" s="6">
        <f xml:space="preserve"> 1/$C$77 * LN( EXP($C$77 * O28) + EXP($C$77 * O29) )</f>
        <v>1.2292515821922474</v>
      </c>
      <c r="U30" s="2">
        <v>26</v>
      </c>
      <c r="V30" s="2">
        <f>IF(AB29&gt;0, Z29, V29)</f>
        <v>0.95865771174430847</v>
      </c>
      <c r="W30" s="2">
        <f t="shared" si="0"/>
        <v>1.0939047334623808E-8</v>
      </c>
      <c r="X30" s="2">
        <f t="shared" si="8"/>
        <v>0.95865772664546967</v>
      </c>
      <c r="Y30" s="2">
        <f t="shared" si="1"/>
        <v>-4.4019694556141076E-9</v>
      </c>
      <c r="Z30" s="2">
        <f t="shared" si="3"/>
        <v>0.95865771919488907</v>
      </c>
      <c r="AA30" s="2">
        <f t="shared" si="2"/>
        <v>3.2685389950160015E-9</v>
      </c>
      <c r="AB30" s="2">
        <f t="shared" si="4"/>
        <v>3.5754702781543772E-17</v>
      </c>
      <c r="AC30" s="2">
        <f t="shared" si="5"/>
        <v>-1.4388008820544071E-17</v>
      </c>
      <c r="AD30" s="2">
        <f t="shared" si="6"/>
        <v>1.4901161193847656E-8</v>
      </c>
      <c r="AF30" s="2">
        <v>26</v>
      </c>
      <c r="AG30" s="2">
        <f t="shared" si="13"/>
        <v>2858.8894605636597</v>
      </c>
      <c r="AH30" s="2">
        <v>-2.1239245597826084E-5</v>
      </c>
      <c r="AI30" s="2">
        <f t="shared" si="14"/>
        <v>2858.8895499706268</v>
      </c>
      <c r="AJ30" s="2">
        <v>5.4970496421447024E-6</v>
      </c>
      <c r="AK30" s="2">
        <f t="shared" si="9"/>
        <v>2858.8895052671432</v>
      </c>
      <c r="AL30" s="2">
        <v>-7.5447615017765202E-6</v>
      </c>
      <c r="AM30" s="2">
        <f t="shared" si="10"/>
        <v>1.6024504251325467E-10</v>
      </c>
      <c r="AN30" s="2">
        <f t="shared" si="11"/>
        <v>-4.1473928513407747E-11</v>
      </c>
      <c r="AO30" s="2">
        <f t="shared" si="12"/>
        <v>8.9406967163085938E-5</v>
      </c>
    </row>
    <row r="31" spans="2:41" x14ac:dyDescent="0.2">
      <c r="B31" s="6" t="s">
        <v>247</v>
      </c>
      <c r="C31" s="17">
        <v>0.75</v>
      </c>
      <c r="F31" s="55" t="s">
        <v>289</v>
      </c>
      <c r="G31" s="58"/>
      <c r="H31" s="58"/>
      <c r="J31" s="6" t="s">
        <v>58</v>
      </c>
      <c r="K31" s="4" t="str">
        <f>IF(ABS(K30)&lt;1, "TRUE", "FALSE")</f>
        <v>TRUE</v>
      </c>
      <c r="U31" s="2">
        <v>27</v>
      </c>
      <c r="V31" s="2">
        <f t="shared" si="7"/>
        <v>0.95865771919488907</v>
      </c>
      <c r="W31" s="2">
        <f t="shared" si="0"/>
        <v>3.2685389950160015E-9</v>
      </c>
      <c r="X31" s="2">
        <f t="shared" si="8"/>
        <v>0.95865772664546967</v>
      </c>
      <c r="Y31" s="2">
        <f t="shared" si="1"/>
        <v>-4.4019694556141076E-9</v>
      </c>
      <c r="Z31" s="2">
        <f t="shared" si="3"/>
        <v>0.95865772292017937</v>
      </c>
      <c r="AA31" s="2">
        <f t="shared" si="2"/>
        <v>-5.6671523029905302E-10</v>
      </c>
      <c r="AB31" s="2">
        <f t="shared" si="4"/>
        <v>-1.8523308293019286E-18</v>
      </c>
      <c r="AC31" s="2">
        <f t="shared" si="5"/>
        <v>2.494663133807746E-18</v>
      </c>
      <c r="AD31" s="2">
        <f t="shared" si="6"/>
        <v>7.4505805969238281E-9</v>
      </c>
      <c r="AF31" s="2">
        <v>27</v>
      </c>
      <c r="AG31" s="2">
        <f t="shared" si="13"/>
        <v>2858.8895052671432</v>
      </c>
      <c r="AH31" s="2">
        <v>-7.5447615017765202E-6</v>
      </c>
      <c r="AI31" s="2">
        <f t="shared" si="14"/>
        <v>2858.8895499706268</v>
      </c>
      <c r="AJ31" s="2">
        <v>5.4970496421447024E-6</v>
      </c>
      <c r="AK31" s="2">
        <f t="shared" si="9"/>
        <v>2858.889527618885</v>
      </c>
      <c r="AL31" s="2">
        <v>-1.350192633253755E-6</v>
      </c>
      <c r="AM31" s="2">
        <f t="shared" si="10"/>
        <v>1.0186881399355195E-11</v>
      </c>
      <c r="AN31" s="2">
        <f t="shared" si="11"/>
        <v>-7.4220759314539676E-12</v>
      </c>
      <c r="AO31" s="2">
        <f t="shared" si="12"/>
        <v>4.4703483581542969E-5</v>
      </c>
    </row>
    <row r="32" spans="2:41" x14ac:dyDescent="0.2">
      <c r="B32" s="6" t="s">
        <v>288</v>
      </c>
      <c r="C32" s="17">
        <v>50</v>
      </c>
      <c r="D32" s="6" t="s">
        <v>61</v>
      </c>
      <c r="F32" s="9" t="s">
        <v>290</v>
      </c>
      <c r="G32" s="17">
        <f>20*60</f>
        <v>1200</v>
      </c>
      <c r="H32" s="6" t="s">
        <v>14</v>
      </c>
      <c r="U32" s="2">
        <v>28</v>
      </c>
      <c r="V32" s="2">
        <f t="shared" si="7"/>
        <v>0.95865771919488907</v>
      </c>
      <c r="W32" s="2">
        <f t="shared" si="0"/>
        <v>3.2685389950160015E-9</v>
      </c>
      <c r="X32" s="2">
        <f t="shared" si="8"/>
        <v>0.95865772292017937</v>
      </c>
      <c r="Y32" s="2">
        <f t="shared" si="1"/>
        <v>-5.6671523029905302E-10</v>
      </c>
      <c r="Z32" s="2">
        <f t="shared" si="3"/>
        <v>0.95865772105753422</v>
      </c>
      <c r="AA32" s="2">
        <f t="shared" si="2"/>
        <v>1.350911826847323E-9</v>
      </c>
      <c r="AB32" s="2">
        <f t="shared" si="4"/>
        <v>4.4155079848787799E-18</v>
      </c>
      <c r="AC32" s="2">
        <f t="shared" si="5"/>
        <v>-7.655823070654951E-19</v>
      </c>
      <c r="AD32" s="2">
        <f t="shared" si="6"/>
        <v>3.7252902984619141E-9</v>
      </c>
      <c r="AF32" s="2">
        <v>28</v>
      </c>
      <c r="AG32" s="2">
        <f t="shared" si="13"/>
        <v>2858.889527618885</v>
      </c>
      <c r="AH32" s="2">
        <v>-1.350192633253755E-6</v>
      </c>
      <c r="AI32" s="2">
        <f t="shared" si="14"/>
        <v>2858.8895499706268</v>
      </c>
      <c r="AJ32" s="2">
        <v>5.4970496421447024E-6</v>
      </c>
      <c r="AK32" s="2">
        <f t="shared" si="9"/>
        <v>2858.8895387947559</v>
      </c>
      <c r="AL32" s="2">
        <v>2.0734282770717982E-6</v>
      </c>
      <c r="AM32" s="2">
        <f t="shared" si="10"/>
        <v>-2.7995275852823677E-12</v>
      </c>
      <c r="AN32" s="2">
        <f t="shared" si="11"/>
        <v>1.1397738168490235E-11</v>
      </c>
      <c r="AO32" s="2">
        <f t="shared" si="12"/>
        <v>2.2351741790771484E-5</v>
      </c>
    </row>
    <row r="33" spans="2:41" x14ac:dyDescent="0.2">
      <c r="F33" s="44" t="s">
        <v>225</v>
      </c>
      <c r="G33" s="43">
        <f xml:space="preserve"> G20</f>
        <v>119.02565854888289</v>
      </c>
      <c r="H33" s="43" t="s">
        <v>104</v>
      </c>
      <c r="J33" s="46" t="s">
        <v>59</v>
      </c>
      <c r="K33" s="46"/>
      <c r="L33" s="46"/>
      <c r="U33" s="2">
        <v>29</v>
      </c>
      <c r="V33" s="2">
        <f t="shared" si="7"/>
        <v>0.95865772105753422</v>
      </c>
      <c r="W33" s="2">
        <f t="shared" si="0"/>
        <v>1.350911826847323E-9</v>
      </c>
      <c r="X33" s="2">
        <f t="shared" si="8"/>
        <v>0.95865772292017937</v>
      </c>
      <c r="Y33" s="2">
        <f t="shared" si="1"/>
        <v>-5.6671523029905302E-10</v>
      </c>
      <c r="Z33" s="2">
        <f t="shared" si="3"/>
        <v>0.95865772198885679</v>
      </c>
      <c r="AA33" s="2">
        <f t="shared" si="2"/>
        <v>3.9209835378528624E-10</v>
      </c>
      <c r="AB33" s="2">
        <f t="shared" si="4"/>
        <v>5.29690303415909E-19</v>
      </c>
      <c r="AC33" s="2">
        <f t="shared" si="5"/>
        <v>-2.2220810886530806E-19</v>
      </c>
      <c r="AD33" s="2">
        <f t="shared" si="6"/>
        <v>1.862645149230957E-9</v>
      </c>
      <c r="AF33" s="2">
        <v>29</v>
      </c>
      <c r="AG33" s="2">
        <f t="shared" si="13"/>
        <v>2858.889527618885</v>
      </c>
      <c r="AH33" s="2">
        <v>-1.350192633253755E-6</v>
      </c>
      <c r="AI33" s="2">
        <f t="shared" si="14"/>
        <v>2858.8895387947559</v>
      </c>
      <c r="AJ33" s="2">
        <v>2.0734282770717982E-6</v>
      </c>
      <c r="AK33" s="2">
        <f t="shared" si="9"/>
        <v>2858.8895332068205</v>
      </c>
      <c r="AL33" s="2">
        <v>3.6161918615107425E-7</v>
      </c>
      <c r="AM33" s="2">
        <f t="shared" si="10"/>
        <v>-4.8825556118439877E-13</v>
      </c>
      <c r="AN33" s="2">
        <f t="shared" si="11"/>
        <v>7.4979144609732775E-13</v>
      </c>
      <c r="AO33" s="2">
        <f t="shared" si="12"/>
        <v>1.1175870895385742E-5</v>
      </c>
    </row>
    <row r="34" spans="2:41" x14ac:dyDescent="0.2">
      <c r="B34" s="59" t="s">
        <v>107</v>
      </c>
      <c r="C34" s="59"/>
      <c r="D34" s="59"/>
      <c r="J34" s="6" t="s">
        <v>60</v>
      </c>
      <c r="K34" s="6">
        <f>ROUND($C$16/$C$5 * 100, 2)</f>
        <v>20.99</v>
      </c>
      <c r="L34" s="6" t="s">
        <v>61</v>
      </c>
      <c r="U34" s="2">
        <v>30</v>
      </c>
      <c r="V34" s="2">
        <f t="shared" si="7"/>
        <v>0.95865772198885679</v>
      </c>
      <c r="W34" s="2">
        <f t="shared" si="0"/>
        <v>3.9209835378528624E-10</v>
      </c>
      <c r="X34" s="2">
        <f t="shared" si="8"/>
        <v>0.95865772292017937</v>
      </c>
      <c r="Y34" s="2">
        <f t="shared" si="1"/>
        <v>-5.6671523029905302E-10</v>
      </c>
      <c r="Z34" s="2">
        <f t="shared" si="3"/>
        <v>0.95865772245451808</v>
      </c>
      <c r="AA34" s="2">
        <f t="shared" si="2"/>
        <v>-8.7308493768034623E-11</v>
      </c>
      <c r="AB34" s="2">
        <f t="shared" si="4"/>
        <v>-3.4233516677919298E-20</v>
      </c>
      <c r="AC34" s="2">
        <f t="shared" si="5"/>
        <v>4.9479053152815177E-20</v>
      </c>
      <c r="AD34" s="2">
        <f t="shared" si="6"/>
        <v>9.3132257461547852E-10</v>
      </c>
      <c r="AF34" s="2">
        <v>30</v>
      </c>
      <c r="AG34" s="2">
        <f t="shared" si="13"/>
        <v>2858.889527618885</v>
      </c>
      <c r="AH34" s="2">
        <v>-1.350192633253755E-6</v>
      </c>
      <c r="AI34" s="2">
        <f t="shared" si="14"/>
        <v>2858.8895332068205</v>
      </c>
      <c r="AJ34" s="2">
        <v>3.6161918615107425E-7</v>
      </c>
      <c r="AK34" s="2">
        <f t="shared" si="9"/>
        <v>2858.8895304128528</v>
      </c>
      <c r="AL34" s="2">
        <v>-4.9428808779339306E-7</v>
      </c>
      <c r="AM34" s="2">
        <f t="shared" si="10"/>
        <v>6.6738413484372463E-13</v>
      </c>
      <c r="AN34" s="2">
        <f t="shared" si="11"/>
        <v>-1.7874405603201753E-13</v>
      </c>
      <c r="AO34" s="2">
        <f t="shared" si="12"/>
        <v>5.5879354476928711E-6</v>
      </c>
    </row>
    <row r="35" spans="2:41" x14ac:dyDescent="0.2">
      <c r="B35" s="6" t="s">
        <v>108</v>
      </c>
      <c r="C35" s="17">
        <v>6</v>
      </c>
      <c r="J35" s="11" t="s">
        <v>55</v>
      </c>
      <c r="K35" s="6">
        <f>ROUND(K15/$C$5 * 100, 2)</f>
        <v>28.68</v>
      </c>
      <c r="L35" s="6" t="s">
        <v>61</v>
      </c>
      <c r="AF35" s="2">
        <v>31</v>
      </c>
      <c r="AG35" s="2">
        <f t="shared" si="13"/>
        <v>2858.8895304128528</v>
      </c>
      <c r="AH35" s="2">
        <v>-4.9428808779339306E-7</v>
      </c>
      <c r="AI35" s="2">
        <f t="shared" si="14"/>
        <v>2858.8895332068205</v>
      </c>
      <c r="AJ35" s="2">
        <v>3.6161918615107425E-7</v>
      </c>
      <c r="AK35" s="2">
        <f t="shared" si="9"/>
        <v>2858.8895318098366</v>
      </c>
      <c r="AL35" s="2">
        <v>-6.6333996073808521E-8</v>
      </c>
      <c r="AM35" s="2">
        <f t="shared" si="10"/>
        <v>3.2788104075017257E-14</v>
      </c>
      <c r="AN35" s="2">
        <f t="shared" si="11"/>
        <v>-2.3987645674359192E-14</v>
      </c>
      <c r="AO35" s="2">
        <f t="shared" si="12"/>
        <v>2.7939677238464355E-6</v>
      </c>
    </row>
    <row r="36" spans="2:41" x14ac:dyDescent="0.2">
      <c r="B36" s="6" t="s">
        <v>109</v>
      </c>
      <c r="C36" s="17">
        <v>9.1440000000000001</v>
      </c>
      <c r="D36" s="6" t="s">
        <v>8</v>
      </c>
      <c r="J36" s="19" t="s">
        <v>81</v>
      </c>
      <c r="K36" s="6">
        <f>ROUND(SUM(K16:K19)/$C$5 * 100, 2)</f>
        <v>17.57</v>
      </c>
      <c r="L36" s="6" t="s">
        <v>61</v>
      </c>
      <c r="AF36" s="2">
        <v>32</v>
      </c>
      <c r="AG36" s="2">
        <f t="shared" si="13"/>
        <v>2858.8895318098366</v>
      </c>
      <c r="AH36" s="2">
        <v>-6.6333996073808521E-8</v>
      </c>
      <c r="AI36" s="2">
        <f t="shared" si="14"/>
        <v>2858.8895332068205</v>
      </c>
      <c r="AJ36" s="2">
        <v>3.6161918615107425E-7</v>
      </c>
      <c r="AK36" s="2">
        <f t="shared" si="9"/>
        <v>2858.8895325083286</v>
      </c>
      <c r="AL36" s="2">
        <v>1.4764191291760653E-7</v>
      </c>
      <c r="AM36" s="2">
        <f t="shared" si="10"/>
        <v>-9.7936780718060913E-15</v>
      </c>
      <c r="AN36" s="2">
        <f t="shared" si="11"/>
        <v>5.339014839105265E-14</v>
      </c>
      <c r="AO36" s="2">
        <f t="shared" si="12"/>
        <v>1.3969838619232178E-6</v>
      </c>
    </row>
    <row r="37" spans="2:41" x14ac:dyDescent="0.2">
      <c r="B37" s="6" t="s">
        <v>110</v>
      </c>
      <c r="C37" s="17">
        <v>1.8675309360000001</v>
      </c>
      <c r="D37" s="6" t="s">
        <v>8</v>
      </c>
      <c r="J37" s="20" t="s">
        <v>72</v>
      </c>
      <c r="K37" s="6">
        <f>ROUND(SUM(K20:K25)/$C$5 * 100, 2)</f>
        <v>27.87</v>
      </c>
      <c r="L37" s="6" t="s">
        <v>61</v>
      </c>
      <c r="AF37" s="2">
        <v>33</v>
      </c>
      <c r="AG37" s="2">
        <f t="shared" si="13"/>
        <v>2858.8895318098366</v>
      </c>
      <c r="AH37" s="2">
        <v>-6.6333996073808521E-8</v>
      </c>
      <c r="AI37" s="2">
        <f t="shared" si="14"/>
        <v>2858.8895325083286</v>
      </c>
      <c r="AJ37" s="2">
        <v>1.4764191291760653E-7</v>
      </c>
      <c r="AK37" s="2">
        <f t="shared" si="9"/>
        <v>2858.8895321590826</v>
      </c>
      <c r="AL37" s="2">
        <v>4.0653958421899006E-8</v>
      </c>
      <c r="AM37" s="2">
        <f t="shared" si="10"/>
        <v>-2.6967395183430235E-15</v>
      </c>
      <c r="AN37" s="2">
        <f t="shared" si="11"/>
        <v>6.0022281890820097E-15</v>
      </c>
      <c r="AO37" s="2">
        <f t="shared" si="12"/>
        <v>6.9849193096160889E-7</v>
      </c>
    </row>
    <row r="38" spans="2:41" x14ac:dyDescent="0.2">
      <c r="J38" s="15" t="s">
        <v>73</v>
      </c>
      <c r="K38" s="6">
        <f>ROUND(SUM(K26:K29)/$C$5*100, 2)</f>
        <v>4.9000000000000004</v>
      </c>
      <c r="L38" s="6" t="s">
        <v>61</v>
      </c>
      <c r="AF38" s="2">
        <v>34</v>
      </c>
      <c r="AG38" s="2">
        <f t="shared" si="13"/>
        <v>2858.8895318098366</v>
      </c>
      <c r="AH38" s="2">
        <v>-6.6333996073808521E-8</v>
      </c>
      <c r="AI38" s="2">
        <f t="shared" si="14"/>
        <v>2858.8895321590826</v>
      </c>
      <c r="AJ38" s="2">
        <v>4.0653958421899006E-8</v>
      </c>
      <c r="AK38" s="2">
        <f t="shared" si="9"/>
        <v>2858.8895319844596</v>
      </c>
      <c r="AL38" s="2">
        <v>-1.2840246199630201E-8</v>
      </c>
      <c r="AM38" s="2">
        <f t="shared" si="10"/>
        <v>8.5174484099300453E-16</v>
      </c>
      <c r="AN38" s="2">
        <f t="shared" si="11"/>
        <v>-5.2200683512671291E-16</v>
      </c>
      <c r="AO38" s="2">
        <f t="shared" si="12"/>
        <v>3.4924596548080444E-7</v>
      </c>
    </row>
    <row r="39" spans="2:41" x14ac:dyDescent="0.2">
      <c r="B39" s="59" t="s">
        <v>111</v>
      </c>
      <c r="C39" s="59"/>
      <c r="D39" s="59"/>
      <c r="J39" s="10" t="s">
        <v>62</v>
      </c>
      <c r="K39" s="10">
        <f>SUM(K34:K38)</f>
        <v>100.01000000000002</v>
      </c>
      <c r="L39" s="10" t="s">
        <v>61</v>
      </c>
      <c r="AF39" s="2">
        <v>35</v>
      </c>
      <c r="AG39" s="2">
        <f t="shared" si="13"/>
        <v>2858.8895319844596</v>
      </c>
      <c r="AH39" s="2">
        <v>-1.2840246199630201E-8</v>
      </c>
      <c r="AI39" s="2">
        <f t="shared" si="14"/>
        <v>2858.8895321590826</v>
      </c>
      <c r="AJ39" s="2">
        <v>4.0653958421899006E-8</v>
      </c>
      <c r="AK39" s="2">
        <f t="shared" si="9"/>
        <v>2858.8895320717711</v>
      </c>
      <c r="AL39" s="2">
        <v>1.3906173990108073E-8</v>
      </c>
      <c r="AM39" s="2">
        <f t="shared" si="10"/>
        <v>-1.7855869772788153E-16</v>
      </c>
      <c r="AN39" s="2">
        <f t="shared" si="11"/>
        <v>5.6534101920154699E-16</v>
      </c>
      <c r="AO39" s="2">
        <f t="shared" si="12"/>
        <v>1.7462298274040222E-7</v>
      </c>
    </row>
    <row r="40" spans="2:41" x14ac:dyDescent="0.2">
      <c r="B40" s="6" t="s">
        <v>124</v>
      </c>
      <c r="C40" s="22" t="s">
        <v>125</v>
      </c>
      <c r="AF40" s="2">
        <v>36</v>
      </c>
      <c r="AG40" s="2">
        <f t="shared" si="13"/>
        <v>2858.8895319844596</v>
      </c>
      <c r="AH40" s="2">
        <v>-1.2840246199630201E-8</v>
      </c>
      <c r="AI40" s="2">
        <f t="shared" si="14"/>
        <v>2858.8895320717711</v>
      </c>
      <c r="AJ40" s="2">
        <v>1.3906173990108073E-8</v>
      </c>
      <c r="AK40" s="2">
        <f t="shared" si="9"/>
        <v>2858.8895320281154</v>
      </c>
      <c r="AL40" s="2">
        <v>5.3296389523893595E-10</v>
      </c>
      <c r="AM40" s="2">
        <f t="shared" si="10"/>
        <v>-6.8433876303818558E-18</v>
      </c>
      <c r="AN40" s="2">
        <f t="shared" si="11"/>
        <v>7.4114886576383748E-18</v>
      </c>
      <c r="AO40" s="2">
        <f t="shared" si="12"/>
        <v>8.7311491370201111E-8</v>
      </c>
    </row>
    <row r="41" spans="2:41" x14ac:dyDescent="0.2">
      <c r="B41" s="6" t="s">
        <v>126</v>
      </c>
      <c r="C41" s="6">
        <f>IF(C40="wheeled",0.0325,0.014)</f>
        <v>3.2500000000000001E-2</v>
      </c>
      <c r="J41" s="59" t="s">
        <v>116</v>
      </c>
      <c r="K41" s="59"/>
      <c r="L41" s="59"/>
      <c r="AF41" s="2">
        <v>37</v>
      </c>
      <c r="AG41" s="2">
        <f t="shared" si="13"/>
        <v>2858.8895319844596</v>
      </c>
      <c r="AH41" s="2">
        <v>-1.2840246199630201E-8</v>
      </c>
      <c r="AI41" s="2">
        <f t="shared" si="14"/>
        <v>2858.8895320281154</v>
      </c>
      <c r="AJ41" s="2">
        <v>5.3296389523893595E-10</v>
      </c>
      <c r="AK41" s="2">
        <f t="shared" si="9"/>
        <v>2858.8895320062875</v>
      </c>
      <c r="AL41" s="2">
        <v>-6.1536411521956325E-9</v>
      </c>
      <c r="AM41" s="2">
        <f t="shared" si="10"/>
        <v>7.901426741836798E-17</v>
      </c>
      <c r="AN41" s="2">
        <f t="shared" si="11"/>
        <v>-3.2796685583767982E-18</v>
      </c>
      <c r="AO41" s="2">
        <f t="shared" si="12"/>
        <v>4.3655745685100555E-8</v>
      </c>
    </row>
    <row r="42" spans="2:41" x14ac:dyDescent="0.2">
      <c r="B42" s="6" t="s">
        <v>112</v>
      </c>
      <c r="C42" s="17">
        <v>0.30480000000000002</v>
      </c>
      <c r="D42" s="6" t="s">
        <v>8</v>
      </c>
      <c r="J42" s="6" t="s">
        <v>60</v>
      </c>
      <c r="K42" s="6">
        <f>ROUND(C16,2)</f>
        <v>600</v>
      </c>
      <c r="L42" s="6" t="s">
        <v>7</v>
      </c>
      <c r="AF42" s="2">
        <v>38</v>
      </c>
      <c r="AG42" s="2">
        <f t="shared" si="13"/>
        <v>2858.8895320062875</v>
      </c>
      <c r="AH42" s="2">
        <v>-6.1536411521956325E-9</v>
      </c>
      <c r="AI42" s="2">
        <f t="shared" si="14"/>
        <v>2858.8895320281154</v>
      </c>
      <c r="AJ42" s="2">
        <v>5.3296389523893595E-10</v>
      </c>
      <c r="AK42" s="2">
        <f t="shared" si="9"/>
        <v>2858.8895320172014</v>
      </c>
      <c r="AL42" s="2">
        <v>-2.8098838811274618E-9</v>
      </c>
      <c r="AM42" s="2">
        <f t="shared" si="10"/>
        <v>1.729101708379713E-17</v>
      </c>
      <c r="AN42" s="2">
        <f t="shared" si="11"/>
        <v>-1.4975666584547913E-18</v>
      </c>
      <c r="AO42" s="2">
        <f t="shared" si="12"/>
        <v>2.1827872842550278E-8</v>
      </c>
    </row>
    <row r="43" spans="2:41" x14ac:dyDescent="0.2">
      <c r="B43" s="6" t="s">
        <v>113</v>
      </c>
      <c r="C43" s="17">
        <v>5.7</v>
      </c>
      <c r="J43" s="11" t="s">
        <v>55</v>
      </c>
      <c r="K43" s="6">
        <f>ROUND(K15, 2)</f>
        <v>819.95</v>
      </c>
      <c r="L43" s="6" t="s">
        <v>7</v>
      </c>
      <c r="AF43" s="2">
        <v>39</v>
      </c>
      <c r="AG43" s="2">
        <f t="shared" si="13"/>
        <v>2858.8895320172014</v>
      </c>
      <c r="AH43" s="2">
        <v>-2.8098838811274618E-9</v>
      </c>
      <c r="AI43" s="2">
        <f t="shared" si="14"/>
        <v>2858.8895320281154</v>
      </c>
      <c r="AJ43" s="2">
        <v>5.3296389523893595E-10</v>
      </c>
      <c r="AK43" s="2">
        <f t="shared" si="9"/>
        <v>2858.8895320226584</v>
      </c>
      <c r="AL43" s="2">
        <v>-1.1386873666197062E-9</v>
      </c>
      <c r="AM43" s="2">
        <f t="shared" si="10"/>
        <v>3.1995792771081889E-18</v>
      </c>
      <c r="AN43" s="2">
        <f t="shared" si="11"/>
        <v>-6.0687925437300492E-19</v>
      </c>
      <c r="AO43" s="2">
        <f t="shared" si="12"/>
        <v>1.0913936421275139E-8</v>
      </c>
    </row>
    <row r="44" spans="2:41" x14ac:dyDescent="0.2">
      <c r="J44" s="19" t="s">
        <v>81</v>
      </c>
      <c r="K44" s="6">
        <f>ROUND(SUM(K16:K19), 2)</f>
        <v>502.25</v>
      </c>
      <c r="L44" s="6" t="s">
        <v>7</v>
      </c>
      <c r="AF44" s="2">
        <v>40</v>
      </c>
      <c r="AG44" s="2">
        <f t="shared" si="13"/>
        <v>2858.8895320226584</v>
      </c>
      <c r="AH44" s="2">
        <v>-1.1386873666197062E-9</v>
      </c>
      <c r="AI44" s="2">
        <f t="shared" si="14"/>
        <v>2858.8895320281154</v>
      </c>
      <c r="AJ44" s="2">
        <v>5.3296389523893595E-10</v>
      </c>
      <c r="AK44" s="5">
        <f t="shared" si="9"/>
        <v>2858.8895320253869</v>
      </c>
      <c r="AL44" s="2">
        <v>-3.0195224098861217E-10</v>
      </c>
      <c r="AM44" s="2">
        <f t="shared" si="10"/>
        <v>3.438292021362417E-19</v>
      </c>
      <c r="AN44" s="2">
        <f t="shared" si="11"/>
        <v>-1.6092964253341664E-19</v>
      </c>
      <c r="AO44" s="2">
        <f t="shared" si="12"/>
        <v>5.4569682106375694E-9</v>
      </c>
    </row>
    <row r="45" spans="2:41" x14ac:dyDescent="0.2">
      <c r="B45" s="59" t="s">
        <v>248</v>
      </c>
      <c r="C45" s="59"/>
      <c r="D45" s="59"/>
      <c r="J45" s="20" t="s">
        <v>72</v>
      </c>
      <c r="K45" s="6">
        <f>ROUND(SUM(K20:K25), 2)</f>
        <v>796.73</v>
      </c>
      <c r="L45" s="6" t="s">
        <v>7</v>
      </c>
    </row>
    <row r="46" spans="2:41" x14ac:dyDescent="0.2">
      <c r="B46" s="6" t="s">
        <v>113</v>
      </c>
      <c r="C46" s="17">
        <v>3</v>
      </c>
      <c r="J46" s="15" t="s">
        <v>73</v>
      </c>
      <c r="K46" s="6">
        <f>ROUND(SUM(K26:K29), 2)</f>
        <v>139.96</v>
      </c>
      <c r="L46" s="6" t="s">
        <v>7</v>
      </c>
    </row>
    <row r="47" spans="2:41" x14ac:dyDescent="0.2">
      <c r="J47" s="10" t="s">
        <v>62</v>
      </c>
      <c r="K47" s="10">
        <f>SUM(K42:K46)</f>
        <v>2858.8900000000003</v>
      </c>
      <c r="L47" s="6" t="s">
        <v>7</v>
      </c>
    </row>
    <row r="48" spans="2:41" x14ac:dyDescent="0.2">
      <c r="B48" s="59" t="s">
        <v>249</v>
      </c>
      <c r="C48" s="59"/>
      <c r="D48" s="59"/>
    </row>
    <row r="49" spans="2:4" x14ac:dyDescent="0.2">
      <c r="B49" s="6" t="s">
        <v>250</v>
      </c>
      <c r="C49" s="17">
        <v>4.3036300000000001</v>
      </c>
    </row>
    <row r="50" spans="2:4" x14ac:dyDescent="0.2">
      <c r="B50" s="6" t="s">
        <v>251</v>
      </c>
      <c r="C50" s="17">
        <f>39.5112*0.3048^2</f>
        <v>3.6707105940480003</v>
      </c>
      <c r="D50" s="6" t="s">
        <v>11</v>
      </c>
    </row>
    <row r="51" spans="2:4" x14ac:dyDescent="0.2">
      <c r="B51" s="6" t="s">
        <v>252</v>
      </c>
      <c r="C51" s="17">
        <f>0.15*3.7875*0.3048</f>
        <v>0.1731645</v>
      </c>
      <c r="D51" s="6" t="s">
        <v>8</v>
      </c>
    </row>
    <row r="53" spans="2:4" x14ac:dyDescent="0.2">
      <c r="B53" s="59" t="s">
        <v>253</v>
      </c>
      <c r="C53" s="59"/>
      <c r="D53" s="59"/>
    </row>
    <row r="54" spans="2:4" x14ac:dyDescent="0.2">
      <c r="B54" s="6" t="s">
        <v>254</v>
      </c>
      <c r="C54" s="17">
        <v>1.1798999999999999</v>
      </c>
    </row>
    <row r="55" spans="2:4" x14ac:dyDescent="0.2">
      <c r="B55" s="6" t="s">
        <v>255</v>
      </c>
      <c r="C55" s="17">
        <f>27.34325*0.3048^2</f>
        <v>2.5402710484800002</v>
      </c>
      <c r="D55" s="6" t="s">
        <v>11</v>
      </c>
    </row>
    <row r="56" spans="2:4" x14ac:dyDescent="0.2">
      <c r="B56" s="6" t="s">
        <v>256</v>
      </c>
      <c r="C56" s="17">
        <f>0.115*9.73719*0.3048</f>
        <v>0.34130798388000005</v>
      </c>
      <c r="D56" s="6" t="s">
        <v>8</v>
      </c>
    </row>
    <row r="57" spans="2:4" x14ac:dyDescent="0.2">
      <c r="B57" s="6" t="s">
        <v>257</v>
      </c>
      <c r="C57" s="17">
        <v>35</v>
      </c>
      <c r="D57" s="6" t="s">
        <v>43</v>
      </c>
    </row>
    <row r="59" spans="2:4" x14ac:dyDescent="0.2">
      <c r="B59" s="55" t="s">
        <v>2</v>
      </c>
      <c r="C59" s="58"/>
      <c r="D59" s="58"/>
    </row>
    <row r="60" spans="2:4" x14ac:dyDescent="0.2">
      <c r="B60" s="6" t="s">
        <v>3</v>
      </c>
      <c r="C60" s="17">
        <v>250</v>
      </c>
      <c r="D60" s="6" t="s">
        <v>4</v>
      </c>
    </row>
    <row r="61" spans="2:4" x14ac:dyDescent="0.2">
      <c r="B61" s="6" t="s">
        <v>5</v>
      </c>
      <c r="C61" s="17">
        <v>0.85</v>
      </c>
    </row>
    <row r="62" spans="2:4" x14ac:dyDescent="0.2">
      <c r="B62" s="6" t="s">
        <v>6</v>
      </c>
      <c r="C62" s="17">
        <v>0.8</v>
      </c>
    </row>
    <row r="64" spans="2:4" x14ac:dyDescent="0.2">
      <c r="B64" s="59" t="s">
        <v>272</v>
      </c>
      <c r="C64" s="60"/>
      <c r="D64" s="60"/>
    </row>
    <row r="65" spans="2:4" x14ac:dyDescent="0.2">
      <c r="B65" s="6" t="s">
        <v>15</v>
      </c>
      <c r="C65" s="17">
        <v>1.0397562309141399</v>
      </c>
      <c r="D65" s="6" t="s">
        <v>16</v>
      </c>
    </row>
    <row r="66" spans="2:4" x14ac:dyDescent="0.2">
      <c r="B66" s="6" t="s">
        <v>214</v>
      </c>
      <c r="C66" s="41">
        <v>1.7363179204150701E-5</v>
      </c>
      <c r="D66" s="6" t="s">
        <v>210</v>
      </c>
    </row>
    <row r="67" spans="2:4" x14ac:dyDescent="0.2">
      <c r="B67" s="6" t="s">
        <v>132</v>
      </c>
      <c r="C67" s="17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59" t="s">
        <v>273</v>
      </c>
      <c r="C70" s="60"/>
      <c r="D70" s="60"/>
    </row>
    <row r="71" spans="2:4" x14ac:dyDescent="0.2">
      <c r="B71" s="6" t="s">
        <v>15</v>
      </c>
      <c r="C71" s="17">
        <v>1.00854450666398</v>
      </c>
      <c r="D71" s="6" t="s">
        <v>16</v>
      </c>
    </row>
    <row r="72" spans="2:4" x14ac:dyDescent="0.2">
      <c r="B72" s="6" t="s">
        <v>214</v>
      </c>
      <c r="C72" s="41">
        <v>1.7265641515845801E-5</v>
      </c>
      <c r="D72" s="6" t="s">
        <v>210</v>
      </c>
    </row>
    <row r="73" spans="2:4" x14ac:dyDescent="0.2">
      <c r="B73" s="6" t="s">
        <v>132</v>
      </c>
      <c r="C73" s="17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59" t="s">
        <v>74</v>
      </c>
      <c r="C76" s="59"/>
      <c r="D76" s="59"/>
    </row>
    <row r="77" spans="2:4" x14ac:dyDescent="0.2">
      <c r="B77" s="6" t="s">
        <v>264</v>
      </c>
      <c r="C77" s="17">
        <v>30</v>
      </c>
    </row>
    <row r="78" spans="2:4" x14ac:dyDescent="0.2">
      <c r="B78" s="6" t="s">
        <v>266</v>
      </c>
      <c r="C78" s="17">
        <v>0.8</v>
      </c>
    </row>
    <row r="79" spans="2:4" x14ac:dyDescent="0.2">
      <c r="B79" s="6" t="s">
        <v>267</v>
      </c>
      <c r="C79" s="17">
        <v>0.8</v>
      </c>
    </row>
    <row r="80" spans="2:4" x14ac:dyDescent="0.2">
      <c r="B80" s="6" t="s">
        <v>268</v>
      </c>
      <c r="C80" s="17">
        <v>0.8</v>
      </c>
    </row>
    <row r="81" spans="2:4" x14ac:dyDescent="0.2">
      <c r="B81" s="6" t="s">
        <v>258</v>
      </c>
      <c r="C81" s="17">
        <v>5</v>
      </c>
      <c r="D81" s="6" t="s">
        <v>43</v>
      </c>
    </row>
  </sheetData>
  <mergeCells count="23">
    <mergeCell ref="B1:D1"/>
    <mergeCell ref="B3:D3"/>
    <mergeCell ref="F3:H3"/>
    <mergeCell ref="J3:L3"/>
    <mergeCell ref="N3:P3"/>
    <mergeCell ref="J9:L9"/>
    <mergeCell ref="F12:H12"/>
    <mergeCell ref="B15:D15"/>
    <mergeCell ref="N18:P18"/>
    <mergeCell ref="B20:D20"/>
    <mergeCell ref="F22:H22"/>
    <mergeCell ref="B27:D27"/>
    <mergeCell ref="B39:D39"/>
    <mergeCell ref="J41:L41"/>
    <mergeCell ref="B45:D45"/>
    <mergeCell ref="B34:D34"/>
    <mergeCell ref="F31:H31"/>
    <mergeCell ref="B48:D48"/>
    <mergeCell ref="B53:D53"/>
    <mergeCell ref="B76:D76"/>
    <mergeCell ref="B59:D59"/>
    <mergeCell ref="B64:D64"/>
    <mergeCell ref="B70:D70"/>
  </mergeCells>
  <conditionalFormatting sqref="K31">
    <cfRule type="containsText" dxfId="23" priority="7" operator="containsText" text="FALSE">
      <formula>NOT(ISERROR(SEARCH("FALSE",K31)))</formula>
    </cfRule>
    <cfRule type="containsText" dxfId="22" priority="8" operator="containsText" text="TRUE">
      <formula>NOT(ISERROR(SEARCH("TRUE",K31)))</formula>
    </cfRule>
    <cfRule type="cellIs" dxfId="21" priority="9" operator="equal">
      <formula>1</formula>
    </cfRule>
    <cfRule type="cellIs" dxfId="20" priority="10" operator="equal">
      <formula>TRUE</formula>
    </cfRule>
    <cfRule type="containsText" dxfId="19" priority="11" operator="containsText" text="YES">
      <formula>NOT(ISERROR(SEARCH("YES",K31)))</formula>
    </cfRule>
    <cfRule type="cellIs" dxfId="18" priority="12" operator="equal">
      <formula>"""YES"""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1E77-07DC-9243-A410-566ED0D9F438}">
  <dimension ref="B1:AS82"/>
  <sheetViews>
    <sheetView topLeftCell="B1" zoomScale="88" workbookViewId="0">
      <selection activeCell="C5" sqref="C5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33203125" style="6" customWidth="1"/>
    <col min="15" max="15" width="13.1640625" style="6" customWidth="1"/>
    <col min="16" max="16" width="6.6640625" style="6" customWidth="1"/>
    <col min="17" max="17" width="6" style="6" customWidth="1"/>
    <col min="18" max="18" width="21.83203125" style="6" customWidth="1"/>
    <col min="19" max="19" width="11.6640625" style="6" customWidth="1"/>
    <col min="20" max="20" width="6.33203125" style="6" customWidth="1"/>
    <col min="21" max="21" width="7.1640625" style="6" customWidth="1"/>
    <col min="22" max="22" width="4" style="6" customWidth="1"/>
    <col min="23" max="24" width="3.83203125" style="6" customWidth="1"/>
    <col min="25" max="25" width="5.5" style="6" customWidth="1"/>
    <col min="26" max="26" width="9" style="6" customWidth="1"/>
    <col min="27" max="27" width="11.1640625" style="6" customWidth="1"/>
    <col min="28" max="28" width="6.6640625" style="6" customWidth="1"/>
    <col min="29" max="29" width="10.83203125" style="6" customWidth="1"/>
    <col min="30" max="30" width="14.6640625" style="6" customWidth="1"/>
    <col min="31" max="31" width="11.5" style="6" customWidth="1"/>
    <col min="32" max="32" width="10" style="6" customWidth="1"/>
    <col min="33" max="33" width="9.5" style="6" customWidth="1"/>
    <col min="34" max="34" width="13.6640625" style="6" customWidth="1"/>
    <col min="35" max="35" width="10.83203125" style="6"/>
    <col min="36" max="40" width="10.83203125" style="2"/>
    <col min="41" max="42" width="11" style="2" bestFit="1" customWidth="1"/>
    <col min="43" max="45" width="11.1640625" style="2" bestFit="1" customWidth="1"/>
    <col min="46" max="16384" width="10.83203125" style="6"/>
  </cols>
  <sheetData>
    <row r="1" spans="2:45" x14ac:dyDescent="0.2">
      <c r="B1" s="57" t="s">
        <v>0</v>
      </c>
      <c r="C1" s="57"/>
      <c r="D1" s="57"/>
    </row>
    <row r="2" spans="2:45" x14ac:dyDescent="0.2">
      <c r="Y2" s="16" t="s">
        <v>278</v>
      </c>
      <c r="AJ2" s="48" t="s">
        <v>226</v>
      </c>
    </row>
    <row r="3" spans="2:45" x14ac:dyDescent="0.2">
      <c r="B3" s="59" t="s">
        <v>127</v>
      </c>
      <c r="C3" s="60"/>
      <c r="D3" s="60"/>
      <c r="F3" s="55" t="s">
        <v>83</v>
      </c>
      <c r="G3" s="58"/>
      <c r="H3" s="58"/>
      <c r="J3" s="59" t="s">
        <v>101</v>
      </c>
      <c r="K3" s="59"/>
      <c r="L3" s="59"/>
      <c r="N3" s="59" t="s">
        <v>279</v>
      </c>
      <c r="O3" s="59"/>
      <c r="P3" s="59"/>
      <c r="R3" s="59" t="s">
        <v>95</v>
      </c>
      <c r="S3" s="59"/>
      <c r="T3" s="59"/>
      <c r="Y3" s="7" t="s">
        <v>44</v>
      </c>
      <c r="Z3" s="7" t="s">
        <v>45</v>
      </c>
      <c r="AA3" s="7" t="s">
        <v>46</v>
      </c>
      <c r="AB3" s="7" t="s">
        <v>47</v>
      </c>
      <c r="AC3" s="7" t="s">
        <v>48</v>
      </c>
      <c r="AD3" s="7" t="s">
        <v>49</v>
      </c>
      <c r="AE3" s="7" t="s">
        <v>50</v>
      </c>
      <c r="AF3" s="7" t="s">
        <v>51</v>
      </c>
      <c r="AG3" s="7" t="s">
        <v>52</v>
      </c>
      <c r="AH3" s="7" t="s">
        <v>53</v>
      </c>
      <c r="AJ3" s="7" t="s">
        <v>44</v>
      </c>
      <c r="AK3" s="7" t="s">
        <v>45</v>
      </c>
      <c r="AL3" s="7" t="s">
        <v>46</v>
      </c>
      <c r="AM3" s="7" t="s">
        <v>47</v>
      </c>
      <c r="AN3" s="7" t="s">
        <v>48</v>
      </c>
      <c r="AO3" s="7" t="s">
        <v>49</v>
      </c>
      <c r="AP3" s="7" t="s">
        <v>50</v>
      </c>
      <c r="AQ3" s="7" t="s">
        <v>51</v>
      </c>
      <c r="AR3" s="7" t="s">
        <v>52</v>
      </c>
      <c r="AS3" s="7" t="s">
        <v>53</v>
      </c>
    </row>
    <row r="4" spans="2:45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(1+$C$26/100)*MAX(G14,G33)</f>
        <v>873.73988947430905</v>
      </c>
      <c r="L4" s="6" t="s">
        <v>104</v>
      </c>
      <c r="N4" s="6" t="s">
        <v>228</v>
      </c>
      <c r="O4" s="6">
        <v>0</v>
      </c>
      <c r="P4" s="6" t="s">
        <v>22</v>
      </c>
      <c r="R4" s="6" t="s">
        <v>228</v>
      </c>
      <c r="S4" s="6">
        <f xml:space="preserve"> $C$5 * $C$75</f>
        <v>27580.601227603631</v>
      </c>
      <c r="T4" s="6" t="s">
        <v>22</v>
      </c>
      <c r="Y4" s="2">
        <v>0</v>
      </c>
      <c r="Z4" s="3">
        <v>1.0000000000000001E-15</v>
      </c>
      <c r="AA4" s="2">
        <f xml:space="preserve"> $O$22 * TAN($O$19/180*PI()) + $O$23 / (2 * SQRT($O$22^2 + Z4^2)) - Z4</f>
        <v>18207498387629.031</v>
      </c>
      <c r="AB4" s="3">
        <v>1</v>
      </c>
      <c r="AC4" s="2">
        <f xml:space="preserve"> $O$22 * TAN($O$19/180*PI()) + $O$23 / (2 * SQRT($O$22^2 + AB4^2)) - AB4</f>
        <v>-0.95905606352549666</v>
      </c>
      <c r="AD4" s="2">
        <f xml:space="preserve"> (Z4 + AB4)/2</f>
        <v>0.50000000000000056</v>
      </c>
      <c r="AE4" s="2">
        <f xml:space="preserve"> $O$22 * TAN($O$19/180*PI()) + $O$23 / (2 * SQRT($O$22^2 + AD4^2)) - AD4</f>
        <v>-0.44084854749269331</v>
      </c>
      <c r="AF4" s="2">
        <f>AA4*AE4</f>
        <v>-8026749217661.8135</v>
      </c>
      <c r="AG4" s="2">
        <f>AC4*AE4</f>
        <v>0.42279847256927539</v>
      </c>
      <c r="AH4" s="2">
        <f>AB4-Z4</f>
        <v>0.999999999999999</v>
      </c>
      <c r="AJ4" s="2">
        <v>0</v>
      </c>
      <c r="AL4" s="2">
        <f>K30</f>
        <v>-2.1109054159751395E-4</v>
      </c>
      <c r="AN4" s="2">
        <f>K30</f>
        <v>-2.1109054159751395E-4</v>
      </c>
      <c r="AP4" s="2">
        <f>K30</f>
        <v>-2.1109054159751395E-4</v>
      </c>
    </row>
    <row r="5" spans="2:45" x14ac:dyDescent="0.2">
      <c r="B5" s="10" t="s">
        <v>40</v>
      </c>
      <c r="C5" s="10">
        <v>2814.1880725400001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K4/$C$22</f>
        <v>109.21748618428863</v>
      </c>
      <c r="L5" s="6" t="s">
        <v>104</v>
      </c>
      <c r="N5" s="6" t="s">
        <v>25</v>
      </c>
      <c r="O5" s="6">
        <f xml:space="preserve"> 0.5 * $C$66 * $C$8^2</f>
        <v>2337.6356560029467</v>
      </c>
      <c r="P5" s="6" t="s">
        <v>26</v>
      </c>
      <c r="R5" s="6" t="s">
        <v>25</v>
      </c>
      <c r="S5" s="6">
        <f xml:space="preserve"> 0.5 * $C$72 * $C$8^2</f>
        <v>2267.4637855940923</v>
      </c>
      <c r="T5" s="6" t="s">
        <v>26</v>
      </c>
      <c r="Y5" s="2">
        <v>1</v>
      </c>
      <c r="Z5" s="2">
        <f>IF(AF4&gt;0, AD4, Z4)</f>
        <v>1.0000000000000001E-15</v>
      </c>
      <c r="AA5" s="2">
        <f t="shared" ref="AA5:AA34" si="0" xml:space="preserve"> $O$22 * TAN($O$19/180*PI()) + $O$23 / (2 * SQRT($O$22^2 + Z5^2)) - Z5</f>
        <v>18207498387629.031</v>
      </c>
      <c r="AB5" s="2">
        <f>IF(AG4&gt;0, AD4, AB4)</f>
        <v>0.50000000000000056</v>
      </c>
      <c r="AC5" s="2">
        <f t="shared" ref="AC5:AC34" si="1" xml:space="preserve"> $O$22 * TAN($O$19/180*PI()) + $O$23 / (2 * SQRT($O$22^2 + AB5^2)) - AB5</f>
        <v>-0.44084854749269331</v>
      </c>
      <c r="AD5" s="2">
        <f t="shared" ref="AD5:AD34" si="2" xml:space="preserve"> (Z5 + AB5)/2</f>
        <v>0.25000000000000078</v>
      </c>
      <c r="AE5" s="2">
        <f t="shared" ref="AE5:AE34" si="3" xml:space="preserve"> $O$22 * TAN($O$19/180*PI()) + $O$23 / (2 * SQRT($O$22^2 + AD5^2)) - AD5</f>
        <v>-0.15443351542708572</v>
      </c>
      <c r="AF5" s="2">
        <f t="shared" ref="AF5:AF34" si="4">AA5*AE5</f>
        <v>-2811847983134.5464</v>
      </c>
      <c r="AG5" s="2">
        <f t="shared" ref="AG5:AG34" si="5">AC5*AE5</f>
        <v>6.8081790960221183E-2</v>
      </c>
      <c r="AH5" s="2">
        <f t="shared" ref="AH5:AH34" si="6">AB5-Z5</f>
        <v>0.49999999999999956</v>
      </c>
      <c r="AJ5" s="2">
        <v>1</v>
      </c>
      <c r="AK5" s="3">
        <v>500</v>
      </c>
      <c r="AL5" s="2">
        <f t="dataTable" ref="AL5:AL44" dt2D="0" dtr="0" r1="C5" ca="1"/>
        <v>-966.35022396999545</v>
      </c>
      <c r="AM5" s="3">
        <v>5000</v>
      </c>
      <c r="AN5" s="2">
        <f t="dataTable" ref="AN5:AN44" dt2D="0" dtr="0" r1="C5"/>
        <v>444.90223073757352</v>
      </c>
      <c r="AO5" s="2">
        <f>(AK5+AM5)/2</f>
        <v>2750</v>
      </c>
      <c r="AP5" s="2">
        <f t="dataTable" ref="AP5:AP44" dt2D="0" dtr="0" r1="C5" ca="1"/>
        <v>-20.175951274390172</v>
      </c>
      <c r="AQ5" s="2">
        <f>AL5*AP5</f>
        <v>19497.03503281466</v>
      </c>
      <c r="AR5" s="2">
        <f>AN5*AP5</f>
        <v>-8976.3257292287763</v>
      </c>
      <c r="AS5" s="2">
        <f>AM5-AK5</f>
        <v>4500</v>
      </c>
    </row>
    <row r="6" spans="2:45" x14ac:dyDescent="0.2">
      <c r="B6" s="6" t="s">
        <v>270</v>
      </c>
      <c r="C6" s="22">
        <v>700</v>
      </c>
      <c r="D6" s="6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(1+$C$33/100)*MAX(G24)</f>
        <v>176.32005557340159</v>
      </c>
      <c r="L6" s="6" t="s">
        <v>104</v>
      </c>
      <c r="N6" s="6" t="s">
        <v>119</v>
      </c>
      <c r="O6" s="6">
        <v>0</v>
      </c>
      <c r="P6" s="6" t="s">
        <v>120</v>
      </c>
      <c r="R6" s="6" t="s">
        <v>119</v>
      </c>
      <c r="S6" s="6">
        <f xml:space="preserve"> ($C$22+$C$29) * 0.4 * ($C$5/($C$22+$C$29) *2.20462/1000)^(2/3) * 0.3048^2</f>
        <v>0.26099288042317248</v>
      </c>
      <c r="T6" s="6" t="s">
        <v>120</v>
      </c>
      <c r="Y6" s="2">
        <v>2</v>
      </c>
      <c r="Z6" s="2">
        <f t="shared" ref="Z6:Z29" si="7">IF(AF5&gt;0, AD5, Z5)</f>
        <v>1.0000000000000001E-15</v>
      </c>
      <c r="AA6" s="2">
        <f t="shared" si="0"/>
        <v>18207498387629.031</v>
      </c>
      <c r="AB6" s="2">
        <f t="shared" ref="AB6:AB34" si="8">IF(AG5&gt;0, AD5, AB5)</f>
        <v>0.25000000000000078</v>
      </c>
      <c r="AC6" s="2">
        <f t="shared" si="1"/>
        <v>-0.15443351542708572</v>
      </c>
      <c r="AD6" s="2">
        <f t="shared" si="2"/>
        <v>0.12500000000000089</v>
      </c>
      <c r="AE6" s="2">
        <f t="shared" si="3"/>
        <v>4.3396548704129345E-2</v>
      </c>
      <c r="AF6" s="2">
        <f t="shared" si="4"/>
        <v>790142590559.09973</v>
      </c>
      <c r="AG6" s="2">
        <f t="shared" si="5"/>
        <v>-6.7018815737814362E-3</v>
      </c>
      <c r="AH6" s="2">
        <f t="shared" si="6"/>
        <v>0.24999999999999978</v>
      </c>
      <c r="AJ6" s="2">
        <v>2</v>
      </c>
      <c r="AK6" s="2">
        <f>IF(AQ5&gt;0,AO5,AK5)</f>
        <v>2750</v>
      </c>
      <c r="AL6" s="2">
        <v>-20.175951274390172</v>
      </c>
      <c r="AM6" s="2">
        <f>IF(AR5&gt;0,AO5,AM5)</f>
        <v>5000</v>
      </c>
      <c r="AN6" s="2">
        <v>444.90223073757352</v>
      </c>
      <c r="AO6" s="2">
        <f t="shared" ref="AO6:AO44" si="9">(AK6+AM6)/2</f>
        <v>3875</v>
      </c>
      <c r="AP6" s="2">
        <v>275.16776242652168</v>
      </c>
      <c r="AQ6" s="2">
        <f t="shared" ref="AQ6:AQ44" si="10">AL6*AP6</f>
        <v>-5551.7713670004723</v>
      </c>
      <c r="AR6" s="2">
        <f t="shared" ref="AR6:AR44" si="11">AN6*AP6</f>
        <v>122422.75133062615</v>
      </c>
      <c r="AS6" s="2">
        <f t="shared" ref="AS6:AS44" si="12">AM6-AK6</f>
        <v>2250</v>
      </c>
    </row>
    <row r="7" spans="2:45" x14ac:dyDescent="0.2">
      <c r="B7" s="6" t="s">
        <v>271</v>
      </c>
      <c r="C7" s="17">
        <v>500</v>
      </c>
      <c r="D7" s="6" t="s">
        <v>134</v>
      </c>
      <c r="F7" t="s">
        <v>130</v>
      </c>
      <c r="G7" s="8">
        <f>$C$6*2*PI()/60*$C$9</f>
        <v>111.71503476165303</v>
      </c>
      <c r="H7" s="6" t="s">
        <v>10</v>
      </c>
      <c r="J7" s="6" t="s">
        <v>230</v>
      </c>
      <c r="K7" s="6">
        <f>K6/$C$29</f>
        <v>176.32005557340159</v>
      </c>
      <c r="L7" s="6" t="s">
        <v>104</v>
      </c>
      <c r="N7" s="6" t="s">
        <v>121</v>
      </c>
      <c r="O7" s="6">
        <f xml:space="preserve"> O6 / $C$13</f>
        <v>0</v>
      </c>
      <c r="R7" s="6" t="s">
        <v>293</v>
      </c>
      <c r="S7" s="17">
        <v>9.1534090314177498E-3</v>
      </c>
      <c r="Y7" s="2">
        <v>3</v>
      </c>
      <c r="Z7" s="2">
        <f t="shared" si="7"/>
        <v>0.12500000000000089</v>
      </c>
      <c r="AA7" s="2">
        <f t="shared" si="0"/>
        <v>4.3396548704129345E-2</v>
      </c>
      <c r="AB7" s="2">
        <f t="shared" si="8"/>
        <v>0.25000000000000078</v>
      </c>
      <c r="AC7" s="2">
        <f t="shared" si="1"/>
        <v>-0.15443351542708572</v>
      </c>
      <c r="AD7" s="2">
        <f t="shared" si="2"/>
        <v>0.18750000000000083</v>
      </c>
      <c r="AE7" s="2">
        <f t="shared" si="3"/>
        <v>-6.7656827383347315E-2</v>
      </c>
      <c r="AF7" s="2">
        <f t="shared" si="4"/>
        <v>-2.9360728047083035E-3</v>
      </c>
      <c r="AG7" s="2">
        <f t="shared" si="5"/>
        <v>1.0448481695453843E-2</v>
      </c>
      <c r="AH7" s="2">
        <f t="shared" si="6"/>
        <v>0.12499999999999989</v>
      </c>
      <c r="AJ7" s="2">
        <v>3</v>
      </c>
      <c r="AK7" s="2">
        <f t="shared" ref="AK7:AK44" si="13">IF(AQ6&gt;0,AO6,AK6)</f>
        <v>2750</v>
      </c>
      <c r="AL7" s="2">
        <v>-20.175951274390172</v>
      </c>
      <c r="AM7" s="2">
        <f t="shared" ref="AM7:AM44" si="14">IF(AR6&gt;0,AO6,AM6)</f>
        <v>3875</v>
      </c>
      <c r="AN7" s="2">
        <v>275.16776242652168</v>
      </c>
      <c r="AO7" s="2">
        <f t="shared" si="9"/>
        <v>3312.5</v>
      </c>
      <c r="AP7" s="2">
        <v>143.0009856090046</v>
      </c>
      <c r="AQ7" s="2">
        <f t="shared" si="10"/>
        <v>-2885.1809178370472</v>
      </c>
      <c r="AR7" s="2">
        <f t="shared" si="11"/>
        <v>39349.261234817022</v>
      </c>
      <c r="AS7" s="2">
        <f t="shared" si="12"/>
        <v>1125</v>
      </c>
    </row>
    <row r="8" spans="2:45" x14ac:dyDescent="0.2">
      <c r="B8" s="6" t="s">
        <v>9</v>
      </c>
      <c r="C8" s="17">
        <f>150 * 1609.344 / 3600</f>
        <v>67.055999999999997</v>
      </c>
      <c r="D8" s="6" t="s">
        <v>10</v>
      </c>
      <c r="F8" t="s">
        <v>133</v>
      </c>
      <c r="G8" s="6">
        <f>G7/$C$68</f>
        <v>0.33455934649290731</v>
      </c>
      <c r="H8" s="6" t="s">
        <v>131</v>
      </c>
      <c r="N8" s="6" t="s">
        <v>123</v>
      </c>
      <c r="O8" s="17">
        <v>0</v>
      </c>
      <c r="R8" s="6" t="s">
        <v>294</v>
      </c>
      <c r="S8" s="17">
        <v>0.272912140344656</v>
      </c>
      <c r="Y8" s="2">
        <v>4</v>
      </c>
      <c r="Z8" s="2">
        <f t="shared" si="7"/>
        <v>0.12500000000000089</v>
      </c>
      <c r="AA8" s="2">
        <f t="shared" si="0"/>
        <v>4.3396548704129345E-2</v>
      </c>
      <c r="AB8" s="2">
        <f t="shared" si="8"/>
        <v>0.18750000000000083</v>
      </c>
      <c r="AC8" s="2">
        <f t="shared" si="1"/>
        <v>-6.7656827383347315E-2</v>
      </c>
      <c r="AD8" s="2">
        <f t="shared" si="2"/>
        <v>0.15625000000000086</v>
      </c>
      <c r="AE8" s="2">
        <f t="shared" si="3"/>
        <v>-1.6985476948356643E-2</v>
      </c>
      <c r="AF8" s="2">
        <f t="shared" si="4"/>
        <v>-7.3711107765222529E-4</v>
      </c>
      <c r="AG8" s="2">
        <f t="shared" si="5"/>
        <v>1.1491834819187903E-3</v>
      </c>
      <c r="AH8" s="2">
        <f t="shared" si="6"/>
        <v>6.2499999999999944E-2</v>
      </c>
      <c r="AJ8" s="2">
        <v>4</v>
      </c>
      <c r="AK8" s="2">
        <f t="shared" si="13"/>
        <v>2750</v>
      </c>
      <c r="AL8" s="2">
        <v>-20.175951274390172</v>
      </c>
      <c r="AM8" s="2">
        <f t="shared" si="14"/>
        <v>3312.5</v>
      </c>
      <c r="AN8" s="2">
        <v>143.0009856090046</v>
      </c>
      <c r="AO8" s="2">
        <f t="shared" si="9"/>
        <v>3031.25</v>
      </c>
      <c r="AP8" s="2">
        <v>65.26514978185196</v>
      </c>
      <c r="AQ8" s="2">
        <f t="shared" si="10"/>
        <v>-1316.7864819144215</v>
      </c>
      <c r="AR8" s="2">
        <f t="shared" si="11"/>
        <v>9332.9807447241419</v>
      </c>
      <c r="AS8" s="2">
        <f t="shared" si="12"/>
        <v>562.5</v>
      </c>
    </row>
    <row r="9" spans="2:45" x14ac:dyDescent="0.2">
      <c r="B9" s="6" t="s">
        <v>98</v>
      </c>
      <c r="C9" s="17">
        <v>1.524</v>
      </c>
      <c r="D9" s="6" t="s">
        <v>8</v>
      </c>
      <c r="F9" s="6" t="s">
        <v>21</v>
      </c>
      <c r="G9" s="6">
        <f xml:space="preserve"> $C$5 * $C$69 / $C$22</f>
        <v>3447.9049508450735</v>
      </c>
      <c r="H9" s="6" t="s">
        <v>22</v>
      </c>
      <c r="J9" s="59" t="s">
        <v>23</v>
      </c>
      <c r="K9" s="59"/>
      <c r="L9" s="59"/>
      <c r="N9" s="6" t="s">
        <v>122</v>
      </c>
      <c r="O9" s="6">
        <f xml:space="preserve"> $O$8 + O7</f>
        <v>0</v>
      </c>
      <c r="R9" s="6" t="s">
        <v>122</v>
      </c>
      <c r="S9" s="6">
        <f xml:space="preserve"> $S$8/$C$13 + $S$7</f>
        <v>2.3123486142309087E-2</v>
      </c>
      <c r="Y9" s="2">
        <v>5</v>
      </c>
      <c r="Z9" s="2">
        <f t="shared" si="7"/>
        <v>0.12500000000000089</v>
      </c>
      <c r="AA9" s="2">
        <f t="shared" si="0"/>
        <v>4.3396548704129345E-2</v>
      </c>
      <c r="AB9" s="2">
        <f t="shared" si="8"/>
        <v>0.15625000000000086</v>
      </c>
      <c r="AC9" s="2">
        <f t="shared" si="1"/>
        <v>-1.6985476948356643E-2</v>
      </c>
      <c r="AD9" s="2">
        <f t="shared" si="2"/>
        <v>0.14062500000000089</v>
      </c>
      <c r="AE9" s="2">
        <f t="shared" si="3"/>
        <v>1.1587090008303796E-2</v>
      </c>
      <c r="AF9" s="2">
        <f t="shared" si="4"/>
        <v>5.0283971588448617E-4</v>
      </c>
      <c r="AG9" s="2">
        <f t="shared" si="5"/>
        <v>-1.968122502345777E-4</v>
      </c>
      <c r="AH9" s="2">
        <f t="shared" si="6"/>
        <v>3.1249999999999972E-2</v>
      </c>
      <c r="AJ9" s="2">
        <v>5</v>
      </c>
      <c r="AK9" s="2">
        <f t="shared" si="13"/>
        <v>2750</v>
      </c>
      <c r="AL9" s="2">
        <v>-20.175951274390172</v>
      </c>
      <c r="AM9" s="2">
        <f t="shared" si="14"/>
        <v>3031.25</v>
      </c>
      <c r="AN9" s="2">
        <v>65.26514978185196</v>
      </c>
      <c r="AO9" s="2">
        <f t="shared" si="9"/>
        <v>2890.625</v>
      </c>
      <c r="AP9" s="2">
        <v>23.504668545968343</v>
      </c>
      <c r="AQ9" s="2">
        <f t="shared" si="10"/>
        <v>-474.22904730414859</v>
      </c>
      <c r="AR9" s="2">
        <f t="shared" si="11"/>
        <v>1534.0357132254085</v>
      </c>
      <c r="AS9" s="2">
        <f t="shared" si="12"/>
        <v>281.25</v>
      </c>
    </row>
    <row r="10" spans="2:45" x14ac:dyDescent="0.2">
      <c r="B10" s="6" t="s">
        <v>224</v>
      </c>
      <c r="C10" s="17">
        <f>(0.548288+0.530863+0.513438+0.496013+0.478588+0.461163+0.443738+0.426313)/8</f>
        <v>0.48730050000000003</v>
      </c>
      <c r="D10" s="6" t="s">
        <v>8</v>
      </c>
      <c r="F10" t="s">
        <v>100</v>
      </c>
      <c r="G10" s="6">
        <f xml:space="preserve"> 1/1000 * (O25 + O20 * (O27 * O30 + $G$4 * SIN(O19/180*PI())))</f>
        <v>72.811657456192421</v>
      </c>
      <c r="H10" s="6" t="s">
        <v>104</v>
      </c>
      <c r="J10" s="6" t="s">
        <v>99</v>
      </c>
      <c r="K10" s="6">
        <f xml:space="preserve"> $C$19 * (G14*G6 + G24*G17 + G33*G29 + G37*G36)/3600</f>
        <v>136.41719936696467</v>
      </c>
      <c r="L10" s="6" t="s">
        <v>105</v>
      </c>
      <c r="N10" s="6" t="s">
        <v>41</v>
      </c>
      <c r="O10" s="6">
        <f xml:space="preserve"> O5 * $C$13 * O9</f>
        <v>0</v>
      </c>
      <c r="P10" s="6" t="s">
        <v>22</v>
      </c>
      <c r="R10" s="6" t="s">
        <v>41</v>
      </c>
      <c r="S10" s="6">
        <f xml:space="preserve"> S5 * $C$13 * S9</f>
        <v>1024.2777090663999</v>
      </c>
      <c r="T10" s="6" t="s">
        <v>22</v>
      </c>
      <c r="Y10" s="2">
        <v>6</v>
      </c>
      <c r="Z10" s="2">
        <f t="shared" si="7"/>
        <v>0.14062500000000089</v>
      </c>
      <c r="AA10" s="2">
        <f t="shared" si="0"/>
        <v>1.1587090008303796E-2</v>
      </c>
      <c r="AB10" s="2">
        <f t="shared" si="8"/>
        <v>0.15625000000000086</v>
      </c>
      <c r="AC10" s="2">
        <f t="shared" si="1"/>
        <v>-1.6985476948356643E-2</v>
      </c>
      <c r="AD10" s="2">
        <f t="shared" si="2"/>
        <v>0.14843750000000089</v>
      </c>
      <c r="AE10" s="2">
        <f t="shared" si="3"/>
        <v>-3.0399189162543527E-3</v>
      </c>
      <c r="AF10" s="2">
        <f t="shared" si="4"/>
        <v>-3.5223814100584517E-5</v>
      </c>
      <c r="AG10" s="2">
        <f t="shared" si="5"/>
        <v>5.1634472676911616E-5</v>
      </c>
      <c r="AH10" s="2">
        <f t="shared" si="6"/>
        <v>1.5624999999999972E-2</v>
      </c>
      <c r="AJ10" s="2">
        <v>6</v>
      </c>
      <c r="AK10" s="2">
        <f t="shared" si="13"/>
        <v>2750</v>
      </c>
      <c r="AL10" s="2">
        <v>-20.175951274390172</v>
      </c>
      <c r="AM10" s="2">
        <f t="shared" si="14"/>
        <v>2890.625</v>
      </c>
      <c r="AN10" s="2">
        <v>23.504668545968343</v>
      </c>
      <c r="AO10" s="2">
        <f t="shared" si="9"/>
        <v>2820.3125</v>
      </c>
      <c r="AP10" s="2">
        <v>1.9039736709814861</v>
      </c>
      <c r="AQ10" s="2">
        <f t="shared" si="10"/>
        <v>-38.414480013444248</v>
      </c>
      <c r="AR10" s="2">
        <f t="shared" si="11"/>
        <v>44.752270056670412</v>
      </c>
      <c r="AS10" s="2">
        <f t="shared" si="12"/>
        <v>140.625</v>
      </c>
    </row>
    <row r="11" spans="2:45" x14ac:dyDescent="0.2">
      <c r="B11" s="6" t="s">
        <v>231</v>
      </c>
      <c r="C11" s="17">
        <v>1.3715999999999999</v>
      </c>
      <c r="D11" s="6" t="s">
        <v>8</v>
      </c>
      <c r="F11" t="s">
        <v>274</v>
      </c>
      <c r="G11" s="6">
        <f xml:space="preserve"> (G9/$C$69*1000) / (G10*1000)</f>
        <v>4.8312800636236952</v>
      </c>
      <c r="H11" s="6" t="s">
        <v>275</v>
      </c>
      <c r="J11" s="6" t="s">
        <v>24</v>
      </c>
      <c r="K11" s="6">
        <f xml:space="preserve"> (G6 + G17 + G29)/60</f>
        <v>29.333333333333332</v>
      </c>
      <c r="L11" s="6" t="s">
        <v>106</v>
      </c>
      <c r="N11" s="6" t="s">
        <v>234</v>
      </c>
      <c r="O11" s="6">
        <v>0</v>
      </c>
      <c r="R11" s="6" t="s">
        <v>234</v>
      </c>
      <c r="S11" s="6">
        <f xml:space="preserve"> 1.78 * (1 - 0.045 * $C$14^0.68) - 0.64</f>
        <v>0.7028810168808014</v>
      </c>
      <c r="Y11" s="2">
        <v>7</v>
      </c>
      <c r="Z11" s="2">
        <f t="shared" si="7"/>
        <v>0.14062500000000089</v>
      </c>
      <c r="AA11" s="2">
        <f t="shared" si="0"/>
        <v>1.1587090008303796E-2</v>
      </c>
      <c r="AB11" s="2">
        <f t="shared" si="8"/>
        <v>0.14843750000000089</v>
      </c>
      <c r="AC11" s="2">
        <f t="shared" si="1"/>
        <v>-3.0399189162543527E-3</v>
      </c>
      <c r="AD11" s="2">
        <f t="shared" si="2"/>
        <v>0.14453125000000089</v>
      </c>
      <c r="AE11" s="2">
        <f t="shared" si="3"/>
        <v>4.1814975875847371E-3</v>
      </c>
      <c r="AF11" s="2">
        <f t="shared" si="4"/>
        <v>4.8451388916849538E-5</v>
      </c>
      <c r="AG11" s="2">
        <f t="shared" si="5"/>
        <v>-1.2711413614770784E-5</v>
      </c>
      <c r="AH11" s="2">
        <f t="shared" si="6"/>
        <v>7.8125E-3</v>
      </c>
      <c r="AJ11" s="2">
        <v>7</v>
      </c>
      <c r="AK11" s="2">
        <f t="shared" si="13"/>
        <v>2750</v>
      </c>
      <c r="AL11" s="2">
        <v>-20.175951274390172</v>
      </c>
      <c r="AM11" s="2">
        <f t="shared" si="14"/>
        <v>2820.3125</v>
      </c>
      <c r="AN11" s="2">
        <v>1.9039736709814861</v>
      </c>
      <c r="AO11" s="2">
        <f t="shared" si="9"/>
        <v>2785.15625</v>
      </c>
      <c r="AP11" s="2">
        <v>-9.0761348292003277</v>
      </c>
      <c r="AQ11" s="2">
        <f t="shared" si="10"/>
        <v>183.11965407374137</v>
      </c>
      <c r="AR11" s="2">
        <f t="shared" si="11"/>
        <v>-17.280721749075472</v>
      </c>
      <c r="AS11" s="2">
        <f t="shared" si="12"/>
        <v>70.3125</v>
      </c>
    </row>
    <row r="12" spans="2:45" x14ac:dyDescent="0.2">
      <c r="B12" s="6" t="s">
        <v>259</v>
      </c>
      <c r="C12" s="17">
        <f>(0.500656+0.484769+0.468881+0.452994+0.437106+0.421219+0.405331+0.389444)/8</f>
        <v>0.44505</v>
      </c>
      <c r="D12" s="6" t="s">
        <v>8</v>
      </c>
      <c r="F12" t="s">
        <v>281</v>
      </c>
      <c r="G12" s="6">
        <f>G13/G14</f>
        <v>0.77649245452338644</v>
      </c>
      <c r="N12" s="6" t="s">
        <v>235</v>
      </c>
      <c r="O12" s="6">
        <f xml:space="preserve"> O4 / (O5 * $C$13)</f>
        <v>0</v>
      </c>
      <c r="R12" s="6" t="s">
        <v>235</v>
      </c>
      <c r="S12" s="6">
        <f xml:space="preserve"> S4 / (S5 * $C$13)</f>
        <v>0.62264329745528235</v>
      </c>
      <c r="Y12" s="2">
        <v>8</v>
      </c>
      <c r="Z12" s="2">
        <f t="shared" si="7"/>
        <v>0.14453125000000089</v>
      </c>
      <c r="AA12" s="2">
        <f t="shared" si="0"/>
        <v>4.1814975875847371E-3</v>
      </c>
      <c r="AB12" s="2">
        <f t="shared" si="8"/>
        <v>0.14843750000000089</v>
      </c>
      <c r="AC12" s="2">
        <f t="shared" si="1"/>
        <v>-3.0399189162543527E-3</v>
      </c>
      <c r="AD12" s="2">
        <f t="shared" si="2"/>
        <v>0.14648437500000089</v>
      </c>
      <c r="AE12" s="2">
        <f t="shared" si="3"/>
        <v>5.4868822563960973E-4</v>
      </c>
      <c r="AF12" s="2">
        <f t="shared" si="4"/>
        <v>2.2943384918481779E-6</v>
      </c>
      <c r="AG12" s="2">
        <f t="shared" si="5"/>
        <v>-1.6679677162478863E-6</v>
      </c>
      <c r="AH12" s="2">
        <f t="shared" si="6"/>
        <v>3.90625E-3</v>
      </c>
      <c r="AJ12" s="2">
        <v>8</v>
      </c>
      <c r="AK12" s="2">
        <f t="shared" si="13"/>
        <v>2785.15625</v>
      </c>
      <c r="AL12" s="2">
        <v>-9.0761348292003277</v>
      </c>
      <c r="AM12" s="2">
        <f t="shared" si="14"/>
        <v>2820.3125</v>
      </c>
      <c r="AN12" s="2">
        <v>1.9039736709814861</v>
      </c>
      <c r="AO12" s="2">
        <f t="shared" si="9"/>
        <v>2802.734375</v>
      </c>
      <c r="AP12" s="2">
        <v>-3.5711099260824994</v>
      </c>
      <c r="AQ12" s="2">
        <f t="shared" si="10"/>
        <v>32.411875179020377</v>
      </c>
      <c r="AR12" s="2">
        <f t="shared" si="11"/>
        <v>-6.7992992754417196</v>
      </c>
      <c r="AS12" s="2">
        <f t="shared" si="12"/>
        <v>35.15625</v>
      </c>
    </row>
    <row r="13" spans="2:45" x14ac:dyDescent="0.2">
      <c r="B13" s="6" t="s">
        <v>232</v>
      </c>
      <c r="C13" s="17">
        <v>19.535478449999999</v>
      </c>
      <c r="D13" s="6" t="s">
        <v>11</v>
      </c>
      <c r="F13" t="s">
        <v>282</v>
      </c>
      <c r="G13" s="6">
        <f xml:space="preserve"> 1/1000 * (($C$5*$C$69) * ( ($G$4/2) + SQRT( ($G$4/2)^2 + ($C$5*$C$69) / (2*$C$66*PI()*$C$9^2 * $C$22) ) ) )</f>
        <v>452.30162092859905</v>
      </c>
      <c r="H13" s="6" t="s">
        <v>104</v>
      </c>
      <c r="J13" s="45" t="s">
        <v>54</v>
      </c>
      <c r="K13" s="45"/>
      <c r="L13" s="45"/>
      <c r="N13" s="6" t="s">
        <v>236</v>
      </c>
      <c r="O13" s="6">
        <v>0</v>
      </c>
      <c r="R13" s="6" t="s">
        <v>236</v>
      </c>
      <c r="S13" s="6">
        <f xml:space="preserve"> S9 + S12^2 / ( PI() * S11 * $C$14 )</f>
        <v>3.7600257838240017E-2</v>
      </c>
      <c r="Y13" s="2">
        <v>9</v>
      </c>
      <c r="Z13" s="2">
        <f t="shared" si="7"/>
        <v>0.14648437500000089</v>
      </c>
      <c r="AA13" s="2">
        <f t="shared" si="0"/>
        <v>5.4868822563960973E-4</v>
      </c>
      <c r="AB13" s="2">
        <f t="shared" si="8"/>
        <v>0.14843750000000089</v>
      </c>
      <c r="AC13" s="2">
        <f t="shared" si="1"/>
        <v>-3.0399189162543527E-3</v>
      </c>
      <c r="AD13" s="2">
        <f t="shared" si="2"/>
        <v>0.14746093750000089</v>
      </c>
      <c r="AE13" s="2">
        <f t="shared" si="3"/>
        <v>-1.2510308490884803E-3</v>
      </c>
      <c r="AF13" s="2">
        <f t="shared" si="4"/>
        <v>-6.8642589680677265E-7</v>
      </c>
      <c r="AG13" s="2">
        <f t="shared" si="5"/>
        <v>3.8030323429618157E-6</v>
      </c>
      <c r="AH13" s="2">
        <f t="shared" si="6"/>
        <v>1.953125E-3</v>
      </c>
      <c r="AJ13" s="2">
        <v>9</v>
      </c>
      <c r="AK13" s="2">
        <f t="shared" si="13"/>
        <v>2802.734375</v>
      </c>
      <c r="AL13" s="2">
        <v>-3.5711099260824994</v>
      </c>
      <c r="AM13" s="2">
        <f t="shared" si="14"/>
        <v>2820.3125</v>
      </c>
      <c r="AN13" s="2">
        <v>1.9039736709814861</v>
      </c>
      <c r="AO13" s="2">
        <f t="shared" si="9"/>
        <v>2811.5234375</v>
      </c>
      <c r="AP13" s="2">
        <v>-0.82982463528696826</v>
      </c>
      <c r="AQ13" s="2">
        <f t="shared" si="10"/>
        <v>2.9633949919810822</v>
      </c>
      <c r="AR13" s="2">
        <f t="shared" si="11"/>
        <v>-1.5799642571182018</v>
      </c>
      <c r="AS13" s="2">
        <f t="shared" si="12"/>
        <v>17.578125</v>
      </c>
    </row>
    <row r="14" spans="2:45" x14ac:dyDescent="0.2">
      <c r="B14" s="6" t="s">
        <v>233</v>
      </c>
      <c r="C14" s="17">
        <v>12.127610000000001</v>
      </c>
      <c r="F14" s="43" t="s">
        <v>85</v>
      </c>
      <c r="G14" s="43">
        <f xml:space="preserve"> $C$22 * G10</f>
        <v>582.49325964953937</v>
      </c>
      <c r="H14" s="43" t="s">
        <v>104</v>
      </c>
      <c r="J14" s="10" t="s">
        <v>82</v>
      </c>
      <c r="K14" s="18">
        <f>C5</f>
        <v>2814.1880725400001</v>
      </c>
      <c r="L14" s="6" t="s">
        <v>7</v>
      </c>
      <c r="N14" s="6" t="s">
        <v>42</v>
      </c>
      <c r="O14" s="6">
        <f xml:space="preserve"> O5 * O13 * $C$13</f>
        <v>0</v>
      </c>
      <c r="P14" s="6" t="s">
        <v>22</v>
      </c>
      <c r="R14" s="6" t="s">
        <v>42</v>
      </c>
      <c r="S14" s="6">
        <f xml:space="preserve"> S5 * S13 * $C$13</f>
        <v>1665.540642178124</v>
      </c>
      <c r="T14" s="6" t="s">
        <v>22</v>
      </c>
      <c r="Y14" s="2">
        <v>10</v>
      </c>
      <c r="Z14" s="2">
        <f t="shared" si="7"/>
        <v>0.14648437500000089</v>
      </c>
      <c r="AA14" s="2">
        <f t="shared" si="0"/>
        <v>5.4868822563960973E-4</v>
      </c>
      <c r="AB14" s="2">
        <f t="shared" si="8"/>
        <v>0.14746093750000089</v>
      </c>
      <c r="AC14" s="2">
        <f t="shared" si="1"/>
        <v>-1.2510308490884803E-3</v>
      </c>
      <c r="AD14" s="2">
        <f t="shared" si="2"/>
        <v>0.14697265625000089</v>
      </c>
      <c r="AE14" s="2">
        <f t="shared" si="3"/>
        <v>-3.5253868144990985E-4</v>
      </c>
      <c r="AF14" s="2">
        <f t="shared" si="4"/>
        <v>-1.9343382359407863E-7</v>
      </c>
      <c r="AG14" s="2">
        <f t="shared" si="5"/>
        <v>4.4103676599081399E-7</v>
      </c>
      <c r="AH14" s="2">
        <f t="shared" si="6"/>
        <v>9.765625E-4</v>
      </c>
      <c r="AJ14" s="2">
        <v>10</v>
      </c>
      <c r="AK14" s="2">
        <f t="shared" si="13"/>
        <v>2811.5234375</v>
      </c>
      <c r="AL14" s="2">
        <v>-0.82982463528696826</v>
      </c>
      <c r="AM14" s="2">
        <f t="shared" si="14"/>
        <v>2820.3125</v>
      </c>
      <c r="AN14" s="2">
        <v>1.9039736709814861</v>
      </c>
      <c r="AO14" s="2">
        <f t="shared" si="9"/>
        <v>2815.91796875</v>
      </c>
      <c r="AP14" s="2">
        <v>0.53801052731932941</v>
      </c>
      <c r="AQ14" s="2">
        <f t="shared" si="10"/>
        <v>-0.44645438961331202</v>
      </c>
      <c r="AR14" s="2">
        <f t="shared" si="11"/>
        <v>1.0243578787268688</v>
      </c>
      <c r="AS14" s="2">
        <f t="shared" si="12"/>
        <v>8.7890625</v>
      </c>
    </row>
    <row r="15" spans="2:45" x14ac:dyDescent="0.2">
      <c r="J15" s="11" t="s">
        <v>55</v>
      </c>
      <c r="K15" s="6">
        <f xml:space="preserve"> 1000 * K10 / ($C$61 * $C$62 * $C$63)</f>
        <v>802.45411392332153</v>
      </c>
      <c r="L15" s="6" t="s">
        <v>7</v>
      </c>
      <c r="N15" s="6" t="s">
        <v>237</v>
      </c>
      <c r="O15" s="6">
        <v>0</v>
      </c>
      <c r="R15" s="6" t="s">
        <v>237</v>
      </c>
      <c r="S15" s="6">
        <f>S4/S14</f>
        <v>16.55954861091524</v>
      </c>
      <c r="Y15" s="2">
        <v>11</v>
      </c>
      <c r="Z15" s="2">
        <f t="shared" si="7"/>
        <v>0.14648437500000089</v>
      </c>
      <c r="AA15" s="2">
        <f t="shared" si="0"/>
        <v>5.4868822563960973E-4</v>
      </c>
      <c r="AB15" s="2">
        <f t="shared" si="8"/>
        <v>0.14697265625000089</v>
      </c>
      <c r="AC15" s="2">
        <f t="shared" si="1"/>
        <v>-3.5253868144990985E-4</v>
      </c>
      <c r="AD15" s="2">
        <f t="shared" si="2"/>
        <v>0.14672851562500089</v>
      </c>
      <c r="AE15" s="2">
        <f t="shared" si="3"/>
        <v>9.7731223295260961E-5</v>
      </c>
      <c r="AF15" s="2">
        <f t="shared" si="4"/>
        <v>5.3623971499465231E-8</v>
      </c>
      <c r="AG15" s="2">
        <f t="shared" si="5"/>
        <v>-3.445403659699801E-8</v>
      </c>
      <c r="AH15" s="2">
        <f t="shared" si="6"/>
        <v>4.8828125E-4</v>
      </c>
      <c r="AJ15" s="2">
        <v>11</v>
      </c>
      <c r="AK15" s="2">
        <f t="shared" si="13"/>
        <v>2811.5234375</v>
      </c>
      <c r="AL15" s="2">
        <v>-0.82982463528696826</v>
      </c>
      <c r="AM15" s="2">
        <f t="shared" si="14"/>
        <v>2815.91796875</v>
      </c>
      <c r="AN15" s="2">
        <v>0.53801052731932941</v>
      </c>
      <c r="AO15" s="2">
        <f t="shared" si="9"/>
        <v>2813.720703125</v>
      </c>
      <c r="AP15" s="2">
        <v>-0.14567301115084774</v>
      </c>
      <c r="AQ15" s="2">
        <f t="shared" si="10"/>
        <v>0.12088305334940669</v>
      </c>
      <c r="AR15" s="2">
        <f t="shared" si="11"/>
        <v>-7.8373613545462142E-2</v>
      </c>
      <c r="AS15" s="2">
        <f t="shared" si="12"/>
        <v>4.39453125</v>
      </c>
    </row>
    <row r="16" spans="2:45" x14ac:dyDescent="0.2">
      <c r="B16" s="59" t="s">
        <v>12</v>
      </c>
      <c r="C16" s="59"/>
      <c r="D16" s="59"/>
      <c r="F16" s="55" t="s">
        <v>89</v>
      </c>
      <c r="G16" s="58"/>
      <c r="H16" s="58"/>
      <c r="J16" s="12" t="s">
        <v>135</v>
      </c>
      <c r="K16" s="6">
        <f xml:space="preserve"> $C$79 * ( $C$22 * (0.0095 * MAX(G9,G30) - 1.9275) +  $C$29 * (0.0095 * MAX(S20) - 1.9275) )</f>
        <v>208.41272989193422</v>
      </c>
      <c r="L16" s="6" t="s">
        <v>7</v>
      </c>
      <c r="N16" s="6" t="s">
        <v>118</v>
      </c>
      <c r="O16" s="6">
        <f>(O13*$C$13)/(0.3048^2)/($C$5*2.20462/1000)^(2/3)</f>
        <v>0</v>
      </c>
      <c r="R16" s="6" t="s">
        <v>118</v>
      </c>
      <c r="S16" s="6">
        <f>(S13*$C$13)/(0.3048^2)/($C$5*2.20462/1000)^(2/3)</f>
        <v>2.3416772816016462</v>
      </c>
      <c r="Y16" s="2">
        <v>12</v>
      </c>
      <c r="Z16" s="2">
        <f t="shared" si="7"/>
        <v>0.14672851562500089</v>
      </c>
      <c r="AA16" s="2">
        <f t="shared" si="0"/>
        <v>9.7731223295260961E-5</v>
      </c>
      <c r="AB16" s="2">
        <f t="shared" si="8"/>
        <v>0.14697265625000089</v>
      </c>
      <c r="AC16" s="2">
        <f t="shared" si="1"/>
        <v>-3.5253868144990985E-4</v>
      </c>
      <c r="AD16" s="2">
        <f t="shared" si="2"/>
        <v>0.14685058593750089</v>
      </c>
      <c r="AE16" s="2">
        <f t="shared" si="3"/>
        <v>-1.2748940209467152E-4</v>
      </c>
      <c r="AF16" s="2">
        <f t="shared" si="4"/>
        <v>-1.2459695223893652E-8</v>
      </c>
      <c r="AG16" s="2">
        <f t="shared" si="5"/>
        <v>4.4944945713292873E-8</v>
      </c>
      <c r="AH16" s="2">
        <f t="shared" si="6"/>
        <v>2.44140625E-4</v>
      </c>
      <c r="AJ16" s="2">
        <v>12</v>
      </c>
      <c r="AK16" s="2">
        <f t="shared" si="13"/>
        <v>2813.720703125</v>
      </c>
      <c r="AL16" s="2">
        <v>-0.14567301115084774</v>
      </c>
      <c r="AM16" s="2">
        <f t="shared" si="14"/>
        <v>2815.91796875</v>
      </c>
      <c r="AN16" s="2">
        <v>0.53801052731932941</v>
      </c>
      <c r="AO16" s="2">
        <f t="shared" si="9"/>
        <v>2814.8193359375</v>
      </c>
      <c r="AP16" s="2">
        <v>0.19622650810651976</v>
      </c>
      <c r="AQ16" s="2">
        <f t="shared" si="10"/>
        <v>-2.8584906303492967E-2</v>
      </c>
      <c r="AR16" s="2">
        <f t="shared" si="11"/>
        <v>0.10557192710041936</v>
      </c>
      <c r="AS16" s="2">
        <f t="shared" si="12"/>
        <v>2.197265625</v>
      </c>
    </row>
    <row r="17" spans="2:45" x14ac:dyDescent="0.2">
      <c r="B17" s="6" t="s">
        <v>71</v>
      </c>
      <c r="C17" s="6">
        <f>C36*100</f>
        <v>600</v>
      </c>
      <c r="D17" s="6" t="s">
        <v>7</v>
      </c>
      <c r="F17" s="9" t="s">
        <v>92</v>
      </c>
      <c r="G17" s="6">
        <f xml:space="preserve"> $C$18/$C$8</f>
        <v>1440</v>
      </c>
      <c r="H17" s="6" t="s">
        <v>14</v>
      </c>
      <c r="J17" s="12" t="s">
        <v>136</v>
      </c>
      <c r="K17" s="6">
        <v>0</v>
      </c>
      <c r="L17" s="6" t="s">
        <v>7</v>
      </c>
      <c r="Y17" s="2">
        <v>13</v>
      </c>
      <c r="Z17" s="2">
        <f t="shared" si="7"/>
        <v>0.14672851562500089</v>
      </c>
      <c r="AA17" s="2">
        <f t="shared" si="0"/>
        <v>9.7731223295260961E-5</v>
      </c>
      <c r="AB17" s="2">
        <f t="shared" si="8"/>
        <v>0.14685058593750089</v>
      </c>
      <c r="AC17" s="2">
        <f t="shared" si="1"/>
        <v>-1.2748940209467152E-4</v>
      </c>
      <c r="AD17" s="2">
        <f t="shared" si="2"/>
        <v>0.14678955078125089</v>
      </c>
      <c r="AE17" s="2">
        <f t="shared" si="3"/>
        <v>-1.4900534371198315E-5</v>
      </c>
      <c r="AF17" s="2">
        <f t="shared" si="4"/>
        <v>-1.4562474518502935E-9</v>
      </c>
      <c r="AG17" s="2">
        <f t="shared" si="5"/>
        <v>1.8996602178751754E-9</v>
      </c>
      <c r="AH17" s="2">
        <f t="shared" si="6"/>
        <v>1.220703125E-4</v>
      </c>
      <c r="AJ17" s="2">
        <v>13</v>
      </c>
      <c r="AK17" s="2">
        <f t="shared" si="13"/>
        <v>2813.720703125</v>
      </c>
      <c r="AL17" s="2">
        <v>-0.14567301115084774</v>
      </c>
      <c r="AM17" s="2">
        <f t="shared" si="14"/>
        <v>2814.8193359375</v>
      </c>
      <c r="AN17" s="2">
        <v>0.19622650810651976</v>
      </c>
      <c r="AO17" s="2">
        <f t="shared" si="9"/>
        <v>2814.27001953125</v>
      </c>
      <c r="AP17" s="2">
        <v>2.5291542362538166E-2</v>
      </c>
      <c r="AQ17" s="2">
        <f t="shared" si="10"/>
        <v>-3.6842951326001602E-3</v>
      </c>
      <c r="AR17" s="2">
        <f t="shared" si="11"/>
        <v>4.9628710424289837E-3</v>
      </c>
      <c r="AS17" s="2">
        <f t="shared" si="12"/>
        <v>1.0986328125</v>
      </c>
    </row>
    <row r="18" spans="2:45" x14ac:dyDescent="0.2">
      <c r="B18" s="6" t="s">
        <v>13</v>
      </c>
      <c r="C18" s="17">
        <f>60 * 1609.344</f>
        <v>96560.639999999999</v>
      </c>
      <c r="D18" s="6" t="s">
        <v>8</v>
      </c>
      <c r="F18" s="6" t="s">
        <v>239</v>
      </c>
      <c r="G18" s="6">
        <f>S21*$C$11</f>
        <v>71.816808061062659</v>
      </c>
      <c r="H18" s="6" t="s">
        <v>10</v>
      </c>
      <c r="J18" s="13" t="s">
        <v>56</v>
      </c>
      <c r="K18" s="6">
        <f xml:space="preserve"> $C$79 * (0.2138 * K4 + 0.2138 * K6)</f>
        <v>179.60225300096045</v>
      </c>
      <c r="L18" s="6" t="s">
        <v>7</v>
      </c>
      <c r="N18" s="55" t="s">
        <v>238</v>
      </c>
      <c r="O18" s="56"/>
      <c r="P18" s="56"/>
      <c r="R18" s="55" t="s">
        <v>238</v>
      </c>
      <c r="S18" s="56"/>
      <c r="T18" s="56"/>
      <c r="Y18" s="2">
        <v>14</v>
      </c>
      <c r="Z18" s="2">
        <f t="shared" si="7"/>
        <v>0.14672851562500089</v>
      </c>
      <c r="AA18" s="2">
        <f t="shared" si="0"/>
        <v>9.7731223295260961E-5</v>
      </c>
      <c r="AB18" s="2">
        <f t="shared" si="8"/>
        <v>0.14678955078125089</v>
      </c>
      <c r="AC18" s="2">
        <f t="shared" si="1"/>
        <v>-1.4900534371198315E-5</v>
      </c>
      <c r="AD18" s="2">
        <f t="shared" si="2"/>
        <v>0.14675903320312589</v>
      </c>
      <c r="AE18" s="2">
        <f t="shared" si="3"/>
        <v>4.1409979874673652E-5</v>
      </c>
      <c r="AF18" s="2">
        <f t="shared" si="4"/>
        <v>4.0470479897839929E-9</v>
      </c>
      <c r="AG18" s="2">
        <f t="shared" si="5"/>
        <v>-6.1703082843320521E-10</v>
      </c>
      <c r="AH18" s="2">
        <f t="shared" si="6"/>
        <v>6.103515625E-5</v>
      </c>
      <c r="AJ18" s="2">
        <v>14</v>
      </c>
      <c r="AK18" s="2">
        <f t="shared" si="13"/>
        <v>2813.720703125</v>
      </c>
      <c r="AL18" s="2">
        <v>-0.14567301115084774</v>
      </c>
      <c r="AM18" s="2">
        <f t="shared" si="14"/>
        <v>2814.27001953125</v>
      </c>
      <c r="AN18" s="2">
        <v>2.5291542362538166E-2</v>
      </c>
      <c r="AO18" s="2">
        <f t="shared" si="9"/>
        <v>2813.995361328125</v>
      </c>
      <c r="AP18" s="2">
        <v>-6.0187610066350317E-2</v>
      </c>
      <c r="AQ18" s="2">
        <f t="shared" si="10"/>
        <v>8.7677103923383248E-3</v>
      </c>
      <c r="AR18" s="2">
        <f t="shared" si="11"/>
        <v>-1.5222374896930275E-3</v>
      </c>
      <c r="AS18" s="2">
        <f t="shared" si="12"/>
        <v>0.54931640625</v>
      </c>
    </row>
    <row r="19" spans="2:45" x14ac:dyDescent="0.2">
      <c r="B19" s="6" t="s">
        <v>263</v>
      </c>
      <c r="C19" s="17">
        <v>1</v>
      </c>
      <c r="F19" s="6" t="s">
        <v>240</v>
      </c>
      <c r="G19" s="6">
        <f>G18/$C$74</f>
        <v>0.21584644706095835</v>
      </c>
      <c r="H19" s="6" t="s">
        <v>131</v>
      </c>
      <c r="J19" s="13" t="s">
        <v>80</v>
      </c>
      <c r="K19" s="6">
        <f xml:space="preserve"> $C$79 * (0.1149 * K4 + 0.1149 * K6)</f>
        <v>96.52151014878558</v>
      </c>
      <c r="L19" s="6" t="s">
        <v>7</v>
      </c>
      <c r="N19" s="6" t="s">
        <v>28</v>
      </c>
      <c r="O19" s="6">
        <f xml:space="preserve"> 90</f>
        <v>90</v>
      </c>
      <c r="P19" s="6" t="s">
        <v>43</v>
      </c>
      <c r="R19" s="6" t="s">
        <v>28</v>
      </c>
      <c r="S19" s="6">
        <f xml:space="preserve"> 90 - $C$82</f>
        <v>85</v>
      </c>
      <c r="T19" s="6" t="s">
        <v>43</v>
      </c>
      <c r="Y19" s="2">
        <v>15</v>
      </c>
      <c r="Z19" s="2">
        <f t="shared" si="7"/>
        <v>0.14675903320312589</v>
      </c>
      <c r="AA19" s="2">
        <f t="shared" si="0"/>
        <v>4.1409979874673652E-5</v>
      </c>
      <c r="AB19" s="2">
        <f t="shared" si="8"/>
        <v>0.14678955078125089</v>
      </c>
      <c r="AC19" s="2">
        <f t="shared" si="1"/>
        <v>-1.4900534371198315E-5</v>
      </c>
      <c r="AD19" s="2">
        <f t="shared" si="2"/>
        <v>0.14677429199218839</v>
      </c>
      <c r="AE19" s="2">
        <f t="shared" si="3"/>
        <v>1.3253382023181715E-5</v>
      </c>
      <c r="AF19" s="2">
        <f t="shared" si="4"/>
        <v>5.4882228285131638E-10</v>
      </c>
      <c r="AG19" s="2">
        <f t="shared" si="5"/>
        <v>-1.9748247437104101E-10</v>
      </c>
      <c r="AH19" s="2">
        <f t="shared" si="6"/>
        <v>3.0517578125E-5</v>
      </c>
      <c r="AJ19" s="2">
        <v>15</v>
      </c>
      <c r="AK19" s="2">
        <f t="shared" si="13"/>
        <v>2813.995361328125</v>
      </c>
      <c r="AL19" s="2">
        <v>-6.0187610066350317E-2</v>
      </c>
      <c r="AM19" s="2">
        <f t="shared" si="14"/>
        <v>2814.27001953125</v>
      </c>
      <c r="AN19" s="2">
        <v>2.5291542362538166E-2</v>
      </c>
      <c r="AO19" s="2">
        <f t="shared" si="9"/>
        <v>2814.1326904296875</v>
      </c>
      <c r="AP19" s="2">
        <v>-1.7446161690259032E-2</v>
      </c>
      <c r="AQ19" s="2">
        <f t="shared" si="10"/>
        <v>1.0500427769678097E-3</v>
      </c>
      <c r="AR19" s="2">
        <f t="shared" si="11"/>
        <v>-4.4124033745287676E-4</v>
      </c>
      <c r="AS19" s="2">
        <f t="shared" si="12"/>
        <v>0.274658203125</v>
      </c>
    </row>
    <row r="20" spans="2:45" x14ac:dyDescent="0.2">
      <c r="F20" s="9" t="s">
        <v>21</v>
      </c>
      <c r="G20" s="6">
        <f>S20</f>
        <v>1665.540642178124</v>
      </c>
      <c r="H20" s="6" t="s">
        <v>22</v>
      </c>
      <c r="J20" s="14" t="s">
        <v>63</v>
      </c>
      <c r="K20" s="6">
        <f xml:space="preserve"> $C$80 * (14.86 * ($C$5*2.20462)^0.144 * ($C$37/(PI()*$C$38))^0.778 * ($C$37*3.28084)^0.383 * $C$36^0.455 * 0.453592)</f>
        <v>222.66521665385176</v>
      </c>
      <c r="L20" s="6" t="s">
        <v>7</v>
      </c>
      <c r="N20" s="6" t="s">
        <v>21</v>
      </c>
      <c r="O20" s="6">
        <f xml:space="preserve"> $C$5 * $C$69 / $C$22</f>
        <v>3447.9049508450735</v>
      </c>
      <c r="P20" s="6" t="s">
        <v>22</v>
      </c>
      <c r="R20" s="6" t="s">
        <v>21</v>
      </c>
      <c r="S20" s="6">
        <f xml:space="preserve"> S14 / $C$29</f>
        <v>1665.540642178124</v>
      </c>
      <c r="T20" s="6" t="s">
        <v>22</v>
      </c>
      <c r="Y20" s="2">
        <v>16</v>
      </c>
      <c r="Z20" s="2">
        <f t="shared" si="7"/>
        <v>0.14677429199218839</v>
      </c>
      <c r="AA20" s="2">
        <f t="shared" si="0"/>
        <v>1.3253382023181715E-5</v>
      </c>
      <c r="AB20" s="2">
        <f t="shared" si="8"/>
        <v>0.14678955078125089</v>
      </c>
      <c r="AC20" s="2">
        <f t="shared" si="1"/>
        <v>-1.4900534371198315E-5</v>
      </c>
      <c r="AD20" s="2">
        <f t="shared" si="2"/>
        <v>0.14678192138671964</v>
      </c>
      <c r="AE20" s="2">
        <f t="shared" si="3"/>
        <v>-8.2391130387660105E-7</v>
      </c>
      <c r="AF20" s="2">
        <f t="shared" si="4"/>
        <v>-1.0919611263494351E-11</v>
      </c>
      <c r="AG20" s="2">
        <f t="shared" si="5"/>
        <v>1.2276718702232114E-11</v>
      </c>
      <c r="AH20" s="2">
        <f t="shared" si="6"/>
        <v>1.52587890625E-5</v>
      </c>
      <c r="AJ20" s="2">
        <v>16</v>
      </c>
      <c r="AK20" s="2">
        <f t="shared" si="13"/>
        <v>2814.1326904296875</v>
      </c>
      <c r="AL20" s="2">
        <v>-1.7446161690259032E-2</v>
      </c>
      <c r="AM20" s="2">
        <f t="shared" si="14"/>
        <v>2814.27001953125</v>
      </c>
      <c r="AN20" s="2">
        <v>2.5291542362538166E-2</v>
      </c>
      <c r="AO20" s="2">
        <f t="shared" si="9"/>
        <v>2814.2013549804688</v>
      </c>
      <c r="AP20" s="2">
        <v>3.9217453668243252E-3</v>
      </c>
      <c r="AQ20" s="2">
        <f t="shared" si="10"/>
        <v>-6.8419403777641392E-5</v>
      </c>
      <c r="AR20" s="2">
        <f t="shared" si="11"/>
        <v>9.9186989080125198E-5</v>
      </c>
      <c r="AS20" s="2">
        <f t="shared" si="12"/>
        <v>0.1373291015625</v>
      </c>
    </row>
    <row r="21" spans="2:45" x14ac:dyDescent="0.2">
      <c r="B21" s="59" t="s">
        <v>115</v>
      </c>
      <c r="C21" s="59"/>
      <c r="D21" s="59"/>
      <c r="F21" s="9" t="s">
        <v>100</v>
      </c>
      <c r="G21" s="6">
        <f xml:space="preserve"> 1/1000 * (S25 + S20 * (S30 * S27 + $C$8 * SIN(S19/180*PI())))</f>
        <v>117.54670371560107</v>
      </c>
      <c r="H21" s="6" t="s">
        <v>104</v>
      </c>
      <c r="J21" s="14" t="s">
        <v>64</v>
      </c>
      <c r="K21" s="6">
        <f xml:space="preserve"> $C$80 * C42 * $C$5</f>
        <v>73.168889886040006</v>
      </c>
      <c r="L21" s="6" t="s">
        <v>7</v>
      </c>
      <c r="N21" s="6" t="s">
        <v>29</v>
      </c>
      <c r="O21" s="6">
        <f>$C$6*2*PI()/60</f>
        <v>73.303828583761828</v>
      </c>
      <c r="P21" s="6" t="s">
        <v>30</v>
      </c>
      <c r="R21" s="6" t="s">
        <v>29</v>
      </c>
      <c r="S21" s="6">
        <f>$C$7*2*PI()/60</f>
        <v>52.359877559829883</v>
      </c>
      <c r="T21" s="6" t="s">
        <v>30</v>
      </c>
      <c r="Y21" s="2">
        <v>17</v>
      </c>
      <c r="Z21" s="2">
        <f t="shared" si="7"/>
        <v>0.14677429199218839</v>
      </c>
      <c r="AA21" s="2">
        <f t="shared" si="0"/>
        <v>1.3253382023181715E-5</v>
      </c>
      <c r="AB21" s="2">
        <f t="shared" si="8"/>
        <v>0.14678192138671964</v>
      </c>
      <c r="AC21" s="2">
        <f t="shared" si="1"/>
        <v>-8.2391130387660105E-7</v>
      </c>
      <c r="AD21" s="2">
        <f t="shared" si="2"/>
        <v>0.14677810668945401</v>
      </c>
      <c r="AE21" s="2">
        <f t="shared" si="3"/>
        <v>6.2146515706351657E-6</v>
      </c>
      <c r="AF21" s="2">
        <f t="shared" si="4"/>
        <v>8.2365151406594111E-11</v>
      </c>
      <c r="AG21" s="2">
        <f t="shared" si="5"/>
        <v>-5.1203216787007858E-12</v>
      </c>
      <c r="AH21" s="2">
        <f t="shared" si="6"/>
        <v>7.62939453125E-6</v>
      </c>
      <c r="AJ21" s="2">
        <v>17</v>
      </c>
      <c r="AK21" s="2">
        <f t="shared" si="13"/>
        <v>2814.1326904296875</v>
      </c>
      <c r="AL21" s="2">
        <v>-1.7446161690259032E-2</v>
      </c>
      <c r="AM21" s="2">
        <f t="shared" si="14"/>
        <v>2814.2013549804688</v>
      </c>
      <c r="AN21" s="2">
        <v>3.9217453668243252E-3</v>
      </c>
      <c r="AO21" s="2">
        <f t="shared" si="9"/>
        <v>2814.1670227050781</v>
      </c>
      <c r="AP21" s="2">
        <v>-6.76214569602962E-3</v>
      </c>
      <c r="AQ21" s="2">
        <f t="shared" si="10"/>
        <v>1.1797348718602196E-4</v>
      </c>
      <c r="AR21" s="2">
        <f t="shared" si="11"/>
        <v>-2.6519413553195213E-5</v>
      </c>
      <c r="AS21" s="2">
        <f t="shared" si="12"/>
        <v>6.866455078125E-2</v>
      </c>
    </row>
    <row r="22" spans="2:45" x14ac:dyDescent="0.2">
      <c r="B22" s="6" t="s">
        <v>97</v>
      </c>
      <c r="C22" s="17">
        <v>8</v>
      </c>
      <c r="F22" t="s">
        <v>274</v>
      </c>
      <c r="G22" s="6">
        <f xml:space="preserve"> (G20/$C$75*1000) / (G21*1000)</f>
        <v>1.4457532213431608</v>
      </c>
      <c r="H22" s="6" t="s">
        <v>275</v>
      </c>
      <c r="J22" s="14" t="s">
        <v>241</v>
      </c>
      <c r="K22" s="6">
        <f xml:space="preserve"> $C$80 * (0.04674 * ($C$5*2.20462)^0.397 * ($C$13*3.28084^2)^0.36 * $C$47^0.397 * $C$14^1.712 * 0.453592)</f>
        <v>413.22537245855438</v>
      </c>
      <c r="L22" s="6" t="s">
        <v>7</v>
      </c>
      <c r="N22" s="6" t="s">
        <v>31</v>
      </c>
      <c r="O22" s="6">
        <f xml:space="preserve"> $G$4 * COS(O19/180*PI()) / (O21 * $C$9)</f>
        <v>1.3922042258997773E-18</v>
      </c>
      <c r="R22" s="6" t="s">
        <v>31</v>
      </c>
      <c r="S22" s="6">
        <f xml:space="preserve"> $C$8 * COS(S19/180*PI()) / (S21 * $C$11)</f>
        <v>8.1378101359194571E-2</v>
      </c>
      <c r="Y22" s="2">
        <v>18</v>
      </c>
      <c r="Z22" s="2">
        <f t="shared" si="7"/>
        <v>0.14677810668945401</v>
      </c>
      <c r="AA22" s="2">
        <f t="shared" si="0"/>
        <v>6.2146515706351657E-6</v>
      </c>
      <c r="AB22" s="2">
        <f t="shared" si="8"/>
        <v>0.14678192138671964</v>
      </c>
      <c r="AC22" s="2">
        <f t="shared" si="1"/>
        <v>-8.2391130387660105E-7</v>
      </c>
      <c r="AD22" s="2">
        <f t="shared" si="2"/>
        <v>0.14678001403808683</v>
      </c>
      <c r="AE22" s="2">
        <f t="shared" si="3"/>
        <v>2.6953491869541324E-6</v>
      </c>
      <c r="AF22" s="2">
        <f t="shared" si="4"/>
        <v>1.6750656058114715E-11</v>
      </c>
      <c r="AG22" s="2">
        <f t="shared" si="5"/>
        <v>-2.220728663026116E-12</v>
      </c>
      <c r="AH22" s="2">
        <f t="shared" si="6"/>
        <v>3.814697265625E-6</v>
      </c>
      <c r="AJ22" s="2">
        <v>18</v>
      </c>
      <c r="AK22" s="2">
        <f t="shared" si="13"/>
        <v>2814.1670227050781</v>
      </c>
      <c r="AL22" s="2">
        <v>-6.76214569602962E-3</v>
      </c>
      <c r="AM22" s="2">
        <f t="shared" si="14"/>
        <v>2814.2013549804688</v>
      </c>
      <c r="AN22" s="2">
        <v>3.9217453668243252E-3</v>
      </c>
      <c r="AO22" s="2">
        <f t="shared" si="9"/>
        <v>2814.1841888427734</v>
      </c>
      <c r="AP22" s="2">
        <v>-1.4189897538017249E-3</v>
      </c>
      <c r="AQ22" s="2">
        <f t="shared" si="10"/>
        <v>9.5954154563804633E-6</v>
      </c>
      <c r="AR22" s="2">
        <f t="shared" si="11"/>
        <v>-5.5649164925431048E-6</v>
      </c>
      <c r="AS22" s="2">
        <f t="shared" si="12"/>
        <v>3.4332275390625E-2</v>
      </c>
    </row>
    <row r="23" spans="2:45" x14ac:dyDescent="0.2">
      <c r="B23" s="6" t="s">
        <v>114</v>
      </c>
      <c r="C23" s="17">
        <v>2</v>
      </c>
      <c r="F23" s="9" t="s">
        <v>276</v>
      </c>
      <c r="G23" s="6">
        <f>S23 / ($C$30*$C$12/PI())</f>
        <v>6.3737196995511169E-2</v>
      </c>
      <c r="J23" s="14" t="s">
        <v>65</v>
      </c>
      <c r="K23" s="6">
        <f xml:space="preserve"> $C$80 * (3.184 * ($C$5*2.20462)^0.887 * ($C$51*3.28084*3.28084)^0.101 * ($C$50)^0.138 ) / ( 174.04 * ($C$52*3.28084)^0.223 ) * 0.453592</f>
        <v>30.880873428821204</v>
      </c>
      <c r="L23" s="6" t="s">
        <v>7</v>
      </c>
      <c r="N23" s="6" t="s">
        <v>32</v>
      </c>
      <c r="O23" s="6">
        <f xml:space="preserve"> O20 / ( $C$66 * PI() * $C$9^2 * O21^2 * $C$9^2)</f>
        <v>3.6415032065607977E-2</v>
      </c>
      <c r="R23" s="6" t="s">
        <v>32</v>
      </c>
      <c r="S23" s="6">
        <f xml:space="preserve"> S20 / ( $C$72 * PI() * $C$11^2 * S21^2 * $C$11^2)</f>
        <v>5.4175526843887462E-2</v>
      </c>
      <c r="Y23" s="2">
        <v>19</v>
      </c>
      <c r="Z23" s="2">
        <f t="shared" si="7"/>
        <v>0.14678001403808683</v>
      </c>
      <c r="AA23" s="2">
        <f t="shared" si="0"/>
        <v>2.6953491869541324E-6</v>
      </c>
      <c r="AB23" s="2">
        <f t="shared" si="8"/>
        <v>0.14678192138671964</v>
      </c>
      <c r="AC23" s="2">
        <f t="shared" si="1"/>
        <v>-8.2391130387660105E-7</v>
      </c>
      <c r="AD23" s="2">
        <f t="shared" si="2"/>
        <v>0.14678096771240323</v>
      </c>
      <c r="AE23" s="2">
        <f t="shared" si="3"/>
        <v>9.3571370501921436E-7</v>
      </c>
      <c r="AF23" s="2">
        <f t="shared" si="4"/>
        <v>2.5220751740453784E-12</v>
      </c>
      <c r="AG23" s="2">
        <f t="shared" si="5"/>
        <v>-7.7094509875758619E-13</v>
      </c>
      <c r="AH23" s="2">
        <f t="shared" si="6"/>
        <v>1.9073486328125E-6</v>
      </c>
      <c r="AJ23" s="2">
        <v>19</v>
      </c>
      <c r="AK23" s="2">
        <f t="shared" si="13"/>
        <v>2814.1841888427734</v>
      </c>
      <c r="AL23" s="2">
        <v>-1.4189897538017249E-3</v>
      </c>
      <c r="AM23" s="2">
        <f t="shared" si="14"/>
        <v>2814.2013549804688</v>
      </c>
      <c r="AN23" s="2">
        <v>3.9217453668243252E-3</v>
      </c>
      <c r="AO23" s="2">
        <f t="shared" si="9"/>
        <v>2814.1927719116211</v>
      </c>
      <c r="AP23" s="2">
        <v>1.2501869150582934E-3</v>
      </c>
      <c r="AQ23" s="2">
        <f t="shared" si="10"/>
        <v>-1.7740024228047056E-6</v>
      </c>
      <c r="AR23" s="2">
        <f t="shared" si="11"/>
        <v>4.9029147417942578E-6</v>
      </c>
      <c r="AS23" s="2">
        <f t="shared" si="12"/>
        <v>1.71661376953125E-2</v>
      </c>
    </row>
    <row r="24" spans="2:45" x14ac:dyDescent="0.2">
      <c r="B24" s="6" t="s">
        <v>128</v>
      </c>
      <c r="C24" s="6">
        <f>$C$23*$C$10/PI()</f>
        <v>0.31022513338460861</v>
      </c>
      <c r="F24" s="44" t="s">
        <v>225</v>
      </c>
      <c r="G24" s="43">
        <f xml:space="preserve"> $C$29 * G21</f>
        <v>117.54670371560107</v>
      </c>
      <c r="H24" s="43" t="s">
        <v>104</v>
      </c>
      <c r="J24" s="14" t="s">
        <v>66</v>
      </c>
      <c r="K24" s="6">
        <f xml:space="preserve"> $C$80 * ( 1.68 * ($C$5*2.20462)^0.567 * ($C$56*3.28084*3.28084)^1.249 * ($C$55)^0.482 ) / (639.95 * ($C$57*3.28084)^0.747 * (COS($C$58/180*PI()))^0.882 ) * 0.453592</f>
        <v>9.9618171108817251</v>
      </c>
      <c r="L24" s="6" t="s">
        <v>7</v>
      </c>
      <c r="N24" s="6" t="s">
        <v>1</v>
      </c>
      <c r="O24" s="17">
        <v>8.8999999999999999E-3</v>
      </c>
      <c r="R24" s="6" t="s">
        <v>1</v>
      </c>
      <c r="S24" s="17">
        <v>8.8999999999999999E-3</v>
      </c>
      <c r="Y24" s="2">
        <v>20</v>
      </c>
      <c r="Z24" s="2">
        <f t="shared" si="7"/>
        <v>0.14678096771240323</v>
      </c>
      <c r="AA24" s="2">
        <f t="shared" si="0"/>
        <v>9.3571370501921436E-7</v>
      </c>
      <c r="AB24" s="2">
        <f t="shared" si="8"/>
        <v>0.14678192138671964</v>
      </c>
      <c r="AC24" s="2">
        <f t="shared" si="1"/>
        <v>-8.2391130387660105E-7</v>
      </c>
      <c r="AD24" s="2">
        <f t="shared" si="2"/>
        <v>0.14678144454956144</v>
      </c>
      <c r="AE24" s="2">
        <f t="shared" si="3"/>
        <v>5.5899891465704954E-8</v>
      </c>
      <c r="AF24" s="2">
        <f t="shared" si="4"/>
        <v>5.2306294553546744E-14</v>
      </c>
      <c r="AG24" s="2">
        <f t="shared" si="5"/>
        <v>-4.605655246406945E-14</v>
      </c>
      <c r="AH24" s="2">
        <f t="shared" si="6"/>
        <v>9.5367431640625E-7</v>
      </c>
      <c r="AJ24" s="2">
        <v>20</v>
      </c>
      <c r="AK24" s="2">
        <f t="shared" si="13"/>
        <v>2814.1841888427734</v>
      </c>
      <c r="AL24" s="2">
        <v>-1.4189897538017249E-3</v>
      </c>
      <c r="AM24" s="2">
        <f t="shared" si="14"/>
        <v>2814.1927719116211</v>
      </c>
      <c r="AN24" s="2">
        <v>1.2501869150582934E-3</v>
      </c>
      <c r="AO24" s="2">
        <f t="shared" si="9"/>
        <v>2814.1884803771973</v>
      </c>
      <c r="AP24" s="2">
        <v>-8.2883756022056332E-5</v>
      </c>
      <c r="AQ24" s="2">
        <f t="shared" si="10"/>
        <v>1.1761120055189995E-7</v>
      </c>
      <c r="AR24" s="2">
        <f t="shared" si="11"/>
        <v>-1.0362018724965885E-7</v>
      </c>
      <c r="AS24" s="2">
        <f t="shared" si="12"/>
        <v>8.58306884765625E-3</v>
      </c>
    </row>
    <row r="25" spans="2:45" x14ac:dyDescent="0.2">
      <c r="B25" s="6" t="s">
        <v>242</v>
      </c>
      <c r="C25" s="17">
        <v>0.75</v>
      </c>
      <c r="J25" s="14" t="s">
        <v>117</v>
      </c>
      <c r="K25" s="6">
        <f>$C$80*(0.14*$G$14*1000/745.7)*0.453592</f>
        <v>39.683518378257787</v>
      </c>
      <c r="L25" s="6" t="s">
        <v>7</v>
      </c>
      <c r="N25" s="6" t="s">
        <v>33</v>
      </c>
      <c r="O25" s="6">
        <f xml:space="preserve"> ($C$24 * $O$24 / 8) * (1 + 4.65 * O22^2) * ( PI() * $C$66 * O21^3 * $C$9^5)</f>
        <v>3650.5912870410652</v>
      </c>
      <c r="P25" s="6" t="s">
        <v>20</v>
      </c>
      <c r="R25" s="6" t="s">
        <v>33</v>
      </c>
      <c r="S25" s="6">
        <f xml:space="preserve"> ($C$31 * $S$24 / 8) * (1 + 4.65 * S22^2) * ( PI() * $C$72 * S21^3 * $C$11^5)</f>
        <v>2152.0895223310586</v>
      </c>
      <c r="T25" s="6" t="s">
        <v>20</v>
      </c>
      <c r="Y25" s="2">
        <v>21</v>
      </c>
      <c r="Z25" s="2">
        <f t="shared" si="7"/>
        <v>0.14678144454956144</v>
      </c>
      <c r="AA25" s="2">
        <f t="shared" si="0"/>
        <v>5.5899891465704954E-8</v>
      </c>
      <c r="AB25" s="2">
        <f t="shared" si="8"/>
        <v>0.14678192138671964</v>
      </c>
      <c r="AC25" s="2">
        <f t="shared" si="1"/>
        <v>-8.2391130387660105E-7</v>
      </c>
      <c r="AD25" s="2">
        <f t="shared" si="2"/>
        <v>0.14678168296814054</v>
      </c>
      <c r="AE25" s="2">
        <f t="shared" si="3"/>
        <v>-3.8400603349919571E-7</v>
      </c>
      <c r="AF25" s="2">
        <f t="shared" si="4"/>
        <v>-2.1465895594780902E-14</v>
      </c>
      <c r="AG25" s="2">
        <f t="shared" si="5"/>
        <v>3.1638691175680408E-13</v>
      </c>
      <c r="AH25" s="2">
        <f t="shared" si="6"/>
        <v>4.76837158203125E-7</v>
      </c>
      <c r="AJ25" s="2">
        <v>21</v>
      </c>
      <c r="AK25" s="2">
        <f t="shared" si="13"/>
        <v>2814.1884803771973</v>
      </c>
      <c r="AL25" s="2">
        <v>-8.2883756022056332E-5</v>
      </c>
      <c r="AM25" s="2">
        <f t="shared" si="14"/>
        <v>2814.1927719116211</v>
      </c>
      <c r="AN25" s="2">
        <v>1.2501869150582934E-3</v>
      </c>
      <c r="AO25" s="2">
        <f t="shared" si="9"/>
        <v>2814.1906261444092</v>
      </c>
      <c r="AP25" s="2">
        <v>5.8277891730540432E-4</v>
      </c>
      <c r="AQ25" s="2">
        <f t="shared" si="10"/>
        <v>-4.8302905596739276E-8</v>
      </c>
      <c r="AR25" s="2">
        <f t="shared" si="11"/>
        <v>7.2858257678705571E-7</v>
      </c>
      <c r="AS25" s="2">
        <f t="shared" si="12"/>
        <v>4.291534423828125E-3</v>
      </c>
    </row>
    <row r="26" spans="2:45" x14ac:dyDescent="0.2">
      <c r="B26" s="6" t="s">
        <v>288</v>
      </c>
      <c r="C26" s="17">
        <v>50</v>
      </c>
      <c r="D26" s="6" t="s">
        <v>61</v>
      </c>
      <c r="F26" s="59" t="s">
        <v>84</v>
      </c>
      <c r="G26" s="59"/>
      <c r="H26" s="59"/>
      <c r="J26" s="15" t="s">
        <v>67</v>
      </c>
      <c r="K26" s="6">
        <f xml:space="preserve"> $C$81 * (0.0268 * $C$5)</f>
        <v>60.336192275257602</v>
      </c>
      <c r="L26" s="6" t="s">
        <v>7</v>
      </c>
      <c r="N26" s="6" t="s">
        <v>34</v>
      </c>
      <c r="O26" s="18">
        <f>AD34</f>
        <v>0.14678147481754511</v>
      </c>
      <c r="R26" s="6" t="s">
        <v>34</v>
      </c>
      <c r="S26" s="18">
        <f>AD68</f>
        <v>0.95832046261057258</v>
      </c>
      <c r="Y26" s="2">
        <v>22</v>
      </c>
      <c r="Z26" s="2">
        <f t="shared" si="7"/>
        <v>0.14678144454956144</v>
      </c>
      <c r="AA26" s="2">
        <f t="shared" si="0"/>
        <v>5.5899891465704954E-8</v>
      </c>
      <c r="AB26" s="2">
        <f t="shared" si="8"/>
        <v>0.14678168296814054</v>
      </c>
      <c r="AC26" s="2">
        <f t="shared" si="1"/>
        <v>-3.8400603349919571E-7</v>
      </c>
      <c r="AD26" s="2">
        <f t="shared" si="2"/>
        <v>0.14678156375885099</v>
      </c>
      <c r="AE26" s="2">
        <f t="shared" si="3"/>
        <v>-1.6405315284018229E-7</v>
      </c>
      <c r="AF26" s="2">
        <f t="shared" si="4"/>
        <v>-9.1705534383728971E-15</v>
      </c>
      <c r="AG26" s="2">
        <f t="shared" si="5"/>
        <v>6.299740050519571E-14</v>
      </c>
      <c r="AH26" s="2">
        <f t="shared" si="6"/>
        <v>2.384185791015625E-7</v>
      </c>
      <c r="AJ26" s="2">
        <v>22</v>
      </c>
      <c r="AK26" s="2">
        <f t="shared" si="13"/>
        <v>2814.1884803771973</v>
      </c>
      <c r="AL26" s="2">
        <v>-8.2883756022056332E-5</v>
      </c>
      <c r="AM26" s="2">
        <f t="shared" si="14"/>
        <v>2814.1906261444092</v>
      </c>
      <c r="AN26" s="2">
        <v>5.8277891730540432E-4</v>
      </c>
      <c r="AO26" s="2">
        <f t="shared" si="9"/>
        <v>2814.1895532608032</v>
      </c>
      <c r="AP26" s="2">
        <v>2.4962575116660446E-4</v>
      </c>
      <c r="AQ26" s="2">
        <f t="shared" si="10"/>
        <v>-2.0689919856515388E-8</v>
      </c>
      <c r="AR26" s="2">
        <f t="shared" si="11"/>
        <v>1.4547662499642202E-7</v>
      </c>
      <c r="AS26" s="2">
        <f t="shared" si="12"/>
        <v>2.1457672119140625E-3</v>
      </c>
    </row>
    <row r="27" spans="2:45" x14ac:dyDescent="0.2">
      <c r="F27" s="6" t="s">
        <v>88</v>
      </c>
      <c r="G27" s="17">
        <f>300*0.3048/60</f>
        <v>1.524</v>
      </c>
      <c r="H27" s="6" t="s">
        <v>10</v>
      </c>
      <c r="J27" s="15" t="s">
        <v>68</v>
      </c>
      <c r="K27" s="6">
        <f xml:space="preserve"> $C$81 * (11.5 * ($C$5*2.20462/1000)^0.4 * 0.453592)</f>
        <v>8.6602007226878808</v>
      </c>
      <c r="L27" s="6" t="s">
        <v>7</v>
      </c>
      <c r="N27" s="6" t="s">
        <v>35</v>
      </c>
      <c r="O27" s="6">
        <f xml:space="preserve"> O21 * $C$9 * O26 - $G$4 * SIN(O19/180*PI())</f>
        <v>13.857697561608752</v>
      </c>
      <c r="P27" s="6" t="s">
        <v>10</v>
      </c>
      <c r="R27" s="6" t="s">
        <v>35</v>
      </c>
      <c r="S27" s="6">
        <f xml:space="preserve"> S21 * $C$11 * S26 - $C$8 * SIN(S19/180*PI())</f>
        <v>2.0226850490521713</v>
      </c>
      <c r="T27" s="6" t="s">
        <v>10</v>
      </c>
      <c r="Y27" s="2">
        <v>23</v>
      </c>
      <c r="Z27" s="2">
        <f t="shared" si="7"/>
        <v>0.14678144454956144</v>
      </c>
      <c r="AA27" s="2">
        <f t="shared" si="0"/>
        <v>5.5899891465704954E-8</v>
      </c>
      <c r="AB27" s="2">
        <f t="shared" si="8"/>
        <v>0.14678156375885099</v>
      </c>
      <c r="AC27" s="2">
        <f t="shared" si="1"/>
        <v>-1.6405315284018229E-7</v>
      </c>
      <c r="AD27" s="2">
        <f t="shared" si="2"/>
        <v>0.14678150415420621</v>
      </c>
      <c r="AE27" s="2">
        <f t="shared" si="3"/>
        <v>-5.4076651156975686E-8</v>
      </c>
      <c r="AF27" s="2">
        <f t="shared" si="4"/>
        <v>-3.0228789305037292E-15</v>
      </c>
      <c r="AG27" s="2">
        <f t="shared" si="5"/>
        <v>8.8714451173405522E-15</v>
      </c>
      <c r="AH27" s="2">
        <f t="shared" si="6"/>
        <v>1.1920928955078125E-7</v>
      </c>
      <c r="AJ27" s="2">
        <v>23</v>
      </c>
      <c r="AK27" s="2">
        <f t="shared" si="13"/>
        <v>2814.1884803771973</v>
      </c>
      <c r="AL27" s="2">
        <v>-8.2883756022056332E-5</v>
      </c>
      <c r="AM27" s="2">
        <f t="shared" si="14"/>
        <v>2814.1895532608032</v>
      </c>
      <c r="AN27" s="2">
        <v>2.4962575116660446E-4</v>
      </c>
      <c r="AO27" s="2">
        <f t="shared" si="9"/>
        <v>2814.1890168190002</v>
      </c>
      <c r="AP27" s="2">
        <v>8.3692902990151197E-5</v>
      </c>
      <c r="AQ27" s="2">
        <f t="shared" si="10"/>
        <v>-6.9367821522133206E-9</v>
      </c>
      <c r="AR27" s="2">
        <f t="shared" si="11"/>
        <v>2.0891903776230249E-8</v>
      </c>
      <c r="AS27" s="2">
        <f t="shared" si="12"/>
        <v>1.0728836059570312E-3</v>
      </c>
    </row>
    <row r="28" spans="2:45" x14ac:dyDescent="0.2">
      <c r="B28" s="59" t="s">
        <v>243</v>
      </c>
      <c r="C28" s="59"/>
      <c r="D28" s="59"/>
      <c r="F28" s="6" t="s">
        <v>94</v>
      </c>
      <c r="G28" s="17">
        <f>1000*0.3048</f>
        <v>304.8</v>
      </c>
      <c r="H28" s="6" t="s">
        <v>8</v>
      </c>
      <c r="J28" s="15" t="s">
        <v>69</v>
      </c>
      <c r="K28" s="6">
        <f xml:space="preserve"> $C$81 * (8 * ($C$5/1000))</f>
        <v>18.010803664255999</v>
      </c>
      <c r="L28" s="6" t="s">
        <v>7</v>
      </c>
      <c r="N28" s="6" t="s">
        <v>36</v>
      </c>
      <c r="O28" s="6">
        <f xml:space="preserve"> 1/$C$25 - O25 * SQRT( (2*$C$66*PI()*$C$9^2) / O20^3 )</f>
        <v>1.2630955248729059</v>
      </c>
      <c r="R28" s="6" t="s">
        <v>36</v>
      </c>
      <c r="S28" s="6">
        <f xml:space="preserve"> 1/$C$32 - S25 * SQRT( (2*$C$72*PI()*$C$11^2) / S20^3 )</f>
        <v>1.224015145007459</v>
      </c>
      <c r="Y28" s="2">
        <v>24</v>
      </c>
      <c r="Z28" s="2">
        <f t="shared" si="7"/>
        <v>0.14678144454956144</v>
      </c>
      <c r="AA28" s="2">
        <f t="shared" si="0"/>
        <v>5.5899891465704954E-8</v>
      </c>
      <c r="AB28" s="2">
        <f t="shared" si="8"/>
        <v>0.14678150415420621</v>
      </c>
      <c r="AC28" s="2">
        <f t="shared" si="1"/>
        <v>-5.4076651156975686E-8</v>
      </c>
      <c r="AD28" s="2">
        <f t="shared" si="2"/>
        <v>0.14678147435188382</v>
      </c>
      <c r="AE28" s="2">
        <f t="shared" si="3"/>
        <v>9.1161503346093298E-10</v>
      </c>
      <c r="AF28" s="2">
        <f t="shared" si="4"/>
        <v>5.0959181428971141E-17</v>
      </c>
      <c r="AG28" s="2">
        <f t="shared" si="5"/>
        <v>-4.929708815392159E-17</v>
      </c>
      <c r="AH28" s="2">
        <f t="shared" si="6"/>
        <v>5.9604644775390625E-8</v>
      </c>
      <c r="AJ28" s="2">
        <v>24</v>
      </c>
      <c r="AK28" s="2">
        <f t="shared" si="13"/>
        <v>2814.1884803771973</v>
      </c>
      <c r="AL28" s="2">
        <v>-8.2883756022056332E-5</v>
      </c>
      <c r="AM28" s="2">
        <f t="shared" si="14"/>
        <v>2814.1890168190002</v>
      </c>
      <c r="AN28" s="2">
        <v>8.3692902990151197E-5</v>
      </c>
      <c r="AO28" s="2">
        <f t="shared" si="9"/>
        <v>2814.1887485980988</v>
      </c>
      <c r="AP28" s="2">
        <v>4.0457734939991497E-7</v>
      </c>
      <c r="AQ28" s="2">
        <f t="shared" si="10"/>
        <v>-3.3532890319712791E-11</v>
      </c>
      <c r="AR28" s="2">
        <f t="shared" si="11"/>
        <v>3.3860252855339589E-11</v>
      </c>
      <c r="AS28" s="2">
        <f t="shared" si="12"/>
        <v>5.3644180297851562E-4</v>
      </c>
    </row>
    <row r="29" spans="2:45" x14ac:dyDescent="0.2">
      <c r="B29" s="6" t="s">
        <v>244</v>
      </c>
      <c r="C29" s="17">
        <v>1</v>
      </c>
      <c r="F29" s="6" t="s">
        <v>93</v>
      </c>
      <c r="G29" s="6">
        <f xml:space="preserve"> $G$28/$G$27</f>
        <v>200</v>
      </c>
      <c r="H29" s="6" t="s">
        <v>14</v>
      </c>
      <c r="J29" s="15" t="s">
        <v>70</v>
      </c>
      <c r="K29" s="6">
        <f xml:space="preserve"> $C$81 * (13 * ($C$5*2.20462/1000)^1.3 * 0.453592)</f>
        <v>50.604792086932058</v>
      </c>
      <c r="L29" s="6" t="s">
        <v>7</v>
      </c>
      <c r="N29" s="6" t="s">
        <v>37</v>
      </c>
      <c r="O29" s="17">
        <v>1.1499999999999999</v>
      </c>
      <c r="R29" s="6" t="s">
        <v>37</v>
      </c>
      <c r="S29" s="17">
        <v>1.1499999999999999</v>
      </c>
      <c r="Y29" s="2">
        <v>25</v>
      </c>
      <c r="Z29" s="2">
        <f t="shared" si="7"/>
        <v>0.14678147435188382</v>
      </c>
      <c r="AA29" s="2">
        <f t="shared" si="0"/>
        <v>9.1161503346093298E-10</v>
      </c>
      <c r="AB29" s="2">
        <f t="shared" si="8"/>
        <v>0.14678150415420621</v>
      </c>
      <c r="AC29" s="2">
        <f t="shared" si="1"/>
        <v>-5.4076651156975686E-8</v>
      </c>
      <c r="AD29" s="2">
        <f t="shared" si="2"/>
        <v>0.14678148925304502</v>
      </c>
      <c r="AE29" s="2">
        <f t="shared" si="3"/>
        <v>-2.6582519324636067E-8</v>
      </c>
      <c r="AF29" s="2">
        <f t="shared" si="4"/>
        <v>-2.4233024243604005E-17</v>
      </c>
      <c r="AG29" s="2">
        <f t="shared" si="5"/>
        <v>1.4374936243919095E-15</v>
      </c>
      <c r="AH29" s="2">
        <f t="shared" si="6"/>
        <v>2.9802322387695312E-8</v>
      </c>
      <c r="AJ29" s="2">
        <v>25</v>
      </c>
      <c r="AK29" s="2">
        <f t="shared" si="13"/>
        <v>2814.1884803771973</v>
      </c>
      <c r="AL29" s="2">
        <v>-8.2883756022056332E-5</v>
      </c>
      <c r="AM29" s="2">
        <f t="shared" si="14"/>
        <v>2814.1887485980988</v>
      </c>
      <c r="AN29" s="2">
        <v>4.0457734939991497E-7</v>
      </c>
      <c r="AO29" s="2">
        <f t="shared" si="9"/>
        <v>2814.188614487648</v>
      </c>
      <c r="AP29" s="2">
        <v>-4.2434384340594988E-5</v>
      </c>
      <c r="AQ29" s="2">
        <f t="shared" si="10"/>
        <v>3.5171211586320428E-9</v>
      </c>
      <c r="AR29" s="2">
        <f t="shared" si="11"/>
        <v>-1.7167990739935179E-11</v>
      </c>
      <c r="AS29" s="2">
        <f t="shared" si="12"/>
        <v>2.6822090148925781E-4</v>
      </c>
    </row>
    <row r="30" spans="2:45" x14ac:dyDescent="0.2">
      <c r="B30" s="6" t="s">
        <v>245</v>
      </c>
      <c r="C30" s="17">
        <v>6</v>
      </c>
      <c r="F30" s="6" t="s">
        <v>21</v>
      </c>
      <c r="G30" s="6">
        <f xml:space="preserve"> $C$5 * $C$69 / $C$22</f>
        <v>3447.9049508450735</v>
      </c>
      <c r="H30" s="6" t="s">
        <v>22</v>
      </c>
      <c r="J30" s="10" t="s">
        <v>57</v>
      </c>
      <c r="K30" s="10">
        <f>$C$5 - $C$17 - SUM(K15:K29)</f>
        <v>-2.1109054159751395E-4</v>
      </c>
      <c r="L30" s="10" t="s">
        <v>7</v>
      </c>
      <c r="N30" s="6" t="s">
        <v>38</v>
      </c>
      <c r="O30" s="6">
        <f xml:space="preserve"> 1/$C$78 * LN( EXP($C$78 * O28) + EXP($C$78 * O29) )</f>
        <v>1.2641975139254535</v>
      </c>
      <c r="R30" s="6" t="s">
        <v>38</v>
      </c>
      <c r="S30" s="6">
        <f xml:space="preserve"> 1/$C$78 * LN( EXP($C$78 * S28) + EXP($C$78 * S29) )</f>
        <v>1.2274505340559159</v>
      </c>
      <c r="Y30" s="2">
        <v>26</v>
      </c>
      <c r="Z30" s="2">
        <f>IF(AF29&gt;0, AD29, Z29)</f>
        <v>0.14678147435188382</v>
      </c>
      <c r="AA30" s="2">
        <f t="shared" si="0"/>
        <v>9.1161503346093298E-10</v>
      </c>
      <c r="AB30" s="2">
        <f t="shared" si="8"/>
        <v>0.14678148925304502</v>
      </c>
      <c r="AC30" s="2">
        <f t="shared" si="1"/>
        <v>-2.6582519324636067E-8</v>
      </c>
      <c r="AD30" s="2">
        <f t="shared" si="2"/>
        <v>0.14678148180246442</v>
      </c>
      <c r="AE30" s="2">
        <f t="shared" si="3"/>
        <v>-1.2835452478654474E-8</v>
      </c>
      <c r="AF30" s="2">
        <f t="shared" si="4"/>
        <v>-1.1700991440814814E-17</v>
      </c>
      <c r="AG30" s="2">
        <f t="shared" si="5"/>
        <v>3.4119866355428045E-16</v>
      </c>
      <c r="AH30" s="2">
        <f t="shared" si="6"/>
        <v>1.4901161193847656E-8</v>
      </c>
      <c r="AJ30" s="2">
        <v>26</v>
      </c>
      <c r="AK30" s="2">
        <f t="shared" si="13"/>
        <v>2814.188614487648</v>
      </c>
      <c r="AL30" s="2">
        <v>-4.2434384340594988E-5</v>
      </c>
      <c r="AM30" s="2">
        <f t="shared" si="14"/>
        <v>2814.1887485980988</v>
      </c>
      <c r="AN30" s="2">
        <v>4.0457734939991497E-7</v>
      </c>
      <c r="AO30" s="2">
        <f t="shared" si="9"/>
        <v>2814.1886815428734</v>
      </c>
      <c r="AP30" s="2">
        <v>-2.2531590275320923E-5</v>
      </c>
      <c r="AQ30" s="2">
        <f t="shared" si="10"/>
        <v>9.5611416154778049E-10</v>
      </c>
      <c r="AR30" s="2">
        <f t="shared" si="11"/>
        <v>-9.1157710713542393E-12</v>
      </c>
      <c r="AS30" s="2">
        <f t="shared" si="12"/>
        <v>1.3411045074462891E-4</v>
      </c>
    </row>
    <row r="31" spans="2:45" x14ac:dyDescent="0.2">
      <c r="B31" s="6" t="s">
        <v>246</v>
      </c>
      <c r="C31" s="6">
        <f>$C$30*$C$12/PI()</f>
        <v>0.84998288907657626</v>
      </c>
      <c r="F31" t="s">
        <v>100</v>
      </c>
      <c r="G31" s="6">
        <f>G33/$C$22</f>
        <v>69.299642971213302</v>
      </c>
      <c r="H31" t="s">
        <v>104</v>
      </c>
      <c r="J31" s="6" t="s">
        <v>58</v>
      </c>
      <c r="K31" s="4" t="str">
        <f>IF(ABS(K30)&lt;1, "TRUE", "FALSE")</f>
        <v>TRUE</v>
      </c>
      <c r="Y31" s="2">
        <v>27</v>
      </c>
      <c r="Z31" s="2">
        <f t="shared" ref="Z31:Z34" si="15">IF(AF30&gt;0, AD30, Z30)</f>
        <v>0.14678147435188382</v>
      </c>
      <c r="AA31" s="2">
        <f t="shared" si="0"/>
        <v>9.1161503346093298E-10</v>
      </c>
      <c r="AB31" s="2">
        <f t="shared" si="8"/>
        <v>0.14678148180246442</v>
      </c>
      <c r="AC31" s="2">
        <f t="shared" si="1"/>
        <v>-1.2835452478654474E-8</v>
      </c>
      <c r="AD31" s="2">
        <f t="shared" si="2"/>
        <v>0.14678147807717412</v>
      </c>
      <c r="AE31" s="2">
        <f t="shared" si="3"/>
        <v>-5.9619187919857097E-9</v>
      </c>
      <c r="AF31" s="2">
        <f t="shared" si="4"/>
        <v>-5.4349747990474179E-18</v>
      </c>
      <c r="AG31" s="2">
        <f t="shared" si="5"/>
        <v>7.6523925336129668E-17</v>
      </c>
      <c r="AH31" s="2">
        <f t="shared" si="6"/>
        <v>7.4505805969238281E-9</v>
      </c>
      <c r="AJ31" s="2">
        <v>27</v>
      </c>
      <c r="AK31" s="2">
        <f t="shared" si="13"/>
        <v>2814.1886815428734</v>
      </c>
      <c r="AL31" s="2">
        <v>-2.2531590275320923E-5</v>
      </c>
      <c r="AM31" s="2">
        <f t="shared" si="14"/>
        <v>2814.1887485980988</v>
      </c>
      <c r="AN31" s="2">
        <v>4.0457734939991497E-7</v>
      </c>
      <c r="AO31" s="2">
        <f t="shared" si="9"/>
        <v>2814.1887150704861</v>
      </c>
      <c r="AP31" s="2">
        <v>-1.2258302376721986E-5</v>
      </c>
      <c r="AQ31" s="2">
        <f t="shared" si="10"/>
        <v>2.7619904662329245E-10</v>
      </c>
      <c r="AR31" s="2">
        <f t="shared" si="11"/>
        <v>-4.9594314837168588E-12</v>
      </c>
      <c r="AS31" s="2">
        <f t="shared" si="12"/>
        <v>6.7055225372314453E-5</v>
      </c>
    </row>
    <row r="32" spans="2:45" x14ac:dyDescent="0.2">
      <c r="B32" s="6" t="s">
        <v>247</v>
      </c>
      <c r="C32" s="17">
        <v>0.75</v>
      </c>
      <c r="F32" t="s">
        <v>274</v>
      </c>
      <c r="G32" s="6">
        <f xml:space="preserve"> (G30/$C$69*1000) / (G31*1000)</f>
        <v>5.0761229637737797</v>
      </c>
      <c r="H32" s="6" t="s">
        <v>275</v>
      </c>
      <c r="Y32" s="2">
        <v>28</v>
      </c>
      <c r="Z32" s="2">
        <f t="shared" si="15"/>
        <v>0.14678147435188382</v>
      </c>
      <c r="AA32" s="2">
        <f t="shared" si="0"/>
        <v>9.1161503346093298E-10</v>
      </c>
      <c r="AB32" s="2">
        <f t="shared" si="8"/>
        <v>0.14678147807717412</v>
      </c>
      <c r="AC32" s="2">
        <f t="shared" si="1"/>
        <v>-5.9619187919857097E-9</v>
      </c>
      <c r="AD32" s="2">
        <f t="shared" si="2"/>
        <v>0.14678147621452897</v>
      </c>
      <c r="AE32" s="2">
        <f t="shared" si="3"/>
        <v>-2.5251518931401762E-9</v>
      </c>
      <c r="AF32" s="2">
        <f t="shared" si="4"/>
        <v>-2.30196642755892E-18</v>
      </c>
      <c r="AG32" s="2">
        <f t="shared" si="5"/>
        <v>1.5054750524330706E-17</v>
      </c>
      <c r="AH32" s="2">
        <f t="shared" si="6"/>
        <v>3.7252902984619141E-9</v>
      </c>
      <c r="AJ32" s="2">
        <v>28</v>
      </c>
      <c r="AK32" s="2">
        <f t="shared" si="13"/>
        <v>2814.1887150704861</v>
      </c>
      <c r="AL32" s="2">
        <v>-1.2258302376721986E-5</v>
      </c>
      <c r="AM32" s="2">
        <f t="shared" si="14"/>
        <v>2814.1887485980988</v>
      </c>
      <c r="AN32" s="2">
        <v>4.0457734939991497E-7</v>
      </c>
      <c r="AO32" s="2">
        <f t="shared" si="9"/>
        <v>2814.1887318342924</v>
      </c>
      <c r="AP32" s="2">
        <v>-5.9268622862873599E-6</v>
      </c>
      <c r="AQ32" s="2">
        <f t="shared" si="10"/>
        <v>7.2653270050500245E-11</v>
      </c>
      <c r="AR32" s="2">
        <f t="shared" si="11"/>
        <v>-2.39787423404446E-12</v>
      </c>
      <c r="AS32" s="2">
        <f t="shared" si="12"/>
        <v>3.3527612686157227E-5</v>
      </c>
    </row>
    <row r="33" spans="2:45" x14ac:dyDescent="0.2">
      <c r="B33" s="6" t="s">
        <v>288</v>
      </c>
      <c r="C33" s="17">
        <v>50</v>
      </c>
      <c r="D33" s="6" t="s">
        <v>61</v>
      </c>
      <c r="F33" s="43" t="s">
        <v>86</v>
      </c>
      <c r="G33" s="43">
        <f xml:space="preserve"> 1/1000 * IF( $G$27&gt;=2*SQRT(($C$5*$C$69)/(2*$C$66*$C$22*PI()*$C$9*$C$9)), ($C$5*$C$69)/$C$25 * ( ($G$27/2) - SQRT( ($G$27/2)^2 - ($C$5*$C$69)/(2*$C$66*$C$22*PI()*$C$9*$C$9 ) ) ), 1/$C$25 * SQRT(($C$5*$C$69)^3/(2*$C$66*$C$22*PI()*$C$9*$C$9)) )</f>
        <v>554.39714376970642</v>
      </c>
      <c r="H33" s="43" t="s">
        <v>104</v>
      </c>
      <c r="J33" s="46" t="s">
        <v>59</v>
      </c>
      <c r="K33" s="46"/>
      <c r="L33" s="46"/>
      <c r="Y33" s="2">
        <v>29</v>
      </c>
      <c r="Z33" s="2">
        <f t="shared" si="15"/>
        <v>0.14678147435188382</v>
      </c>
      <c r="AA33" s="2">
        <f t="shared" si="0"/>
        <v>9.1161503346093298E-10</v>
      </c>
      <c r="AB33" s="2">
        <f t="shared" si="8"/>
        <v>0.14678147621452897</v>
      </c>
      <c r="AC33" s="2">
        <f t="shared" si="1"/>
        <v>-2.5251518931401762E-9</v>
      </c>
      <c r="AD33" s="2">
        <f t="shared" si="2"/>
        <v>0.1467814752832064</v>
      </c>
      <c r="AE33" s="2">
        <f t="shared" si="3"/>
        <v>-8.067684298396216E-10</v>
      </c>
      <c r="AF33" s="2">
        <f t="shared" si="4"/>
        <v>-7.3546222916347101E-19</v>
      </c>
      <c r="AG33" s="2">
        <f t="shared" si="5"/>
        <v>2.0372128279352479E-18</v>
      </c>
      <c r="AH33" s="2">
        <f t="shared" si="6"/>
        <v>1.862645149230957E-9</v>
      </c>
      <c r="AJ33" s="2">
        <v>29</v>
      </c>
      <c r="AK33" s="2">
        <f t="shared" si="13"/>
        <v>2814.1887318342924</v>
      </c>
      <c r="AL33" s="2">
        <v>-5.9268622862873599E-6</v>
      </c>
      <c r="AM33" s="2">
        <f t="shared" si="14"/>
        <v>2814.1887485980988</v>
      </c>
      <c r="AN33" s="2">
        <v>4.0457734939991497E-7</v>
      </c>
      <c r="AO33" s="2">
        <f t="shared" si="9"/>
        <v>2814.1887402161956</v>
      </c>
      <c r="AP33" s="2">
        <v>-2.7611417863226961E-6</v>
      </c>
      <c r="AQ33" s="2">
        <f t="shared" si="10"/>
        <v>1.63649071204481E-11</v>
      </c>
      <c r="AR33" s="2">
        <f t="shared" si="11"/>
        <v>-1.1170954252277828E-12</v>
      </c>
      <c r="AS33" s="2">
        <f t="shared" si="12"/>
        <v>1.6763806343078613E-5</v>
      </c>
    </row>
    <row r="34" spans="2:45" x14ac:dyDescent="0.2">
      <c r="J34" s="6" t="s">
        <v>60</v>
      </c>
      <c r="K34" s="6">
        <f>ROUND($C$17/$C$5 * 100, 2)</f>
        <v>21.32</v>
      </c>
      <c r="L34" s="6" t="s">
        <v>61</v>
      </c>
      <c r="Y34" s="2">
        <v>30</v>
      </c>
      <c r="Z34" s="2">
        <f t="shared" si="15"/>
        <v>0.14678147435188382</v>
      </c>
      <c r="AA34" s="2">
        <f t="shared" si="0"/>
        <v>9.1161503346093298E-10</v>
      </c>
      <c r="AB34" s="2">
        <f t="shared" si="8"/>
        <v>0.1467814752832064</v>
      </c>
      <c r="AC34" s="2">
        <f t="shared" si="1"/>
        <v>-8.067684298396216E-10</v>
      </c>
      <c r="AD34" s="5">
        <f t="shared" si="2"/>
        <v>0.14678147481754511</v>
      </c>
      <c r="AE34" s="2">
        <f t="shared" si="3"/>
        <v>5.2423287932867879E-11</v>
      </c>
      <c r="AF34" s="2">
        <f t="shared" si="4"/>
        <v>4.7789857383053476E-20</v>
      </c>
      <c r="AG34" s="2">
        <f t="shared" si="5"/>
        <v>-4.2293453692630201E-20</v>
      </c>
      <c r="AH34" s="2">
        <f t="shared" si="6"/>
        <v>9.3132257461547852E-10</v>
      </c>
      <c r="AJ34" s="2">
        <v>30</v>
      </c>
      <c r="AK34" s="2">
        <f t="shared" si="13"/>
        <v>2814.1887402161956</v>
      </c>
      <c r="AL34" s="2">
        <v>-2.7611417863226961E-6</v>
      </c>
      <c r="AM34" s="2">
        <f t="shared" si="14"/>
        <v>2814.1887485980988</v>
      </c>
      <c r="AN34" s="2">
        <v>4.0457734939991497E-7</v>
      </c>
      <c r="AO34" s="2">
        <f t="shared" si="9"/>
        <v>2814.1887444071472</v>
      </c>
      <c r="AP34" s="2">
        <v>-1.1782822184613906E-6</v>
      </c>
      <c r="AQ34" s="2">
        <f t="shared" si="10"/>
        <v>3.2534042694747533E-12</v>
      </c>
      <c r="AR34" s="2">
        <f t="shared" si="11"/>
        <v>-4.7670629679016095E-13</v>
      </c>
      <c r="AS34" s="2">
        <f t="shared" si="12"/>
        <v>8.3819031715393066E-6</v>
      </c>
    </row>
    <row r="35" spans="2:45" x14ac:dyDescent="0.2">
      <c r="B35" s="59" t="s">
        <v>107</v>
      </c>
      <c r="C35" s="59"/>
      <c r="D35" s="59"/>
      <c r="F35" s="55" t="s">
        <v>289</v>
      </c>
      <c r="G35" s="58"/>
      <c r="H35" s="58"/>
      <c r="J35" s="11" t="s">
        <v>55</v>
      </c>
      <c r="K35" s="6">
        <f>ROUND(K15/$C$5 * 100, 2)</f>
        <v>28.51</v>
      </c>
      <c r="L35" s="6" t="s">
        <v>61</v>
      </c>
      <c r="AJ35" s="2">
        <v>31</v>
      </c>
      <c r="AK35" s="2">
        <f t="shared" si="13"/>
        <v>2814.1887444071472</v>
      </c>
      <c r="AL35" s="2">
        <v>-1.1782822184613906E-6</v>
      </c>
      <c r="AM35" s="2">
        <f t="shared" si="14"/>
        <v>2814.1887485980988</v>
      </c>
      <c r="AN35" s="2">
        <v>4.0457734939991497E-7</v>
      </c>
      <c r="AO35" s="2">
        <f t="shared" si="9"/>
        <v>2814.188746502623</v>
      </c>
      <c r="AP35" s="2">
        <v>-3.8685311665176414E-7</v>
      </c>
      <c r="AQ35" s="2">
        <f t="shared" si="10"/>
        <v>4.5582214850714377E-13</v>
      </c>
      <c r="AR35" s="2">
        <f t="shared" si="11"/>
        <v>-1.5651200854206684E-13</v>
      </c>
      <c r="AS35" s="2">
        <f t="shared" si="12"/>
        <v>4.1909515857696533E-6</v>
      </c>
    </row>
    <row r="36" spans="2:45" x14ac:dyDescent="0.2">
      <c r="B36" s="6" t="s">
        <v>108</v>
      </c>
      <c r="C36" s="17">
        <v>6</v>
      </c>
      <c r="F36" s="9" t="s">
        <v>290</v>
      </c>
      <c r="G36" s="17">
        <f>20*60</f>
        <v>1200</v>
      </c>
      <c r="H36" s="6" t="s">
        <v>14</v>
      </c>
      <c r="J36" s="19" t="s">
        <v>81</v>
      </c>
      <c r="K36" s="6">
        <f>ROUND(SUM(K16:K19)/$C$5 * 100, 2)</f>
        <v>17.22</v>
      </c>
      <c r="L36" s="6" t="s">
        <v>61</v>
      </c>
      <c r="Y36" s="16" t="s">
        <v>96</v>
      </c>
      <c r="AJ36" s="2">
        <v>32</v>
      </c>
      <c r="AK36" s="2">
        <f t="shared" si="13"/>
        <v>2814.188746502623</v>
      </c>
      <c r="AL36" s="2">
        <v>-3.8685311665176414E-7</v>
      </c>
      <c r="AM36" s="2">
        <f t="shared" si="14"/>
        <v>2814.1887485980988</v>
      </c>
      <c r="AN36" s="2">
        <v>4.0457734939991497E-7</v>
      </c>
      <c r="AO36" s="2">
        <f t="shared" si="9"/>
        <v>2814.1887475503609</v>
      </c>
      <c r="AP36" s="2">
        <v>8.8625711214262992E-9</v>
      </c>
      <c r="AQ36" s="2">
        <f t="shared" si="10"/>
        <v>-3.4285132598716843E-15</v>
      </c>
      <c r="AR36" s="2">
        <f t="shared" si="11"/>
        <v>3.5855955331748841E-15</v>
      </c>
      <c r="AS36" s="2">
        <f t="shared" si="12"/>
        <v>2.0954757928848267E-6</v>
      </c>
    </row>
    <row r="37" spans="2:45" x14ac:dyDescent="0.2">
      <c r="B37" s="6" t="s">
        <v>109</v>
      </c>
      <c r="C37" s="17">
        <v>9.1440000000000001</v>
      </c>
      <c r="D37" s="6" t="s">
        <v>8</v>
      </c>
      <c r="F37" s="44" t="s">
        <v>225</v>
      </c>
      <c r="G37" s="43">
        <f xml:space="preserve"> G24</f>
        <v>117.54670371560107</v>
      </c>
      <c r="H37" s="43" t="s">
        <v>104</v>
      </c>
      <c r="J37" s="20" t="s">
        <v>72</v>
      </c>
      <c r="K37" s="6">
        <f>ROUND(SUM(K20:K25)/$C$5 * 100, 2)</f>
        <v>28.06</v>
      </c>
      <c r="L37" s="6" t="s">
        <v>61</v>
      </c>
      <c r="Y37" s="7" t="s">
        <v>44</v>
      </c>
      <c r="Z37" s="7" t="s">
        <v>45</v>
      </c>
      <c r="AA37" s="7" t="s">
        <v>46</v>
      </c>
      <c r="AB37" s="7" t="s">
        <v>47</v>
      </c>
      <c r="AC37" s="7" t="s">
        <v>48</v>
      </c>
      <c r="AD37" s="7" t="s">
        <v>49</v>
      </c>
      <c r="AE37" s="7" t="s">
        <v>50</v>
      </c>
      <c r="AF37" s="7" t="s">
        <v>51</v>
      </c>
      <c r="AG37" s="7" t="s">
        <v>52</v>
      </c>
      <c r="AH37" s="7" t="s">
        <v>53</v>
      </c>
      <c r="AJ37" s="2">
        <v>33</v>
      </c>
      <c r="AK37" s="2">
        <f t="shared" si="13"/>
        <v>2814.188746502623</v>
      </c>
      <c r="AL37" s="2">
        <v>-3.8685311665176414E-7</v>
      </c>
      <c r="AM37" s="2">
        <f t="shared" si="14"/>
        <v>2814.1887475503609</v>
      </c>
      <c r="AN37" s="2">
        <v>8.8625711214262992E-9</v>
      </c>
      <c r="AO37" s="2">
        <f t="shared" si="9"/>
        <v>2814.1887470264919</v>
      </c>
      <c r="AP37" s="2">
        <v>-1.8899572751251981E-7</v>
      </c>
      <c r="AQ37" s="2">
        <f t="shared" si="10"/>
        <v>7.3113586222085854E-14</v>
      </c>
      <c r="AR37" s="2">
        <f t="shared" si="11"/>
        <v>-1.6749880767254119E-15</v>
      </c>
      <c r="AS37" s="2">
        <f t="shared" si="12"/>
        <v>1.0477378964424133E-6</v>
      </c>
    </row>
    <row r="38" spans="2:45" x14ac:dyDescent="0.2">
      <c r="B38" s="6" t="s">
        <v>110</v>
      </c>
      <c r="C38" s="17">
        <v>1.8675309360000001</v>
      </c>
      <c r="D38" s="6" t="s">
        <v>8</v>
      </c>
      <c r="J38" s="15" t="s">
        <v>73</v>
      </c>
      <c r="K38" s="6">
        <f>ROUND(SUM(K26:K29)/$C$5*100, 2)</f>
        <v>4.8899999999999997</v>
      </c>
      <c r="L38" s="6" t="s">
        <v>61</v>
      </c>
      <c r="Y38" s="2">
        <v>0</v>
      </c>
      <c r="Z38" s="3">
        <v>0</v>
      </c>
      <c r="AA38" s="2">
        <f t="shared" ref="AA38:AA68" si="16" xml:space="preserve"> $S$22 * TAN($S$19/180*PI()) + $S$23 / (2 * SQRT($S$22^2 + Z38^2)) - Z38</f>
        <v>1.2630190097541805</v>
      </c>
      <c r="AB38" s="3">
        <v>1</v>
      </c>
      <c r="AC38" s="2">
        <f t="shared" ref="AC38:AC68" si="17" xml:space="preserve"> $S$22 * TAN($S$19/180*PI()) + $S$23 / (2 * SQRT($S$22^2 + AB38^2)) - AB38</f>
        <v>-4.2845531640478107E-2</v>
      </c>
      <c r="AD38" s="2">
        <f xml:space="preserve"> (Z38 + AB38)/2</f>
        <v>0.5</v>
      </c>
      <c r="AE38" s="2">
        <f t="shared" ref="AE38:AE68" si="18" xml:space="preserve"> $S$22 * TAN($S$19/180*PI()) + $S$23 / (2 * SQRT($S$22^2 + AD38^2)) - AD38</f>
        <v>0.4836278861694796</v>
      </c>
      <c r="AF38" s="2">
        <f>AA38*AE38</f>
        <v>0.61083121387928363</v>
      </c>
      <c r="AG38" s="2">
        <f>AC38*AE38</f>
        <v>-2.0721293899091983E-2</v>
      </c>
      <c r="AH38" s="2">
        <f>AB38-Z38</f>
        <v>1</v>
      </c>
      <c r="AJ38" s="2">
        <v>34</v>
      </c>
      <c r="AK38" s="2">
        <f t="shared" si="13"/>
        <v>2814.1887470264919</v>
      </c>
      <c r="AL38" s="2">
        <v>-1.8899572751251981E-7</v>
      </c>
      <c r="AM38" s="2">
        <f t="shared" si="14"/>
        <v>2814.1887475503609</v>
      </c>
      <c r="AN38" s="2">
        <v>8.8625711214262992E-9</v>
      </c>
      <c r="AO38" s="2">
        <f t="shared" si="9"/>
        <v>2814.1887472884264</v>
      </c>
      <c r="AP38" s="2">
        <v>-9.006635082187131E-8</v>
      </c>
      <c r="AQ38" s="2">
        <f t="shared" si="10"/>
        <v>1.7022155497977405E-14</v>
      </c>
      <c r="AR38" s="2">
        <f t="shared" si="11"/>
        <v>-7.9821943980616651E-16</v>
      </c>
      <c r="AS38" s="2">
        <f t="shared" si="12"/>
        <v>5.2386894822120667E-7</v>
      </c>
    </row>
    <row r="39" spans="2:45" x14ac:dyDescent="0.2">
      <c r="J39" s="10" t="s">
        <v>62</v>
      </c>
      <c r="K39" s="10">
        <f>SUM(K34:K38)</f>
        <v>100</v>
      </c>
      <c r="L39" s="10" t="s">
        <v>61</v>
      </c>
      <c r="Y39" s="2">
        <v>1</v>
      </c>
      <c r="Z39" s="2">
        <f>IF(AF38&gt;0, AD38, Z38)</f>
        <v>0.5</v>
      </c>
      <c r="AA39" s="2">
        <f t="shared" si="16"/>
        <v>0.4836278861694796</v>
      </c>
      <c r="AB39" s="2">
        <f>IF(AG38&gt;0, AD38, AB38)</f>
        <v>1</v>
      </c>
      <c r="AC39" s="2">
        <f t="shared" si="17"/>
        <v>-4.2845531640478107E-2</v>
      </c>
      <c r="AD39" s="2">
        <f t="shared" ref="AD39:AD68" si="19" xml:space="preserve"> (Z39 + AB39)/2</f>
        <v>0.75</v>
      </c>
      <c r="AE39" s="2">
        <f t="shared" si="18"/>
        <v>0.2160622262909323</v>
      </c>
      <c r="AF39" s="2">
        <f t="shared" ref="AF39:AF68" si="20">AA39*AE39</f>
        <v>0.10449371778215535</v>
      </c>
      <c r="AG39" s="2">
        <f t="shared" ref="AG39:AG68" si="21">AC39*AE39</f>
        <v>-9.2573009528602816E-3</v>
      </c>
      <c r="AH39" s="2">
        <f t="shared" ref="AH39:AH68" si="22">AB39-Z39</f>
        <v>0.5</v>
      </c>
      <c r="AJ39" s="2">
        <v>35</v>
      </c>
      <c r="AK39" s="2">
        <f t="shared" si="13"/>
        <v>2814.1887472884264</v>
      </c>
      <c r="AL39" s="2">
        <v>-9.006635082187131E-8</v>
      </c>
      <c r="AM39" s="2">
        <f t="shared" si="14"/>
        <v>2814.1887475503609</v>
      </c>
      <c r="AN39" s="2">
        <v>8.8625711214262992E-9</v>
      </c>
      <c r="AO39" s="2">
        <f t="shared" si="9"/>
        <v>2814.1887474193936</v>
      </c>
      <c r="AP39" s="2">
        <v>-4.0602117223897949E-8</v>
      </c>
      <c r="AQ39" s="2">
        <f t="shared" si="10"/>
        <v>3.6568845339983363E-15</v>
      </c>
      <c r="AR39" s="2">
        <f t="shared" si="11"/>
        <v>-3.598391515772833E-16</v>
      </c>
      <c r="AS39" s="2">
        <f t="shared" si="12"/>
        <v>2.6193447411060333E-7</v>
      </c>
    </row>
    <row r="40" spans="2:45" x14ac:dyDescent="0.2">
      <c r="B40" s="59" t="s">
        <v>111</v>
      </c>
      <c r="C40" s="59"/>
      <c r="D40" s="59"/>
      <c r="Y40" s="2">
        <v>2</v>
      </c>
      <c r="Z40" s="2">
        <f t="shared" ref="Z40:Z68" si="23">IF(AF39&gt;0, AD39, Z39)</f>
        <v>0.75</v>
      </c>
      <c r="AA40" s="2">
        <f t="shared" si="16"/>
        <v>0.2160622262909323</v>
      </c>
      <c r="AB40" s="2">
        <f t="shared" ref="AB40:AB68" si="24">IF(AG39&gt;0, AD39, AB39)</f>
        <v>1</v>
      </c>
      <c r="AC40" s="2">
        <f t="shared" si="17"/>
        <v>-4.2845531640478107E-2</v>
      </c>
      <c r="AD40" s="2">
        <f t="shared" si="19"/>
        <v>0.875</v>
      </c>
      <c r="AE40" s="2">
        <f t="shared" si="18"/>
        <v>8.5980375410452559E-2</v>
      </c>
      <c r="AF40" s="2">
        <f t="shared" si="20"/>
        <v>1.8577111328512513E-2</v>
      </c>
      <c r="AG40" s="2">
        <f t="shared" si="21"/>
        <v>-3.6838748951087308E-3</v>
      </c>
      <c r="AH40" s="2">
        <f t="shared" si="22"/>
        <v>0.25</v>
      </c>
      <c r="AJ40" s="2">
        <v>36</v>
      </c>
      <c r="AK40" s="2">
        <f t="shared" si="13"/>
        <v>2814.1887474193936</v>
      </c>
      <c r="AL40" s="2">
        <v>-4.0602117223897949E-8</v>
      </c>
      <c r="AM40" s="2">
        <f t="shared" si="14"/>
        <v>2814.1887475503609</v>
      </c>
      <c r="AN40" s="2">
        <v>8.8625711214262992E-9</v>
      </c>
      <c r="AO40" s="2">
        <f t="shared" si="9"/>
        <v>2814.1887474848772</v>
      </c>
      <c r="AP40" s="2">
        <v>-1.5869773051235825E-8</v>
      </c>
      <c r="AQ40" s="2">
        <f t="shared" si="10"/>
        <v>6.4434638574293359E-16</v>
      </c>
      <c r="AR40" s="2">
        <f t="shared" si="11"/>
        <v>-1.4064699234747195E-16</v>
      </c>
      <c r="AS40" s="2">
        <f t="shared" si="12"/>
        <v>1.3096723705530167E-7</v>
      </c>
    </row>
    <row r="41" spans="2:45" x14ac:dyDescent="0.2">
      <c r="B41" s="6" t="s">
        <v>124</v>
      </c>
      <c r="C41" s="22" t="s">
        <v>125</v>
      </c>
      <c r="J41" s="59" t="s">
        <v>116</v>
      </c>
      <c r="K41" s="59"/>
      <c r="L41" s="59"/>
      <c r="Y41" s="2">
        <v>3</v>
      </c>
      <c r="Z41" s="2">
        <f t="shared" si="23"/>
        <v>0.875</v>
      </c>
      <c r="AA41" s="2">
        <f t="shared" si="16"/>
        <v>8.5980375410452559E-2</v>
      </c>
      <c r="AB41" s="2">
        <f t="shared" si="24"/>
        <v>1</v>
      </c>
      <c r="AC41" s="2">
        <f t="shared" si="17"/>
        <v>-4.2845531640478107E-2</v>
      </c>
      <c r="AD41" s="2">
        <f t="shared" si="19"/>
        <v>0.9375</v>
      </c>
      <c r="AE41" s="2">
        <f t="shared" si="18"/>
        <v>2.1441326451423381E-2</v>
      </c>
      <c r="AF41" s="2">
        <f t="shared" si="20"/>
        <v>1.8435332975914489E-3</v>
      </c>
      <c r="AG41" s="2">
        <f t="shared" si="21"/>
        <v>-9.1866503088828069E-4</v>
      </c>
      <c r="AH41" s="2">
        <f t="shared" si="22"/>
        <v>0.125</v>
      </c>
      <c r="AJ41" s="2">
        <v>37</v>
      </c>
      <c r="AK41" s="2">
        <f t="shared" si="13"/>
        <v>2814.1887474848772</v>
      </c>
      <c r="AL41" s="2">
        <v>-1.5869773051235825E-8</v>
      </c>
      <c r="AM41" s="2">
        <f t="shared" si="14"/>
        <v>2814.1887475503609</v>
      </c>
      <c r="AN41" s="2">
        <v>8.8625711214262992E-9</v>
      </c>
      <c r="AO41" s="2">
        <f t="shared" si="9"/>
        <v>2814.188747517619</v>
      </c>
      <c r="AP41" s="2">
        <v>-3.5033735912293196E-9</v>
      </c>
      <c r="AQ41" s="2">
        <f t="shared" si="10"/>
        <v>5.5597743806502328E-17</v>
      </c>
      <c r="AR41" s="2">
        <f t="shared" si="11"/>
        <v>-3.1048897617196512E-17</v>
      </c>
      <c r="AS41" s="2">
        <f t="shared" si="12"/>
        <v>6.5483618527650833E-8</v>
      </c>
    </row>
    <row r="42" spans="2:45" x14ac:dyDescent="0.2">
      <c r="B42" s="6" t="s">
        <v>126</v>
      </c>
      <c r="C42" s="6">
        <f>IF(C41="wheeled",0.0325,0.014)</f>
        <v>3.2500000000000001E-2</v>
      </c>
      <c r="J42" s="6" t="s">
        <v>60</v>
      </c>
      <c r="K42" s="6">
        <f>ROUND(C17,2)</f>
        <v>600</v>
      </c>
      <c r="L42" s="6" t="s">
        <v>7</v>
      </c>
      <c r="Y42" s="2">
        <v>4</v>
      </c>
      <c r="Z42" s="2">
        <f t="shared" si="23"/>
        <v>0.9375</v>
      </c>
      <c r="AA42" s="2">
        <f t="shared" si="16"/>
        <v>2.1441326451423381E-2</v>
      </c>
      <c r="AB42" s="2">
        <f t="shared" si="24"/>
        <v>1</v>
      </c>
      <c r="AC42" s="2">
        <f t="shared" si="17"/>
        <v>-4.2845531640478107E-2</v>
      </c>
      <c r="AD42" s="2">
        <f t="shared" si="19"/>
        <v>0.96875</v>
      </c>
      <c r="AE42" s="2">
        <f t="shared" si="18"/>
        <v>-1.0730619758708149E-2</v>
      </c>
      <c r="AF42" s="2">
        <f t="shared" si="20"/>
        <v>-2.3007872127255542E-4</v>
      </c>
      <c r="AG42" s="2">
        <f t="shared" si="21"/>
        <v>4.5975910839366954E-4</v>
      </c>
      <c r="AH42" s="2">
        <f t="shared" si="22"/>
        <v>6.25E-2</v>
      </c>
      <c r="AJ42" s="2">
        <v>38</v>
      </c>
      <c r="AK42" s="2">
        <f t="shared" si="13"/>
        <v>2814.188747517619</v>
      </c>
      <c r="AL42" s="2">
        <v>-3.5033735912293196E-9</v>
      </c>
      <c r="AM42" s="2">
        <f t="shared" si="14"/>
        <v>2814.1887475503609</v>
      </c>
      <c r="AN42" s="2">
        <v>8.8625711214262992E-9</v>
      </c>
      <c r="AO42" s="2">
        <f t="shared" si="9"/>
        <v>2814.18874753399</v>
      </c>
      <c r="AP42" s="2">
        <v>2.6789166440721601E-9</v>
      </c>
      <c r="AQ42" s="2">
        <f t="shared" si="10"/>
        <v>-9.3852458239470805E-18</v>
      </c>
      <c r="AR42" s="2">
        <f t="shared" si="11"/>
        <v>2.3742089286462182E-17</v>
      </c>
      <c r="AS42" s="2">
        <f t="shared" si="12"/>
        <v>3.2741809263825417E-8</v>
      </c>
    </row>
    <row r="43" spans="2:45" x14ac:dyDescent="0.2">
      <c r="B43" s="6" t="s">
        <v>112</v>
      </c>
      <c r="C43" s="17">
        <v>0.30480000000000002</v>
      </c>
      <c r="D43" s="6" t="s">
        <v>8</v>
      </c>
      <c r="J43" s="11" t="s">
        <v>55</v>
      </c>
      <c r="K43" s="6">
        <f>ROUND(K15, 2)</f>
        <v>802.45</v>
      </c>
      <c r="L43" s="6" t="s">
        <v>7</v>
      </c>
      <c r="Y43" s="2">
        <v>5</v>
      </c>
      <c r="Z43" s="2">
        <f t="shared" si="23"/>
        <v>0.9375</v>
      </c>
      <c r="AA43" s="2">
        <f t="shared" si="16"/>
        <v>2.1441326451423381E-2</v>
      </c>
      <c r="AB43" s="2">
        <f t="shared" si="24"/>
        <v>0.96875</v>
      </c>
      <c r="AC43" s="2">
        <f t="shared" si="17"/>
        <v>-1.0730619758708149E-2</v>
      </c>
      <c r="AD43" s="2">
        <f t="shared" si="19"/>
        <v>0.953125</v>
      </c>
      <c r="AE43" s="2">
        <f t="shared" si="18"/>
        <v>5.3478784595074602E-3</v>
      </c>
      <c r="AF43" s="2">
        <f t="shared" si="20"/>
        <v>1.1466560787283463E-4</v>
      </c>
      <c r="AG43" s="2">
        <f t="shared" si="21"/>
        <v>-5.7386050264760449E-5</v>
      </c>
      <c r="AH43" s="2">
        <f t="shared" si="22"/>
        <v>3.125E-2</v>
      </c>
      <c r="AJ43" s="2">
        <v>39</v>
      </c>
      <c r="AK43" s="2">
        <f t="shared" si="13"/>
        <v>2814.188747517619</v>
      </c>
      <c r="AL43" s="2">
        <v>-3.5033735912293196E-9</v>
      </c>
      <c r="AM43" s="2">
        <f t="shared" si="14"/>
        <v>2814.18874753399</v>
      </c>
      <c r="AN43" s="2">
        <v>2.6789166440721601E-9</v>
      </c>
      <c r="AO43" s="2">
        <f t="shared" si="9"/>
        <v>2814.1887475258045</v>
      </c>
      <c r="AP43" s="2">
        <v>-4.1245584725402296E-10</v>
      </c>
      <c r="AQ43" s="2">
        <f t="shared" si="10"/>
        <v>1.4449869228178581E-18</v>
      </c>
      <c r="AR43" s="2">
        <f t="shared" si="11"/>
        <v>-1.1049348341536867E-18</v>
      </c>
      <c r="AS43" s="2">
        <f t="shared" si="12"/>
        <v>1.6370904631912708E-8</v>
      </c>
    </row>
    <row r="44" spans="2:45" x14ac:dyDescent="0.2">
      <c r="B44" s="6" t="s">
        <v>113</v>
      </c>
      <c r="C44" s="17">
        <v>5.7</v>
      </c>
      <c r="J44" s="19" t="s">
        <v>81</v>
      </c>
      <c r="K44" s="6">
        <f>ROUND(SUM(K16:K19), 2)</f>
        <v>484.54</v>
      </c>
      <c r="L44" s="6" t="s">
        <v>7</v>
      </c>
      <c r="Y44" s="2">
        <v>6</v>
      </c>
      <c r="Z44" s="2">
        <f t="shared" si="23"/>
        <v>0.953125</v>
      </c>
      <c r="AA44" s="2">
        <f t="shared" si="16"/>
        <v>5.3478784595074602E-3</v>
      </c>
      <c r="AB44" s="2">
        <f t="shared" si="24"/>
        <v>0.96875</v>
      </c>
      <c r="AC44" s="2">
        <f t="shared" si="17"/>
        <v>-1.0730619758708149E-2</v>
      </c>
      <c r="AD44" s="2">
        <f t="shared" si="19"/>
        <v>0.9609375</v>
      </c>
      <c r="AE44" s="2">
        <f t="shared" si="18"/>
        <v>-2.6931944471031422E-3</v>
      </c>
      <c r="AF44" s="2">
        <f t="shared" si="20"/>
        <v>-1.4402876570927998E-5</v>
      </c>
      <c r="AG44" s="2">
        <f t="shared" si="21"/>
        <v>2.8899645548128044E-5</v>
      </c>
      <c r="AH44" s="2">
        <f t="shared" si="22"/>
        <v>1.5625E-2</v>
      </c>
      <c r="AJ44" s="2">
        <v>40</v>
      </c>
      <c r="AK44" s="2">
        <f t="shared" si="13"/>
        <v>2814.1887475258045</v>
      </c>
      <c r="AL44" s="2">
        <v>-4.1245584725402296E-10</v>
      </c>
      <c r="AM44" s="2">
        <f t="shared" si="14"/>
        <v>2814.18874753399</v>
      </c>
      <c r="AN44" s="2">
        <v>2.6789166440721601E-9</v>
      </c>
      <c r="AO44" s="5">
        <f t="shared" si="9"/>
        <v>2814.1887475298972</v>
      </c>
      <c r="AP44" s="2">
        <v>1.1332303984090686E-9</v>
      </c>
      <c r="AQ44" s="2">
        <f t="shared" si="10"/>
        <v>-4.6740750410982637E-19</v>
      </c>
      <c r="AR44" s="2">
        <f t="shared" si="11"/>
        <v>3.035829775866579E-18</v>
      </c>
      <c r="AS44" s="2">
        <f t="shared" si="12"/>
        <v>8.1854523159563541E-9</v>
      </c>
    </row>
    <row r="45" spans="2:45" x14ac:dyDescent="0.2">
      <c r="J45" s="20" t="s">
        <v>72</v>
      </c>
      <c r="K45" s="6">
        <f>ROUND(SUM(K20:K25), 2)</f>
        <v>789.59</v>
      </c>
      <c r="L45" s="6" t="s">
        <v>7</v>
      </c>
      <c r="Y45" s="2">
        <v>7</v>
      </c>
      <c r="Z45" s="2">
        <f t="shared" si="23"/>
        <v>0.953125</v>
      </c>
      <c r="AA45" s="2">
        <f t="shared" si="16"/>
        <v>5.3478784595074602E-3</v>
      </c>
      <c r="AB45" s="2">
        <f t="shared" si="24"/>
        <v>0.9609375</v>
      </c>
      <c r="AC45" s="2">
        <f t="shared" si="17"/>
        <v>-2.6931944471031422E-3</v>
      </c>
      <c r="AD45" s="2">
        <f t="shared" si="19"/>
        <v>0.95703125</v>
      </c>
      <c r="AE45" s="2">
        <f t="shared" si="18"/>
        <v>1.3268805538311224E-3</v>
      </c>
      <c r="AF45" s="2">
        <f t="shared" si="20"/>
        <v>7.0959959321727883E-6</v>
      </c>
      <c r="AG45" s="2">
        <f t="shared" si="21"/>
        <v>-3.5735473395471207E-6</v>
      </c>
      <c r="AH45" s="2">
        <f t="shared" si="22"/>
        <v>7.8125E-3</v>
      </c>
    </row>
    <row r="46" spans="2:45" x14ac:dyDescent="0.2">
      <c r="B46" s="59" t="s">
        <v>248</v>
      </c>
      <c r="C46" s="59"/>
      <c r="D46" s="59"/>
      <c r="J46" s="15" t="s">
        <v>73</v>
      </c>
      <c r="K46" s="6">
        <f>ROUND(SUM(K26:K29), 2)</f>
        <v>137.61000000000001</v>
      </c>
      <c r="L46" s="6" t="s">
        <v>7</v>
      </c>
      <c r="Y46" s="2">
        <v>8</v>
      </c>
      <c r="Z46" s="2">
        <f t="shared" si="23"/>
        <v>0.95703125</v>
      </c>
      <c r="AA46" s="2">
        <f t="shared" si="16"/>
        <v>1.3268805538311224E-3</v>
      </c>
      <c r="AB46" s="2">
        <f t="shared" si="24"/>
        <v>0.9609375</v>
      </c>
      <c r="AC46" s="2">
        <f t="shared" si="17"/>
        <v>-2.6931944471031422E-3</v>
      </c>
      <c r="AD46" s="2">
        <f t="shared" si="19"/>
        <v>0.958984375</v>
      </c>
      <c r="AE46" s="2">
        <f t="shared" si="18"/>
        <v>-6.8327161497527822E-4</v>
      </c>
      <c r="AF46" s="2">
        <f t="shared" si="20"/>
        <v>-9.0661981889548252E-7</v>
      </c>
      <c r="AG46" s="2">
        <f t="shared" si="21"/>
        <v>1.8401833193146155E-6</v>
      </c>
      <c r="AH46" s="2">
        <f t="shared" si="22"/>
        <v>3.90625E-3</v>
      </c>
    </row>
    <row r="47" spans="2:45" x14ac:dyDescent="0.2">
      <c r="B47" s="6" t="s">
        <v>113</v>
      </c>
      <c r="C47" s="17">
        <v>3</v>
      </c>
      <c r="J47" s="10" t="s">
        <v>62</v>
      </c>
      <c r="K47" s="10">
        <f>SUM(K42:K46)</f>
        <v>2814.19</v>
      </c>
      <c r="L47" s="6" t="s">
        <v>7</v>
      </c>
      <c r="Y47" s="2">
        <v>9</v>
      </c>
      <c r="Z47" s="2">
        <f t="shared" si="23"/>
        <v>0.95703125</v>
      </c>
      <c r="AA47" s="2">
        <f t="shared" si="16"/>
        <v>1.3268805538311224E-3</v>
      </c>
      <c r="AB47" s="2">
        <f t="shared" si="24"/>
        <v>0.958984375</v>
      </c>
      <c r="AC47" s="2">
        <f t="shared" si="17"/>
        <v>-6.8327161497527822E-4</v>
      </c>
      <c r="AD47" s="2">
        <f t="shared" si="19"/>
        <v>0.9580078125</v>
      </c>
      <c r="AE47" s="2">
        <f t="shared" si="18"/>
        <v>3.2177571593350329E-4</v>
      </c>
      <c r="AF47" s="2">
        <f t="shared" si="20"/>
        <v>4.2695794016725274E-7</v>
      </c>
      <c r="AG47" s="2">
        <f t="shared" si="21"/>
        <v>-2.1986021308571115E-7</v>
      </c>
      <c r="AH47" s="2">
        <f t="shared" si="22"/>
        <v>1.953125E-3</v>
      </c>
    </row>
    <row r="48" spans="2:45" x14ac:dyDescent="0.2">
      <c r="Y48" s="2">
        <v>10</v>
      </c>
      <c r="Z48" s="2">
        <f t="shared" si="23"/>
        <v>0.9580078125</v>
      </c>
      <c r="AA48" s="2">
        <f t="shared" si="16"/>
        <v>3.2177571593350329E-4</v>
      </c>
      <c r="AB48" s="2">
        <f t="shared" si="24"/>
        <v>0.958984375</v>
      </c>
      <c r="AC48" s="2">
        <f t="shared" si="17"/>
        <v>-6.8327161497527822E-4</v>
      </c>
      <c r="AD48" s="2">
        <f t="shared" si="19"/>
        <v>0.95849609375</v>
      </c>
      <c r="AE48" s="2">
        <f t="shared" si="18"/>
        <v>-1.8075512706627883E-4</v>
      </c>
      <c r="AF48" s="2">
        <f t="shared" si="20"/>
        <v>-5.8162610420403228E-8</v>
      </c>
      <c r="AG48" s="2">
        <f t="shared" si="21"/>
        <v>1.2350484758563796E-7</v>
      </c>
      <c r="AH48" s="2">
        <f t="shared" si="22"/>
        <v>9.765625E-4</v>
      </c>
    </row>
    <row r="49" spans="2:34" x14ac:dyDescent="0.2">
      <c r="B49" s="59" t="s">
        <v>249</v>
      </c>
      <c r="C49" s="59"/>
      <c r="D49" s="59"/>
      <c r="Y49" s="2">
        <v>11</v>
      </c>
      <c r="Z49" s="2">
        <f t="shared" si="23"/>
        <v>0.9580078125</v>
      </c>
      <c r="AA49" s="2">
        <f t="shared" si="16"/>
        <v>3.2177571593350329E-4</v>
      </c>
      <c r="AB49" s="2">
        <f t="shared" si="24"/>
        <v>0.95849609375</v>
      </c>
      <c r="AC49" s="2">
        <f t="shared" si="17"/>
        <v>-1.8075512706627883E-4</v>
      </c>
      <c r="AD49" s="2">
        <f t="shared" si="19"/>
        <v>0.958251953125</v>
      </c>
      <c r="AE49" s="2">
        <f t="shared" si="18"/>
        <v>7.0508498695498467E-5</v>
      </c>
      <c r="AF49" s="2">
        <f t="shared" si="20"/>
        <v>2.2687922647140503E-8</v>
      </c>
      <c r="AG49" s="2">
        <f t="shared" si="21"/>
        <v>-1.2744772640957381E-8</v>
      </c>
      <c r="AH49" s="2">
        <f t="shared" si="22"/>
        <v>4.8828125E-4</v>
      </c>
    </row>
    <row r="50" spans="2:34" x14ac:dyDescent="0.2">
      <c r="B50" s="6" t="s">
        <v>250</v>
      </c>
      <c r="C50" s="17">
        <v>4.3036300000000001</v>
      </c>
      <c r="Y50" s="2">
        <v>12</v>
      </c>
      <c r="Z50" s="2">
        <f t="shared" si="23"/>
        <v>0.958251953125</v>
      </c>
      <c r="AA50" s="2">
        <f t="shared" si="16"/>
        <v>7.0508498695498467E-5</v>
      </c>
      <c r="AB50" s="2">
        <f t="shared" si="24"/>
        <v>0.95849609375</v>
      </c>
      <c r="AC50" s="2">
        <f t="shared" si="17"/>
        <v>-1.8075512706627883E-4</v>
      </c>
      <c r="AD50" s="2">
        <f t="shared" si="19"/>
        <v>0.9583740234375</v>
      </c>
      <c r="AE50" s="2">
        <f t="shared" si="18"/>
        <v>-5.5123762950803901E-5</v>
      </c>
      <c r="AF50" s="2">
        <f t="shared" si="20"/>
        <v>-3.8866937681077234E-9</v>
      </c>
      <c r="AG50" s="2">
        <f t="shared" si="21"/>
        <v>9.9639027765439929E-9</v>
      </c>
      <c r="AH50" s="2">
        <f t="shared" si="22"/>
        <v>2.44140625E-4</v>
      </c>
    </row>
    <row r="51" spans="2:34" x14ac:dyDescent="0.2">
      <c r="B51" s="6" t="s">
        <v>251</v>
      </c>
      <c r="C51" s="17">
        <f>39.5112*0.3048^2</f>
        <v>3.6707105940480003</v>
      </c>
      <c r="D51" s="6" t="s">
        <v>11</v>
      </c>
      <c r="Y51" s="2">
        <v>13</v>
      </c>
      <c r="Z51" s="2">
        <f t="shared" si="23"/>
        <v>0.958251953125</v>
      </c>
      <c r="AA51" s="2">
        <f t="shared" si="16"/>
        <v>7.0508498695498467E-5</v>
      </c>
      <c r="AB51" s="2">
        <f t="shared" si="24"/>
        <v>0.9583740234375</v>
      </c>
      <c r="AC51" s="2">
        <f t="shared" si="17"/>
        <v>-5.5123762950803901E-5</v>
      </c>
      <c r="AD51" s="2">
        <f t="shared" si="19"/>
        <v>0.95831298828125</v>
      </c>
      <c r="AE51" s="2">
        <f t="shared" si="18"/>
        <v>7.692255659774716E-6</v>
      </c>
      <c r="AF51" s="2">
        <f t="shared" si="20"/>
        <v>5.423693981526663E-10</v>
      </c>
      <c r="AG51" s="2">
        <f t="shared" si="21"/>
        <v>-4.2402607754640109E-10</v>
      </c>
      <c r="AH51" s="2">
        <f t="shared" si="22"/>
        <v>1.220703125E-4</v>
      </c>
    </row>
    <row r="52" spans="2:34" x14ac:dyDescent="0.2">
      <c r="B52" s="6" t="s">
        <v>252</v>
      </c>
      <c r="C52" s="17">
        <f>0.15*3.7875*0.3048</f>
        <v>0.1731645</v>
      </c>
      <c r="D52" s="6" t="s">
        <v>8</v>
      </c>
      <c r="Y52" s="2">
        <v>14</v>
      </c>
      <c r="Z52" s="2">
        <f t="shared" si="23"/>
        <v>0.95831298828125</v>
      </c>
      <c r="AA52" s="2">
        <f t="shared" si="16"/>
        <v>7.692255659774716E-6</v>
      </c>
      <c r="AB52" s="2">
        <f t="shared" si="24"/>
        <v>0.9583740234375</v>
      </c>
      <c r="AC52" s="2">
        <f t="shared" si="17"/>
        <v>-5.5123762950803901E-5</v>
      </c>
      <c r="AD52" s="2">
        <f t="shared" si="19"/>
        <v>0.958343505859375</v>
      </c>
      <c r="AE52" s="2">
        <f t="shared" si="18"/>
        <v>-2.3715781696020954E-5</v>
      </c>
      <c r="AF52" s="2">
        <f t="shared" si="20"/>
        <v>-1.8242785597719881E-10</v>
      </c>
      <c r="AG52" s="2">
        <f t="shared" si="21"/>
        <v>1.3073031284044731E-9</v>
      </c>
      <c r="AH52" s="2">
        <f t="shared" si="22"/>
        <v>6.103515625E-5</v>
      </c>
    </row>
    <row r="53" spans="2:34" x14ac:dyDescent="0.2">
      <c r="Y53" s="2">
        <v>15</v>
      </c>
      <c r="Z53" s="2">
        <f t="shared" si="23"/>
        <v>0.95831298828125</v>
      </c>
      <c r="AA53" s="2">
        <f t="shared" si="16"/>
        <v>7.692255659774716E-6</v>
      </c>
      <c r="AB53" s="2">
        <f t="shared" si="24"/>
        <v>0.958343505859375</v>
      </c>
      <c r="AC53" s="2">
        <f t="shared" si="17"/>
        <v>-2.3715781696020954E-5</v>
      </c>
      <c r="AD53" s="2">
        <f t="shared" si="19"/>
        <v>0.9583282470703125</v>
      </c>
      <c r="AE53" s="2">
        <f t="shared" si="18"/>
        <v>-8.0117700310688988E-6</v>
      </c>
      <c r="AF53" s="2">
        <f t="shared" si="20"/>
        <v>-6.1628583366303183E-11</v>
      </c>
      <c r="AG53" s="2">
        <f t="shared" si="21"/>
        <v>1.9000538905555303E-10</v>
      </c>
      <c r="AH53" s="2">
        <f t="shared" si="22"/>
        <v>3.0517578125E-5</v>
      </c>
    </row>
    <row r="54" spans="2:34" x14ac:dyDescent="0.2">
      <c r="B54" s="59" t="s">
        <v>253</v>
      </c>
      <c r="C54" s="59"/>
      <c r="D54" s="59"/>
      <c r="Y54" s="2">
        <v>16</v>
      </c>
      <c r="Z54" s="2">
        <f t="shared" si="23"/>
        <v>0.95831298828125</v>
      </c>
      <c r="AA54" s="2">
        <f t="shared" si="16"/>
        <v>7.692255659774716E-6</v>
      </c>
      <c r="AB54" s="2">
        <f t="shared" si="24"/>
        <v>0.9583282470703125</v>
      </c>
      <c r="AC54" s="2">
        <f t="shared" si="17"/>
        <v>-8.0117700310688988E-6</v>
      </c>
      <c r="AD54" s="2">
        <f t="shared" si="19"/>
        <v>0.95832061767578125</v>
      </c>
      <c r="AE54" s="2">
        <f t="shared" si="18"/>
        <v>-1.5975893885578074E-7</v>
      </c>
      <c r="AF54" s="2">
        <f t="shared" si="20"/>
        <v>-1.2289066016129821E-12</v>
      </c>
      <c r="AG54" s="2">
        <f t="shared" si="21"/>
        <v>1.2799518785201128E-12</v>
      </c>
      <c r="AH54" s="2">
        <f t="shared" si="22"/>
        <v>1.52587890625E-5</v>
      </c>
    </row>
    <row r="55" spans="2:34" x14ac:dyDescent="0.2">
      <c r="B55" s="6" t="s">
        <v>254</v>
      </c>
      <c r="C55" s="17">
        <v>1.1798999999999999</v>
      </c>
      <c r="Y55" s="2">
        <v>17</v>
      </c>
      <c r="Z55" s="2">
        <f t="shared" si="23"/>
        <v>0.95831298828125</v>
      </c>
      <c r="AA55" s="2">
        <f t="shared" si="16"/>
        <v>7.692255659774716E-6</v>
      </c>
      <c r="AB55" s="2">
        <f t="shared" si="24"/>
        <v>0.95832061767578125</v>
      </c>
      <c r="AC55" s="2">
        <f t="shared" si="17"/>
        <v>-1.5975893885578074E-7</v>
      </c>
      <c r="AD55" s="2">
        <f t="shared" si="19"/>
        <v>0.95831680297851562</v>
      </c>
      <c r="AE55" s="2">
        <f t="shared" si="18"/>
        <v>3.7662479220879064E-6</v>
      </c>
      <c r="AF55" s="2">
        <f t="shared" si="20"/>
        <v>2.8970941894795462E-11</v>
      </c>
      <c r="AG55" s="2">
        <f t="shared" si="21"/>
        <v>-6.0169177150055309E-13</v>
      </c>
      <c r="AH55" s="2">
        <f t="shared" si="22"/>
        <v>7.62939453125E-6</v>
      </c>
    </row>
    <row r="56" spans="2:34" x14ac:dyDescent="0.2">
      <c r="B56" s="6" t="s">
        <v>255</v>
      </c>
      <c r="C56" s="17">
        <f>27.34325*0.3048^2</f>
        <v>2.5402710484800002</v>
      </c>
      <c r="D56" s="6" t="s">
        <v>11</v>
      </c>
      <c r="Y56" s="2">
        <v>18</v>
      </c>
      <c r="Z56" s="2">
        <f t="shared" si="23"/>
        <v>0.95831680297851562</v>
      </c>
      <c r="AA56" s="2">
        <f t="shared" si="16"/>
        <v>3.7662479220879064E-6</v>
      </c>
      <c r="AB56" s="2">
        <f t="shared" si="24"/>
        <v>0.95832061767578125</v>
      </c>
      <c r="AC56" s="2">
        <f t="shared" si="17"/>
        <v>-1.5975893885578074E-7</v>
      </c>
      <c r="AD56" s="2">
        <f t="shared" si="19"/>
        <v>0.95831871032714844</v>
      </c>
      <c r="AE56" s="2">
        <f t="shared" si="18"/>
        <v>1.8032443820370503E-6</v>
      </c>
      <c r="AF56" s="2">
        <f t="shared" si="20"/>
        <v>6.7914654068637316E-12</v>
      </c>
      <c r="AG56" s="2">
        <f t="shared" si="21"/>
        <v>-2.8808440897188722E-13</v>
      </c>
      <c r="AH56" s="2">
        <f t="shared" si="22"/>
        <v>3.814697265625E-6</v>
      </c>
    </row>
    <row r="57" spans="2:34" x14ac:dyDescent="0.2">
      <c r="B57" s="6" t="s">
        <v>256</v>
      </c>
      <c r="C57" s="17">
        <f>0.115*9.73719*0.3048</f>
        <v>0.34130798388000005</v>
      </c>
      <c r="D57" s="6" t="s">
        <v>8</v>
      </c>
      <c r="Y57" s="2">
        <v>19</v>
      </c>
      <c r="Z57" s="2">
        <f t="shared" si="23"/>
        <v>0.95831871032714844</v>
      </c>
      <c r="AA57" s="2">
        <f t="shared" si="16"/>
        <v>1.8032443820370503E-6</v>
      </c>
      <c r="AB57" s="2">
        <f t="shared" si="24"/>
        <v>0.95832061767578125</v>
      </c>
      <c r="AC57" s="2">
        <f t="shared" si="17"/>
        <v>-1.5975893885578074E-7</v>
      </c>
      <c r="AD57" s="2">
        <f t="shared" si="19"/>
        <v>0.95831966400146484</v>
      </c>
      <c r="AE57" s="2">
        <f t="shared" si="18"/>
        <v>8.2174269422363722E-7</v>
      </c>
      <c r="AF57" s="2">
        <f t="shared" si="20"/>
        <v>1.4818028968387636E-12</v>
      </c>
      <c r="AG57" s="2">
        <f t="shared" si="21"/>
        <v>-1.3128074084165859E-13</v>
      </c>
      <c r="AH57" s="2">
        <f t="shared" si="22"/>
        <v>1.9073486328125E-6</v>
      </c>
    </row>
    <row r="58" spans="2:34" x14ac:dyDescent="0.2">
      <c r="B58" s="6" t="s">
        <v>257</v>
      </c>
      <c r="C58" s="17">
        <v>35</v>
      </c>
      <c r="D58" s="6" t="s">
        <v>43</v>
      </c>
      <c r="Y58" s="2">
        <v>20</v>
      </c>
      <c r="Z58" s="2">
        <f t="shared" si="23"/>
        <v>0.95831966400146484</v>
      </c>
      <c r="AA58" s="2">
        <f t="shared" si="16"/>
        <v>8.2174269422363722E-7</v>
      </c>
      <c r="AB58" s="2">
        <f t="shared" si="24"/>
        <v>0.95832061767578125</v>
      </c>
      <c r="AC58" s="2">
        <f t="shared" si="17"/>
        <v>-1.5975893885578074E-7</v>
      </c>
      <c r="AD58" s="2">
        <f t="shared" si="19"/>
        <v>0.95832014083862305</v>
      </c>
      <c r="AE58" s="2">
        <f t="shared" si="18"/>
        <v>3.3099187080054548E-7</v>
      </c>
      <c r="AF58" s="2">
        <f t="shared" si="20"/>
        <v>2.7199015167776227E-13</v>
      </c>
      <c r="AG58" s="2">
        <f t="shared" si="21"/>
        <v>-5.2878910048984828E-14</v>
      </c>
      <c r="AH58" s="2">
        <f t="shared" si="22"/>
        <v>9.5367431640625E-7</v>
      </c>
    </row>
    <row r="59" spans="2:34" x14ac:dyDescent="0.2">
      <c r="Y59" s="2">
        <v>21</v>
      </c>
      <c r="Z59" s="2">
        <f t="shared" si="23"/>
        <v>0.95832014083862305</v>
      </c>
      <c r="AA59" s="2">
        <f t="shared" si="16"/>
        <v>3.3099187080054548E-7</v>
      </c>
      <c r="AB59" s="2">
        <f t="shared" si="24"/>
        <v>0.95832061767578125</v>
      </c>
      <c r="AC59" s="2">
        <f t="shared" si="17"/>
        <v>-1.5975893885578074E-7</v>
      </c>
      <c r="AD59" s="2">
        <f t="shared" si="19"/>
        <v>0.95832037925720215</v>
      </c>
      <c r="AE59" s="2">
        <f t="shared" si="18"/>
        <v>8.5616464251536684E-8</v>
      </c>
      <c r="AF59" s="2">
        <f t="shared" si="20"/>
        <v>2.833835367394415E-14</v>
      </c>
      <c r="AG59" s="2">
        <f t="shared" si="21"/>
        <v>-1.3677995477409387E-14</v>
      </c>
      <c r="AH59" s="2">
        <f t="shared" si="22"/>
        <v>4.76837158203125E-7</v>
      </c>
    </row>
    <row r="60" spans="2:34" x14ac:dyDescent="0.2">
      <c r="B60" s="55" t="s">
        <v>2</v>
      </c>
      <c r="C60" s="58"/>
      <c r="D60" s="58"/>
      <c r="Y60" s="2">
        <v>22</v>
      </c>
      <c r="Z60" s="2">
        <f t="shared" si="23"/>
        <v>0.95832037925720215</v>
      </c>
      <c r="AA60" s="2">
        <f t="shared" si="16"/>
        <v>8.5616464251536684E-8</v>
      </c>
      <c r="AB60" s="2">
        <f t="shared" si="24"/>
        <v>0.95832061767578125</v>
      </c>
      <c r="AC60" s="2">
        <f t="shared" si="17"/>
        <v>-1.5975893885578074E-7</v>
      </c>
      <c r="AD60" s="2">
        <f t="shared" si="19"/>
        <v>0.9583204984664917</v>
      </c>
      <c r="AE60" s="2">
        <f t="shared" si="18"/>
        <v>-3.7071237746211239E-8</v>
      </c>
      <c r="AF60" s="2">
        <f t="shared" si="20"/>
        <v>-3.1739083012587118E-15</v>
      </c>
      <c r="AG60" s="2">
        <f t="shared" si="21"/>
        <v>5.922461604405072E-15</v>
      </c>
      <c r="AH60" s="2">
        <f t="shared" si="22"/>
        <v>2.384185791015625E-7</v>
      </c>
    </row>
    <row r="61" spans="2:34" x14ac:dyDescent="0.2">
      <c r="B61" s="6" t="s">
        <v>3</v>
      </c>
      <c r="C61" s="17">
        <v>250</v>
      </c>
      <c r="D61" s="6" t="s">
        <v>4</v>
      </c>
      <c r="Y61" s="2">
        <v>23</v>
      </c>
      <c r="Z61" s="2">
        <f t="shared" si="23"/>
        <v>0.95832037925720215</v>
      </c>
      <c r="AA61" s="2">
        <f t="shared" si="16"/>
        <v>8.5616464251536684E-8</v>
      </c>
      <c r="AB61" s="2">
        <f t="shared" si="24"/>
        <v>0.9583204984664917</v>
      </c>
      <c r="AC61" s="2">
        <f t="shared" si="17"/>
        <v>-3.7071237746211239E-8</v>
      </c>
      <c r="AD61" s="2">
        <f t="shared" si="19"/>
        <v>0.95832043886184692</v>
      </c>
      <c r="AE61" s="2">
        <f t="shared" si="18"/>
        <v>2.427261314164042E-8</v>
      </c>
      <c r="AF61" s="2">
        <f t="shared" si="20"/>
        <v>2.0781353153326365E-15</v>
      </c>
      <c r="AG61" s="2">
        <f t="shared" si="21"/>
        <v>-8.9981581249556331E-16</v>
      </c>
      <c r="AH61" s="2">
        <f t="shared" si="22"/>
        <v>1.1920928955078125E-7</v>
      </c>
    </row>
    <row r="62" spans="2:34" x14ac:dyDescent="0.2">
      <c r="B62" s="6" t="s">
        <v>5</v>
      </c>
      <c r="C62" s="17">
        <v>0.85</v>
      </c>
      <c r="Y62" s="2">
        <v>24</v>
      </c>
      <c r="Z62" s="2">
        <f t="shared" si="23"/>
        <v>0.95832043886184692</v>
      </c>
      <c r="AA62" s="2">
        <f t="shared" si="16"/>
        <v>2.427261314164042E-8</v>
      </c>
      <c r="AB62" s="2">
        <f t="shared" si="24"/>
        <v>0.9583204984664917</v>
      </c>
      <c r="AC62" s="2">
        <f t="shared" si="17"/>
        <v>-3.7071237746211239E-8</v>
      </c>
      <c r="AD62" s="2">
        <f t="shared" si="19"/>
        <v>0.95832046866416931</v>
      </c>
      <c r="AE62" s="2">
        <f t="shared" si="18"/>
        <v>-6.3993123022854093E-9</v>
      </c>
      <c r="AF62" s="2">
        <f t="shared" si="20"/>
        <v>-1.5532803188591405E-16</v>
      </c>
      <c r="AG62" s="2">
        <f t="shared" si="21"/>
        <v>2.372304277702768E-16</v>
      </c>
      <c r="AH62" s="2">
        <f t="shared" si="22"/>
        <v>5.9604644775390625E-8</v>
      </c>
    </row>
    <row r="63" spans="2:34" x14ac:dyDescent="0.2">
      <c r="B63" s="6" t="s">
        <v>6</v>
      </c>
      <c r="C63" s="17">
        <v>0.8</v>
      </c>
      <c r="Y63" s="2">
        <v>25</v>
      </c>
      <c r="Z63" s="2">
        <f t="shared" si="23"/>
        <v>0.95832043886184692</v>
      </c>
      <c r="AA63" s="2">
        <f t="shared" si="16"/>
        <v>2.427261314164042E-8</v>
      </c>
      <c r="AB63" s="2">
        <f t="shared" si="24"/>
        <v>0.95832046866416931</v>
      </c>
      <c r="AC63" s="2">
        <f t="shared" si="17"/>
        <v>-6.3993123022854093E-9</v>
      </c>
      <c r="AD63" s="2">
        <f t="shared" si="19"/>
        <v>0.95832045376300812</v>
      </c>
      <c r="AE63" s="2">
        <f t="shared" si="18"/>
        <v>8.9366504196775054E-9</v>
      </c>
      <c r="AF63" s="2">
        <f t="shared" si="20"/>
        <v>2.1691585841891058E-16</v>
      </c>
      <c r="AG63" s="2">
        <f t="shared" si="21"/>
        <v>-5.7188416971866326E-17</v>
      </c>
      <c r="AH63" s="2">
        <f t="shared" si="22"/>
        <v>2.9802322387695312E-8</v>
      </c>
    </row>
    <row r="64" spans="2:34" x14ac:dyDescent="0.2">
      <c r="Y64" s="2">
        <v>26</v>
      </c>
      <c r="Z64" s="2">
        <f>IF(AF63&gt;0, AD63, Z63)</f>
        <v>0.95832045376300812</v>
      </c>
      <c r="AA64" s="2">
        <f t="shared" si="16"/>
        <v>8.9366504196775054E-9</v>
      </c>
      <c r="AB64" s="2">
        <f t="shared" si="24"/>
        <v>0.95832046866416931</v>
      </c>
      <c r="AC64" s="2">
        <f t="shared" si="17"/>
        <v>-6.3993123022854093E-9</v>
      </c>
      <c r="AD64" s="2">
        <f t="shared" si="19"/>
        <v>0.95832046121358871</v>
      </c>
      <c r="AE64" s="2">
        <f t="shared" si="18"/>
        <v>1.2686690586960481E-9</v>
      </c>
      <c r="AF64" s="2">
        <f t="shared" si="20"/>
        <v>1.1337651875827904E-17</v>
      </c>
      <c r="AG64" s="2">
        <f t="shared" si="21"/>
        <v>-8.1186095148424704E-18</v>
      </c>
      <c r="AH64" s="2">
        <f t="shared" si="22"/>
        <v>1.4901161193847656E-8</v>
      </c>
    </row>
    <row r="65" spans="2:34" x14ac:dyDescent="0.2">
      <c r="B65" s="59" t="s">
        <v>272</v>
      </c>
      <c r="C65" s="60"/>
      <c r="D65" s="60"/>
      <c r="Y65" s="2">
        <v>27</v>
      </c>
      <c r="Z65" s="2">
        <f t="shared" si="23"/>
        <v>0.95832046121358871</v>
      </c>
      <c r="AA65" s="2">
        <f t="shared" si="16"/>
        <v>1.2686690586960481E-9</v>
      </c>
      <c r="AB65" s="2">
        <f t="shared" si="24"/>
        <v>0.95832046866416931</v>
      </c>
      <c r="AC65" s="2">
        <f t="shared" si="17"/>
        <v>-6.3993123022854093E-9</v>
      </c>
      <c r="AD65" s="2">
        <f t="shared" si="19"/>
        <v>0.95832046493887901</v>
      </c>
      <c r="AE65" s="2">
        <f t="shared" si="18"/>
        <v>-2.5653216217946806E-9</v>
      </c>
      <c r="AF65" s="2">
        <f t="shared" si="20"/>
        <v>-3.2545441671748769E-18</v>
      </c>
      <c r="AG65" s="2">
        <f t="shared" si="21"/>
        <v>1.6416294213669457E-17</v>
      </c>
      <c r="AH65" s="2">
        <f t="shared" si="22"/>
        <v>7.4505805969238281E-9</v>
      </c>
    </row>
    <row r="66" spans="2:34" x14ac:dyDescent="0.2">
      <c r="B66" s="6" t="s">
        <v>15</v>
      </c>
      <c r="C66" s="17">
        <v>1.0397562309141399</v>
      </c>
      <c r="D66" s="6" t="s">
        <v>16</v>
      </c>
      <c r="Y66" s="2">
        <v>28</v>
      </c>
      <c r="Z66" s="2">
        <f t="shared" si="23"/>
        <v>0.95832046121358871</v>
      </c>
      <c r="AA66" s="2">
        <f t="shared" si="16"/>
        <v>1.2686690586960481E-9</v>
      </c>
      <c r="AB66" s="2">
        <f t="shared" si="24"/>
        <v>0.95832046493887901</v>
      </c>
      <c r="AC66" s="2">
        <f t="shared" si="17"/>
        <v>-2.5653216217946806E-9</v>
      </c>
      <c r="AD66" s="2">
        <f t="shared" si="19"/>
        <v>0.95832046307623386</v>
      </c>
      <c r="AE66" s="2">
        <f t="shared" si="18"/>
        <v>-6.4832628154931626E-10</v>
      </c>
      <c r="AF66" s="2">
        <f t="shared" si="20"/>
        <v>-8.225114933410801E-19</v>
      </c>
      <c r="AG66" s="2">
        <f t="shared" si="21"/>
        <v>1.6631654280362067E-18</v>
      </c>
      <c r="AH66" s="2">
        <f t="shared" si="22"/>
        <v>3.7252902984619141E-9</v>
      </c>
    </row>
    <row r="67" spans="2:34" x14ac:dyDescent="0.2">
      <c r="B67" s="6" t="s">
        <v>214</v>
      </c>
      <c r="C67" s="41">
        <v>1.7363179204150701E-5</v>
      </c>
      <c r="D67" s="6" t="s">
        <v>210</v>
      </c>
      <c r="Y67" s="2">
        <v>29</v>
      </c>
      <c r="Z67" s="2">
        <f t="shared" si="23"/>
        <v>0.95832046121358871</v>
      </c>
      <c r="AA67" s="2">
        <f t="shared" si="16"/>
        <v>1.2686690586960481E-9</v>
      </c>
      <c r="AB67" s="2">
        <f t="shared" si="24"/>
        <v>0.95832046307623386</v>
      </c>
      <c r="AC67" s="2">
        <f t="shared" si="17"/>
        <v>-6.4832628154931626E-10</v>
      </c>
      <c r="AD67" s="2">
        <f t="shared" si="19"/>
        <v>0.95832046214491129</v>
      </c>
      <c r="AE67" s="2">
        <f t="shared" si="18"/>
        <v>3.1017133306221467E-10</v>
      </c>
      <c r="AF67" s="2">
        <f t="shared" si="20"/>
        <v>3.935047731505383E-19</v>
      </c>
      <c r="AG67" s="2">
        <f t="shared" si="21"/>
        <v>-2.0109222700742014E-19</v>
      </c>
      <c r="AH67" s="2">
        <f t="shared" si="22"/>
        <v>1.862645149230957E-9</v>
      </c>
    </row>
    <row r="68" spans="2:34" x14ac:dyDescent="0.2">
      <c r="B68" s="6" t="s">
        <v>132</v>
      </c>
      <c r="C68" s="17">
        <v>333.91694458017901</v>
      </c>
      <c r="D68" s="6" t="s">
        <v>10</v>
      </c>
      <c r="Y68" s="2">
        <v>30</v>
      </c>
      <c r="Z68" s="2">
        <f t="shared" si="23"/>
        <v>0.95832046214491129</v>
      </c>
      <c r="AA68" s="2">
        <f t="shared" si="16"/>
        <v>3.1017133306221467E-10</v>
      </c>
      <c r="AB68" s="2">
        <f t="shared" si="24"/>
        <v>0.95832046307623386</v>
      </c>
      <c r="AC68" s="2">
        <f t="shared" si="17"/>
        <v>-6.4832628154931626E-10</v>
      </c>
      <c r="AD68" s="5">
        <f t="shared" si="19"/>
        <v>0.95832046261057258</v>
      </c>
      <c r="AE68" s="2">
        <f t="shared" si="18"/>
        <v>-1.6907752975470203E-10</v>
      </c>
      <c r="AF68" s="2">
        <f t="shared" si="20"/>
        <v>-5.2443002794882194E-20</v>
      </c>
      <c r="AG68" s="2">
        <f t="shared" si="21"/>
        <v>1.0961740615940984E-19</v>
      </c>
      <c r="AH68" s="2">
        <f t="shared" si="22"/>
        <v>9.3132257461547852E-10</v>
      </c>
    </row>
    <row r="69" spans="2:34" x14ac:dyDescent="0.2">
      <c r="B69" s="6" t="s">
        <v>17</v>
      </c>
      <c r="C69" s="1">
        <v>9.80149119240094</v>
      </c>
      <c r="D69" s="6" t="s">
        <v>18</v>
      </c>
    </row>
    <row r="71" spans="2:34" x14ac:dyDescent="0.2">
      <c r="B71" s="59" t="s">
        <v>273</v>
      </c>
      <c r="C71" s="60"/>
      <c r="D71" s="60"/>
    </row>
    <row r="72" spans="2:34" x14ac:dyDescent="0.2">
      <c r="B72" s="6" t="s">
        <v>15</v>
      </c>
      <c r="C72" s="17">
        <v>1.00854450666398</v>
      </c>
      <c r="D72" s="6" t="s">
        <v>16</v>
      </c>
    </row>
    <row r="73" spans="2:34" x14ac:dyDescent="0.2">
      <c r="B73" s="6" t="s">
        <v>214</v>
      </c>
      <c r="C73" s="41">
        <v>1.7265641515845801E-5</v>
      </c>
      <c r="D73" s="6" t="s">
        <v>210</v>
      </c>
    </row>
    <row r="74" spans="2:34" x14ac:dyDescent="0.2">
      <c r="B74" s="6" t="s">
        <v>132</v>
      </c>
      <c r="C74" s="17">
        <v>332.721752148093</v>
      </c>
      <c r="D74" s="6" t="s">
        <v>10</v>
      </c>
    </row>
    <row r="75" spans="2:34" x14ac:dyDescent="0.2">
      <c r="B75" s="6" t="s">
        <v>17</v>
      </c>
      <c r="C75" s="1">
        <v>9.8005536647414697</v>
      </c>
      <c r="D75" s="6" t="s">
        <v>18</v>
      </c>
    </row>
    <row r="77" spans="2:34" x14ac:dyDescent="0.2">
      <c r="B77" s="59" t="s">
        <v>74</v>
      </c>
      <c r="C77" s="59"/>
      <c r="D77" s="59"/>
    </row>
    <row r="78" spans="2:34" x14ac:dyDescent="0.2">
      <c r="B78" s="6" t="s">
        <v>264</v>
      </c>
      <c r="C78" s="17">
        <v>30</v>
      </c>
    </row>
    <row r="79" spans="2:34" x14ac:dyDescent="0.2">
      <c r="B79" s="6" t="s">
        <v>266</v>
      </c>
      <c r="C79" s="17">
        <v>0.8</v>
      </c>
    </row>
    <row r="80" spans="2:34" x14ac:dyDescent="0.2">
      <c r="B80" s="6" t="s">
        <v>267</v>
      </c>
      <c r="C80" s="17">
        <v>0.8</v>
      </c>
    </row>
    <row r="81" spans="2:4" x14ac:dyDescent="0.2">
      <c r="B81" s="6" t="s">
        <v>268</v>
      </c>
      <c r="C81" s="17">
        <v>0.8</v>
      </c>
    </row>
    <row r="82" spans="2:4" x14ac:dyDescent="0.2">
      <c r="B82" s="6" t="s">
        <v>258</v>
      </c>
      <c r="C82" s="17">
        <v>5</v>
      </c>
      <c r="D82" s="6" t="s">
        <v>43</v>
      </c>
    </row>
  </sheetData>
  <mergeCells count="25">
    <mergeCell ref="B60:D60"/>
    <mergeCell ref="B65:D65"/>
    <mergeCell ref="B71:D71"/>
    <mergeCell ref="B77:D77"/>
    <mergeCell ref="N3:P3"/>
    <mergeCell ref="N18:P18"/>
    <mergeCell ref="B35:D35"/>
    <mergeCell ref="B40:D40"/>
    <mergeCell ref="J41:L41"/>
    <mergeCell ref="B46:D46"/>
    <mergeCell ref="B49:D49"/>
    <mergeCell ref="B54:D54"/>
    <mergeCell ref="F16:H16"/>
    <mergeCell ref="B16:D16"/>
    <mergeCell ref="F35:H35"/>
    <mergeCell ref="R18:T18"/>
    <mergeCell ref="B21:D21"/>
    <mergeCell ref="F26:H26"/>
    <mergeCell ref="B28:D28"/>
    <mergeCell ref="B1:D1"/>
    <mergeCell ref="B3:D3"/>
    <mergeCell ref="F3:H3"/>
    <mergeCell ref="J3:L3"/>
    <mergeCell ref="R3:T3"/>
    <mergeCell ref="J9:L9"/>
  </mergeCells>
  <conditionalFormatting sqref="K31">
    <cfRule type="containsText" dxfId="17" priority="1" operator="containsText" text="FALSE">
      <formula>NOT(ISERROR(SEARCH("FALSE",K31)))</formula>
    </cfRule>
    <cfRule type="containsText" dxfId="16" priority="2" operator="containsText" text="TRUE">
      <formula>NOT(ISERROR(SEARCH("TRUE",K31)))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NOT(ISERROR(SEARCH("YES",K31)))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AA02-1E62-EB44-9405-A51AF8F8C1C2}">
  <dimension ref="B1:CI136"/>
  <sheetViews>
    <sheetView tabSelected="1" zoomScale="88" workbookViewId="0">
      <selection activeCell="G33" sqref="G33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2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42" width="10.83203125" style="6"/>
    <col min="43" max="43" width="12" style="6" customWidth="1"/>
    <col min="44" max="44" width="11.33203125" style="6" customWidth="1"/>
    <col min="45" max="45" width="6.6640625" style="6" customWidth="1"/>
    <col min="46" max="46" width="11" style="6" bestFit="1" customWidth="1"/>
    <col min="47" max="47" width="13.1640625" style="6" bestFit="1" customWidth="1"/>
    <col min="48" max="48" width="18.33203125" style="6" customWidth="1"/>
    <col min="49" max="49" width="12.83203125" style="6" bestFit="1" customWidth="1"/>
    <col min="50" max="51" width="12.6640625" style="6" bestFit="1" customWidth="1"/>
    <col min="52" max="52" width="12.1640625" style="6" bestFit="1" customWidth="1"/>
    <col min="53" max="53" width="12.83203125" style="6" bestFit="1" customWidth="1"/>
    <col min="54" max="54" width="12.1640625" style="6" bestFit="1" customWidth="1"/>
    <col min="55" max="56" width="12.83203125" style="6" bestFit="1" customWidth="1"/>
    <col min="57" max="57" width="11.1640625" style="6" bestFit="1" customWidth="1"/>
    <col min="58" max="59" width="10.83203125" style="6"/>
    <col min="60" max="60" width="11.1640625" style="6" bestFit="1" customWidth="1"/>
    <col min="61" max="63" width="10.83203125" style="6"/>
    <col min="64" max="64" width="11" style="6" bestFit="1" customWidth="1"/>
    <col min="65" max="16384" width="10.83203125" style="6"/>
  </cols>
  <sheetData>
    <row r="1" spans="2:87" x14ac:dyDescent="0.2">
      <c r="B1" s="57" t="s">
        <v>0</v>
      </c>
      <c r="C1" s="57"/>
      <c r="D1" s="57"/>
    </row>
    <row r="2" spans="2:87" x14ac:dyDescent="0.2">
      <c r="U2" s="16" t="s">
        <v>96</v>
      </c>
      <c r="AF2" s="48" t="s">
        <v>226</v>
      </c>
      <c r="AQ2" s="61" t="s">
        <v>137</v>
      </c>
      <c r="AR2" s="61"/>
      <c r="AS2" s="61"/>
      <c r="AU2" s="61" t="s">
        <v>138</v>
      </c>
      <c r="AV2" s="61"/>
      <c r="AW2" s="61"/>
      <c r="AY2" s="61" t="s">
        <v>139</v>
      </c>
      <c r="AZ2" s="61"/>
      <c r="BA2" s="61"/>
      <c r="BB2" s="61"/>
      <c r="BC2" s="61"/>
      <c r="BD2" s="61"/>
      <c r="BE2" s="61"/>
      <c r="BG2" s="61" t="s">
        <v>140</v>
      </c>
      <c r="BH2" s="61"/>
      <c r="BI2" s="61"/>
      <c r="BJ2" s="61"/>
      <c r="BK2" s="61"/>
      <c r="BL2" s="61"/>
      <c r="BM2" s="61"/>
      <c r="BO2" s="61" t="s">
        <v>141</v>
      </c>
      <c r="BP2" s="61"/>
      <c r="BQ2" s="61"/>
      <c r="BR2" s="61"/>
      <c r="BS2" s="61"/>
      <c r="BT2" s="61"/>
      <c r="BU2" s="61"/>
      <c r="BV2" s="61"/>
      <c r="BW2" s="61"/>
      <c r="BX2" s="61"/>
      <c r="BZ2" s="61" t="s">
        <v>142</v>
      </c>
      <c r="CA2" s="61"/>
      <c r="CB2" s="61"/>
      <c r="CC2" s="61"/>
      <c r="CD2" s="61"/>
      <c r="CE2" s="61"/>
      <c r="CF2" s="61"/>
      <c r="CG2" s="61"/>
      <c r="CH2" s="61"/>
      <c r="CI2" s="61"/>
    </row>
    <row r="3" spans="2:87" x14ac:dyDescent="0.2">
      <c r="B3" s="59" t="s">
        <v>127</v>
      </c>
      <c r="C3" s="60"/>
      <c r="D3" s="60"/>
      <c r="F3" s="55" t="s">
        <v>83</v>
      </c>
      <c r="G3" s="58"/>
      <c r="H3" s="58"/>
      <c r="J3" s="59" t="s">
        <v>101</v>
      </c>
      <c r="K3" s="59"/>
      <c r="L3" s="59"/>
      <c r="N3" s="59" t="s">
        <v>95</v>
      </c>
      <c r="O3" s="59"/>
      <c r="P3" s="59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U3" s="2" t="s">
        <v>145</v>
      </c>
      <c r="AV3" s="2">
        <f>0.5*AR9</f>
        <v>1.524</v>
      </c>
      <c r="AW3" s="26" t="s">
        <v>8</v>
      </c>
      <c r="AY3" s="62" t="s">
        <v>146</v>
      </c>
      <c r="AZ3" s="62"/>
      <c r="BA3" s="62"/>
      <c r="BC3" s="62" t="s">
        <v>147</v>
      </c>
      <c r="BD3" s="62"/>
      <c r="BE3" s="62"/>
      <c r="BG3" s="62" t="s">
        <v>146</v>
      </c>
      <c r="BH3" s="62"/>
      <c r="BI3" s="62"/>
      <c r="BJ3" s="2"/>
      <c r="BK3" s="62" t="s">
        <v>147</v>
      </c>
      <c r="BL3" s="62"/>
      <c r="BM3" s="62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(1+$C$26/100)*MAX(G13,G27)</f>
        <v>796.48232461485316</v>
      </c>
      <c r="L4" s="6" t="s">
        <v>104</v>
      </c>
      <c r="N4" s="6" t="s">
        <v>228</v>
      </c>
      <c r="O4" s="6">
        <f xml:space="preserve"> $C$5 * $C$69</f>
        <v>27975.837090212601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1.2667183968639295</v>
      </c>
      <c r="X4" s="3">
        <v>1</v>
      </c>
      <c r="Y4" s="2">
        <f t="shared" ref="Y4:Y34" si="1" xml:space="preserve"> $O$22 * TAN($O$19/180*PI()) + $O$23 / (2 * SQRT($O$22^2 + X4^2)) - X4</f>
        <v>-4.2545474450474741E-2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0.4842221647191377</v>
      </c>
      <c r="AB4" s="2">
        <f>W4*AA4</f>
        <v>0.61337312421900769</v>
      </c>
      <c r="AC4" s="2">
        <f>Y4*AA4</f>
        <v>-2.0601461737411644E-2</v>
      </c>
      <c r="AD4" s="2">
        <f>X4-V4</f>
        <v>1</v>
      </c>
      <c r="AF4" s="2">
        <v>0</v>
      </c>
      <c r="AH4" s="2">
        <f>K30</f>
        <v>-0.21194413972489201</v>
      </c>
      <c r="AJ4" s="2">
        <f>K30</f>
        <v>-0.21194413972489201</v>
      </c>
      <c r="AL4" s="2">
        <f>K30</f>
        <v>-0.21194413972489201</v>
      </c>
      <c r="AQ4" s="2" t="s">
        <v>151</v>
      </c>
      <c r="AR4" s="2">
        <f>$C$6</f>
        <v>680.16098707781498</v>
      </c>
      <c r="AS4" s="26" t="s">
        <v>134</v>
      </c>
      <c r="AU4" s="2" t="s">
        <v>152</v>
      </c>
      <c r="AV4" s="2">
        <f>PI()*AV3^2</f>
        <v>7.2965876990039682</v>
      </c>
      <c r="AW4" s="26" t="s">
        <v>11</v>
      </c>
      <c r="AY4" s="2" t="s">
        <v>153</v>
      </c>
      <c r="AZ4" s="2">
        <f>2*($AR$19 - $AR$10)</f>
        <v>0.15049500000000005</v>
      </c>
      <c r="BA4" s="26" t="s">
        <v>8</v>
      </c>
      <c r="BC4" s="2" t="s">
        <v>153</v>
      </c>
      <c r="BD4" s="2">
        <f>$AR$20-$AR$19</f>
        <v>0.15049500000000005</v>
      </c>
      <c r="BE4" s="26" t="s">
        <v>8</v>
      </c>
      <c r="BG4" s="28" t="s">
        <v>154</v>
      </c>
      <c r="BH4" s="29">
        <f>BT34</f>
        <v>0.47176831278923265</v>
      </c>
      <c r="BI4" s="5" t="s">
        <v>155</v>
      </c>
      <c r="BJ4" s="2"/>
      <c r="BK4" s="28" t="s">
        <v>154</v>
      </c>
      <c r="BL4" s="29">
        <f>CE34</f>
        <v>0.4012695502542834</v>
      </c>
      <c r="BM4" s="5" t="s">
        <v>155</v>
      </c>
      <c r="BO4" s="30">
        <v>0</v>
      </c>
      <c r="BP4" s="30"/>
      <c r="BQ4" s="30">
        <f>$BH$20</f>
        <v>7.3475419914981188E-9</v>
      </c>
      <c r="BR4" s="30"/>
      <c r="BS4" s="30">
        <f>$BH$20</f>
        <v>7.3475419914981188E-9</v>
      </c>
      <c r="BT4" s="30"/>
      <c r="BU4" s="30">
        <f>$BH$20</f>
        <v>7.3475419914981188E-9</v>
      </c>
      <c r="BV4" s="30"/>
      <c r="BW4" s="30"/>
      <c r="BX4" s="30"/>
      <c r="BZ4" s="30">
        <v>0</v>
      </c>
      <c r="CA4" s="30"/>
      <c r="CB4" s="30">
        <f>$BL$20</f>
        <v>9.5204781003221939E-9</v>
      </c>
      <c r="CC4" s="30"/>
      <c r="CD4" s="30">
        <f>$BL$20</f>
        <v>9.5204781003221939E-9</v>
      </c>
      <c r="CE4" s="30"/>
      <c r="CF4" s="30">
        <f>$BL$20</f>
        <v>9.5204781003221939E-9</v>
      </c>
      <c r="CG4" s="30"/>
      <c r="CH4" s="30"/>
      <c r="CI4" s="30"/>
    </row>
    <row r="5" spans="2:87" x14ac:dyDescent="0.2">
      <c r="B5" s="10" t="s">
        <v>40</v>
      </c>
      <c r="C5" s="10">
        <v>2854.2429453899999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K4/$C$22</f>
        <v>99.560290576856644</v>
      </c>
      <c r="L5" s="6" t="s">
        <v>104</v>
      </c>
      <c r="N5" s="6" t="s">
        <v>25</v>
      </c>
      <c r="O5" s="6">
        <f xml:space="preserve"> 0.5 * $C$72 * $C$8^2</f>
        <v>2267.4637855940923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0.4842221647191377</v>
      </c>
      <c r="X5" s="2">
        <f>IF(AC4&gt;0, Z4, X4)</f>
        <v>1</v>
      </c>
      <c r="Y5" s="2">
        <f t="shared" si="1"/>
        <v>-4.2545474450474741E-2</v>
      </c>
      <c r="Z5" s="2">
        <f t="shared" ref="Z5:Z34" si="3" xml:space="preserve"> (V5 + X5)/2</f>
        <v>0.75</v>
      </c>
      <c r="AA5" s="2">
        <f t="shared" si="2"/>
        <v>0.21646128288739197</v>
      </c>
      <c r="AB5" s="2">
        <f t="shared" ref="AB5:AB34" si="4">W5*AA5</f>
        <v>0.10481535097761457</v>
      </c>
      <c r="AC5" s="2">
        <f t="shared" ref="AC5:AC34" si="5">Y5*AA5</f>
        <v>-9.2094479806025201E-3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-1329.7956019881251</v>
      </c>
      <c r="AI5" s="3">
        <v>5000</v>
      </c>
      <c r="AJ5" s="2">
        <f t="dataTable" ref="AJ5:AJ44" dt2D="0" dtr="0" r1="C5" ca="1"/>
        <v>813.20455745206027</v>
      </c>
      <c r="AK5" s="2">
        <f>(AG5+AI5)/2</f>
        <v>2750</v>
      </c>
      <c r="AL5" s="2">
        <f t="dataTable" ref="AL5:AL44" dt2D="0" dtr="0" r1="C5" ca="1"/>
        <v>-54.01475015007145</v>
      </c>
      <c r="AM5" s="2">
        <f>AH5*AL5</f>
        <v>71828.577192052428</v>
      </c>
      <c r="AN5" s="2">
        <f>AJ5*AL5</f>
        <v>-43925.04099167246</v>
      </c>
      <c r="AO5" s="2">
        <f>AI5-AG5</f>
        <v>4500</v>
      </c>
      <c r="AQ5" s="2" t="s">
        <v>157</v>
      </c>
      <c r="AR5" s="3">
        <v>23.595941944325201</v>
      </c>
      <c r="AS5" s="26" t="s">
        <v>43</v>
      </c>
      <c r="AU5" s="2" t="s">
        <v>29</v>
      </c>
      <c r="AV5" s="2">
        <f>AR4*2*PI()/60</f>
        <v>71.226292008734859</v>
      </c>
      <c r="AW5" s="26" t="s">
        <v>30</v>
      </c>
      <c r="AY5" s="2" t="s">
        <v>158</v>
      </c>
      <c r="AZ5" s="2">
        <f>(1+$BH$18)*$AR$3</f>
        <v>11.370787879495106</v>
      </c>
      <c r="BA5" s="26" t="s">
        <v>10</v>
      </c>
      <c r="BC5" s="2" t="s">
        <v>158</v>
      </c>
      <c r="BD5" s="2">
        <f>(1+$BL$18)*$AR$3</f>
        <v>14.057119076245741</v>
      </c>
      <c r="BE5" s="26" t="s">
        <v>10</v>
      </c>
      <c r="BG5" s="2" t="s">
        <v>159</v>
      </c>
      <c r="BH5" s="2">
        <f>($AR$35+$AR$5)/180*PI()</f>
        <v>0.54027220167686496</v>
      </c>
      <c r="BI5" s="2" t="s">
        <v>155</v>
      </c>
      <c r="BJ5" s="2"/>
      <c r="BK5" s="2" t="s">
        <v>159</v>
      </c>
      <c r="BL5" s="2">
        <f>($AR$36+$AR$5)/180*PI()</f>
        <v>0.51441951213169901</v>
      </c>
      <c r="BM5" s="2" t="s">
        <v>155</v>
      </c>
      <c r="BO5" s="2">
        <v>1</v>
      </c>
      <c r="BP5" s="3">
        <f>0.01*PI()</f>
        <v>3.1415926535897934E-2</v>
      </c>
      <c r="BQ5" s="2">
        <f t="dataTable" ref="BQ5:BQ34" dt2D="0" dtr="0" r1="BH4" ca="1"/>
        <v>-6.5325516596511761</v>
      </c>
      <c r="BR5" s="3">
        <f>0.9*PI()</f>
        <v>2.8274333882308138</v>
      </c>
      <c r="BS5" s="2">
        <f t="dataTable" ref="BS5:BS34" dt2D="0" dtr="0" r1="BH4"/>
        <v>0.96745705907834434</v>
      </c>
      <c r="BT5" s="2">
        <f t="shared" ref="BT5:BT34" si="7">(BP5+BR5)/2</f>
        <v>1.4294246573833558</v>
      </c>
      <c r="BU5" s="2">
        <f t="dataTable" ref="BU5:BU34" dt2D="0" dtr="0" r1="BH4" ca="1"/>
        <v>1.3555776390481196</v>
      </c>
      <c r="BV5" s="2">
        <f t="shared" ref="BV5:BV34" si="8">BQ5*BU5</f>
        <v>-8.8553809557498173</v>
      </c>
      <c r="BW5" s="2">
        <f t="shared" ref="BW5:BW34" si="9">BS5*BU5</f>
        <v>1.3114631560258592</v>
      </c>
      <c r="BX5" s="2">
        <f t="shared" ref="BX5:BX34" si="10">BR5-BP5</f>
        <v>2.7960174616949161</v>
      </c>
      <c r="BZ5" s="2">
        <v>1</v>
      </c>
      <c r="CA5" s="3">
        <f>0.01*PI()</f>
        <v>3.1415926535897934E-2</v>
      </c>
      <c r="CB5" s="2">
        <f t="dataTable" ref="CB5:CB34" dt2D="0" dtr="0" r1="BL4"/>
        <v>-4.4395616130222892</v>
      </c>
      <c r="CC5" s="3">
        <f>0.9*PI()</f>
        <v>2.8274333882308138</v>
      </c>
      <c r="CD5" s="2">
        <f t="dataTable" ref="CD5:CD34" dt2D="0" dtr="0" r1="BL4" ca="1"/>
        <v>0.67420854420257637</v>
      </c>
      <c r="CE5" s="2">
        <f t="shared" ref="CE5:CE34" si="11">(CA5+CC5)/2</f>
        <v>1.4294246573833558</v>
      </c>
      <c r="CF5" s="2">
        <f t="dataTable" ref="CF5:CF34" dt2D="0" dtr="0" r1="BL4" ca="1"/>
        <v>1.1849334024020164</v>
      </c>
      <c r="CG5" s="2">
        <f t="shared" ref="CG5:CG34" si="12">CB5*CF5</f>
        <v>-5.2605848472918852</v>
      </c>
      <c r="CH5" s="2">
        <f t="shared" ref="CH5:CH34" si="13">CD5*CF5</f>
        <v>0.79889222421046913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v>680.16098707781498</v>
      </c>
      <c r="D6" s="10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(1+$C$33/100)*MAX(G20)</f>
        <v>118.87991473289847</v>
      </c>
      <c r="L6" s="6" t="s">
        <v>104</v>
      </c>
      <c r="N6" s="6" t="s">
        <v>119</v>
      </c>
      <c r="O6" s="6">
        <f xml:space="preserve"> ($C$22+$C$29) * 0.4 * ($C$5/($C$22+$C$29) *2.20462/1000)^(2/3) * 0.3048^2</f>
        <v>0.26346354997533761</v>
      </c>
      <c r="P6" s="6" t="s">
        <v>120</v>
      </c>
      <c r="U6" s="2">
        <v>2</v>
      </c>
      <c r="V6" s="2">
        <f t="shared" ref="V6:V34" si="15">IF(AB5&gt;0, Z5, V5)</f>
        <v>0.75</v>
      </c>
      <c r="W6" s="2">
        <f t="shared" si="0"/>
        <v>0.21646128288739197</v>
      </c>
      <c r="X6" s="2">
        <f t="shared" ref="X6:X34" si="16">IF(AC5&gt;0, Z5, X5)</f>
        <v>1</v>
      </c>
      <c r="Y6" s="2">
        <f t="shared" si="1"/>
        <v>-4.2545474450474741E-2</v>
      </c>
      <c r="Z6" s="2">
        <f t="shared" si="3"/>
        <v>0.875</v>
      </c>
      <c r="AA6" s="2">
        <f t="shared" si="2"/>
        <v>8.6322953123590396E-2</v>
      </c>
      <c r="AB6" s="2">
        <f t="shared" si="4"/>
        <v>1.8685577175760578E-2</v>
      </c>
      <c r="AC6" s="2">
        <f t="shared" si="5"/>
        <v>-3.6726509966092439E-3</v>
      </c>
      <c r="AD6" s="2">
        <f t="shared" si="6"/>
        <v>0.25</v>
      </c>
      <c r="AF6" s="2">
        <v>2</v>
      </c>
      <c r="AG6" s="2">
        <f>IF(AM5&gt;0,AK5,AG5)</f>
        <v>2750</v>
      </c>
      <c r="AH6" s="2">
        <v>-54.01475015007145</v>
      </c>
      <c r="AI6" s="2">
        <f>IF(AN5&gt;0,AK5,AI5)</f>
        <v>5000</v>
      </c>
      <c r="AJ6" s="2">
        <v>813.20455745206027</v>
      </c>
      <c r="AK6" s="2">
        <f t="shared" ref="AK6:AK44" si="17">(AG6+AI6)/2</f>
        <v>3875</v>
      </c>
      <c r="AL6" s="2">
        <v>464.29422457405144</v>
      </c>
      <c r="AM6" s="2">
        <f t="shared" ref="AM6:AM44" si="18">AH6*AL6</f>
        <v>-25078.736536488552</v>
      </c>
      <c r="AN6" s="2">
        <f t="shared" ref="AN6:AN44" si="19">AJ6*AL6</f>
        <v>377566.17942228902</v>
      </c>
      <c r="AO6" s="2">
        <f t="shared" ref="AO6:AO44" si="20">AI6-AG6</f>
        <v>2250</v>
      </c>
      <c r="AQ6" s="2"/>
      <c r="AR6" s="2"/>
      <c r="AS6" s="26"/>
      <c r="AU6" s="2" t="s">
        <v>161</v>
      </c>
      <c r="AV6" s="2">
        <f>$AR$4/60</f>
        <v>11.336016451296917</v>
      </c>
      <c r="AW6" s="26" t="s">
        <v>162</v>
      </c>
      <c r="AY6" s="2" t="s">
        <v>163</v>
      </c>
      <c r="AZ6" s="2">
        <f>(1-$BH$19)*$AV$5*$AR$19</f>
        <v>22.287252263296331</v>
      </c>
      <c r="BA6" s="26" t="s">
        <v>10</v>
      </c>
      <c r="BC6" s="2" t="s">
        <v>163</v>
      </c>
      <c r="BD6" s="2">
        <f>(1-$BL$19)*$AV$5*$AR$20</f>
        <v>33.130887009511561</v>
      </c>
      <c r="BE6" s="26" t="s">
        <v>10</v>
      </c>
      <c r="BG6" s="2" t="s">
        <v>28</v>
      </c>
      <c r="BH6" s="2">
        <f>BH5-BH4</f>
        <v>6.8503888887632314E-2</v>
      </c>
      <c r="BI6" s="2" t="s">
        <v>155</v>
      </c>
      <c r="BJ6" s="2"/>
      <c r="BK6" s="2" t="s">
        <v>28</v>
      </c>
      <c r="BL6" s="2">
        <f>BL5-BL4</f>
        <v>0.11314996187741561</v>
      </c>
      <c r="BM6" s="2" t="s">
        <v>155</v>
      </c>
      <c r="BO6" s="2">
        <v>2</v>
      </c>
      <c r="BP6" s="2">
        <f t="shared" ref="BP6:BP34" si="21">IF(BV5&gt;0,BT5,BP5)</f>
        <v>3.1415926535897934E-2</v>
      </c>
      <c r="BQ6" s="2">
        <v>-6.5325516596511761</v>
      </c>
      <c r="BR6" s="2">
        <f t="shared" ref="BR6:BR34" si="22">IF(BW5&gt;0,BT5,BR5)</f>
        <v>1.4294246573833558</v>
      </c>
      <c r="BS6" s="2">
        <v>1.3555776390481196</v>
      </c>
      <c r="BT6" s="2">
        <f t="shared" si="7"/>
        <v>0.73042029195962688</v>
      </c>
      <c r="BU6" s="2">
        <v>1.1590452262504769</v>
      </c>
      <c r="BV6" s="2">
        <f t="shared" si="8"/>
        <v>-7.5715228163533261</v>
      </c>
      <c r="BW6" s="2">
        <f t="shared" si="9"/>
        <v>1.571175791350615</v>
      </c>
      <c r="BX6" s="2">
        <f t="shared" si="10"/>
        <v>1.3980087308474578</v>
      </c>
      <c r="BZ6" s="2">
        <v>2</v>
      </c>
      <c r="CA6" s="2">
        <f t="shared" ref="CA6:CA34" si="23">IF(CG5&gt;0,CE5,CA5)</f>
        <v>3.1415926535897934E-2</v>
      </c>
      <c r="CB6" s="2">
        <v>-4.4395616130222892</v>
      </c>
      <c r="CC6" s="2">
        <f t="shared" ref="CC6:CC34" si="24">IF(CH5&gt;0,CE5,CC5)</f>
        <v>1.4294246573833558</v>
      </c>
      <c r="CD6" s="2">
        <v>1.1849334024020164</v>
      </c>
      <c r="CE6" s="2">
        <f t="shared" si="11"/>
        <v>0.73042029195962688</v>
      </c>
      <c r="CF6" s="2">
        <v>0.93866057303403083</v>
      </c>
      <c r="CG6" s="2">
        <f t="shared" si="12"/>
        <v>-4.1672414476993884</v>
      </c>
      <c r="CH6" s="2">
        <f t="shared" si="13"/>
        <v>1.1122502665058405</v>
      </c>
      <c r="CI6" s="2">
        <f t="shared" si="14"/>
        <v>1.3980087308474578</v>
      </c>
    </row>
    <row r="7" spans="2:87" x14ac:dyDescent="0.2">
      <c r="B7" s="6" t="s">
        <v>271</v>
      </c>
      <c r="C7" s="17">
        <v>500</v>
      </c>
      <c r="D7" s="6" t="s">
        <v>134</v>
      </c>
      <c r="F7" s="6" t="s">
        <v>130</v>
      </c>
      <c r="G7" s="6">
        <f>$C$6*2*PI()*$C$9/60</f>
        <v>108.54886902131193</v>
      </c>
      <c r="H7" s="6" t="s">
        <v>10</v>
      </c>
      <c r="J7" s="6" t="s">
        <v>230</v>
      </c>
      <c r="K7" s="6">
        <f>K6/$C$29</f>
        <v>118.87991473289847</v>
      </c>
      <c r="L7" s="6" t="s">
        <v>104</v>
      </c>
      <c r="N7" s="6" t="s">
        <v>293</v>
      </c>
      <c r="O7" s="17">
        <v>9.1534090314177498E-3</v>
      </c>
      <c r="U7" s="2">
        <v>3</v>
      </c>
      <c r="V7" s="2">
        <f t="shared" si="15"/>
        <v>0.875</v>
      </c>
      <c r="W7" s="2">
        <f t="shared" si="0"/>
        <v>8.6322953123590396E-2</v>
      </c>
      <c r="X7" s="2">
        <f t="shared" si="16"/>
        <v>1</v>
      </c>
      <c r="Y7" s="2">
        <f t="shared" si="1"/>
        <v>-4.2545474450474741E-2</v>
      </c>
      <c r="Z7" s="2">
        <f t="shared" si="3"/>
        <v>0.9375</v>
      </c>
      <c r="AA7" s="2">
        <f t="shared" si="2"/>
        <v>2.1761242498378408E-2</v>
      </c>
      <c r="AB7" s="2">
        <f t="shared" si="4"/>
        <v>1.8784947160986024E-3</v>
      </c>
      <c r="AC7" s="2">
        <f t="shared" si="5"/>
        <v>-9.2584238672534366E-4</v>
      </c>
      <c r="AD7" s="2">
        <f t="shared" si="6"/>
        <v>0.125</v>
      </c>
      <c r="AF7" s="2">
        <v>3</v>
      </c>
      <c r="AG7" s="2">
        <f t="shared" ref="AG7:AG44" si="25">IF(AM6&gt;0,AK6,AG6)</f>
        <v>2750</v>
      </c>
      <c r="AH7" s="2">
        <v>-54.01475015007145</v>
      </c>
      <c r="AI7" s="2">
        <f t="shared" ref="AI7:AI44" si="26">IF(AN6&gt;0,AK6,AI6)</f>
        <v>3875</v>
      </c>
      <c r="AJ7" s="2">
        <v>464.29422457405144</v>
      </c>
      <c r="AK7" s="2">
        <f t="shared" si="17"/>
        <v>3312.5</v>
      </c>
      <c r="AL7" s="2">
        <v>228.35741541847847</v>
      </c>
      <c r="AM7" s="2">
        <f t="shared" si="18"/>
        <v>-12334.668738745188</v>
      </c>
      <c r="AN7" s="2">
        <f t="shared" si="19"/>
        <v>106025.029117457</v>
      </c>
      <c r="AO7" s="2">
        <f t="shared" si="20"/>
        <v>1125</v>
      </c>
      <c r="AQ7" s="61" t="s">
        <v>165</v>
      </c>
      <c r="AR7" s="61"/>
      <c r="AS7" s="61"/>
      <c r="AU7" s="2" t="s">
        <v>166</v>
      </c>
      <c r="AV7" s="2">
        <f>$AR$3/(AV6*AR9)</f>
        <v>7.3512008112690624E-2</v>
      </c>
      <c r="AY7" s="2" t="s">
        <v>167</v>
      </c>
      <c r="AZ7" s="2">
        <f>SQRT(AZ5^2 + AZ6^2)</f>
        <v>25.020320350632609</v>
      </c>
      <c r="BA7" s="26" t="s">
        <v>10</v>
      </c>
      <c r="BC7" s="2" t="s">
        <v>167</v>
      </c>
      <c r="BD7" s="2">
        <f>SQRT(BD5^2 + BD6^2)</f>
        <v>35.989696730602965</v>
      </c>
      <c r="BE7" s="26" t="s">
        <v>10</v>
      </c>
      <c r="BG7" s="2" t="s">
        <v>168</v>
      </c>
      <c r="BH7" s="2">
        <f>BH6/PI()*180</f>
        <v>3.9249837134944712</v>
      </c>
      <c r="BI7" s="2" t="s">
        <v>43</v>
      </c>
      <c r="BJ7" s="2"/>
      <c r="BK7" s="2" t="s">
        <v>168</v>
      </c>
      <c r="BL7" s="2">
        <f>BL6/PI()*180</f>
        <v>6.4830152676420747</v>
      </c>
      <c r="BM7" s="2" t="s">
        <v>43</v>
      </c>
      <c r="BO7" s="2">
        <v>3</v>
      </c>
      <c r="BP7" s="2">
        <f t="shared" si="21"/>
        <v>3.1415926535897934E-2</v>
      </c>
      <c r="BQ7" s="2">
        <v>-6.5325516596511761</v>
      </c>
      <c r="BR7" s="2">
        <f t="shared" si="22"/>
        <v>0.73042029195962688</v>
      </c>
      <c r="BS7" s="2">
        <v>1.1590452262504769</v>
      </c>
      <c r="BT7" s="2">
        <f t="shared" si="7"/>
        <v>0.38091810924776243</v>
      </c>
      <c r="BU7" s="2">
        <v>-0.57294875352480745</v>
      </c>
      <c r="BV7" s="2">
        <f t="shared" si="8"/>
        <v>3.7428173307335535</v>
      </c>
      <c r="BW7" s="2">
        <f t="shared" si="9"/>
        <v>-0.66407351765908917</v>
      </c>
      <c r="BX7" s="2">
        <f t="shared" si="10"/>
        <v>0.6990043654237289</v>
      </c>
      <c r="BZ7" s="2">
        <v>3</v>
      </c>
      <c r="CA7" s="2">
        <f t="shared" si="23"/>
        <v>3.1415926535897934E-2</v>
      </c>
      <c r="CB7" s="2">
        <v>-4.4395616130222892</v>
      </c>
      <c r="CC7" s="2">
        <f t="shared" si="24"/>
        <v>0.73042029195962688</v>
      </c>
      <c r="CD7" s="2">
        <v>0.93866057303403083</v>
      </c>
      <c r="CE7" s="2">
        <f t="shared" si="11"/>
        <v>0.38091810924776243</v>
      </c>
      <c r="CF7" s="2">
        <v>-8.2011509190618267E-2</v>
      </c>
      <c r="CG7" s="2">
        <f t="shared" si="12"/>
        <v>0.36409514802869353</v>
      </c>
      <c r="CH7" s="2">
        <f t="shared" si="13"/>
        <v>-7.6980970212251434E-2</v>
      </c>
      <c r="CI7" s="2">
        <f t="shared" si="14"/>
        <v>0.6990043654237289</v>
      </c>
    </row>
    <row r="8" spans="2:87" x14ac:dyDescent="0.2">
      <c r="B8" s="6" t="s">
        <v>9</v>
      </c>
      <c r="C8" s="17">
        <f>150 * 1609.344 / 3600</f>
        <v>67.055999999999997</v>
      </c>
      <c r="D8" s="6" t="s">
        <v>10</v>
      </c>
      <c r="F8" s="6" t="s">
        <v>133</v>
      </c>
      <c r="G8" s="6">
        <f>G7/$C$68</f>
        <v>0.32507745049532083</v>
      </c>
      <c r="H8" s="6" t="s">
        <v>131</v>
      </c>
      <c r="N8" s="6" t="s">
        <v>294</v>
      </c>
      <c r="O8" s="17">
        <v>0.272912140344656</v>
      </c>
      <c r="U8" s="2">
        <v>4</v>
      </c>
      <c r="V8" s="2">
        <f t="shared" si="15"/>
        <v>0.9375</v>
      </c>
      <c r="W8" s="2">
        <f t="shared" si="0"/>
        <v>2.1761242498378408E-2</v>
      </c>
      <c r="X8" s="2">
        <f t="shared" si="16"/>
        <v>1</v>
      </c>
      <c r="Y8" s="2">
        <f t="shared" si="1"/>
        <v>-4.2545474450474741E-2</v>
      </c>
      <c r="Z8" s="2">
        <f t="shared" si="3"/>
        <v>0.96875</v>
      </c>
      <c r="AA8" s="2">
        <f t="shared" si="2"/>
        <v>-1.0420950075461066E-2</v>
      </c>
      <c r="AB8" s="2">
        <f t="shared" si="4"/>
        <v>-2.2677282165560304E-4</v>
      </c>
      <c r="AC8" s="2">
        <f t="shared" si="5"/>
        <v>4.4336426518520162E-4</v>
      </c>
      <c r="AD8" s="2">
        <f t="shared" si="6"/>
        <v>6.25E-2</v>
      </c>
      <c r="AF8" s="2">
        <v>4</v>
      </c>
      <c r="AG8" s="2">
        <f t="shared" si="25"/>
        <v>2750</v>
      </c>
      <c r="AH8" s="2">
        <v>-54.01475015007145</v>
      </c>
      <c r="AI8" s="2">
        <f t="shared" si="26"/>
        <v>3312.5</v>
      </c>
      <c r="AJ8" s="2">
        <v>228.35741541847847</v>
      </c>
      <c r="AK8" s="2">
        <f t="shared" si="17"/>
        <v>3031.25</v>
      </c>
      <c r="AL8" s="2">
        <v>89.630395579783908</v>
      </c>
      <c r="AM8" s="2">
        <f t="shared" si="18"/>
        <v>-4841.3634230940961</v>
      </c>
      <c r="AN8" s="2">
        <f t="shared" si="19"/>
        <v>20467.765477535271</v>
      </c>
      <c r="AO8" s="2">
        <f t="shared" si="20"/>
        <v>562.5</v>
      </c>
      <c r="AQ8" s="2" t="s">
        <v>169</v>
      </c>
      <c r="AR8" s="2">
        <f>$C$23</f>
        <v>2</v>
      </c>
      <c r="AS8" s="26"/>
      <c r="AY8" s="2" t="s">
        <v>170</v>
      </c>
      <c r="AZ8" s="37">
        <f>$AR$45*AZ7*$AR$27/$AR$46</f>
        <v>1251955.4003817979</v>
      </c>
      <c r="BA8" s="26"/>
      <c r="BC8" s="2" t="s">
        <v>170</v>
      </c>
      <c r="BD8" s="37">
        <f>$AR$45*BD7*$AR$27/$AR$46</f>
        <v>1800836.0623904762</v>
      </c>
      <c r="BE8" s="26"/>
      <c r="BG8" s="2" t="s">
        <v>171</v>
      </c>
      <c r="BH8" s="2">
        <f xml:space="preserve"> $AR$8*$AR$27 / (2*PI()*$AR$19)</f>
        <v>0.67286936241325579</v>
      </c>
      <c r="BI8" s="2"/>
      <c r="BJ8" s="2"/>
      <c r="BK8" s="2" t="s">
        <v>171</v>
      </c>
      <c r="BL8" s="2">
        <f xml:space="preserve"> $AR$8*$AR$28 / (2*PI()*$AR$20)</f>
        <v>0.47184346557538748</v>
      </c>
      <c r="BM8" s="2"/>
      <c r="BO8" s="2">
        <v>4</v>
      </c>
      <c r="BP8" s="2">
        <f t="shared" si="21"/>
        <v>0.38091810924776243</v>
      </c>
      <c r="BQ8" s="2">
        <v>-0.57294875352480745</v>
      </c>
      <c r="BR8" s="2">
        <f t="shared" si="22"/>
        <v>0.73042029195962688</v>
      </c>
      <c r="BS8" s="2">
        <v>1.1590452262504769</v>
      </c>
      <c r="BT8" s="2">
        <f t="shared" si="7"/>
        <v>0.55566920060369462</v>
      </c>
      <c r="BU8" s="2">
        <v>0.46046162846796546</v>
      </c>
      <c r="BV8" s="2">
        <f t="shared" si="8"/>
        <v>-0.26382091607672381</v>
      </c>
      <c r="BW8" s="2">
        <f t="shared" si="9"/>
        <v>0.53369585234731609</v>
      </c>
      <c r="BX8" s="2">
        <f t="shared" si="10"/>
        <v>0.34950218271186445</v>
      </c>
      <c r="BZ8" s="2">
        <v>4</v>
      </c>
      <c r="CA8" s="2">
        <f t="shared" si="23"/>
        <v>0.38091810924776243</v>
      </c>
      <c r="CB8" s="2">
        <v>-8.2011509190618267E-2</v>
      </c>
      <c r="CC8" s="2">
        <f t="shared" si="24"/>
        <v>0.73042029195962688</v>
      </c>
      <c r="CD8" s="2">
        <v>0.93866057303403083</v>
      </c>
      <c r="CE8" s="2">
        <f t="shared" si="11"/>
        <v>0.55566920060369462</v>
      </c>
      <c r="CF8" s="2">
        <v>0.53180985393576041</v>
      </c>
      <c r="CG8" s="2">
        <f t="shared" si="12"/>
        <v>-4.361452872371397E-2</v>
      </c>
      <c r="CH8" s="2">
        <f t="shared" si="13"/>
        <v>0.4991889422404851</v>
      </c>
      <c r="CI8" s="2">
        <f t="shared" si="14"/>
        <v>0.34950218271186445</v>
      </c>
    </row>
    <row r="9" spans="2:87" x14ac:dyDescent="0.2">
      <c r="B9" s="6" t="s">
        <v>98</v>
      </c>
      <c r="C9" s="17">
        <v>1.524</v>
      </c>
      <c r="D9" s="6" t="s">
        <v>8</v>
      </c>
      <c r="F9" s="6" t="s">
        <v>21</v>
      </c>
      <c r="G9" s="6">
        <f xml:space="preserve"> $C$5 * $C$69 / $C$22</f>
        <v>3496.9796362765751</v>
      </c>
      <c r="H9" s="6" t="s">
        <v>22</v>
      </c>
      <c r="J9" s="59" t="s">
        <v>23</v>
      </c>
      <c r="K9" s="59"/>
      <c r="L9" s="59"/>
      <c r="N9" s="6" t="s">
        <v>122</v>
      </c>
      <c r="O9" s="6">
        <f xml:space="preserve"> $O$8/$C$13 + $O$7</f>
        <v>2.3123486142309087E-2</v>
      </c>
      <c r="U9" s="2">
        <v>5</v>
      </c>
      <c r="V9" s="2">
        <f t="shared" si="15"/>
        <v>0.9375</v>
      </c>
      <c r="W9" s="2">
        <f t="shared" si="0"/>
        <v>2.1761242498378408E-2</v>
      </c>
      <c r="X9" s="2">
        <f t="shared" si="16"/>
        <v>0.96875</v>
      </c>
      <c r="Y9" s="2">
        <f t="shared" si="1"/>
        <v>-1.0420950075461066E-2</v>
      </c>
      <c r="Z9" s="2">
        <f t="shared" si="3"/>
        <v>0.953125</v>
      </c>
      <c r="AA9" s="2">
        <f t="shared" si="2"/>
        <v>5.6625882499035107E-3</v>
      </c>
      <c r="AB9" s="2">
        <f t="shared" si="4"/>
        <v>1.2322495607461849E-4</v>
      </c>
      <c r="AC9" s="2">
        <f t="shared" si="5"/>
        <v>-5.9009549450136936E-5</v>
      </c>
      <c r="AD9" s="2">
        <f t="shared" si="6"/>
        <v>3.125E-2</v>
      </c>
      <c r="AF9" s="2">
        <v>5</v>
      </c>
      <c r="AG9" s="2">
        <f t="shared" si="25"/>
        <v>2750</v>
      </c>
      <c r="AH9" s="2">
        <v>-54.01475015007145</v>
      </c>
      <c r="AI9" s="2">
        <f t="shared" si="26"/>
        <v>3031.25</v>
      </c>
      <c r="AJ9" s="2">
        <v>89.630395579783908</v>
      </c>
      <c r="AK9" s="2">
        <f t="shared" si="17"/>
        <v>2890.625</v>
      </c>
      <c r="AL9" s="2">
        <v>18.411131691060746</v>
      </c>
      <c r="AM9" s="2">
        <f t="shared" si="18"/>
        <v>-994.47267827270866</v>
      </c>
      <c r="AN9" s="2">
        <f t="shared" si="19"/>
        <v>1650.1970165412704</v>
      </c>
      <c r="AO9" s="2">
        <f t="shared" si="20"/>
        <v>281.25</v>
      </c>
      <c r="AQ9" s="2" t="s">
        <v>172</v>
      </c>
      <c r="AR9" s="2">
        <f>2*$C$9</f>
        <v>3.048</v>
      </c>
      <c r="AS9" s="26" t="s">
        <v>8</v>
      </c>
      <c r="AU9" s="61" t="s">
        <v>173</v>
      </c>
      <c r="AV9" s="61"/>
      <c r="AW9" s="61"/>
      <c r="AY9" s="2" t="s">
        <v>174</v>
      </c>
      <c r="AZ9" s="2">
        <f xml:space="preserve"> $BH$8 * PI() * $AR$45 * AZ7^2 *$BH$14 * $AR$19 * AZ4</f>
        <v>42.328913716286003</v>
      </c>
      <c r="BA9" s="26" t="s">
        <v>22</v>
      </c>
      <c r="BC9" s="2" t="s">
        <v>174</v>
      </c>
      <c r="BD9" s="2">
        <f xml:space="preserve"> $BL$8 * PI() * $AR$45 * BD7^2 * $BL$14 * $AR$20 * BD4</f>
        <v>133.70205669594719</v>
      </c>
      <c r="BE9" s="26" t="s">
        <v>22</v>
      </c>
      <c r="BG9" s="2" t="s">
        <v>175</v>
      </c>
      <c r="BH9" s="2">
        <f>IF(-$AR$8*($AV$3-$AR$19)/(2*$AR$19*SIN(BH4))&gt;500, 1, 2*ACOS(MIN(1, EXP(-$AR$8*($AV$3-$AR$19)/(2*$AR$19*SIN(BH4)))))/PI() )</f>
        <v>0.99881102223387119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0.9935285151145391</v>
      </c>
      <c r="BM9" s="2"/>
      <c r="BO9" s="2">
        <v>5</v>
      </c>
      <c r="BP9" s="2">
        <f t="shared" si="21"/>
        <v>0.38091810924776243</v>
      </c>
      <c r="BQ9" s="2">
        <v>-0.57294875352480745</v>
      </c>
      <c r="BR9" s="2">
        <f t="shared" si="22"/>
        <v>0.55566920060369462</v>
      </c>
      <c r="BS9" s="2">
        <v>0.46046162846796546</v>
      </c>
      <c r="BT9" s="2">
        <f t="shared" si="7"/>
        <v>0.4682936549257285</v>
      </c>
      <c r="BU9" s="2">
        <v>-2.0699262382220321E-2</v>
      </c>
      <c r="BV9" s="2">
        <f t="shared" si="8"/>
        <v>1.185961658077607E-2</v>
      </c>
      <c r="BW9" s="2">
        <f t="shared" si="9"/>
        <v>-9.5312160646028668E-3</v>
      </c>
      <c r="BX9" s="2">
        <f t="shared" si="10"/>
        <v>0.1747510913559322</v>
      </c>
      <c r="BZ9" s="2">
        <v>5</v>
      </c>
      <c r="CA9" s="2">
        <f t="shared" si="23"/>
        <v>0.38091810924776243</v>
      </c>
      <c r="CB9" s="2">
        <v>-8.2011509190618267E-2</v>
      </c>
      <c r="CC9" s="2">
        <f t="shared" si="24"/>
        <v>0.55566920060369462</v>
      </c>
      <c r="CD9" s="2">
        <v>0.53180985393576041</v>
      </c>
      <c r="CE9" s="2">
        <f t="shared" si="11"/>
        <v>0.4682936549257285</v>
      </c>
      <c r="CF9" s="2">
        <v>0.25095019394026574</v>
      </c>
      <c r="CG9" s="2">
        <f t="shared" si="12"/>
        <v>-2.058080413671954E-2</v>
      </c>
      <c r="CH9" s="2">
        <f t="shared" si="13"/>
        <v>0.13345778598452349</v>
      </c>
      <c r="CI9" s="2">
        <f t="shared" si="14"/>
        <v>0.1747510913559322</v>
      </c>
    </row>
    <row r="10" spans="2:87" x14ac:dyDescent="0.2">
      <c r="B10" s="6" t="s">
        <v>224</v>
      </c>
      <c r="C10" s="17">
        <f>(0.548288+0.530863+0.513438+0.496013+0.478588+0.461163+0.443738+0.426313)/8</f>
        <v>0.48730050000000003</v>
      </c>
      <c r="D10" s="6" t="s">
        <v>8</v>
      </c>
      <c r="F10" s="47" t="s">
        <v>215</v>
      </c>
      <c r="G10" s="6">
        <f>AV10</f>
        <v>3497.117490028023</v>
      </c>
      <c r="H10" s="6" t="s">
        <v>22</v>
      </c>
      <c r="J10" s="6" t="s">
        <v>99</v>
      </c>
      <c r="K10" s="6">
        <f xml:space="preserve"> $C$19 * (G13*G6 + G20*G16 + G27*G25 + G31*G30)/3600</f>
        <v>145.1877605659709</v>
      </c>
      <c r="L10" s="6" t="s">
        <v>105</v>
      </c>
      <c r="N10" s="6" t="s">
        <v>41</v>
      </c>
      <c r="O10" s="6">
        <f xml:space="preserve"> O5 * $C$13 * O9</f>
        <v>1024.2777090663999</v>
      </c>
      <c r="P10" s="6" t="s">
        <v>22</v>
      </c>
      <c r="U10" s="2">
        <v>6</v>
      </c>
      <c r="V10" s="2">
        <f t="shared" si="15"/>
        <v>0.953125</v>
      </c>
      <c r="W10" s="2">
        <f t="shared" si="0"/>
        <v>5.6625882499035107E-3</v>
      </c>
      <c r="X10" s="2">
        <f t="shared" si="16"/>
        <v>0.96875</v>
      </c>
      <c r="Y10" s="2">
        <f t="shared" si="1"/>
        <v>-1.0420950075461066E-2</v>
      </c>
      <c r="Z10" s="2">
        <f t="shared" si="3"/>
        <v>0.9609375</v>
      </c>
      <c r="AA10" s="2">
        <f t="shared" si="2"/>
        <v>-2.3810249796772931E-3</v>
      </c>
      <c r="AB10" s="2">
        <f t="shared" si="4"/>
        <v>-1.3482764072647386E-5</v>
      </c>
      <c r="AC10" s="2">
        <f t="shared" si="5"/>
        <v>2.481254244164277E-5</v>
      </c>
      <c r="AD10" s="2">
        <f t="shared" si="6"/>
        <v>1.5625E-2</v>
      </c>
      <c r="AF10" s="2">
        <v>6</v>
      </c>
      <c r="AG10" s="2">
        <f t="shared" si="25"/>
        <v>2750</v>
      </c>
      <c r="AH10" s="2">
        <v>-54.01475015007145</v>
      </c>
      <c r="AI10" s="2">
        <f t="shared" si="26"/>
        <v>2890.625</v>
      </c>
      <c r="AJ10" s="2">
        <v>18.411131691060746</v>
      </c>
      <c r="AK10" s="2">
        <f t="shared" si="17"/>
        <v>2820.3125</v>
      </c>
      <c r="AL10" s="2">
        <v>-17.652521136129053</v>
      </c>
      <c r="AM10" s="2">
        <f t="shared" si="18"/>
        <v>953.49651868686624</v>
      </c>
      <c r="AN10" s="2">
        <f t="shared" si="19"/>
        <v>-325.00289131650527</v>
      </c>
      <c r="AO10" s="2">
        <f t="shared" si="20"/>
        <v>140.625</v>
      </c>
      <c r="AQ10" s="2" t="s">
        <v>176</v>
      </c>
      <c r="AR10" s="3">
        <f>0.21*($AR$9/2)</f>
        <v>0.32003999999999999</v>
      </c>
      <c r="AS10" s="26" t="s">
        <v>8</v>
      </c>
      <c r="AU10" s="4" t="s">
        <v>177</v>
      </c>
      <c r="AV10" s="38">
        <f>AZ9+BD9+AZ18+BD18+AZ27+BD27+AZ36+BD36</f>
        <v>3497.117490028023</v>
      </c>
      <c r="AW10" s="26" t="s">
        <v>22</v>
      </c>
      <c r="AY10" s="2" t="s">
        <v>178</v>
      </c>
      <c r="AZ10" s="2">
        <f xml:space="preserve"> $BH$8 * PI() * $AR$45 * AZ7^2 * $BH$15 * $AR$19^2 * AZ4</f>
        <v>11.117624650546261</v>
      </c>
      <c r="BA10" s="26" t="s">
        <v>179</v>
      </c>
      <c r="BC10" s="2" t="s">
        <v>178</v>
      </c>
      <c r="BD10" s="2">
        <f xml:space="preserve"> $BL$8 * PI() * $AR$45 * BD7^2 * $BL$15 * $AR$20^2 * BD4</f>
        <v>36.388651162460022</v>
      </c>
      <c r="BE10" s="26" t="s">
        <v>179</v>
      </c>
      <c r="BG10" s="2" t="s">
        <v>180</v>
      </c>
      <c r="BH10" s="2">
        <f>IF(-$AR$8*($AR$19-$AR$10)/(2*$AR$19*SIN(BH4))&gt;500, 1, 2*ACOS(MIN(1, EXP(-$AR$8*($AR$19-$AR$10)/(2*$AR$19*SIN(BH4)))))/PI() )</f>
        <v>0.54298419485691585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0.77452314158109636</v>
      </c>
      <c r="BM10" s="2"/>
      <c r="BO10" s="2">
        <v>6</v>
      </c>
      <c r="BP10" s="2">
        <f t="shared" si="21"/>
        <v>0.4682936549257285</v>
      </c>
      <c r="BQ10" s="2">
        <v>-2.0699262382220321E-2</v>
      </c>
      <c r="BR10" s="2">
        <f t="shared" si="22"/>
        <v>0.55566920060369462</v>
      </c>
      <c r="BS10" s="2">
        <v>0.46046162846796546</v>
      </c>
      <c r="BT10" s="2">
        <f t="shared" si="7"/>
        <v>0.51198142776471156</v>
      </c>
      <c r="BU10" s="2">
        <v>0.23037328704340138</v>
      </c>
      <c r="BV10" s="2">
        <f t="shared" si="8"/>
        <v>-4.7685571143659218E-3</v>
      </c>
      <c r="BW10" s="2">
        <f t="shared" si="9"/>
        <v>0.10607805890752264</v>
      </c>
      <c r="BX10" s="2">
        <f t="shared" si="10"/>
        <v>8.7375545677966127E-2</v>
      </c>
      <c r="BZ10" s="2">
        <v>6</v>
      </c>
      <c r="CA10" s="2">
        <f t="shared" si="23"/>
        <v>0.38091810924776243</v>
      </c>
      <c r="CB10" s="2">
        <v>-8.2011509190618267E-2</v>
      </c>
      <c r="CC10" s="2">
        <f t="shared" si="24"/>
        <v>0.4682936549257285</v>
      </c>
      <c r="CD10" s="2">
        <v>0.25095019394026574</v>
      </c>
      <c r="CE10" s="2">
        <f t="shared" si="11"/>
        <v>0.42460588208674543</v>
      </c>
      <c r="CF10" s="2">
        <v>9.0830364987061221E-2</v>
      </c>
      <c r="CG10" s="2">
        <f t="shared" si="12"/>
        <v>-7.4491353129235828E-3</v>
      </c>
      <c r="CH10" s="2">
        <f t="shared" si="13"/>
        <v>2.2793897709168138E-2</v>
      </c>
      <c r="CI10" s="2">
        <f t="shared" si="14"/>
        <v>8.7375545677966071E-2</v>
      </c>
    </row>
    <row r="11" spans="2:87" x14ac:dyDescent="0.2">
      <c r="B11" s="6" t="s">
        <v>231</v>
      </c>
      <c r="C11" s="17">
        <v>1.3715999999999999</v>
      </c>
      <c r="D11" s="6" t="s">
        <v>8</v>
      </c>
      <c r="F11" s="47" t="s">
        <v>216</v>
      </c>
      <c r="G11" s="6">
        <f>G9-G10</f>
        <v>-0.13785375144789214</v>
      </c>
      <c r="H11" s="6" t="s">
        <v>22</v>
      </c>
      <c r="J11" s="6" t="s">
        <v>24</v>
      </c>
      <c r="K11" s="6">
        <f xml:space="preserve"> (G6 + G16 + G25 +G30)/60</f>
        <v>49.333333333333336</v>
      </c>
      <c r="L11" s="6" t="s">
        <v>106</v>
      </c>
      <c r="N11" s="6" t="s">
        <v>234</v>
      </c>
      <c r="O11" s="6">
        <f xml:space="preserve"> 1.78 * (1 - 0.045 * $C$14^0.68) - 0.64</f>
        <v>0.7028810168808014</v>
      </c>
      <c r="U11" s="2">
        <v>7</v>
      </c>
      <c r="V11" s="2">
        <f t="shared" si="15"/>
        <v>0.953125</v>
      </c>
      <c r="W11" s="2">
        <f t="shared" si="0"/>
        <v>5.6625882499035107E-3</v>
      </c>
      <c r="X11" s="2">
        <f t="shared" si="16"/>
        <v>0.9609375</v>
      </c>
      <c r="Y11" s="2">
        <f t="shared" si="1"/>
        <v>-2.3810249796772931E-3</v>
      </c>
      <c r="Z11" s="2">
        <f t="shared" si="3"/>
        <v>0.95703125</v>
      </c>
      <c r="AA11" s="2">
        <f t="shared" si="2"/>
        <v>1.6403150542337874E-3</v>
      </c>
      <c r="AB11" s="2">
        <f t="shared" si="4"/>
        <v>9.2884287522440844E-6</v>
      </c>
      <c r="AC11" s="2">
        <f t="shared" si="5"/>
        <v>-3.9056311186713616E-6</v>
      </c>
      <c r="AD11" s="2">
        <f t="shared" si="6"/>
        <v>7.8125E-3</v>
      </c>
      <c r="AF11" s="2">
        <v>7</v>
      </c>
      <c r="AG11" s="2">
        <f t="shared" si="25"/>
        <v>2820.3125</v>
      </c>
      <c r="AH11" s="2">
        <v>-17.652521136129053</v>
      </c>
      <c r="AI11" s="2">
        <f t="shared" si="26"/>
        <v>2890.625</v>
      </c>
      <c r="AJ11" s="2">
        <v>18.411131691060746</v>
      </c>
      <c r="AK11" s="2">
        <f t="shared" si="17"/>
        <v>2855.46875</v>
      </c>
      <c r="AL11" s="2">
        <v>0.41682532157483365</v>
      </c>
      <c r="AM11" s="2">
        <f t="shared" si="18"/>
        <v>-7.35801779917354</v>
      </c>
      <c r="AN11" s="2">
        <f t="shared" si="19"/>
        <v>7.6742258876830061</v>
      </c>
      <c r="AO11" s="2">
        <f t="shared" si="20"/>
        <v>70.3125</v>
      </c>
      <c r="AQ11" s="64" t="s">
        <v>181</v>
      </c>
      <c r="AR11" s="3" t="s">
        <v>219</v>
      </c>
      <c r="AS11" s="26"/>
      <c r="AU11" s="4" t="s">
        <v>182</v>
      </c>
      <c r="AV11" s="38">
        <f>AZ10+BD10+AZ19+BD19+AZ28+BD28+AZ37+BD37</f>
        <v>1397.8025216397202</v>
      </c>
      <c r="AW11" s="26" t="s">
        <v>179</v>
      </c>
      <c r="AZ11" s="2"/>
      <c r="BG11" s="2" t="s">
        <v>183</v>
      </c>
      <c r="BH11" s="2">
        <f>IF(BH4=0,1,BH9*BH10)</f>
        <v>0.54233859872187162</v>
      </c>
      <c r="BI11" s="2"/>
      <c r="BJ11" s="2"/>
      <c r="BK11" s="2" t="s">
        <v>183</v>
      </c>
      <c r="BL11" s="2">
        <f>IF(BL4=0,1,BL9*BL10)</f>
        <v>0.76951082677691462</v>
      </c>
      <c r="BM11" s="2"/>
      <c r="BO11" s="2">
        <v>7</v>
      </c>
      <c r="BP11" s="2">
        <f t="shared" si="21"/>
        <v>0.4682936549257285</v>
      </c>
      <c r="BQ11" s="2">
        <v>-2.0699262382220321E-2</v>
      </c>
      <c r="BR11" s="2">
        <f t="shared" si="22"/>
        <v>0.51198142776471156</v>
      </c>
      <c r="BS11" s="2">
        <v>0.23037328704340138</v>
      </c>
      <c r="BT11" s="2">
        <f t="shared" si="7"/>
        <v>0.49013754134522003</v>
      </c>
      <c r="BU11" s="2">
        <v>0.10737466958863016</v>
      </c>
      <c r="BV11" s="2">
        <f t="shared" si="8"/>
        <v>-2.2225764590192688E-3</v>
      </c>
      <c r="BW11" s="2">
        <f t="shared" si="9"/>
        <v>2.4736255578331878E-2</v>
      </c>
      <c r="BX11" s="2">
        <f t="shared" si="10"/>
        <v>4.3687772838983063E-2</v>
      </c>
      <c r="BZ11" s="2">
        <v>7</v>
      </c>
      <c r="CA11" s="2">
        <f t="shared" si="23"/>
        <v>0.38091810924776243</v>
      </c>
      <c r="CB11" s="2">
        <v>-8.2011509190618267E-2</v>
      </c>
      <c r="CC11" s="2">
        <f t="shared" si="24"/>
        <v>0.42460588208674543</v>
      </c>
      <c r="CD11" s="2">
        <v>9.0830364987061221E-2</v>
      </c>
      <c r="CE11" s="2">
        <f t="shared" si="11"/>
        <v>0.4027619956672539</v>
      </c>
      <c r="CF11" s="2">
        <v>5.9144779086536259E-3</v>
      </c>
      <c r="CG11" s="2">
        <f t="shared" si="12"/>
        <v>-4.8505525936325556E-4</v>
      </c>
      <c r="CH11" s="2">
        <f t="shared" si="13"/>
        <v>5.3721418715091938E-4</v>
      </c>
      <c r="CI11" s="2">
        <f t="shared" si="14"/>
        <v>4.3687772838983008E-2</v>
      </c>
    </row>
    <row r="12" spans="2:87" x14ac:dyDescent="0.2">
      <c r="B12" s="6" t="s">
        <v>259</v>
      </c>
      <c r="C12" s="17">
        <f>(0.500656+0.484769+0.468881+0.452994+0.437106+0.421219+0.405331+0.389444)/8</f>
        <v>0.44505</v>
      </c>
      <c r="D12" s="6" t="s">
        <v>8</v>
      </c>
      <c r="F12" s="47" t="s">
        <v>217</v>
      </c>
      <c r="G12" s="4" t="str">
        <f>IF(ABS(G11)&lt;1, "TRUE", "FALSE")</f>
        <v>TRUE</v>
      </c>
      <c r="N12" s="6" t="s">
        <v>235</v>
      </c>
      <c r="O12" s="6">
        <f xml:space="preserve"> O4 / (O5 * $C$13)</f>
        <v>0.63156590790661427</v>
      </c>
      <c r="U12" s="2">
        <v>8</v>
      </c>
      <c r="V12" s="2">
        <f t="shared" si="15"/>
        <v>0.95703125</v>
      </c>
      <c r="W12" s="2">
        <f t="shared" si="0"/>
        <v>1.6403150542337874E-3</v>
      </c>
      <c r="X12" s="2">
        <f t="shared" si="16"/>
        <v>0.9609375</v>
      </c>
      <c r="Y12" s="2">
        <f t="shared" si="1"/>
        <v>-2.3810249796772931E-3</v>
      </c>
      <c r="Z12" s="2">
        <f t="shared" si="3"/>
        <v>0.958984375</v>
      </c>
      <c r="AA12" s="2">
        <f t="shared" si="2"/>
        <v>-3.7047090546671324E-4</v>
      </c>
      <c r="AB12" s="2">
        <f t="shared" si="4"/>
        <v>-6.0768900339267203E-7</v>
      </c>
      <c r="AC12" s="2">
        <f t="shared" si="5"/>
        <v>8.8210048015990927E-7</v>
      </c>
      <c r="AD12" s="2">
        <f t="shared" si="6"/>
        <v>3.90625E-3</v>
      </c>
      <c r="AF12" s="2">
        <v>8</v>
      </c>
      <c r="AG12" s="2">
        <f t="shared" si="25"/>
        <v>2820.3125</v>
      </c>
      <c r="AH12" s="2">
        <v>-17.652521136129053</v>
      </c>
      <c r="AI12" s="2">
        <f t="shared" si="26"/>
        <v>2855.46875</v>
      </c>
      <c r="AJ12" s="2">
        <v>0.41682532157483365</v>
      </c>
      <c r="AK12" s="2">
        <f t="shared" si="17"/>
        <v>2837.890625</v>
      </c>
      <c r="AL12" s="2">
        <v>-8.608492482217116</v>
      </c>
      <c r="AM12" s="2">
        <f t="shared" si="18"/>
        <v>151.96159549254568</v>
      </c>
      <c r="AN12" s="2">
        <f t="shared" si="19"/>
        <v>-3.5882376471746875</v>
      </c>
      <c r="AO12" s="2">
        <f t="shared" si="20"/>
        <v>35.15625</v>
      </c>
      <c r="AQ12" s="64"/>
      <c r="AR12" s="3" t="s">
        <v>219</v>
      </c>
      <c r="AS12" s="26"/>
      <c r="AU12" s="4" t="s">
        <v>184</v>
      </c>
      <c r="AV12" s="38">
        <f>AV11*AV5/1000</f>
        <v>99.560290576856644</v>
      </c>
      <c r="AW12" s="26" t="s">
        <v>104</v>
      </c>
      <c r="AY12" s="62" t="s">
        <v>185</v>
      </c>
      <c r="AZ12" s="62"/>
      <c r="BA12" s="62"/>
      <c r="BC12" s="62" t="s">
        <v>186</v>
      </c>
      <c r="BD12" s="62"/>
      <c r="BE12" s="62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0.61680422968647886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0.90942548566452408</v>
      </c>
      <c r="BM12" s="2"/>
      <c r="BO12" s="2">
        <v>8</v>
      </c>
      <c r="BP12" s="2">
        <f t="shared" si="21"/>
        <v>0.4682936549257285</v>
      </c>
      <c r="BQ12" s="2">
        <v>-2.0699262382220321E-2</v>
      </c>
      <c r="BR12" s="2">
        <f t="shared" si="22"/>
        <v>0.49013754134522003</v>
      </c>
      <c r="BS12" s="2">
        <v>0.10737466958863016</v>
      </c>
      <c r="BT12" s="2">
        <f t="shared" si="7"/>
        <v>0.47921559813547426</v>
      </c>
      <c r="BU12" s="2">
        <v>4.3953851150801235E-2</v>
      </c>
      <c r="BV12" s="2">
        <f t="shared" si="8"/>
        <v>-9.0981229767949138E-4</v>
      </c>
      <c r="BW12" s="2">
        <f t="shared" si="9"/>
        <v>4.7195302444651144E-3</v>
      </c>
      <c r="BX12" s="2">
        <f t="shared" si="10"/>
        <v>2.1843886419491532E-2</v>
      </c>
      <c r="BZ12" s="2">
        <v>8</v>
      </c>
      <c r="CA12" s="2">
        <f t="shared" si="23"/>
        <v>0.38091810924776243</v>
      </c>
      <c r="CB12" s="2">
        <v>-8.2011509190618267E-2</v>
      </c>
      <c r="CC12" s="2">
        <f t="shared" si="24"/>
        <v>0.4027619956672539</v>
      </c>
      <c r="CD12" s="2">
        <v>5.9144779086536259E-3</v>
      </c>
      <c r="CE12" s="2">
        <f t="shared" si="11"/>
        <v>0.39184005245750819</v>
      </c>
      <c r="CF12" s="2">
        <v>-3.7689015224967252E-2</v>
      </c>
      <c r="CG12" s="2">
        <f t="shared" si="12"/>
        <v>3.0909330185077536E-3</v>
      </c>
      <c r="CH12" s="2">
        <f t="shared" si="13"/>
        <v>-2.2291084794697898E-4</v>
      </c>
      <c r="CI12" s="2">
        <f t="shared" si="14"/>
        <v>2.1843886419491476E-2</v>
      </c>
    </row>
    <row r="13" spans="2:87" x14ac:dyDescent="0.2">
      <c r="B13" s="6" t="s">
        <v>232</v>
      </c>
      <c r="C13" s="17">
        <v>19.535478449999999</v>
      </c>
      <c r="D13" s="6" t="s">
        <v>11</v>
      </c>
      <c r="F13" s="43" t="s">
        <v>85</v>
      </c>
      <c r="G13" s="43">
        <f xml:space="preserve"> $C$22 * AV12</f>
        <v>796.48232461485316</v>
      </c>
      <c r="H13" s="43" t="s">
        <v>104</v>
      </c>
      <c r="J13" s="45" t="s">
        <v>54</v>
      </c>
      <c r="K13" s="45"/>
      <c r="L13" s="45"/>
      <c r="N13" s="6" t="s">
        <v>236</v>
      </c>
      <c r="O13" s="6">
        <f xml:space="preserve"> O9 + O12^2 / ( PI() * O11 * $C$14 )</f>
        <v>3.8018141130225676E-2</v>
      </c>
      <c r="U13" s="2">
        <v>9</v>
      </c>
      <c r="V13" s="2">
        <f t="shared" si="15"/>
        <v>0.95703125</v>
      </c>
      <c r="W13" s="2">
        <f t="shared" si="0"/>
        <v>1.6403150542337874E-3</v>
      </c>
      <c r="X13" s="2">
        <f t="shared" si="16"/>
        <v>0.958984375</v>
      </c>
      <c r="Y13" s="2">
        <f t="shared" si="1"/>
        <v>-3.7047090546671324E-4</v>
      </c>
      <c r="Z13" s="2">
        <f t="shared" si="3"/>
        <v>0.9580078125</v>
      </c>
      <c r="AA13" s="2">
        <f t="shared" si="2"/>
        <v>6.348930013274634E-4</v>
      </c>
      <c r="AB13" s="2">
        <f t="shared" si="4"/>
        <v>1.0414245479051103E-6</v>
      </c>
      <c r="AC13" s="2">
        <f t="shared" si="5"/>
        <v>-2.3520938507626454E-7</v>
      </c>
      <c r="AD13" s="2">
        <f t="shared" si="6"/>
        <v>1.953125E-3</v>
      </c>
      <c r="AF13" s="2">
        <v>9</v>
      </c>
      <c r="AG13" s="2">
        <f t="shared" si="25"/>
        <v>2837.890625</v>
      </c>
      <c r="AH13" s="2">
        <v>-8.608492482217116</v>
      </c>
      <c r="AI13" s="2">
        <f t="shared" si="26"/>
        <v>2855.46875</v>
      </c>
      <c r="AJ13" s="2">
        <v>0.41682532157483365</v>
      </c>
      <c r="AK13" s="2">
        <f t="shared" si="17"/>
        <v>2846.6796875</v>
      </c>
      <c r="AL13" s="2">
        <v>-4.0934913130713539</v>
      </c>
      <c r="AM13" s="2">
        <f t="shared" si="18"/>
        <v>35.238789194595824</v>
      </c>
      <c r="AN13" s="2">
        <f t="shared" si="19"/>
        <v>-1.7062708329347551</v>
      </c>
      <c r="AO13" s="2">
        <f t="shared" si="20"/>
        <v>17.578125</v>
      </c>
      <c r="AQ13" s="64"/>
      <c r="AR13" s="3" t="s">
        <v>219</v>
      </c>
      <c r="AS13" s="26"/>
      <c r="AY13" s="2" t="s">
        <v>153</v>
      </c>
      <c r="AZ13" s="2">
        <f>$AR$21-$AR$20</f>
        <v>0.15049499999999993</v>
      </c>
      <c r="BA13" s="26" t="s">
        <v>8</v>
      </c>
      <c r="BC13" s="2" t="s">
        <v>153</v>
      </c>
      <c r="BD13" s="2">
        <f>$AR$22-$AR$21</f>
        <v>0.15049500000000005</v>
      </c>
      <c r="BE13" s="26" t="s">
        <v>8</v>
      </c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7.1057821957131423E-2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5.5825852956909033E-2</v>
      </c>
      <c r="BM13" s="2"/>
      <c r="BO13" s="2">
        <v>9</v>
      </c>
      <c r="BP13" s="2">
        <f t="shared" si="21"/>
        <v>0.4682936549257285</v>
      </c>
      <c r="BQ13" s="2">
        <v>-2.0699262382220321E-2</v>
      </c>
      <c r="BR13" s="2">
        <f t="shared" si="22"/>
        <v>0.47921559813547426</v>
      </c>
      <c r="BS13" s="2">
        <v>4.3953851150801235E-2</v>
      </c>
      <c r="BT13" s="2">
        <f t="shared" si="7"/>
        <v>0.47375462653060141</v>
      </c>
      <c r="BU13" s="2">
        <v>1.1778447819314031E-2</v>
      </c>
      <c r="BV13" s="2">
        <f t="shared" si="8"/>
        <v>-2.4380518186727188E-4</v>
      </c>
      <c r="BW13" s="2">
        <f t="shared" si="9"/>
        <v>5.1770814223760827E-4</v>
      </c>
      <c r="BX13" s="2">
        <f t="shared" si="10"/>
        <v>1.0921943209745766E-2</v>
      </c>
      <c r="BZ13" s="2">
        <v>9</v>
      </c>
      <c r="CA13" s="2">
        <f t="shared" si="23"/>
        <v>0.39184005245750819</v>
      </c>
      <c r="CB13" s="2">
        <v>-3.7689015224967252E-2</v>
      </c>
      <c r="CC13" s="2">
        <f t="shared" si="24"/>
        <v>0.4027619956672539</v>
      </c>
      <c r="CD13" s="2">
        <v>5.9144779086536259E-3</v>
      </c>
      <c r="CE13" s="2">
        <f t="shared" si="11"/>
        <v>0.39730102406238105</v>
      </c>
      <c r="CF13" s="2">
        <v>-1.5794983019000536E-2</v>
      </c>
      <c r="CG13" s="2">
        <f t="shared" si="12"/>
        <v>5.9529735548121039E-4</v>
      </c>
      <c r="CH13" s="2">
        <f t="shared" si="13"/>
        <v>-9.3419078133437824E-5</v>
      </c>
      <c r="CI13" s="2">
        <f t="shared" si="14"/>
        <v>1.092194320974571E-2</v>
      </c>
    </row>
    <row r="14" spans="2:87" x14ac:dyDescent="0.2">
      <c r="B14" s="6" t="s">
        <v>233</v>
      </c>
      <c r="C14" s="17">
        <v>12.127610000000001</v>
      </c>
      <c r="J14" s="10" t="s">
        <v>82</v>
      </c>
      <c r="K14" s="18">
        <f>C5</f>
        <v>2854.2429453899999</v>
      </c>
      <c r="L14" s="6" t="s">
        <v>7</v>
      </c>
      <c r="N14" s="6" t="s">
        <v>42</v>
      </c>
      <c r="O14" s="6">
        <f xml:space="preserve"> O5 * O13 * $C$13</f>
        <v>1684.0511962675021</v>
      </c>
      <c r="P14" s="6" t="s">
        <v>22</v>
      </c>
      <c r="U14" s="2">
        <v>10</v>
      </c>
      <c r="V14" s="2">
        <f t="shared" si="15"/>
        <v>0.9580078125</v>
      </c>
      <c r="W14" s="2">
        <f t="shared" si="0"/>
        <v>6.348930013274634E-4</v>
      </c>
      <c r="X14" s="2">
        <f t="shared" si="16"/>
        <v>0.958984375</v>
      </c>
      <c r="Y14" s="2">
        <f t="shared" si="1"/>
        <v>-3.7047090546671324E-4</v>
      </c>
      <c r="Z14" s="2">
        <f t="shared" si="3"/>
        <v>0.95849609375</v>
      </c>
      <c r="AA14" s="2">
        <f t="shared" si="2"/>
        <v>1.3220379061484877E-4</v>
      </c>
      <c r="AB14" s="2">
        <f t="shared" si="4"/>
        <v>8.3935261410328869E-8</v>
      </c>
      <c r="AC14" s="2">
        <f t="shared" si="5"/>
        <v>-4.897765801521479E-8</v>
      </c>
      <c r="AD14" s="2">
        <f t="shared" si="6"/>
        <v>9.765625E-4</v>
      </c>
      <c r="AF14" s="2">
        <v>10</v>
      </c>
      <c r="AG14" s="2">
        <f t="shared" si="25"/>
        <v>2846.6796875</v>
      </c>
      <c r="AH14" s="2">
        <v>-4.0934913130713539</v>
      </c>
      <c r="AI14" s="2">
        <f t="shared" si="26"/>
        <v>2855.46875</v>
      </c>
      <c r="AJ14" s="2">
        <v>0.41682532157483365</v>
      </c>
      <c r="AK14" s="2">
        <f t="shared" si="17"/>
        <v>2851.07421875</v>
      </c>
      <c r="AL14" s="2">
        <v>-1.8377473601613019</v>
      </c>
      <c r="AM14" s="2">
        <f t="shared" si="18"/>
        <v>7.5228028544401022</v>
      </c>
      <c r="AN14" s="2">
        <f t="shared" si="19"/>
        <v>-0.76601963437253628</v>
      </c>
      <c r="AO14" s="2">
        <f t="shared" si="20"/>
        <v>8.7890625</v>
      </c>
      <c r="AQ14" s="64"/>
      <c r="AR14" s="3" t="s">
        <v>219</v>
      </c>
      <c r="AS14" s="26"/>
      <c r="AU14" s="61" t="s">
        <v>189</v>
      </c>
      <c r="AV14" s="61"/>
      <c r="AW14" s="61"/>
      <c r="AY14" s="2" t="s">
        <v>158</v>
      </c>
      <c r="AZ14" s="2">
        <f>(1+$BH$37)*$AR$3</f>
        <v>16.174964493148902</v>
      </c>
      <c r="BA14" s="26" t="s">
        <v>10</v>
      </c>
      <c r="BC14" s="2" t="s">
        <v>158</v>
      </c>
      <c r="BD14" s="2">
        <f>(1+$BL$37)*$AR$3</f>
        <v>17.948939847596098</v>
      </c>
      <c r="BE14" s="26" t="s">
        <v>10</v>
      </c>
      <c r="BG14" s="2" t="s">
        <v>190</v>
      </c>
      <c r="BH14" s="2">
        <f xml:space="preserve"> BH12*COS(BH4) - BH13*SIN(BH4)</f>
        <v>0.51713517693685651</v>
      </c>
      <c r="BI14" s="2"/>
      <c r="BJ14" s="2"/>
      <c r="BK14" s="2" t="s">
        <v>190</v>
      </c>
      <c r="BL14" s="2">
        <f xml:space="preserve"> BL12*COS(BL4) - BL13*SIN(BL4)</f>
        <v>0.8153811869117763</v>
      </c>
      <c r="BM14" s="2"/>
      <c r="BO14" s="2">
        <v>10</v>
      </c>
      <c r="BP14" s="2">
        <f t="shared" si="21"/>
        <v>0.4682936549257285</v>
      </c>
      <c r="BQ14" s="2">
        <v>-2.0699262382220321E-2</v>
      </c>
      <c r="BR14" s="2">
        <f t="shared" si="22"/>
        <v>0.47375462653060141</v>
      </c>
      <c r="BS14" s="2">
        <v>1.1778447819314031E-2</v>
      </c>
      <c r="BT14" s="2">
        <f t="shared" si="7"/>
        <v>0.47102414072816495</v>
      </c>
      <c r="BU14" s="2">
        <v>-4.4230208945694738E-3</v>
      </c>
      <c r="BV14" s="2">
        <f t="shared" si="8"/>
        <v>9.1553270018736383E-5</v>
      </c>
      <c r="BW14" s="2">
        <f t="shared" si="9"/>
        <v>-5.2096320810422211E-5</v>
      </c>
      <c r="BX14" s="2">
        <f t="shared" si="10"/>
        <v>5.4609716048729107E-3</v>
      </c>
      <c r="BZ14" s="2">
        <v>10</v>
      </c>
      <c r="CA14" s="2">
        <f t="shared" si="23"/>
        <v>0.39730102406238105</v>
      </c>
      <c r="CB14" s="2">
        <v>-1.5794983019000536E-2</v>
      </c>
      <c r="CC14" s="2">
        <f t="shared" si="24"/>
        <v>0.4027619956672539</v>
      </c>
      <c r="CD14" s="2">
        <v>5.9144779086536259E-3</v>
      </c>
      <c r="CE14" s="2">
        <f t="shared" si="11"/>
        <v>0.4000315098648175</v>
      </c>
      <c r="CF14" s="2">
        <v>-4.916908783963711E-3</v>
      </c>
      <c r="CG14" s="2">
        <f t="shared" si="12"/>
        <v>7.7662490748681387E-5</v>
      </c>
      <c r="CH14" s="2">
        <f t="shared" si="13"/>
        <v>-2.9080948381618334E-5</v>
      </c>
      <c r="CI14" s="2">
        <f t="shared" si="14"/>
        <v>5.4609716048728552E-3</v>
      </c>
    </row>
    <row r="15" spans="2:87" x14ac:dyDescent="0.2">
      <c r="F15" s="55" t="s">
        <v>89</v>
      </c>
      <c r="G15" s="58"/>
      <c r="H15" s="58"/>
      <c r="J15" s="11" t="s">
        <v>55</v>
      </c>
      <c r="K15" s="6">
        <f xml:space="preserve"> 1000 * K10 / ($C$61 * $C$62 * $C$63)</f>
        <v>854.04565038806413</v>
      </c>
      <c r="L15" s="6" t="s">
        <v>7</v>
      </c>
      <c r="N15" s="6" t="s">
        <v>237</v>
      </c>
      <c r="O15" s="6">
        <f>O4/O14</f>
        <v>16.612224825597757</v>
      </c>
      <c r="U15" s="2">
        <v>11</v>
      </c>
      <c r="V15" s="2">
        <f t="shared" si="15"/>
        <v>0.95849609375</v>
      </c>
      <c r="W15" s="2">
        <f t="shared" si="0"/>
        <v>1.3220379061484877E-4</v>
      </c>
      <c r="X15" s="2">
        <f t="shared" si="16"/>
        <v>0.958984375</v>
      </c>
      <c r="Y15" s="2">
        <f t="shared" si="1"/>
        <v>-3.7047090546671324E-4</v>
      </c>
      <c r="Z15" s="2">
        <f t="shared" si="3"/>
        <v>0.958740234375</v>
      </c>
      <c r="AA15" s="2">
        <f t="shared" si="2"/>
        <v>-1.1913537038865663E-4</v>
      </c>
      <c r="AB15" s="2">
        <f t="shared" si="4"/>
        <v>-1.5750147561684414E-8</v>
      </c>
      <c r="AC15" s="2">
        <f t="shared" si="5"/>
        <v>4.4136188540997878E-8</v>
      </c>
      <c r="AD15" s="2">
        <f t="shared" si="6"/>
        <v>4.8828125E-4</v>
      </c>
      <c r="AF15" s="2">
        <v>11</v>
      </c>
      <c r="AG15" s="2">
        <f t="shared" si="25"/>
        <v>2851.07421875</v>
      </c>
      <c r="AH15" s="2">
        <v>-1.8377473601613019</v>
      </c>
      <c r="AI15" s="2">
        <f t="shared" si="26"/>
        <v>2855.46875</v>
      </c>
      <c r="AJ15" s="2">
        <v>0.41682532157483365</v>
      </c>
      <c r="AK15" s="2">
        <f t="shared" si="17"/>
        <v>2853.271484375</v>
      </c>
      <c r="AL15" s="2">
        <v>-0.7103145625178513</v>
      </c>
      <c r="AM15" s="2">
        <f t="shared" si="18"/>
        <v>1.3053787121513112</v>
      </c>
      <c r="AN15" s="2">
        <f t="shared" si="19"/>
        <v>-0.29607709594079062</v>
      </c>
      <c r="AO15" s="2">
        <f t="shared" si="20"/>
        <v>4.39453125</v>
      </c>
      <c r="AQ15" s="64"/>
      <c r="AR15" s="3" t="s">
        <v>219</v>
      </c>
      <c r="AS15" s="26"/>
      <c r="AU15" s="2" t="s">
        <v>191</v>
      </c>
      <c r="AV15" s="2">
        <f>AV10*(AR3/2 + SQRT( (AR3/2)^2 + AV10/(2*AR45*PI()*AV3^2) ) )/1000</f>
        <v>57.718244251360083</v>
      </c>
      <c r="AW15" s="26" t="s">
        <v>104</v>
      </c>
      <c r="AY15" s="2" t="s">
        <v>163</v>
      </c>
      <c r="AZ15" s="2">
        <f>(1-$BH$38)*$AV$5*$AR$21</f>
        <v>43.776819704030608</v>
      </c>
      <c r="BA15" s="26" t="s">
        <v>10</v>
      </c>
      <c r="BC15" s="2" t="s">
        <v>163</v>
      </c>
      <c r="BD15" s="2">
        <f>(1-$BL$38)*$AV$5*$AR$22</f>
        <v>54.443114712881027</v>
      </c>
      <c r="BE15" s="26" t="s">
        <v>10</v>
      </c>
      <c r="BG15" s="2" t="s">
        <v>192</v>
      </c>
      <c r="BH15" s="2">
        <f xml:space="preserve"> BH12*SIN(BH4) + BH13*COS(BH4)</f>
        <v>0.34361007056678072</v>
      </c>
      <c r="BI15" s="2"/>
      <c r="BJ15" s="2"/>
      <c r="BK15" s="2" t="s">
        <v>192</v>
      </c>
      <c r="BL15" s="2">
        <f xml:space="preserve"> BL12*SIN(BL4) + BL13*COS(BL4)</f>
        <v>0.40660147548289205</v>
      </c>
      <c r="BM15" s="2"/>
      <c r="BO15" s="2">
        <v>11</v>
      </c>
      <c r="BP15" s="2">
        <f t="shared" si="21"/>
        <v>0.47102414072816495</v>
      </c>
      <c r="BQ15" s="2">
        <v>-4.4230208945694738E-3</v>
      </c>
      <c r="BR15" s="2">
        <f t="shared" si="22"/>
        <v>0.47375462653060141</v>
      </c>
      <c r="BS15" s="2">
        <v>1.1778447819314031E-2</v>
      </c>
      <c r="BT15" s="2">
        <f t="shared" si="7"/>
        <v>0.47238938362938321</v>
      </c>
      <c r="BU15" s="2">
        <v>3.6871122392747313E-3</v>
      </c>
      <c r="BV15" s="2">
        <f t="shared" si="8"/>
        <v>-1.6308174474934978E-5</v>
      </c>
      <c r="BW15" s="2">
        <f t="shared" si="9"/>
        <v>4.3428459114251531E-5</v>
      </c>
      <c r="BX15" s="2">
        <f t="shared" si="10"/>
        <v>2.7304858024364553E-3</v>
      </c>
      <c r="BZ15" s="2">
        <v>11</v>
      </c>
      <c r="CA15" s="2">
        <f t="shared" si="23"/>
        <v>0.4000315098648175</v>
      </c>
      <c r="CB15" s="2">
        <v>-4.916908783963711E-3</v>
      </c>
      <c r="CC15" s="2">
        <f t="shared" si="24"/>
        <v>0.4027619956672539</v>
      </c>
      <c r="CD15" s="2">
        <v>5.9144779086536259E-3</v>
      </c>
      <c r="CE15" s="2">
        <f t="shared" si="11"/>
        <v>0.4013967527660357</v>
      </c>
      <c r="CF15" s="2">
        <v>5.0465281367960413E-4</v>
      </c>
      <c r="CG15" s="2">
        <f t="shared" si="12"/>
        <v>-2.4813318524332474E-6</v>
      </c>
      <c r="CH15" s="2">
        <f t="shared" si="13"/>
        <v>2.9847579180479131E-6</v>
      </c>
      <c r="CI15" s="2">
        <f t="shared" si="14"/>
        <v>2.7304858024363998E-3</v>
      </c>
    </row>
    <row r="16" spans="2:87" x14ac:dyDescent="0.2">
      <c r="B16" s="59" t="s">
        <v>12</v>
      </c>
      <c r="C16" s="59"/>
      <c r="D16" s="59"/>
      <c r="F16" s="9" t="s">
        <v>92</v>
      </c>
      <c r="G16" s="6">
        <f xml:space="preserve"> $C$18/$C$8</f>
        <v>1440</v>
      </c>
      <c r="H16" s="6" t="s">
        <v>14</v>
      </c>
      <c r="J16" s="12" t="s">
        <v>135</v>
      </c>
      <c r="K16" s="6">
        <f xml:space="preserve"> $C$79 * ( $C$22 * (0.0095 * MAX(G9,G26) - 1.9275) +  $C$29 * (0.0095 * MAX(O20) - 1.9275) )</f>
        <v>211.53715097724876</v>
      </c>
      <c r="L16" s="6" t="s">
        <v>7</v>
      </c>
      <c r="N16" s="6" t="s">
        <v>118</v>
      </c>
      <c r="O16" s="6">
        <f>(O13*$C$13)/(0.3048^2)/($C$5*2.20462/1000)^(2/3)</f>
        <v>2.3454988219798998</v>
      </c>
      <c r="U16" s="2">
        <v>12</v>
      </c>
      <c r="V16" s="2">
        <f t="shared" si="15"/>
        <v>0.95849609375</v>
      </c>
      <c r="W16" s="2">
        <f t="shared" si="0"/>
        <v>1.3220379061484877E-4</v>
      </c>
      <c r="X16" s="2">
        <f t="shared" si="16"/>
        <v>0.958740234375</v>
      </c>
      <c r="Y16" s="2">
        <f t="shared" si="1"/>
        <v>-1.1913537038865663E-4</v>
      </c>
      <c r="Z16" s="2">
        <f t="shared" si="3"/>
        <v>0.9586181640625</v>
      </c>
      <c r="AA16" s="2">
        <f t="shared" si="2"/>
        <v>6.5337567017875742E-6</v>
      </c>
      <c r="AB16" s="2">
        <f t="shared" si="4"/>
        <v>8.6378740293148939E-10</v>
      </c>
      <c r="AC16" s="2">
        <f t="shared" si="5"/>
        <v>-7.7840152469683013E-10</v>
      </c>
      <c r="AD16" s="2">
        <f t="shared" si="6"/>
        <v>2.44140625E-4</v>
      </c>
      <c r="AF16" s="2">
        <v>12</v>
      </c>
      <c r="AG16" s="2">
        <f t="shared" si="25"/>
        <v>2853.271484375</v>
      </c>
      <c r="AH16" s="2">
        <v>-0.7103145625178513</v>
      </c>
      <c r="AI16" s="2">
        <f t="shared" si="26"/>
        <v>2855.46875</v>
      </c>
      <c r="AJ16" s="2">
        <v>0.41682532157483365</v>
      </c>
      <c r="AK16" s="2">
        <f t="shared" si="17"/>
        <v>2854.3701171875</v>
      </c>
      <c r="AL16" s="2">
        <v>-0.14670807950142262</v>
      </c>
      <c r="AM16" s="2">
        <f t="shared" si="18"/>
        <v>0.10420888530888715</v>
      </c>
      <c r="AN16" s="2">
        <f t="shared" si="19"/>
        <v>-6.1151642415806742E-2</v>
      </c>
      <c r="AO16" s="2">
        <f t="shared" si="20"/>
        <v>2.197265625</v>
      </c>
      <c r="AQ16" s="64"/>
      <c r="AR16" s="3" t="s">
        <v>219</v>
      </c>
      <c r="AS16" s="26"/>
      <c r="AU16" s="2" t="s">
        <v>193</v>
      </c>
      <c r="AV16" s="2">
        <f>AV15/AV12</f>
        <v>0.57973157688610666</v>
      </c>
      <c r="AW16" s="26"/>
      <c r="AY16" s="2" t="s">
        <v>167</v>
      </c>
      <c r="AZ16" s="2">
        <f>SQRT(AZ14^2 + AZ15^2)</f>
        <v>46.669469889359469</v>
      </c>
      <c r="BA16" s="26" t="s">
        <v>10</v>
      </c>
      <c r="BC16" s="2" t="s">
        <v>167</v>
      </c>
      <c r="BD16" s="2">
        <f>SQRT(BD14^2 + BD15^2)</f>
        <v>57.325536903657039</v>
      </c>
      <c r="BE16" s="26" t="s">
        <v>10</v>
      </c>
      <c r="BG16" s="2" t="s">
        <v>38</v>
      </c>
      <c r="BH16" s="2">
        <f xml:space="preserve"> 4*BH11*SIN(BH4)*SIN(BH4) / (BH8*BH14)</f>
        <v>1.2876300546067723</v>
      </c>
      <c r="BI16" s="2"/>
      <c r="BJ16" s="2"/>
      <c r="BK16" s="2" t="s">
        <v>38</v>
      </c>
      <c r="BL16" s="2">
        <f xml:space="preserve"> 4*BL11*SIN(BL4)*SIN(BL4) / (BL8*BL14)</f>
        <v>1.2205412641116817</v>
      </c>
      <c r="BM16" s="2"/>
      <c r="BO16" s="2">
        <v>12</v>
      </c>
      <c r="BP16" s="2">
        <f t="shared" si="21"/>
        <v>0.47102414072816495</v>
      </c>
      <c r="BQ16" s="2">
        <v>-4.4230208945694738E-3</v>
      </c>
      <c r="BR16" s="2">
        <f t="shared" si="22"/>
        <v>0.47238938362938321</v>
      </c>
      <c r="BS16" s="2">
        <v>3.6871122392747313E-3</v>
      </c>
      <c r="BT16" s="2">
        <f t="shared" si="7"/>
        <v>0.47170676217877405</v>
      </c>
      <c r="BU16" s="2">
        <v>-3.6561103297805264E-4</v>
      </c>
      <c r="BV16" s="2">
        <f t="shared" si="8"/>
        <v>1.6171052381470558E-6</v>
      </c>
      <c r="BW16" s="2">
        <f t="shared" si="9"/>
        <v>-1.3480489145072552E-6</v>
      </c>
      <c r="BX16" s="2">
        <f t="shared" si="10"/>
        <v>1.3652429012182554E-3</v>
      </c>
      <c r="BZ16" s="2">
        <v>12</v>
      </c>
      <c r="CA16" s="2">
        <f t="shared" si="23"/>
        <v>0.4000315098648175</v>
      </c>
      <c r="CB16" s="2">
        <v>-4.916908783963711E-3</v>
      </c>
      <c r="CC16" s="2">
        <f t="shared" si="24"/>
        <v>0.4013967527660357</v>
      </c>
      <c r="CD16" s="2">
        <v>5.0465281367960413E-4</v>
      </c>
      <c r="CE16" s="2">
        <f t="shared" si="11"/>
        <v>0.4007141313154266</v>
      </c>
      <c r="CF16" s="2">
        <v>-2.2046648847284384E-3</v>
      </c>
      <c r="CG16" s="2">
        <f t="shared" si="12"/>
        <v>1.0840136137417601E-5</v>
      </c>
      <c r="CH16" s="2">
        <f t="shared" si="13"/>
        <v>-1.1125903372988266E-6</v>
      </c>
      <c r="CI16" s="2">
        <f t="shared" si="14"/>
        <v>1.3652429012181999E-3</v>
      </c>
    </row>
    <row r="17" spans="2:87" x14ac:dyDescent="0.2">
      <c r="B17" s="6" t="s">
        <v>71</v>
      </c>
      <c r="C17" s="6">
        <f>C36*100</f>
        <v>600</v>
      </c>
      <c r="D17" s="6" t="s">
        <v>7</v>
      </c>
      <c r="F17" s="6" t="s">
        <v>239</v>
      </c>
      <c r="G17" s="6">
        <f>O21*$C$11</f>
        <v>71.816808061062659</v>
      </c>
      <c r="H17" s="6" t="s">
        <v>10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15"/>
        <v>0.9586181640625</v>
      </c>
      <c r="W17" s="2">
        <f t="shared" si="0"/>
        <v>6.5337567017875742E-6</v>
      </c>
      <c r="X17" s="2">
        <f t="shared" si="16"/>
        <v>0.958740234375</v>
      </c>
      <c r="Y17" s="2">
        <f t="shared" si="1"/>
        <v>-1.1913537038865663E-4</v>
      </c>
      <c r="Z17" s="2">
        <f t="shared" si="3"/>
        <v>0.95867919921875</v>
      </c>
      <c r="AA17" s="2">
        <f t="shared" si="2"/>
        <v>-5.6300920174945368E-5</v>
      </c>
      <c r="AB17" s="2">
        <f t="shared" si="4"/>
        <v>-3.6785651450985655E-10</v>
      </c>
      <c r="AC17" s="2">
        <f t="shared" si="5"/>
        <v>6.7074309782643067E-9</v>
      </c>
      <c r="AD17" s="2">
        <f t="shared" si="6"/>
        <v>1.220703125E-4</v>
      </c>
      <c r="AF17" s="2">
        <v>13</v>
      </c>
      <c r="AG17" s="2">
        <f t="shared" si="25"/>
        <v>2854.3701171875</v>
      </c>
      <c r="AH17" s="2">
        <v>-0.14670807950142262</v>
      </c>
      <c r="AI17" s="2">
        <f t="shared" si="26"/>
        <v>2855.46875</v>
      </c>
      <c r="AJ17" s="2">
        <v>0.41682532157483365</v>
      </c>
      <c r="AK17" s="2">
        <f t="shared" si="17"/>
        <v>2854.91943359375</v>
      </c>
      <c r="AL17" s="2">
        <v>0.13506783623097363</v>
      </c>
      <c r="AM17" s="2">
        <f t="shared" si="18"/>
        <v>-1.9815542855858809E-2</v>
      </c>
      <c r="AN17" s="2">
        <f t="shared" si="19"/>
        <v>5.6299694271392552E-2</v>
      </c>
      <c r="AO17" s="2">
        <f t="shared" si="20"/>
        <v>1.0986328125</v>
      </c>
      <c r="AQ17" s="64"/>
      <c r="AR17" s="3" t="s">
        <v>219</v>
      </c>
      <c r="AS17" s="26"/>
      <c r="AU17" s="2" t="s">
        <v>190</v>
      </c>
      <c r="AV17" s="2">
        <f>AV10/($AR$45*AV6^2*AR9^4)</f>
        <v>0.30324797252207542</v>
      </c>
      <c r="AW17" s="2"/>
      <c r="AY17" s="2" t="s">
        <v>170</v>
      </c>
      <c r="AZ17" s="37">
        <f>$AR$45*AZ16*$AR$27/$AR$46</f>
        <v>2335225.6902442905</v>
      </c>
      <c r="BA17" s="26"/>
      <c r="BC17" s="2" t="s">
        <v>170</v>
      </c>
      <c r="BD17" s="37">
        <f>$AR$45*BD16*$AR$27/$AR$46</f>
        <v>2868429.1208327753</v>
      </c>
      <c r="BE17" s="26"/>
      <c r="BG17" s="2" t="s">
        <v>194</v>
      </c>
      <c r="BH17" s="2">
        <f xml:space="preserve"> 4*BH11*SIN(BH4)*COS(BH4) / (BH8*BH15)</f>
        <v>3.7983522824020151</v>
      </c>
      <c r="BI17" s="2"/>
      <c r="BJ17" s="2"/>
      <c r="BK17" s="2" t="s">
        <v>194</v>
      </c>
      <c r="BL17" s="2">
        <f xml:space="preserve"> 4*BL11*SIN(BL4)*COS(BL4) / (BL8*BL15)</f>
        <v>5.7687389209284587</v>
      </c>
      <c r="BM17" s="2"/>
      <c r="BO17" s="2">
        <v>13</v>
      </c>
      <c r="BP17" s="2">
        <f t="shared" si="21"/>
        <v>0.47170676217877405</v>
      </c>
      <c r="BQ17" s="2">
        <v>-3.6561103297805264E-4</v>
      </c>
      <c r="BR17" s="2">
        <f t="shared" si="22"/>
        <v>0.47238938362938321</v>
      </c>
      <c r="BS17" s="2">
        <v>3.6871122392747313E-3</v>
      </c>
      <c r="BT17" s="2">
        <f t="shared" si="7"/>
        <v>0.47204807290407863</v>
      </c>
      <c r="BU17" s="2">
        <v>1.6613372343794591E-3</v>
      </c>
      <c r="BV17" s="2">
        <f t="shared" si="8"/>
        <v>-6.0740322238637518E-7</v>
      </c>
      <c r="BW17" s="2">
        <f t="shared" si="9"/>
        <v>6.1255368504433367E-6</v>
      </c>
      <c r="BX17" s="2">
        <f t="shared" si="10"/>
        <v>6.8262145060915547E-4</v>
      </c>
      <c r="BZ17" s="2">
        <v>13</v>
      </c>
      <c r="CA17" s="2">
        <f t="shared" si="23"/>
        <v>0.4007141313154266</v>
      </c>
      <c r="CB17" s="2">
        <v>-2.2046648847284384E-3</v>
      </c>
      <c r="CC17" s="2">
        <f t="shared" si="24"/>
        <v>0.4013967527660357</v>
      </c>
      <c r="CD17" s="2">
        <v>5.0465281367960413E-4</v>
      </c>
      <c r="CE17" s="2">
        <f t="shared" si="11"/>
        <v>0.40105544204073118</v>
      </c>
      <c r="CF17" s="2">
        <v>-8.4963976039544031E-4</v>
      </c>
      <c r="CG17" s="2">
        <f t="shared" si="12"/>
        <v>1.8731709444129114E-6</v>
      </c>
      <c r="CH17" s="2">
        <f t="shared" si="13"/>
        <v>-4.2877309569762364E-7</v>
      </c>
      <c r="CI17" s="2">
        <f t="shared" si="14"/>
        <v>6.8262145060909996E-4</v>
      </c>
    </row>
    <row r="18" spans="2:87" x14ac:dyDescent="0.2">
      <c r="B18" s="6" t="s">
        <v>13</v>
      </c>
      <c r="C18" s="17">
        <f>60 * 1609.344</f>
        <v>96560.639999999999</v>
      </c>
      <c r="D18" s="6" t="s">
        <v>8</v>
      </c>
      <c r="F18" s="6" t="s">
        <v>240</v>
      </c>
      <c r="G18" s="6">
        <f>G17/$C$74</f>
        <v>0.21584644706095835</v>
      </c>
      <c r="H18" s="6" t="s">
        <v>131</v>
      </c>
      <c r="J18" s="13" t="s">
        <v>56</v>
      </c>
      <c r="K18" s="6">
        <f xml:space="preserve"> $C$79 * (0.2138 * K4 + 0.2138 * K6)</f>
        <v>156.56355741803944</v>
      </c>
      <c r="L18" s="6" t="s">
        <v>7</v>
      </c>
      <c r="N18" s="55" t="s">
        <v>238</v>
      </c>
      <c r="O18" s="56"/>
      <c r="P18" s="56"/>
      <c r="U18" s="2">
        <v>14</v>
      </c>
      <c r="V18" s="2">
        <f t="shared" si="15"/>
        <v>0.9586181640625</v>
      </c>
      <c r="W18" s="2">
        <f t="shared" si="0"/>
        <v>6.5337567017875742E-6</v>
      </c>
      <c r="X18" s="2">
        <f t="shared" si="16"/>
        <v>0.95867919921875</v>
      </c>
      <c r="Y18" s="2">
        <f t="shared" si="1"/>
        <v>-5.6300920174945368E-5</v>
      </c>
      <c r="Z18" s="2">
        <f t="shared" si="3"/>
        <v>0.958648681640625</v>
      </c>
      <c r="AA18" s="2">
        <f t="shared" si="2"/>
        <v>-2.4883610072135021E-5</v>
      </c>
      <c r="AB18" s="2">
        <f t="shared" si="4"/>
        <v>-1.6258345407348097E-10</v>
      </c>
      <c r="AC18" s="2">
        <f t="shared" si="5"/>
        <v>1.4009701443357404E-9</v>
      </c>
      <c r="AD18" s="2">
        <f t="shared" si="6"/>
        <v>6.103515625E-5</v>
      </c>
      <c r="AF18" s="2">
        <v>14</v>
      </c>
      <c r="AG18" s="2">
        <f t="shared" si="25"/>
        <v>2854.3701171875</v>
      </c>
      <c r="AH18" s="2">
        <v>-0.14670807950142262</v>
      </c>
      <c r="AI18" s="2">
        <f t="shared" si="26"/>
        <v>2854.91943359375</v>
      </c>
      <c r="AJ18" s="2">
        <v>0.13506783623097363</v>
      </c>
      <c r="AK18" s="2">
        <f t="shared" si="17"/>
        <v>2854.644775390625</v>
      </c>
      <c r="AL18" s="2">
        <v>-5.8178971430606907E-3</v>
      </c>
      <c r="AM18" s="2">
        <f t="shared" si="18"/>
        <v>8.5353251659524732E-4</v>
      </c>
      <c r="AN18" s="2">
        <f t="shared" si="19"/>
        <v>-7.8581077852757071E-4</v>
      </c>
      <c r="AO18" s="2">
        <f t="shared" si="20"/>
        <v>0.54931640625</v>
      </c>
      <c r="AQ18" s="64"/>
      <c r="AR18" s="3" t="s">
        <v>219</v>
      </c>
      <c r="AU18" s="2" t="s">
        <v>192</v>
      </c>
      <c r="AV18" s="2">
        <f>AV11/($AR$45*AV6^2*AR9^5)</f>
        <v>3.9766607210893236E-2</v>
      </c>
      <c r="AW18" s="26"/>
      <c r="AY18" s="2" t="s">
        <v>174</v>
      </c>
      <c r="AZ18" s="2">
        <f xml:space="preserve"> $BH$27 * PI() * $AR$45 * AZ16^2 *$BH$33 * $AR$21 * AZ13</f>
        <v>255.83278200825887</v>
      </c>
      <c r="BA18" s="26" t="s">
        <v>22</v>
      </c>
      <c r="BC18" s="2" t="s">
        <v>174</v>
      </c>
      <c r="BD18" s="2">
        <f xml:space="preserve"> $BL$27 * PI() * $AR$45 * BD16^2 * $BL$33 * $AR$22 * BD13</f>
        <v>399.36112662797944</v>
      </c>
      <c r="BE18" s="26" t="s">
        <v>22</v>
      </c>
      <c r="BG18" s="2" t="s">
        <v>45</v>
      </c>
      <c r="BH18" s="2">
        <f>1/(BH16-1)</f>
        <v>3.4766881415335065</v>
      </c>
      <c r="BI18" s="2"/>
      <c r="BJ18" s="2"/>
      <c r="BK18" s="2" t="s">
        <v>45</v>
      </c>
      <c r="BL18" s="2">
        <f>1/(BL16-1)</f>
        <v>4.5342988489156459</v>
      </c>
      <c r="BM18" s="2"/>
      <c r="BO18" s="2">
        <v>14</v>
      </c>
      <c r="BP18" s="2">
        <f t="shared" si="21"/>
        <v>0.47170676217877405</v>
      </c>
      <c r="BQ18" s="2">
        <v>-3.6561103297805264E-4</v>
      </c>
      <c r="BR18" s="2">
        <f t="shared" si="22"/>
        <v>0.47204807290407863</v>
      </c>
      <c r="BS18" s="2">
        <v>1.6613372343794591E-3</v>
      </c>
      <c r="BT18" s="2">
        <f t="shared" si="7"/>
        <v>0.47187741754142631</v>
      </c>
      <c r="BU18" s="2">
        <v>6.4800965804098776E-4</v>
      </c>
      <c r="BV18" s="2">
        <f t="shared" si="8"/>
        <v>-2.369194804561202E-7</v>
      </c>
      <c r="BW18" s="2">
        <f t="shared" si="9"/>
        <v>1.0765625731409936E-6</v>
      </c>
      <c r="BX18" s="2">
        <f t="shared" si="10"/>
        <v>3.4131072530457773E-4</v>
      </c>
      <c r="BZ18" s="2">
        <v>14</v>
      </c>
      <c r="CA18" s="2">
        <f t="shared" si="23"/>
        <v>0.40105544204073118</v>
      </c>
      <c r="CB18" s="2">
        <v>-8.4963976039544031E-4</v>
      </c>
      <c r="CC18" s="2">
        <f t="shared" si="24"/>
        <v>0.4013967527660357</v>
      </c>
      <c r="CD18" s="2">
        <v>5.0465281367960413E-4</v>
      </c>
      <c r="CE18" s="2">
        <f t="shared" si="11"/>
        <v>0.40122609740338344</v>
      </c>
      <c r="CF18" s="2">
        <v>-1.7240184248697166E-4</v>
      </c>
      <c r="CG18" s="2">
        <f t="shared" si="12"/>
        <v>1.4647946014236305E-7</v>
      </c>
      <c r="CH18" s="2">
        <f t="shared" si="13"/>
        <v>-8.7003074894598167E-8</v>
      </c>
      <c r="CI18" s="2">
        <f t="shared" si="14"/>
        <v>3.4131072530452222E-4</v>
      </c>
    </row>
    <row r="19" spans="2:87" x14ac:dyDescent="0.2">
      <c r="B19" s="6" t="s">
        <v>263</v>
      </c>
      <c r="C19" s="17">
        <v>1</v>
      </c>
      <c r="F19" s="9" t="s">
        <v>100</v>
      </c>
      <c r="G19" s="6">
        <f xml:space="preserve"> 1/1000 * (O25 + O20 * (O30 * O27 + $C$8 * SIN(O19/180*PI())))</f>
        <v>118.87991473289847</v>
      </c>
      <c r="H19" s="6" t="s">
        <v>104</v>
      </c>
      <c r="J19" s="13" t="s">
        <v>80</v>
      </c>
      <c r="K19" s="6">
        <f xml:space="preserve"> $C$79 * (0.1149 * K4 + 0.1149 * K6)</f>
        <v>84.140097040845333</v>
      </c>
      <c r="L19" s="6" t="s">
        <v>7</v>
      </c>
      <c r="N19" s="6" t="s">
        <v>28</v>
      </c>
      <c r="O19" s="6">
        <f xml:space="preserve"> 90 - $C$82</f>
        <v>85</v>
      </c>
      <c r="P19" s="6" t="s">
        <v>43</v>
      </c>
      <c r="U19" s="2">
        <v>15</v>
      </c>
      <c r="V19" s="2">
        <f t="shared" si="15"/>
        <v>0.9586181640625</v>
      </c>
      <c r="W19" s="2">
        <f t="shared" si="0"/>
        <v>6.5337567017875742E-6</v>
      </c>
      <c r="X19" s="2">
        <f t="shared" si="16"/>
        <v>0.958648681640625</v>
      </c>
      <c r="Y19" s="2">
        <f t="shared" si="1"/>
        <v>-2.4883610072135021E-5</v>
      </c>
      <c r="Z19" s="2">
        <f t="shared" si="3"/>
        <v>0.9586334228515625</v>
      </c>
      <c r="AA19" s="2">
        <f t="shared" si="2"/>
        <v>-9.1749337693958211E-6</v>
      </c>
      <c r="AB19" s="2">
        <f t="shared" si="4"/>
        <v>-5.9946785004247077E-11</v>
      </c>
      <c r="AC19" s="2">
        <f t="shared" si="5"/>
        <v>2.2830547435530959E-10</v>
      </c>
      <c r="AD19" s="2">
        <f t="shared" si="6"/>
        <v>3.0517578125E-5</v>
      </c>
      <c r="AF19" s="2">
        <v>15</v>
      </c>
      <c r="AG19" s="2">
        <f t="shared" si="25"/>
        <v>2854.644775390625</v>
      </c>
      <c r="AH19" s="2">
        <v>-5.8178971430606907E-3</v>
      </c>
      <c r="AI19" s="2">
        <f t="shared" si="26"/>
        <v>2854.91943359375</v>
      </c>
      <c r="AJ19" s="2">
        <v>0.13506783623097363</v>
      </c>
      <c r="AK19" s="2">
        <f t="shared" si="17"/>
        <v>2854.7821044921875</v>
      </c>
      <c r="AL19" s="2">
        <v>6.4625842525856569E-2</v>
      </c>
      <c r="AM19" s="2">
        <f t="shared" si="18"/>
        <v>-3.7598650459907105E-4</v>
      </c>
      <c r="AN19" s="2">
        <f t="shared" si="19"/>
        <v>8.7288727145710867E-3</v>
      </c>
      <c r="AO19" s="2">
        <f t="shared" si="20"/>
        <v>0.274658203125</v>
      </c>
      <c r="AQ19" s="64" t="s">
        <v>195</v>
      </c>
      <c r="AR19" s="3">
        <f>0.259375*($AR$9/2)</f>
        <v>0.39528750000000001</v>
      </c>
      <c r="AS19" s="26" t="s">
        <v>8</v>
      </c>
      <c r="AU19" s="2" t="s">
        <v>196</v>
      </c>
      <c r="AV19" s="2">
        <f>2*PI()*AV18</f>
        <v>0.24986096214386616</v>
      </c>
      <c r="AW19" s="26"/>
      <c r="AY19" s="2" t="s">
        <v>178</v>
      </c>
      <c r="AZ19" s="2">
        <f xml:space="preserve"> $BH$27 * PI() * $AR$45 * AZ16^2 * $BH$34 * $AR$21^2 * AZ13</f>
        <v>75.987511871805495</v>
      </c>
      <c r="BA19" s="26" t="s">
        <v>179</v>
      </c>
      <c r="BC19" s="2" t="s">
        <v>178</v>
      </c>
      <c r="BD19" s="2">
        <f xml:space="preserve"> $BL$27 * PI() * $AR$45 * BD16^2 * $BL$34 * $AR$22^2 * BD13</f>
        <v>128.81005554368579</v>
      </c>
      <c r="BE19" s="26" t="s">
        <v>179</v>
      </c>
      <c r="BG19" s="2" t="s">
        <v>197</v>
      </c>
      <c r="BH19" s="2">
        <f>1/(BH17+1)</f>
        <v>0.2084048734119639</v>
      </c>
      <c r="BI19" s="2"/>
      <c r="BJ19" s="2"/>
      <c r="BK19" s="2" t="s">
        <v>197</v>
      </c>
      <c r="BL19" s="2">
        <f>1/(BL17+1)</f>
        <v>0.14773800728346476</v>
      </c>
      <c r="BM19" s="2"/>
      <c r="BO19" s="2">
        <v>15</v>
      </c>
      <c r="BP19" s="2">
        <f t="shared" si="21"/>
        <v>0.47170676217877405</v>
      </c>
      <c r="BQ19" s="2">
        <v>-3.6561103297805264E-4</v>
      </c>
      <c r="BR19" s="2">
        <f t="shared" si="22"/>
        <v>0.47187741754142631</v>
      </c>
      <c r="BS19" s="2">
        <v>6.4800965804098776E-4</v>
      </c>
      <c r="BT19" s="2">
        <f t="shared" si="7"/>
        <v>0.47179208986010018</v>
      </c>
      <c r="BU19" s="2">
        <v>1.4123593926636258E-4</v>
      </c>
      <c r="BV19" s="2">
        <f t="shared" si="8"/>
        <v>-5.1637417648800329E-8</v>
      </c>
      <c r="BW19" s="2">
        <f t="shared" si="9"/>
        <v>9.1522252707093329E-8</v>
      </c>
      <c r="BX19" s="2">
        <f t="shared" si="10"/>
        <v>1.7065536265226111E-4</v>
      </c>
      <c r="BZ19" s="2">
        <v>15</v>
      </c>
      <c r="CA19" s="2">
        <f t="shared" si="23"/>
        <v>0.40122609740338344</v>
      </c>
      <c r="CB19" s="2">
        <v>-1.7240184248697166E-4</v>
      </c>
      <c r="CC19" s="2">
        <f t="shared" si="24"/>
        <v>0.4013967527660357</v>
      </c>
      <c r="CD19" s="2">
        <v>5.0465281367960413E-4</v>
      </c>
      <c r="CE19" s="2">
        <f t="shared" si="11"/>
        <v>0.40131142508470957</v>
      </c>
      <c r="CF19" s="2">
        <v>1.6614840104917095E-4</v>
      </c>
      <c r="CG19" s="2">
        <f t="shared" si="12"/>
        <v>-2.8644290467141365E-8</v>
      </c>
      <c r="CH19" s="2">
        <f t="shared" si="13"/>
        <v>8.3847258077831415E-8</v>
      </c>
      <c r="CI19" s="2">
        <f t="shared" si="14"/>
        <v>1.7065536265226111E-4</v>
      </c>
    </row>
    <row r="20" spans="2:87" x14ac:dyDescent="0.2">
      <c r="F20" s="44" t="s">
        <v>225</v>
      </c>
      <c r="G20" s="43">
        <f xml:space="preserve"> $C$29 * G19</f>
        <v>118.87991473289847</v>
      </c>
      <c r="H20" s="43" t="s">
        <v>104</v>
      </c>
      <c r="J20" s="14" t="s">
        <v>63</v>
      </c>
      <c r="K20" s="6">
        <f xml:space="preserve"> $C$80 * (14.86 * ($C$5*2.20462)^0.144 * ($C$37/(PI()*$C$38))^0.778 * ($C$37*3.28084)^0.383 * $C$36^0.455 * 0.453592)</f>
        <v>223.11883079554391</v>
      </c>
      <c r="L20" s="6" t="s">
        <v>7</v>
      </c>
      <c r="N20" s="6" t="s">
        <v>21</v>
      </c>
      <c r="O20" s="6">
        <f xml:space="preserve"> O14 / $C$29</f>
        <v>1684.0511962675021</v>
      </c>
      <c r="P20" s="6" t="s">
        <v>22</v>
      </c>
      <c r="U20" s="2">
        <v>16</v>
      </c>
      <c r="V20" s="2">
        <f t="shared" si="15"/>
        <v>0.9586181640625</v>
      </c>
      <c r="W20" s="2">
        <f t="shared" si="0"/>
        <v>6.5337567017875742E-6</v>
      </c>
      <c r="X20" s="2">
        <f t="shared" si="16"/>
        <v>0.9586334228515625</v>
      </c>
      <c r="Y20" s="2">
        <f t="shared" si="1"/>
        <v>-9.1749337693958211E-6</v>
      </c>
      <c r="Z20" s="2">
        <f t="shared" si="3"/>
        <v>0.95862579345703125</v>
      </c>
      <c r="AA20" s="2">
        <f t="shared" si="2"/>
        <v>-1.3205903048874035E-6</v>
      </c>
      <c r="AB20" s="2">
        <f t="shared" si="4"/>
        <v>-8.6284157548737676E-12</v>
      </c>
      <c r="AC20" s="2">
        <f t="shared" si="5"/>
        <v>1.2116328583848161E-11</v>
      </c>
      <c r="AD20" s="2">
        <f t="shared" si="6"/>
        <v>1.52587890625E-5</v>
      </c>
      <c r="AF20" s="2">
        <v>16</v>
      </c>
      <c r="AG20" s="2">
        <f t="shared" si="25"/>
        <v>2854.644775390625</v>
      </c>
      <c r="AH20" s="2">
        <v>-5.8178971430606907E-3</v>
      </c>
      <c r="AI20" s="2">
        <f t="shared" si="26"/>
        <v>2854.7821044921875</v>
      </c>
      <c r="AJ20" s="2">
        <v>6.4625842525856569E-2</v>
      </c>
      <c r="AK20" s="2">
        <f t="shared" si="17"/>
        <v>2854.7134399414062</v>
      </c>
      <c r="AL20" s="2">
        <v>2.9403794877453038E-2</v>
      </c>
      <c r="AM20" s="2">
        <f t="shared" si="18"/>
        <v>-1.7106825421267659E-4</v>
      </c>
      <c r="AN20" s="2">
        <f t="shared" si="19"/>
        <v>1.9002450174128681E-3</v>
      </c>
      <c r="AO20" s="2">
        <f t="shared" si="20"/>
        <v>0.1373291015625</v>
      </c>
      <c r="AQ20" s="64"/>
      <c r="AR20" s="3">
        <f>0.358125*($AR$9/2)</f>
        <v>0.54578250000000006</v>
      </c>
      <c r="AS20" s="26" t="s">
        <v>8</v>
      </c>
      <c r="AU20" s="2" t="s">
        <v>198</v>
      </c>
      <c r="AV20" s="2">
        <f>AV17/AV19*AV7</f>
        <v>8.9219088988235731E-2</v>
      </c>
      <c r="AW20" s="26"/>
      <c r="BG20" s="7" t="s">
        <v>199</v>
      </c>
      <c r="BH20" s="40">
        <f>SIN(BH4)/(1+BH18) - $AR$3*COS(BH4)/($AV$5*$AR$19*(1-BH19))</f>
        <v>7.3475419914981188E-9</v>
      </c>
      <c r="BI20" s="40"/>
      <c r="BJ20" s="2"/>
      <c r="BK20" s="7" t="s">
        <v>199</v>
      </c>
      <c r="BL20" s="40">
        <f>SIN(BL4)/(1+BL18) - $AR$3*COS(BL4)/($AV$5*$AR$20*(1-BL19))</f>
        <v>9.5204781003221939E-9</v>
      </c>
      <c r="BM20" s="40"/>
      <c r="BO20" s="2">
        <v>16</v>
      </c>
      <c r="BP20" s="2">
        <f t="shared" si="21"/>
        <v>0.47170676217877405</v>
      </c>
      <c r="BQ20" s="2">
        <v>-3.6561103297805264E-4</v>
      </c>
      <c r="BR20" s="2">
        <f t="shared" si="22"/>
        <v>0.47179208986010018</v>
      </c>
      <c r="BS20" s="2">
        <v>1.4123593926636258E-4</v>
      </c>
      <c r="BT20" s="2">
        <f t="shared" si="7"/>
        <v>0.47174942601943715</v>
      </c>
      <c r="BU20" s="2">
        <v>-1.121783917496233E-4</v>
      </c>
      <c r="BV20" s="2">
        <f t="shared" si="8"/>
        <v>4.1013657685396428E-8</v>
      </c>
      <c r="BW20" s="2">
        <f t="shared" si="9"/>
        <v>-1.5843620524148025E-8</v>
      </c>
      <c r="BX20" s="2">
        <f t="shared" si="10"/>
        <v>8.5327681326130556E-5</v>
      </c>
      <c r="BZ20" s="2">
        <v>16</v>
      </c>
      <c r="CA20" s="2">
        <f t="shared" si="23"/>
        <v>0.40122609740338344</v>
      </c>
      <c r="CB20" s="2">
        <v>-1.7240184248697166E-4</v>
      </c>
      <c r="CC20" s="2">
        <f t="shared" si="24"/>
        <v>0.40131142508470957</v>
      </c>
      <c r="CD20" s="2">
        <v>1.6614840104917095E-4</v>
      </c>
      <c r="CE20" s="2">
        <f t="shared" si="11"/>
        <v>0.40126876124404653</v>
      </c>
      <c r="CF20" s="2">
        <v>-3.1209928213205007E-6</v>
      </c>
      <c r="CG20" s="2">
        <f t="shared" si="12"/>
        <v>5.3806491278426622E-10</v>
      </c>
      <c r="CH20" s="2">
        <f t="shared" si="13"/>
        <v>-5.1854796694834211E-10</v>
      </c>
      <c r="CI20" s="2">
        <f t="shared" si="14"/>
        <v>8.5327681326130556E-5</v>
      </c>
    </row>
    <row r="21" spans="2:87" x14ac:dyDescent="0.2">
      <c r="B21" s="59" t="s">
        <v>115</v>
      </c>
      <c r="C21" s="59"/>
      <c r="D21" s="59"/>
      <c r="J21" s="14" t="s">
        <v>64</v>
      </c>
      <c r="K21" s="6">
        <f xml:space="preserve"> $C$80 * C42 * $C$5</f>
        <v>74.210316580140002</v>
      </c>
      <c r="L21" s="6" t="s">
        <v>7</v>
      </c>
      <c r="N21" s="6" t="s">
        <v>29</v>
      </c>
      <c r="O21" s="6">
        <f>$C$7*2*PI()/60</f>
        <v>52.359877559829883</v>
      </c>
      <c r="P21" s="6" t="s">
        <v>30</v>
      </c>
      <c r="U21" s="2">
        <v>17</v>
      </c>
      <c r="V21" s="2">
        <f t="shared" si="15"/>
        <v>0.9586181640625</v>
      </c>
      <c r="W21" s="2">
        <f t="shared" si="0"/>
        <v>6.5337567017875742E-6</v>
      </c>
      <c r="X21" s="2">
        <f t="shared" si="16"/>
        <v>0.95862579345703125</v>
      </c>
      <c r="Y21" s="2">
        <f t="shared" si="1"/>
        <v>-1.3205903048874035E-6</v>
      </c>
      <c r="Z21" s="2">
        <f t="shared" si="3"/>
        <v>0.95862197875976562</v>
      </c>
      <c r="AA21" s="2">
        <f t="shared" si="2"/>
        <v>2.606582755637632E-6</v>
      </c>
      <c r="AB21" s="2">
        <f t="shared" si="4"/>
        <v>1.7030777548411299E-11</v>
      </c>
      <c r="AC21" s="2">
        <f t="shared" si="5"/>
        <v>-3.4422279159817486E-12</v>
      </c>
      <c r="AD21" s="2">
        <f t="shared" si="6"/>
        <v>7.62939453125E-6</v>
      </c>
      <c r="AF21" s="2">
        <v>17</v>
      </c>
      <c r="AG21" s="2">
        <f t="shared" si="25"/>
        <v>2854.644775390625</v>
      </c>
      <c r="AH21" s="2">
        <v>-5.8178971430606907E-3</v>
      </c>
      <c r="AI21" s="2">
        <f t="shared" si="26"/>
        <v>2854.7134399414062</v>
      </c>
      <c r="AJ21" s="2">
        <v>2.9403794877453038E-2</v>
      </c>
      <c r="AK21" s="2">
        <f t="shared" si="17"/>
        <v>2854.6791076660156</v>
      </c>
      <c r="AL21" s="2">
        <v>1.1792983626037312E-2</v>
      </c>
      <c r="AM21" s="2">
        <f t="shared" si="18"/>
        <v>-6.8610365746083981E-5</v>
      </c>
      <c r="AN21" s="2">
        <f t="shared" si="19"/>
        <v>3.467584715331635E-4</v>
      </c>
      <c r="AO21" s="2">
        <f t="shared" si="20"/>
        <v>6.866455078125E-2</v>
      </c>
      <c r="AQ21" s="64"/>
      <c r="AR21" s="3">
        <f>0.456875*($AR$9/2)</f>
        <v>0.69627749999999999</v>
      </c>
      <c r="AS21" s="26" t="s">
        <v>8</v>
      </c>
      <c r="AW21" s="26"/>
      <c r="AY21" s="62" t="s">
        <v>200</v>
      </c>
      <c r="AZ21" s="62"/>
      <c r="BA21" s="62"/>
      <c r="BC21" s="62" t="s">
        <v>201</v>
      </c>
      <c r="BD21" s="62"/>
      <c r="BE21" s="62"/>
      <c r="BG21" s="2"/>
      <c r="BH21" s="2"/>
      <c r="BI21" s="2"/>
      <c r="BJ21" s="2"/>
      <c r="BK21" s="2"/>
      <c r="BL21" s="2"/>
      <c r="BM21" s="2"/>
      <c r="BO21" s="2">
        <v>17</v>
      </c>
      <c r="BP21" s="2">
        <f t="shared" si="21"/>
        <v>0.47174942601943715</v>
      </c>
      <c r="BQ21" s="2">
        <v>-1.121783917496233E-4</v>
      </c>
      <c r="BR21" s="2">
        <f t="shared" si="22"/>
        <v>0.47179208986010018</v>
      </c>
      <c r="BS21" s="2">
        <v>1.4123593926636258E-4</v>
      </c>
      <c r="BT21" s="2">
        <f t="shared" si="7"/>
        <v>0.47177075793976864</v>
      </c>
      <c r="BU21" s="2">
        <v>1.4531062732178746E-5</v>
      </c>
      <c r="BV21" s="2">
        <f t="shared" si="8"/>
        <v>-1.6300712477086987E-9</v>
      </c>
      <c r="BW21" s="2">
        <f t="shared" si="9"/>
        <v>2.0523082935177021E-9</v>
      </c>
      <c r="BX21" s="2">
        <f t="shared" si="10"/>
        <v>4.2663840663037522E-5</v>
      </c>
      <c r="BZ21" s="2">
        <v>17</v>
      </c>
      <c r="CA21" s="2">
        <f t="shared" si="23"/>
        <v>0.40126876124404653</v>
      </c>
      <c r="CB21" s="2">
        <v>-3.1209928213205007E-6</v>
      </c>
      <c r="CC21" s="2">
        <f t="shared" si="24"/>
        <v>0.40131142508470957</v>
      </c>
      <c r="CD21" s="2">
        <v>1.6614840104917095E-4</v>
      </c>
      <c r="CE21" s="2">
        <f t="shared" si="11"/>
        <v>0.40129009316437803</v>
      </c>
      <c r="CF21" s="2">
        <v>8.1515136209076022E-5</v>
      </c>
      <c r="CG21" s="2">
        <f t="shared" si="12"/>
        <v>-2.5440815493748909E-10</v>
      </c>
      <c r="CH21" s="2">
        <f t="shared" si="13"/>
        <v>1.3543609542443359E-8</v>
      </c>
      <c r="CI21" s="2">
        <f t="shared" si="14"/>
        <v>4.2663840663037522E-5</v>
      </c>
    </row>
    <row r="22" spans="2:87" x14ac:dyDescent="0.2">
      <c r="B22" s="6" t="s">
        <v>97</v>
      </c>
      <c r="C22" s="17">
        <v>8</v>
      </c>
      <c r="F22" s="59" t="s">
        <v>84</v>
      </c>
      <c r="G22" s="59"/>
      <c r="H22" s="59"/>
      <c r="J22" s="14" t="s">
        <v>241</v>
      </c>
      <c r="K22" s="6">
        <f xml:space="preserve"> $C$80 * (0.04674 * ($C$5*2.20462)^0.397 * ($C$13*3.28084^2)^0.36 * $C$47^0.397 * $C$14^1.712 * 0.453592)</f>
        <v>415.55038943906595</v>
      </c>
      <c r="L22" s="6" t="s">
        <v>7</v>
      </c>
      <c r="N22" s="6" t="s">
        <v>31</v>
      </c>
      <c r="O22" s="6">
        <f xml:space="preserve"> $C$8 * COS(O19/180*PI()) / (O21 * $C$11)</f>
        <v>8.1378101359194571E-2</v>
      </c>
      <c r="U22" s="2">
        <v>18</v>
      </c>
      <c r="V22" s="2">
        <f t="shared" si="15"/>
        <v>0.95862197875976562</v>
      </c>
      <c r="W22" s="2">
        <f t="shared" si="0"/>
        <v>2.606582755637632E-6</v>
      </c>
      <c r="X22" s="2">
        <f t="shared" si="16"/>
        <v>0.95862579345703125</v>
      </c>
      <c r="Y22" s="2">
        <f t="shared" si="1"/>
        <v>-1.3205903048874035E-6</v>
      </c>
      <c r="Z22" s="2">
        <f t="shared" si="3"/>
        <v>0.95862388610839844</v>
      </c>
      <c r="AA22" s="2">
        <f t="shared" si="2"/>
        <v>6.4299611468587869E-7</v>
      </c>
      <c r="AB22" s="2">
        <f t="shared" si="4"/>
        <v>1.6760225844822085E-12</v>
      </c>
      <c r="AC22" s="2">
        <f t="shared" si="5"/>
        <v>-8.4913443513444043E-13</v>
      </c>
      <c r="AD22" s="2">
        <f t="shared" si="6"/>
        <v>3.814697265625E-6</v>
      </c>
      <c r="AF22" s="2">
        <v>18</v>
      </c>
      <c r="AG22" s="2">
        <f t="shared" si="25"/>
        <v>2854.644775390625</v>
      </c>
      <c r="AH22" s="2">
        <v>-5.8178971430606907E-3</v>
      </c>
      <c r="AI22" s="2">
        <f t="shared" si="26"/>
        <v>2854.6791076660156</v>
      </c>
      <c r="AJ22" s="2">
        <v>1.1792983626037312E-2</v>
      </c>
      <c r="AK22" s="2">
        <f t="shared" si="17"/>
        <v>2854.6619415283203</v>
      </c>
      <c r="AL22" s="2">
        <v>2.9875519308006915E-3</v>
      </c>
      <c r="AM22" s="2">
        <f t="shared" si="18"/>
        <v>-1.7381269842950795E-5</v>
      </c>
      <c r="AN22" s="2">
        <f t="shared" si="19"/>
        <v>3.5232151001868714E-5</v>
      </c>
      <c r="AO22" s="2">
        <f t="shared" si="20"/>
        <v>3.4332275390625E-2</v>
      </c>
      <c r="AQ22" s="64"/>
      <c r="AR22" s="3">
        <f>0.555625*($AR$9/2)</f>
        <v>0.84677250000000004</v>
      </c>
      <c r="AS22" s="26" t="s">
        <v>8</v>
      </c>
      <c r="AU22" s="61" t="s">
        <v>202</v>
      </c>
      <c r="AV22" s="61"/>
      <c r="AW22" s="61"/>
      <c r="AY22" s="2" t="s">
        <v>153</v>
      </c>
      <c r="AZ22" s="2">
        <f>$AR$23-$AR$22</f>
        <v>0.15049500000000005</v>
      </c>
      <c r="BA22" s="26" t="s">
        <v>8</v>
      </c>
      <c r="BC22" s="2" t="s">
        <v>153</v>
      </c>
      <c r="BD22" s="2">
        <f>$AR$24-$AR$23</f>
        <v>0.15049499999999993</v>
      </c>
      <c r="BE22" s="26" t="s">
        <v>8</v>
      </c>
      <c r="BG22" s="62" t="s">
        <v>185</v>
      </c>
      <c r="BH22" s="62"/>
      <c r="BI22" s="62"/>
      <c r="BJ22" s="2"/>
      <c r="BK22" s="62" t="s">
        <v>186</v>
      </c>
      <c r="BL22" s="62"/>
      <c r="BM22" s="62"/>
      <c r="BO22" s="2">
        <v>18</v>
      </c>
      <c r="BP22" s="2">
        <f t="shared" si="21"/>
        <v>0.47174942601943715</v>
      </c>
      <c r="BQ22" s="2">
        <v>-1.121783917496233E-4</v>
      </c>
      <c r="BR22" s="2">
        <f t="shared" si="22"/>
        <v>0.47177075793976864</v>
      </c>
      <c r="BS22" s="2">
        <v>1.4531062732178746E-5</v>
      </c>
      <c r="BT22" s="2">
        <f t="shared" si="7"/>
        <v>0.47176009197960289</v>
      </c>
      <c r="BU22" s="2">
        <v>-4.8823092289998482E-5</v>
      </c>
      <c r="BV22" s="2">
        <f t="shared" si="8"/>
        <v>5.4768959733354623E-9</v>
      </c>
      <c r="BW22" s="2">
        <f t="shared" si="9"/>
        <v>-7.0945141684492044E-10</v>
      </c>
      <c r="BX22" s="2">
        <f t="shared" si="10"/>
        <v>2.1331920331491006E-5</v>
      </c>
      <c r="BZ22" s="2">
        <v>18</v>
      </c>
      <c r="CA22" s="2">
        <f t="shared" si="23"/>
        <v>0.40126876124404653</v>
      </c>
      <c r="CB22" s="2">
        <v>-3.1209928213205007E-6</v>
      </c>
      <c r="CC22" s="2">
        <f t="shared" si="24"/>
        <v>0.40129009316437803</v>
      </c>
      <c r="CD22" s="2">
        <v>8.1515136209076022E-5</v>
      </c>
      <c r="CE22" s="2">
        <f t="shared" si="11"/>
        <v>0.40127942720421228</v>
      </c>
      <c r="CF22" s="2">
        <v>3.9197429702639286E-5</v>
      </c>
      <c r="CG22" s="2">
        <f t="shared" si="12"/>
        <v>-1.2233489671615218E-10</v>
      </c>
      <c r="CH22" s="2">
        <f t="shared" si="13"/>
        <v>3.1951838212563238E-9</v>
      </c>
      <c r="CI22" s="2">
        <f t="shared" si="14"/>
        <v>2.1331920331491006E-5</v>
      </c>
    </row>
    <row r="23" spans="2:87" x14ac:dyDescent="0.2">
      <c r="B23" s="6" t="s">
        <v>114</v>
      </c>
      <c r="C23" s="17">
        <v>2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$C$80 * (3.184 * ($C$5*2.20462)^0.887 * ($C$51*3.28084*3.28084)^0.101 * ($C$50)^0.138 ) / ( 174.04 * ($C$52*3.28084)^0.223 ) * 0.453592</f>
        <v>31.270427616348865</v>
      </c>
      <c r="L23" s="6" t="s">
        <v>7</v>
      </c>
      <c r="N23" s="6" t="s">
        <v>32</v>
      </c>
      <c r="O23" s="6">
        <f xml:space="preserve"> O20 / ( $C$72 * PI() * $C$11^2 * O21^2 * $C$11^2)</f>
        <v>5.4777625042255577E-2</v>
      </c>
      <c r="U23" s="2">
        <v>19</v>
      </c>
      <c r="V23" s="2">
        <f t="shared" si="15"/>
        <v>0.95862388610839844</v>
      </c>
      <c r="W23" s="2">
        <f t="shared" si="0"/>
        <v>6.4299611468587869E-7</v>
      </c>
      <c r="X23" s="2">
        <f t="shared" si="16"/>
        <v>0.95862579345703125</v>
      </c>
      <c r="Y23" s="2">
        <f t="shared" si="1"/>
        <v>-1.3205903048874035E-6</v>
      </c>
      <c r="Z23" s="2">
        <f t="shared" si="3"/>
        <v>0.95862483978271484</v>
      </c>
      <c r="AA23" s="2">
        <f t="shared" si="2"/>
        <v>-3.3879712280082686E-7</v>
      </c>
      <c r="AB23" s="2">
        <f t="shared" si="4"/>
        <v>-2.1784523362768619E-13</v>
      </c>
      <c r="AC23" s="2">
        <f t="shared" si="5"/>
        <v>4.4741219569451902E-13</v>
      </c>
      <c r="AD23" s="2">
        <f t="shared" si="6"/>
        <v>1.9073486328125E-6</v>
      </c>
      <c r="AF23" s="2">
        <v>19</v>
      </c>
      <c r="AG23" s="2">
        <f t="shared" si="25"/>
        <v>2854.644775390625</v>
      </c>
      <c r="AH23" s="2">
        <v>-5.8178971430606907E-3</v>
      </c>
      <c r="AI23" s="2">
        <f t="shared" si="26"/>
        <v>2854.6619415283203</v>
      </c>
      <c r="AJ23" s="2">
        <v>2.9875519308006915E-3</v>
      </c>
      <c r="AK23" s="2">
        <f t="shared" si="17"/>
        <v>2854.6533584594727</v>
      </c>
      <c r="AL23" s="2">
        <v>-1.4151704335745308E-3</v>
      </c>
      <c r="AM23" s="2">
        <f t="shared" si="18"/>
        <v>8.2333160224372218E-6</v>
      </c>
      <c r="AN23" s="2">
        <f t="shared" si="19"/>
        <v>-4.2278951612376414E-6</v>
      </c>
      <c r="AO23" s="2">
        <f t="shared" si="20"/>
        <v>1.71661376953125E-2</v>
      </c>
      <c r="AQ23" s="64"/>
      <c r="AR23" s="3">
        <f>0.654375*($AR$9/2)</f>
        <v>0.99726750000000008</v>
      </c>
      <c r="AS23" s="26" t="s">
        <v>8</v>
      </c>
      <c r="AU23" s="63" t="s">
        <v>203</v>
      </c>
      <c r="AV23" s="64">
        <f>BH20</f>
        <v>7.3475419914981188E-9</v>
      </c>
      <c r="AW23" s="64"/>
      <c r="AY23" s="2" t="s">
        <v>158</v>
      </c>
      <c r="AZ23" s="2">
        <f>(1+$BH$56)*$AR$3</f>
        <v>19.535787467464818</v>
      </c>
      <c r="BA23" s="26" t="s">
        <v>10</v>
      </c>
      <c r="BC23" s="2" t="s">
        <v>158</v>
      </c>
      <c r="BD23" s="2">
        <f>(1+$BL$56)*$AR$3</f>
        <v>21.124706466640522</v>
      </c>
      <c r="BE23" s="26" t="s">
        <v>10</v>
      </c>
      <c r="BG23" s="28" t="s">
        <v>154</v>
      </c>
      <c r="BH23" s="29">
        <f>BT68</f>
        <v>0.35392854023485082</v>
      </c>
      <c r="BI23" s="5" t="s">
        <v>155</v>
      </c>
      <c r="BJ23" s="2"/>
      <c r="BK23" s="28" t="s">
        <v>154</v>
      </c>
      <c r="BL23" s="29">
        <f>CE68</f>
        <v>0.31846121767438945</v>
      </c>
      <c r="BM23" s="5" t="s">
        <v>155</v>
      </c>
      <c r="BO23" s="2">
        <v>19</v>
      </c>
      <c r="BP23" s="2">
        <f t="shared" si="21"/>
        <v>0.47176009197960289</v>
      </c>
      <c r="BQ23" s="2">
        <v>-4.8823092289998482E-5</v>
      </c>
      <c r="BR23" s="2">
        <f t="shared" si="22"/>
        <v>0.47177075793976864</v>
      </c>
      <c r="BS23" s="2">
        <v>1.4531062732178746E-5</v>
      </c>
      <c r="BT23" s="2">
        <f t="shared" si="7"/>
        <v>0.47176542495968576</v>
      </c>
      <c r="BU23" s="2">
        <v>-1.7145871721233052E-5</v>
      </c>
      <c r="BV23" s="2">
        <f t="shared" si="8"/>
        <v>8.3711447743823645E-10</v>
      </c>
      <c r="BW23" s="2">
        <f t="shared" si="9"/>
        <v>-2.4914773757912703E-10</v>
      </c>
      <c r="BX23" s="2">
        <f t="shared" si="10"/>
        <v>1.0665960165745503E-5</v>
      </c>
      <c r="BZ23" s="2">
        <v>19</v>
      </c>
      <c r="CA23" s="2">
        <f t="shared" si="23"/>
        <v>0.40126876124404653</v>
      </c>
      <c r="CB23" s="2">
        <v>-3.1209928213205007E-6</v>
      </c>
      <c r="CC23" s="2">
        <f t="shared" si="24"/>
        <v>0.40127942720421228</v>
      </c>
      <c r="CD23" s="2">
        <v>3.9197429702639286E-5</v>
      </c>
      <c r="CE23" s="2">
        <f t="shared" si="11"/>
        <v>0.40127409422412941</v>
      </c>
      <c r="CF23" s="2">
        <v>1.8038307940823617E-5</v>
      </c>
      <c r="CG23" s="2">
        <f t="shared" si="12"/>
        <v>-5.6297429592079091E-11</v>
      </c>
      <c r="CH23" s="2">
        <f t="shared" si="13"/>
        <v>7.0705530746499369E-10</v>
      </c>
      <c r="CI23" s="2">
        <f t="shared" si="14"/>
        <v>1.0665960165745503E-5</v>
      </c>
    </row>
    <row r="24" spans="2:87" x14ac:dyDescent="0.2">
      <c r="B24" s="6" t="s">
        <v>128</v>
      </c>
      <c r="C24" s="6">
        <f>$C$23*$C$10/PI()</f>
        <v>0.31022513338460861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$C$80 * ( 1.68 * ($C$5*2.20462)^0.567 * ($C$56*3.28084*3.28084)^1.249 * ($C$55)^0.482 ) / (639.95 * ($C$57*3.28084)^0.747 * (COS($C$58/180*PI()))^0.882 ) * 0.453592</f>
        <v>10.041965089292928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15"/>
        <v>0.95862388610839844</v>
      </c>
      <c r="W24" s="2">
        <f t="shared" si="0"/>
        <v>6.4299611468587869E-7</v>
      </c>
      <c r="X24" s="2">
        <f t="shared" si="16"/>
        <v>0.95862483978271484</v>
      </c>
      <c r="Y24" s="2">
        <f t="shared" si="1"/>
        <v>-3.3879712280082686E-7</v>
      </c>
      <c r="Z24" s="2">
        <f t="shared" si="3"/>
        <v>0.95862436294555664</v>
      </c>
      <c r="AA24" s="2">
        <f t="shared" si="2"/>
        <v>1.5209948900363202E-7</v>
      </c>
      <c r="AB24" s="2">
        <f t="shared" si="4"/>
        <v>9.7799380475042919E-14</v>
      </c>
      <c r="AC24" s="2">
        <f t="shared" si="5"/>
        <v>-5.153086925390653E-14</v>
      </c>
      <c r="AD24" s="2">
        <f t="shared" si="6"/>
        <v>9.5367431640625E-7</v>
      </c>
      <c r="AF24" s="2">
        <v>20</v>
      </c>
      <c r="AG24" s="2">
        <f t="shared" si="25"/>
        <v>2854.6533584594727</v>
      </c>
      <c r="AH24" s="2">
        <v>-1.4151704335745308E-3</v>
      </c>
      <c r="AI24" s="2">
        <f t="shared" si="26"/>
        <v>2854.6619415283203</v>
      </c>
      <c r="AJ24" s="2">
        <v>2.9875519308006915E-3</v>
      </c>
      <c r="AK24" s="2">
        <f t="shared" si="17"/>
        <v>2854.6576499938965</v>
      </c>
      <c r="AL24" s="2">
        <v>7.8619129180879099E-4</v>
      </c>
      <c r="AM24" s="2">
        <f t="shared" si="18"/>
        <v>-1.1125946713015672E-6</v>
      </c>
      <c r="AN24" s="2">
        <f t="shared" si="19"/>
        <v>2.3487873118220435E-6</v>
      </c>
      <c r="AO24" s="2">
        <f t="shared" si="20"/>
        <v>8.58306884765625E-3</v>
      </c>
      <c r="AQ24" s="64"/>
      <c r="AR24" s="3">
        <f>0.753125*($AR$9/2)</f>
        <v>1.1477625</v>
      </c>
      <c r="AS24" s="26" t="s">
        <v>8</v>
      </c>
      <c r="AU24" s="63"/>
      <c r="AV24" s="64">
        <f>BL20</f>
        <v>9.5204781003221939E-9</v>
      </c>
      <c r="AW24" s="64"/>
      <c r="AY24" s="2" t="s">
        <v>163</v>
      </c>
      <c r="AZ24" s="2">
        <f>(1-$BH$57)*$AV$5*$AR$23</f>
        <v>65.081821991890664</v>
      </c>
      <c r="BA24" s="26" t="s">
        <v>10</v>
      </c>
      <c r="BC24" s="2" t="s">
        <v>163</v>
      </c>
      <c r="BD24" s="2">
        <f>(1-$BL$57)*$AV$5*$AR$24</f>
        <v>75.588475399512348</v>
      </c>
      <c r="BE24" s="26" t="s">
        <v>10</v>
      </c>
      <c r="BG24" s="2" t="s">
        <v>159</v>
      </c>
      <c r="BH24" s="2">
        <f>($AR$37+$AR$5)/180*PI()</f>
        <v>0.48856682258653295</v>
      </c>
      <c r="BI24" s="2" t="s">
        <v>155</v>
      </c>
      <c r="BJ24" s="2"/>
      <c r="BK24" s="2" t="s">
        <v>159</v>
      </c>
      <c r="BL24" s="2">
        <f>($AR$38+$AR$5)/180*PI()</f>
        <v>0.46271413304136694</v>
      </c>
      <c r="BM24" s="2" t="s">
        <v>155</v>
      </c>
      <c r="BO24" s="2">
        <v>20</v>
      </c>
      <c r="BP24" s="2">
        <f t="shared" si="21"/>
        <v>0.47176542495968576</v>
      </c>
      <c r="BQ24" s="2">
        <v>-1.7145871721233052E-5</v>
      </c>
      <c r="BR24" s="2">
        <f t="shared" si="22"/>
        <v>0.47177075793976864</v>
      </c>
      <c r="BS24" s="2">
        <v>1.4531062732178746E-5</v>
      </c>
      <c r="BT24" s="2">
        <f t="shared" si="7"/>
        <v>0.4717680914497272</v>
      </c>
      <c r="BU24" s="2">
        <v>-1.3073687297887604E-6</v>
      </c>
      <c r="BV24" s="2">
        <f t="shared" si="8"/>
        <v>2.2415976533309483E-11</v>
      </c>
      <c r="BW24" s="2">
        <f t="shared" si="9"/>
        <v>-1.8997457026649321E-11</v>
      </c>
      <c r="BX24" s="2">
        <f t="shared" si="10"/>
        <v>5.3329800828727514E-6</v>
      </c>
      <c r="BZ24" s="2">
        <v>20</v>
      </c>
      <c r="CA24" s="2">
        <f t="shared" si="23"/>
        <v>0.40126876124404653</v>
      </c>
      <c r="CB24" s="2">
        <v>-3.1209928213205007E-6</v>
      </c>
      <c r="CC24" s="2">
        <f t="shared" si="24"/>
        <v>0.40127409422412941</v>
      </c>
      <c r="CD24" s="2">
        <v>1.8038307940823617E-5</v>
      </c>
      <c r="CE24" s="2">
        <f t="shared" si="11"/>
        <v>0.40127142773408797</v>
      </c>
      <c r="CF24" s="2">
        <v>7.4586799347076127E-6</v>
      </c>
      <c r="CG24" s="2">
        <f t="shared" si="12"/>
        <v>-2.327848653274972E-11</v>
      </c>
      <c r="CH24" s="2">
        <f t="shared" si="13"/>
        <v>1.3454196549429811E-10</v>
      </c>
      <c r="CI24" s="2">
        <f t="shared" si="14"/>
        <v>5.3329800828727514E-6</v>
      </c>
    </row>
    <row r="25" spans="2:87" x14ac:dyDescent="0.2">
      <c r="B25" s="6" t="s">
        <v>242</v>
      </c>
      <c r="C25" s="17">
        <v>0.75</v>
      </c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$C$80*(0.14*$G$13*1000/745.7)*0.453592</f>
        <v>54.261951435846129</v>
      </c>
      <c r="L25" s="6" t="s">
        <v>7</v>
      </c>
      <c r="N25" s="6" t="s">
        <v>33</v>
      </c>
      <c r="O25" s="6">
        <f xml:space="preserve"> ($C$31 * $O$24 / 8) * (1 + 4.65 * O22^2) * ( PI() * $C$72 * O21^3 * $C$11^5)</f>
        <v>2152.0895223310586</v>
      </c>
      <c r="P25" s="6" t="s">
        <v>20</v>
      </c>
      <c r="U25" s="2">
        <v>21</v>
      </c>
      <c r="V25" s="2">
        <f t="shared" si="15"/>
        <v>0.95862436294555664</v>
      </c>
      <c r="W25" s="2">
        <f t="shared" si="0"/>
        <v>1.5209948900363202E-7</v>
      </c>
      <c r="X25" s="2">
        <f t="shared" si="16"/>
        <v>0.95862483978271484</v>
      </c>
      <c r="Y25" s="2">
        <f t="shared" si="1"/>
        <v>-3.3879712280082686E-7</v>
      </c>
      <c r="Z25" s="2">
        <f t="shared" si="3"/>
        <v>0.95862460136413574</v>
      </c>
      <c r="AA25" s="2">
        <f t="shared" si="2"/>
        <v>-9.3348818563931957E-8</v>
      </c>
      <c r="AB25" s="2">
        <f t="shared" si="4"/>
        <v>-1.419830760266681E-14</v>
      </c>
      <c r="AC25" s="2">
        <f t="shared" si="5"/>
        <v>3.1626311146316559E-14</v>
      </c>
      <c r="AD25" s="2">
        <f t="shared" si="6"/>
        <v>4.76837158203125E-7</v>
      </c>
      <c r="AF25" s="2">
        <v>21</v>
      </c>
      <c r="AG25" s="2">
        <f t="shared" si="25"/>
        <v>2854.6533584594727</v>
      </c>
      <c r="AH25" s="2">
        <v>-1.4151704335745308E-3</v>
      </c>
      <c r="AI25" s="2">
        <f t="shared" si="26"/>
        <v>2854.6576499938965</v>
      </c>
      <c r="AJ25" s="2">
        <v>7.8619129180879099E-4</v>
      </c>
      <c r="AK25" s="2">
        <f t="shared" si="17"/>
        <v>2854.6555042266846</v>
      </c>
      <c r="AL25" s="2">
        <v>-3.1417259788213414E-4</v>
      </c>
      <c r="AM25" s="2">
        <f t="shared" si="18"/>
        <v>4.4460777156209649E-7</v>
      </c>
      <c r="AN25" s="2">
        <f t="shared" si="19"/>
        <v>-2.4699976057987887E-7</v>
      </c>
      <c r="AO25" s="2">
        <f t="shared" si="20"/>
        <v>4.291534423828125E-3</v>
      </c>
      <c r="AQ25" s="64"/>
      <c r="AR25" s="3">
        <f>0.851875*($AR$9/2)</f>
        <v>1.2982575000000001</v>
      </c>
      <c r="AS25" s="26" t="s">
        <v>8</v>
      </c>
      <c r="AU25" s="63"/>
      <c r="AV25" s="64">
        <f>BH39</f>
        <v>-8.4787894621962678E-9</v>
      </c>
      <c r="AW25" s="64"/>
      <c r="AY25" s="2" t="s">
        <v>167</v>
      </c>
      <c r="AZ25" s="2">
        <f>SQRT(AZ23^2 + AZ24^2)</f>
        <v>67.950647868567813</v>
      </c>
      <c r="BA25" s="26" t="s">
        <v>10</v>
      </c>
      <c r="BC25" s="2" t="s">
        <v>167</v>
      </c>
      <c r="BD25" s="2">
        <f>SQRT(BD23^2 + BD24^2)</f>
        <v>78.484844629548746</v>
      </c>
      <c r="BE25" s="26" t="s">
        <v>10</v>
      </c>
      <c r="BG25" s="2" t="s">
        <v>28</v>
      </c>
      <c r="BH25" s="2">
        <f>BH24-BH23</f>
        <v>0.13463828235168213</v>
      </c>
      <c r="BI25" s="2" t="s">
        <v>155</v>
      </c>
      <c r="BJ25" s="2"/>
      <c r="BK25" s="2" t="s">
        <v>28</v>
      </c>
      <c r="BL25" s="2">
        <f>BL24-BL23</f>
        <v>0.14425291536697749</v>
      </c>
      <c r="BM25" s="2" t="s">
        <v>155</v>
      </c>
      <c r="BO25" s="2">
        <v>21</v>
      </c>
      <c r="BP25" s="2">
        <f t="shared" si="21"/>
        <v>0.4717680914497272</v>
      </c>
      <c r="BQ25" s="2">
        <v>-1.3073687297887604E-6</v>
      </c>
      <c r="BR25" s="2">
        <f t="shared" si="22"/>
        <v>0.47177075793976864</v>
      </c>
      <c r="BS25" s="2">
        <v>1.4531062732178746E-5</v>
      </c>
      <c r="BT25" s="2">
        <f t="shared" si="7"/>
        <v>0.47176942469474792</v>
      </c>
      <c r="BU25" s="2">
        <v>6.6118559422928547E-6</v>
      </c>
      <c r="BV25" s="2">
        <f t="shared" si="8"/>
        <v>-8.6441337048216765E-12</v>
      </c>
      <c r="BW25" s="2">
        <f t="shared" si="9"/>
        <v>9.6077293473586285E-11</v>
      </c>
      <c r="BX25" s="2">
        <f t="shared" si="10"/>
        <v>2.6664900414363757E-6</v>
      </c>
      <c r="BZ25" s="2">
        <v>21</v>
      </c>
      <c r="CA25" s="2">
        <f t="shared" si="23"/>
        <v>0.40126876124404653</v>
      </c>
      <c r="CB25" s="2">
        <v>-3.1209928213205007E-6</v>
      </c>
      <c r="CC25" s="2">
        <f t="shared" si="24"/>
        <v>0.40127142773408797</v>
      </c>
      <c r="CD25" s="2">
        <v>7.4586799347076127E-6</v>
      </c>
      <c r="CE25" s="2">
        <f t="shared" si="11"/>
        <v>0.40127009448906725</v>
      </c>
      <c r="CF25" s="2">
        <v>2.1688491503024654E-6</v>
      </c>
      <c r="CG25" s="2">
        <f t="shared" si="12"/>
        <v>-6.7689626286210625E-12</v>
      </c>
      <c r="CH25" s="2">
        <f t="shared" si="13"/>
        <v>1.6176751638768655E-11</v>
      </c>
      <c r="CI25" s="2">
        <f t="shared" si="14"/>
        <v>2.6664900414363757E-6</v>
      </c>
    </row>
    <row r="26" spans="2:87" x14ac:dyDescent="0.2">
      <c r="B26" s="6" t="s">
        <v>288</v>
      </c>
      <c r="C26" s="17">
        <v>0</v>
      </c>
      <c r="D26" s="6" t="s">
        <v>61</v>
      </c>
      <c r="F26" s="6" t="s">
        <v>21</v>
      </c>
      <c r="G26" s="6">
        <f xml:space="preserve"> $C$5 * $C$69 / $C$22</f>
        <v>3496.9796362765751</v>
      </c>
      <c r="H26" s="6" t="s">
        <v>22</v>
      </c>
      <c r="J26" s="15" t="s">
        <v>67</v>
      </c>
      <c r="K26" s="6">
        <f xml:space="preserve"> $C$81 * (0.0268 * $C$5)</f>
        <v>61.194968749161603</v>
      </c>
      <c r="L26" s="6" t="s">
        <v>7</v>
      </c>
      <c r="N26" s="6" t="s">
        <v>34</v>
      </c>
      <c r="O26" s="18">
        <f>Z34</f>
        <v>0.95862451056018472</v>
      </c>
      <c r="U26" s="2">
        <v>22</v>
      </c>
      <c r="V26" s="2">
        <f t="shared" si="15"/>
        <v>0.95862436294555664</v>
      </c>
      <c r="W26" s="2">
        <f t="shared" si="0"/>
        <v>1.5209948900363202E-7</v>
      </c>
      <c r="X26" s="2">
        <f t="shared" si="16"/>
        <v>0.95862460136413574</v>
      </c>
      <c r="Y26" s="2">
        <f t="shared" si="1"/>
        <v>-9.3348818563931957E-8</v>
      </c>
      <c r="Z26" s="2">
        <f t="shared" si="3"/>
        <v>0.95862448215484619</v>
      </c>
      <c r="AA26" s="2">
        <f t="shared" si="2"/>
        <v>2.9375334831271971E-8</v>
      </c>
      <c r="AB26" s="2">
        <f t="shared" si="4"/>
        <v>4.4679734171470594E-15</v>
      </c>
      <c r="AC26" s="2">
        <f t="shared" si="5"/>
        <v>-2.7421528014191581E-15</v>
      </c>
      <c r="AD26" s="2">
        <f t="shared" si="6"/>
        <v>2.384185791015625E-7</v>
      </c>
      <c r="AF26" s="2">
        <v>22</v>
      </c>
      <c r="AG26" s="2">
        <f t="shared" si="25"/>
        <v>2854.6555042266846</v>
      </c>
      <c r="AH26" s="2">
        <v>-3.1417259788213414E-4</v>
      </c>
      <c r="AI26" s="2">
        <f t="shared" si="26"/>
        <v>2854.6576499938965</v>
      </c>
      <c r="AJ26" s="2">
        <v>7.8619129180879099E-4</v>
      </c>
      <c r="AK26" s="2">
        <f t="shared" si="17"/>
        <v>2854.6565771102905</v>
      </c>
      <c r="AL26" s="2">
        <v>2.3600938129675342E-4</v>
      </c>
      <c r="AM26" s="2">
        <f t="shared" si="18"/>
        <v>-7.4147680446556181E-8</v>
      </c>
      <c r="AN26" s="2">
        <f t="shared" si="19"/>
        <v>1.8554852036068809E-7</v>
      </c>
      <c r="AO26" s="2">
        <f t="shared" si="20"/>
        <v>2.1457672119140625E-3</v>
      </c>
      <c r="AQ26" s="64"/>
      <c r="AR26" s="3">
        <f>0.950625*($AR$9/2)</f>
        <v>1.4487525000000001</v>
      </c>
      <c r="AS26" s="6" t="s">
        <v>8</v>
      </c>
      <c r="AU26" s="63"/>
      <c r="AV26" s="64">
        <f>BL39</f>
        <v>6.3316001400193223E-9</v>
      </c>
      <c r="AW26" s="64"/>
      <c r="AY26" s="2" t="s">
        <v>170</v>
      </c>
      <c r="AZ26" s="37">
        <f>$AR$45*AZ25*$AR$27/$AR$46</f>
        <v>3400083.5867133276</v>
      </c>
      <c r="BA26" s="26"/>
      <c r="BC26" s="2" t="s">
        <v>170</v>
      </c>
      <c r="BD26" s="37">
        <f>$AR$45*BD25*$AR$27/$AR$46</f>
        <v>3927188.9290420515</v>
      </c>
      <c r="BE26" s="26"/>
      <c r="BG26" s="2" t="s">
        <v>168</v>
      </c>
      <c r="BH26" s="2">
        <f>BH25/PI()*180</f>
        <v>7.7142053396421026</v>
      </c>
      <c r="BI26" s="2" t="s">
        <v>43</v>
      </c>
      <c r="BJ26" s="2"/>
      <c r="BK26" s="2" t="s">
        <v>168</v>
      </c>
      <c r="BL26" s="2">
        <f>BL25/PI()*180</f>
        <v>8.2650832329856669</v>
      </c>
      <c r="BM26" s="2" t="s">
        <v>43</v>
      </c>
      <c r="BO26" s="2">
        <v>22</v>
      </c>
      <c r="BP26" s="2">
        <f t="shared" si="21"/>
        <v>0.4717680914497272</v>
      </c>
      <c r="BQ26" s="2">
        <v>-1.3073687297887604E-6</v>
      </c>
      <c r="BR26" s="2">
        <f t="shared" si="22"/>
        <v>0.47176942469474792</v>
      </c>
      <c r="BS26" s="2">
        <v>6.6118559422928547E-6</v>
      </c>
      <c r="BT26" s="2">
        <f t="shared" si="7"/>
        <v>0.47176875807223756</v>
      </c>
      <c r="BU26" s="2">
        <v>2.6522458415889627E-6</v>
      </c>
      <c r="BV26" s="2">
        <f t="shared" si="8"/>
        <v>-3.4674632770056841E-12</v>
      </c>
      <c r="BW26" s="2">
        <f t="shared" si="9"/>
        <v>1.7536267428131497E-11</v>
      </c>
      <c r="BX26" s="2">
        <f t="shared" si="10"/>
        <v>1.3332450207181878E-6</v>
      </c>
      <c r="BZ26" s="2">
        <v>22</v>
      </c>
      <c r="CA26" s="2">
        <f t="shared" si="23"/>
        <v>0.40126876124404653</v>
      </c>
      <c r="CB26" s="2">
        <v>-3.1209928213205007E-6</v>
      </c>
      <c r="CC26" s="2">
        <f t="shared" si="24"/>
        <v>0.40127009448906725</v>
      </c>
      <c r="CD26" s="2">
        <v>2.1688491503024654E-6</v>
      </c>
      <c r="CE26" s="2">
        <f t="shared" si="11"/>
        <v>0.40126942786655689</v>
      </c>
      <c r="CF26" s="2">
        <v>-4.760704370027069E-7</v>
      </c>
      <c r="CG26" s="2">
        <f t="shared" si="12"/>
        <v>1.485812416328362E-12</v>
      </c>
      <c r="CH26" s="2">
        <f t="shared" si="13"/>
        <v>-1.0325249627774443E-12</v>
      </c>
      <c r="CI26" s="2">
        <f t="shared" si="14"/>
        <v>1.3332450207181878E-6</v>
      </c>
    </row>
    <row r="27" spans="2:87" x14ac:dyDescent="0.2">
      <c r="F27" s="43" t="s">
        <v>86</v>
      </c>
      <c r="G27" s="43">
        <f xml:space="preserve"> 1/1000 * IF( $G$23&gt;=2*SQRT(($C$5*$C$69)/(2*$C$66*$C$22*PI()*$C$9*$C$9)), ($C$5*$C$69)/$C$25 * ( ($G$23/2) - SQRT( ($G$23/2)^2 - ($C$5*$C$69)/(2*$C$66*$C$22*PI()*$C$9*$C$9 ) ) ), 1/$C$25 * SQRT(($C$5*$C$69)^3/(2*$C$66*$C$22*PI()*$C$9*$C$9)) )</f>
        <v>566.27542094430487</v>
      </c>
      <c r="H27" s="43" t="s">
        <v>104</v>
      </c>
      <c r="J27" s="15" t="s">
        <v>68</v>
      </c>
      <c r="K27" s="6">
        <f xml:space="preserve"> $C$81 * (11.5 * ($C$5*2.20462/1000)^0.4 * 0.453592)</f>
        <v>8.7092966884308236</v>
      </c>
      <c r="L27" s="6" t="s">
        <v>7</v>
      </c>
      <c r="N27" s="6" t="s">
        <v>35</v>
      </c>
      <c r="O27" s="6">
        <f xml:space="preserve"> O21 * $C$11 * O26 - $C$8 * SIN(O19/180*PI())</f>
        <v>2.0445208022908332</v>
      </c>
      <c r="P27" s="6" t="s">
        <v>10</v>
      </c>
      <c r="U27" s="2">
        <v>23</v>
      </c>
      <c r="V27" s="2">
        <f t="shared" si="15"/>
        <v>0.95862448215484619</v>
      </c>
      <c r="W27" s="2">
        <f t="shared" si="0"/>
        <v>2.9375334831271971E-8</v>
      </c>
      <c r="X27" s="2">
        <f t="shared" si="16"/>
        <v>0.95862460136413574</v>
      </c>
      <c r="Y27" s="2">
        <f t="shared" si="1"/>
        <v>-9.3348818563931957E-8</v>
      </c>
      <c r="Z27" s="2">
        <f t="shared" si="3"/>
        <v>0.95862454175949097</v>
      </c>
      <c r="AA27" s="2">
        <f t="shared" si="2"/>
        <v>-3.1986742032863447E-8</v>
      </c>
      <c r="AB27" s="2">
        <f t="shared" si="4"/>
        <v>-9.3962125737688489E-16</v>
      </c>
      <c r="AC27" s="2">
        <f t="shared" si="5"/>
        <v>2.9859245784770659E-15</v>
      </c>
      <c r="AD27" s="2">
        <f t="shared" si="6"/>
        <v>1.1920928955078125E-7</v>
      </c>
      <c r="AF27" s="2">
        <v>23</v>
      </c>
      <c r="AG27" s="2">
        <f t="shared" si="25"/>
        <v>2854.6555042266846</v>
      </c>
      <c r="AH27" s="2">
        <v>-3.1417259788213414E-4</v>
      </c>
      <c r="AI27" s="2">
        <f t="shared" si="26"/>
        <v>2854.6565771102905</v>
      </c>
      <c r="AJ27" s="2">
        <v>2.3600938129675342E-4</v>
      </c>
      <c r="AK27" s="2">
        <f t="shared" si="17"/>
        <v>2854.6560406684875</v>
      </c>
      <c r="AL27" s="2">
        <v>-3.9398437365889549E-5</v>
      </c>
      <c r="AM27" s="2">
        <f t="shared" si="18"/>
        <v>1.2377909419738066E-8</v>
      </c>
      <c r="AN27" s="2">
        <f t="shared" si="19"/>
        <v>-9.298400826782484E-9</v>
      </c>
      <c r="AO27" s="2">
        <f t="shared" si="20"/>
        <v>1.0728836059570312E-3</v>
      </c>
      <c r="AQ27" s="64" t="s">
        <v>204</v>
      </c>
      <c r="AR27" s="3">
        <f>0.548288*($AR$9/2)</f>
        <v>0.83559091200000002</v>
      </c>
      <c r="AS27" s="26" t="s">
        <v>8</v>
      </c>
      <c r="AU27" s="63"/>
      <c r="AV27" s="64">
        <f>BH58</f>
        <v>-1.9661369823897878E-9</v>
      </c>
      <c r="AW27" s="64"/>
      <c r="AY27" s="2" t="s">
        <v>174</v>
      </c>
      <c r="AZ27" s="2">
        <f xml:space="preserve"> $BH$46 * PI() * $AR$45 * AZ25^2 * $BH$52 * $AR$23 * AZ22</f>
        <v>549.66506565247687</v>
      </c>
      <c r="BA27" s="26" t="s">
        <v>22</v>
      </c>
      <c r="BC27" s="2" t="s">
        <v>174</v>
      </c>
      <c r="BD27" s="2">
        <f xml:space="preserve"> $BL$46 * PI() * $AR$45 * BD25^2 * $BL$52 * $AR$24 * BD22</f>
        <v>685.3091461725121</v>
      </c>
      <c r="BE27" s="26" t="s">
        <v>22</v>
      </c>
      <c r="BG27" s="2" t="s">
        <v>171</v>
      </c>
      <c r="BH27" s="2">
        <f xml:space="preserve"> $AR$8*$AR$29 / (2*PI()*$AR$21)</f>
        <v>0.35771795642666621</v>
      </c>
      <c r="BI27" s="2"/>
      <c r="BJ27" s="2"/>
      <c r="BK27" s="2" t="s">
        <v>171</v>
      </c>
      <c r="BL27" s="2">
        <f xml:space="preserve"> $AR$8*$AR$30 / (2*PI()*$AR$22)</f>
        <v>0.28415899496185482</v>
      </c>
      <c r="BM27" s="2"/>
      <c r="BO27" s="2">
        <v>23</v>
      </c>
      <c r="BP27" s="2">
        <f t="shared" si="21"/>
        <v>0.4717680914497272</v>
      </c>
      <c r="BQ27" s="2">
        <v>-1.3073687297887604E-6</v>
      </c>
      <c r="BR27" s="2">
        <f t="shared" si="22"/>
        <v>0.47176875807223756</v>
      </c>
      <c r="BS27" s="2">
        <v>2.6522458415889627E-6</v>
      </c>
      <c r="BT27" s="2">
        <f t="shared" si="7"/>
        <v>0.47176842476098235</v>
      </c>
      <c r="BU27" s="2">
        <v>6.7243911451575489E-7</v>
      </c>
      <c r="BV27" s="2">
        <f t="shared" si="8"/>
        <v>-8.7912587100474122E-13</v>
      </c>
      <c r="BW27" s="2">
        <f t="shared" si="9"/>
        <v>1.7834738451961751E-12</v>
      </c>
      <c r="BX27" s="2">
        <f t="shared" si="10"/>
        <v>6.6662251035909392E-7</v>
      </c>
      <c r="BZ27" s="2">
        <v>23</v>
      </c>
      <c r="CA27" s="2">
        <f t="shared" si="23"/>
        <v>0.40126942786655689</v>
      </c>
      <c r="CB27" s="2">
        <v>-4.760704370027069E-7</v>
      </c>
      <c r="CC27" s="2">
        <f t="shared" si="24"/>
        <v>0.40127009448906725</v>
      </c>
      <c r="CD27" s="2">
        <v>2.1688491503024654E-6</v>
      </c>
      <c r="CE27" s="2">
        <f t="shared" si="11"/>
        <v>0.4012697611778121</v>
      </c>
      <c r="CF27" s="2">
        <v>8.4638970644645983E-7</v>
      </c>
      <c r="CG27" s="2">
        <f t="shared" si="12"/>
        <v>-4.0294111742255893E-13</v>
      </c>
      <c r="CH27" s="2">
        <f t="shared" si="13"/>
        <v>1.8356915956511576E-12</v>
      </c>
      <c r="CI27" s="2">
        <f t="shared" si="14"/>
        <v>6.6662251035909392E-7</v>
      </c>
    </row>
    <row r="28" spans="2:87" x14ac:dyDescent="0.2">
      <c r="B28" s="59" t="s">
        <v>243</v>
      </c>
      <c r="C28" s="59"/>
      <c r="D28" s="59"/>
      <c r="J28" s="15" t="s">
        <v>69</v>
      </c>
      <c r="K28" s="6">
        <f xml:space="preserve"> $C$81 * (8 * ($C$5/1000))</f>
        <v>18.267154850495999</v>
      </c>
      <c r="L28" s="6" t="s">
        <v>7</v>
      </c>
      <c r="N28" s="6" t="s">
        <v>36</v>
      </c>
      <c r="O28" s="6">
        <f xml:space="preserve"> 1/$C$32 - O25 * SQRT( (2*$C$72*PI()*$C$11^2) / O20^3 )</f>
        <v>1.2258125691174784</v>
      </c>
      <c r="U28" s="2">
        <v>24</v>
      </c>
      <c r="V28" s="2">
        <f t="shared" si="15"/>
        <v>0.95862448215484619</v>
      </c>
      <c r="W28" s="2">
        <f t="shared" si="0"/>
        <v>2.9375334831271971E-8</v>
      </c>
      <c r="X28" s="2">
        <f t="shared" si="16"/>
        <v>0.95862454175949097</v>
      </c>
      <c r="Y28" s="2">
        <f t="shared" si="1"/>
        <v>-3.1986742032863447E-8</v>
      </c>
      <c r="Z28" s="2">
        <f t="shared" si="3"/>
        <v>0.95862451195716858</v>
      </c>
      <c r="AA28" s="2">
        <f t="shared" si="2"/>
        <v>-1.3057036563068891E-9</v>
      </c>
      <c r="AB28" s="2">
        <f t="shared" si="4"/>
        <v>-3.8355482094430926E-17</v>
      </c>
      <c r="AC28" s="2">
        <f t="shared" si="5"/>
        <v>4.1765206025655057E-17</v>
      </c>
      <c r="AD28" s="2">
        <f t="shared" si="6"/>
        <v>5.9604644775390625E-8</v>
      </c>
      <c r="AF28" s="2">
        <v>24</v>
      </c>
      <c r="AG28" s="2">
        <f t="shared" si="25"/>
        <v>2854.6560406684875</v>
      </c>
      <c r="AH28" s="2">
        <v>-3.9398437365889549E-5</v>
      </c>
      <c r="AI28" s="2">
        <f t="shared" si="26"/>
        <v>2854.6565771102905</v>
      </c>
      <c r="AJ28" s="2">
        <v>2.3600938129675342E-4</v>
      </c>
      <c r="AK28" s="2">
        <f t="shared" si="17"/>
        <v>2854.656308889389</v>
      </c>
      <c r="AL28" s="2">
        <v>9.8305473329673987E-5</v>
      </c>
      <c r="AM28" s="2">
        <f t="shared" si="18"/>
        <v>-3.8730820337032861E-9</v>
      </c>
      <c r="AN28" s="2">
        <f t="shared" si="19"/>
        <v>2.3201013938620851E-8</v>
      </c>
      <c r="AO28" s="2">
        <f t="shared" si="20"/>
        <v>5.3644180297851562E-4</v>
      </c>
      <c r="AQ28" s="64"/>
      <c r="AR28" s="3">
        <f>0.530863*($AR$9/2)</f>
        <v>0.80903521199999995</v>
      </c>
      <c r="AS28" s="26" t="s">
        <v>8</v>
      </c>
      <c r="AU28" s="63"/>
      <c r="AV28" s="64">
        <f>BL58</f>
        <v>-1.1003073174808975E-9</v>
      </c>
      <c r="AW28" s="64"/>
      <c r="AY28" s="2" t="s">
        <v>178</v>
      </c>
      <c r="AZ28" s="2">
        <f xml:space="preserve"> $BH$46 * PI() * $AR$45 * AZ25^2 * $BH$53 * $AR$23^2 * AZ22</f>
        <v>191.89962451348424</v>
      </c>
      <c r="BA28" s="26" t="s">
        <v>179</v>
      </c>
      <c r="BC28" s="2" t="s">
        <v>178</v>
      </c>
      <c r="BD28" s="2">
        <f xml:space="preserve"> $BL$46 * PI() * $AR$45 * BD25^2 * $BL$53 * $AR$24^2 * BD22</f>
        <v>260.81475652689073</v>
      </c>
      <c r="BE28" s="26" t="s">
        <v>179</v>
      </c>
      <c r="BG28" s="2" t="s">
        <v>175</v>
      </c>
      <c r="BH28" s="2">
        <f>IF(-$AR$8*($AV$3-$AR$21)/(2*$AR$21*SIN(BH23))&gt;500, 1, 2*ACOS(MIN(1, EXP(-$AR$8*($AV$3-$AR$21)/(2*$AR$21*SIN(BH23)))))/PI() )</f>
        <v>0.97937788008988058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0.95045647695248048</v>
      </c>
      <c r="BM28" s="2"/>
      <c r="BO28" s="2">
        <v>24</v>
      </c>
      <c r="BP28" s="2">
        <f t="shared" si="21"/>
        <v>0.4717680914497272</v>
      </c>
      <c r="BQ28" s="2">
        <v>-1.3073687297887604E-6</v>
      </c>
      <c r="BR28" s="2">
        <f t="shared" si="22"/>
        <v>0.47176842476098235</v>
      </c>
      <c r="BS28" s="2">
        <v>6.7243911451575489E-7</v>
      </c>
      <c r="BT28" s="2">
        <f t="shared" si="7"/>
        <v>0.47176825810535478</v>
      </c>
      <c r="BU28" s="2">
        <v>-3.1746466794269068E-7</v>
      </c>
      <c r="BV28" s="2">
        <f t="shared" si="8"/>
        <v>4.1504337968104613E-13</v>
      </c>
      <c r="BW28" s="2">
        <f t="shared" si="9"/>
        <v>-2.1347566020142107E-13</v>
      </c>
      <c r="BX28" s="2">
        <f t="shared" si="10"/>
        <v>3.3331125515179139E-7</v>
      </c>
      <c r="BZ28" s="2">
        <v>24</v>
      </c>
      <c r="CA28" s="2">
        <f t="shared" si="23"/>
        <v>0.40126942786655689</v>
      </c>
      <c r="CB28" s="2">
        <v>-4.760704370027069E-7</v>
      </c>
      <c r="CC28" s="2">
        <f t="shared" si="24"/>
        <v>0.4012697611778121</v>
      </c>
      <c r="CD28" s="2">
        <v>8.4638970644645983E-7</v>
      </c>
      <c r="CE28" s="2">
        <f t="shared" si="11"/>
        <v>0.40126959452218447</v>
      </c>
      <c r="CF28" s="2">
        <v>1.8515972191601726E-7</v>
      </c>
      <c r="CG28" s="2">
        <f t="shared" si="12"/>
        <v>-8.8149069727858019E-14</v>
      </c>
      <c r="CH28" s="2">
        <f t="shared" si="13"/>
        <v>1.5671728267820599E-13</v>
      </c>
      <c r="CI28" s="2">
        <f t="shared" si="14"/>
        <v>3.3331125520730254E-7</v>
      </c>
    </row>
    <row r="29" spans="2:87" x14ac:dyDescent="0.2">
      <c r="B29" s="6" t="s">
        <v>244</v>
      </c>
      <c r="C29" s="17">
        <v>1</v>
      </c>
      <c r="F29" s="55" t="s">
        <v>289</v>
      </c>
      <c r="G29" s="58"/>
      <c r="H29" s="58"/>
      <c r="J29" s="15" t="s">
        <v>70</v>
      </c>
      <c r="K29" s="6">
        <f xml:space="preserve"> $C$81 * (13 * ($C$5*2.20462/1000)^1.3 * 0.453592)</f>
        <v>51.543132461201452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15"/>
        <v>0.95862448215484619</v>
      </c>
      <c r="W29" s="2">
        <f t="shared" si="0"/>
        <v>2.9375334831271971E-8</v>
      </c>
      <c r="X29" s="2">
        <f t="shared" si="16"/>
        <v>0.95862451195716858</v>
      </c>
      <c r="Y29" s="2">
        <f t="shared" si="1"/>
        <v>-1.3057036563068891E-9</v>
      </c>
      <c r="Z29" s="2">
        <f t="shared" si="3"/>
        <v>0.95862449705600739</v>
      </c>
      <c r="AA29" s="2">
        <f t="shared" si="2"/>
        <v>1.403481553197139E-8</v>
      </c>
      <c r="AB29" s="2">
        <f t="shared" si="4"/>
        <v>4.1227740554679602E-16</v>
      </c>
      <c r="AC29" s="2">
        <f t="shared" si="5"/>
        <v>-1.832530995568776E-17</v>
      </c>
      <c r="AD29" s="2">
        <f t="shared" si="6"/>
        <v>2.9802322387695312E-8</v>
      </c>
      <c r="AF29" s="2">
        <v>25</v>
      </c>
      <c r="AG29" s="2">
        <f t="shared" si="25"/>
        <v>2854.6560406684875</v>
      </c>
      <c r="AH29" s="2">
        <v>-3.9398437365889549E-5</v>
      </c>
      <c r="AI29" s="2">
        <f t="shared" si="26"/>
        <v>2854.656308889389</v>
      </c>
      <c r="AJ29" s="2">
        <v>9.8305473329673987E-5</v>
      </c>
      <c r="AK29" s="2">
        <f t="shared" si="17"/>
        <v>2854.6561747789383</v>
      </c>
      <c r="AL29" s="2">
        <v>2.9453519346134271E-5</v>
      </c>
      <c r="AM29" s="2">
        <f t="shared" si="18"/>
        <v>-1.1604226371636872E-9</v>
      </c>
      <c r="AN29" s="2">
        <f t="shared" si="19"/>
        <v>2.8954421605464394E-9</v>
      </c>
      <c r="AO29" s="2">
        <f t="shared" si="20"/>
        <v>2.6822090148925781E-4</v>
      </c>
      <c r="AQ29" s="64"/>
      <c r="AR29" s="3">
        <f>0.513438*($AR$9/2)</f>
        <v>0.78247951199999999</v>
      </c>
      <c r="AS29" s="26" t="s">
        <v>8</v>
      </c>
      <c r="AU29" s="63"/>
      <c r="AV29" s="64">
        <f>BH77</f>
        <v>4.5346084769082307E-9</v>
      </c>
      <c r="AW29" s="64"/>
      <c r="BG29" s="2" t="s">
        <v>180</v>
      </c>
      <c r="BH29" s="2">
        <f>IF(-$AR$8*($AR$21-$AR$10)/(2*$AR$21*SIN(BH23))&gt;500, 1, 2*ACOS(MIN(1, EXP(-$AR$8*($AR$21-$AR$10)/(2*$AR$21*SIN(BH23)))))/PI() )</f>
        <v>0.86509309591682293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0.91241342797318559</v>
      </c>
      <c r="BM29" s="2"/>
      <c r="BO29" s="2">
        <v>25</v>
      </c>
      <c r="BP29" s="2">
        <f t="shared" si="21"/>
        <v>0.47176825810535478</v>
      </c>
      <c r="BQ29" s="2">
        <v>-3.1746466794269068E-7</v>
      </c>
      <c r="BR29" s="2">
        <f t="shared" si="22"/>
        <v>0.47176842476098235</v>
      </c>
      <c r="BS29" s="2">
        <v>6.7243911451575489E-7</v>
      </c>
      <c r="BT29" s="2">
        <f t="shared" si="7"/>
        <v>0.47176834143316859</v>
      </c>
      <c r="BU29" s="2">
        <v>1.7748725850141867E-7</v>
      </c>
      <c r="BV29" s="2">
        <f t="shared" si="8"/>
        <v>-5.6345933584211379E-14</v>
      </c>
      <c r="BW29" s="2">
        <f t="shared" si="9"/>
        <v>1.1934937494452287E-13</v>
      </c>
      <c r="BX29" s="2">
        <f t="shared" si="10"/>
        <v>1.6665562757589569E-7</v>
      </c>
      <c r="BZ29" s="2">
        <v>25</v>
      </c>
      <c r="CA29" s="2">
        <f t="shared" si="23"/>
        <v>0.40126942786655689</v>
      </c>
      <c r="CB29" s="2">
        <v>-4.760704370027069E-7</v>
      </c>
      <c r="CC29" s="2">
        <f t="shared" si="24"/>
        <v>0.40126959452218447</v>
      </c>
      <c r="CD29" s="2">
        <v>1.8515972191601726E-7</v>
      </c>
      <c r="CE29" s="2">
        <f t="shared" si="11"/>
        <v>0.40126951119437071</v>
      </c>
      <c r="CF29" s="2">
        <v>-1.454553355956234E-7</v>
      </c>
      <c r="CG29" s="2">
        <f t="shared" si="12"/>
        <v>6.9246985181383825E-14</v>
      </c>
      <c r="CH29" s="2">
        <f t="shared" si="13"/>
        <v>-2.6932469490086595E-14</v>
      </c>
      <c r="CI29" s="2">
        <f t="shared" si="14"/>
        <v>1.6665562757589569E-7</v>
      </c>
    </row>
    <row r="30" spans="2:87" x14ac:dyDescent="0.2">
      <c r="B30" s="6" t="s">
        <v>245</v>
      </c>
      <c r="C30" s="17">
        <v>6</v>
      </c>
      <c r="F30" s="9" t="s">
        <v>290</v>
      </c>
      <c r="G30" s="17">
        <f>20*60</f>
        <v>1200</v>
      </c>
      <c r="H30" s="6" t="s">
        <v>14</v>
      </c>
      <c r="J30" s="10" t="s">
        <v>57</v>
      </c>
      <c r="K30" s="10">
        <f>$C$5 - $C$17 - SUM(K15:K29)</f>
        <v>-0.21194413972489201</v>
      </c>
      <c r="L30" s="10" t="s">
        <v>7</v>
      </c>
      <c r="N30" s="6" t="s">
        <v>38</v>
      </c>
      <c r="O30" s="6">
        <f xml:space="preserve"> 1/$C$78 * LN( EXP($C$78 * O28) + EXP($C$78 * O29) )</f>
        <v>1.2290761584210563</v>
      </c>
      <c r="U30" s="2">
        <v>26</v>
      </c>
      <c r="V30" s="2">
        <f>IF(AB29&gt;0, Z29, V29)</f>
        <v>0.95862449705600739</v>
      </c>
      <c r="W30" s="2">
        <f t="shared" si="0"/>
        <v>1.403481553197139E-8</v>
      </c>
      <c r="X30" s="2">
        <f t="shared" si="16"/>
        <v>0.95862451195716858</v>
      </c>
      <c r="Y30" s="2">
        <f t="shared" si="1"/>
        <v>-1.3057036563068891E-9</v>
      </c>
      <c r="Z30" s="2">
        <f t="shared" si="3"/>
        <v>0.95862450450658798</v>
      </c>
      <c r="AA30" s="2">
        <f t="shared" si="2"/>
        <v>6.3645559933434015E-9</v>
      </c>
      <c r="AB30" s="2">
        <f t="shared" si="4"/>
        <v>8.9325369309477568E-17</v>
      </c>
      <c r="AC30" s="2">
        <f t="shared" si="5"/>
        <v>-8.310224031278404E-18</v>
      </c>
      <c r="AD30" s="2">
        <f t="shared" si="6"/>
        <v>1.4901161193847656E-8</v>
      </c>
      <c r="AF30" s="2">
        <v>26</v>
      </c>
      <c r="AG30" s="2">
        <f t="shared" si="25"/>
        <v>2854.6560406684875</v>
      </c>
      <c r="AH30" s="2">
        <v>-3.9398437365889549E-5</v>
      </c>
      <c r="AI30" s="2">
        <f t="shared" si="26"/>
        <v>2854.6561747789383</v>
      </c>
      <c r="AJ30" s="2">
        <v>2.9453519346134271E-5</v>
      </c>
      <c r="AK30" s="2">
        <f t="shared" si="17"/>
        <v>2854.6561077237129</v>
      </c>
      <c r="AL30" s="2">
        <v>-4.6556215238524601E-6</v>
      </c>
      <c r="AM30" s="2">
        <f t="shared" si="18"/>
        <v>1.8342421300678841E-10</v>
      </c>
      <c r="AN30" s="2">
        <f t="shared" si="19"/>
        <v>-1.3712443862106755E-10</v>
      </c>
      <c r="AO30" s="2">
        <f t="shared" si="20"/>
        <v>1.3411045074462891E-4</v>
      </c>
      <c r="AQ30" s="64"/>
      <c r="AR30" s="3">
        <f>0.496013*($AR$9/2)</f>
        <v>0.75592381200000003</v>
      </c>
      <c r="AS30" s="26" t="s">
        <v>8</v>
      </c>
      <c r="AU30" s="38" t="s">
        <v>205</v>
      </c>
      <c r="AV30" s="64" t="b">
        <f>IF(AV23&lt;0.00001,IF(AV24&lt;0.00001,IF(AV25&lt;0.00001,IF(AV26&lt;0.00001,IF(AV27&lt;0.00001,IF(AV28&lt;0.00001,IF(AV29&lt;0.00001,TRUE,FALSE),FALSE),FALSE),FALSE),FALSE),FALSE),FALSE)</f>
        <v>1</v>
      </c>
      <c r="AW30" s="64"/>
      <c r="AY30" s="62" t="s">
        <v>206</v>
      </c>
      <c r="AZ30" s="62"/>
      <c r="BA30" s="62"/>
      <c r="BC30" s="62" t="s">
        <v>220</v>
      </c>
      <c r="BD30" s="62"/>
      <c r="BE30" s="62"/>
      <c r="BG30" s="2" t="s">
        <v>183</v>
      </c>
      <c r="BH30" s="2">
        <f>IF(BH23=0,1,BH28*BH29)</f>
        <v>0.84725304235940979</v>
      </c>
      <c r="BI30" s="2"/>
      <c r="BJ30" s="2"/>
      <c r="BK30" s="2" t="s">
        <v>183</v>
      </c>
      <c r="BL30" s="2">
        <f>IF(BL23=0,1,BL28*BL29)</f>
        <v>0.86720925227552981</v>
      </c>
      <c r="BM30" s="2"/>
      <c r="BO30" s="2">
        <v>26</v>
      </c>
      <c r="BP30" s="2">
        <f t="shared" si="21"/>
        <v>0.47176825810535478</v>
      </c>
      <c r="BQ30" s="2">
        <v>-3.1746466794269068E-7</v>
      </c>
      <c r="BR30" s="2">
        <f t="shared" si="22"/>
        <v>0.47176834143316859</v>
      </c>
      <c r="BS30" s="2">
        <v>1.7748725850141867E-7</v>
      </c>
      <c r="BT30" s="2">
        <f t="shared" si="7"/>
        <v>0.47176829976926171</v>
      </c>
      <c r="BU30" s="2">
        <v>-6.9988695935996326E-8</v>
      </c>
      <c r="BV30" s="2">
        <f t="shared" si="8"/>
        <v>2.2218938115063019E-14</v>
      </c>
      <c r="BW30" s="2">
        <f t="shared" si="9"/>
        <v>-1.242210176776937E-14</v>
      </c>
      <c r="BX30" s="2">
        <f t="shared" si="10"/>
        <v>8.3327813815703422E-8</v>
      </c>
      <c r="BZ30" s="2">
        <v>26</v>
      </c>
      <c r="CA30" s="2">
        <f t="shared" si="23"/>
        <v>0.40126951119437071</v>
      </c>
      <c r="CB30" s="2">
        <v>-1.454553355956234E-7</v>
      </c>
      <c r="CC30" s="2">
        <f t="shared" si="24"/>
        <v>0.40126959452218447</v>
      </c>
      <c r="CD30" s="2">
        <v>1.8515972191601726E-7</v>
      </c>
      <c r="CE30" s="2">
        <f t="shared" si="11"/>
        <v>0.40126955285827759</v>
      </c>
      <c r="CF30" s="2">
        <v>1.9852198676617583E-8</v>
      </c>
      <c r="CG30" s="2">
        <f t="shared" si="12"/>
        <v>-2.8876082208184013E-15</v>
      </c>
      <c r="CH30" s="2">
        <f t="shared" si="13"/>
        <v>3.6758275863840376E-15</v>
      </c>
      <c r="CI30" s="2">
        <f t="shared" si="14"/>
        <v>8.3327813760192271E-8</v>
      </c>
    </row>
    <row r="31" spans="2:87" x14ac:dyDescent="0.2">
      <c r="B31" s="6" t="s">
        <v>246</v>
      </c>
      <c r="C31" s="6">
        <f>$C$30*$C$12/PI()</f>
        <v>0.84998288907657626</v>
      </c>
      <c r="F31" s="44" t="s">
        <v>225</v>
      </c>
      <c r="G31" s="43">
        <f xml:space="preserve"> G20</f>
        <v>118.87991473289847</v>
      </c>
      <c r="H31" s="43" t="s">
        <v>104</v>
      </c>
      <c r="J31" s="6" t="s">
        <v>58</v>
      </c>
      <c r="K31" s="4" t="str">
        <f>IF(ABS(K30)&lt;1, "TRUE", "FALSE")</f>
        <v>TRUE</v>
      </c>
      <c r="U31" s="2">
        <v>27</v>
      </c>
      <c r="V31" s="2">
        <f t="shared" si="15"/>
        <v>0.95862450450658798</v>
      </c>
      <c r="W31" s="2">
        <f t="shared" si="0"/>
        <v>6.3645559933434015E-9</v>
      </c>
      <c r="X31" s="2">
        <f t="shared" si="16"/>
        <v>0.95862451195716858</v>
      </c>
      <c r="Y31" s="2">
        <f t="shared" si="1"/>
        <v>-1.3057036563068891E-9</v>
      </c>
      <c r="Z31" s="2">
        <f t="shared" si="3"/>
        <v>0.95862450823187828</v>
      </c>
      <c r="AA31" s="2">
        <f t="shared" si="2"/>
        <v>2.529426113007105E-9</v>
      </c>
      <c r="AB31" s="2">
        <f t="shared" si="4"/>
        <v>1.6098674127258674E-17</v>
      </c>
      <c r="AC31" s="2">
        <f t="shared" si="5"/>
        <v>-3.3026809241114994E-18</v>
      </c>
      <c r="AD31" s="2">
        <f t="shared" si="6"/>
        <v>7.4505805969238281E-9</v>
      </c>
      <c r="AF31" s="2">
        <v>27</v>
      </c>
      <c r="AG31" s="2">
        <f t="shared" si="25"/>
        <v>2854.6561077237129</v>
      </c>
      <c r="AH31" s="2">
        <v>-4.6556215238524601E-6</v>
      </c>
      <c r="AI31" s="2">
        <f t="shared" si="26"/>
        <v>2854.6561747789383</v>
      </c>
      <c r="AJ31" s="2">
        <v>2.9453519346134271E-5</v>
      </c>
      <c r="AK31" s="2">
        <f t="shared" si="17"/>
        <v>2854.6561412513256</v>
      </c>
      <c r="AL31" s="2">
        <v>1.2715786397166084E-5</v>
      </c>
      <c r="AM31" s="2">
        <f t="shared" si="18"/>
        <v>-5.919988884335675E-11</v>
      </c>
      <c r="AN31" s="2">
        <f t="shared" si="19"/>
        <v>3.7452466065024228E-10</v>
      </c>
      <c r="AO31" s="2">
        <f t="shared" si="20"/>
        <v>6.7055225372314453E-5</v>
      </c>
      <c r="AQ31" s="64"/>
      <c r="AR31" s="3">
        <f>0.478588*($AR$9/2)</f>
        <v>0.72936811200000007</v>
      </c>
      <c r="AS31" s="26" t="s">
        <v>8</v>
      </c>
      <c r="AY31" s="2" t="s">
        <v>153</v>
      </c>
      <c r="AZ31" s="2">
        <f>$AR$25-$AR$24</f>
        <v>0.15049500000000005</v>
      </c>
      <c r="BA31" s="26" t="s">
        <v>8</v>
      </c>
      <c r="BC31" s="2" t="s">
        <v>153</v>
      </c>
      <c r="BD31" s="2">
        <f>2*($AR$9/2 - $AR$26)</f>
        <v>0.15049499999999982</v>
      </c>
      <c r="BE31" s="26" t="s">
        <v>8</v>
      </c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1.0416938000017102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1.0982678550689962</v>
      </c>
      <c r="BM31" s="2"/>
      <c r="BO31" s="2">
        <v>27</v>
      </c>
      <c r="BP31" s="2">
        <f t="shared" si="21"/>
        <v>0.47176829976926171</v>
      </c>
      <c r="BQ31" s="2">
        <v>-6.9988695935996326E-8</v>
      </c>
      <c r="BR31" s="2">
        <f t="shared" si="22"/>
        <v>0.47176834143316859</v>
      </c>
      <c r="BS31" s="2">
        <v>1.7748725850141867E-7</v>
      </c>
      <c r="BT31" s="2">
        <f t="shared" si="7"/>
        <v>0.47176832060121515</v>
      </c>
      <c r="BU31" s="2">
        <v>5.3749283551729476E-8</v>
      </c>
      <c r="BV31" s="2">
        <f t="shared" si="8"/>
        <v>-3.7618422632796427E-15</v>
      </c>
      <c r="BW31" s="2">
        <f t="shared" si="9"/>
        <v>9.5398129840118596E-15</v>
      </c>
      <c r="BX31" s="2">
        <f t="shared" si="10"/>
        <v>4.1663906880096135E-8</v>
      </c>
      <c r="BZ31" s="2">
        <v>27</v>
      </c>
      <c r="CA31" s="2">
        <f t="shared" si="23"/>
        <v>0.40126951119437071</v>
      </c>
      <c r="CB31" s="2">
        <v>-1.454553355956234E-7</v>
      </c>
      <c r="CC31" s="2">
        <f t="shared" si="24"/>
        <v>0.40126955285827759</v>
      </c>
      <c r="CD31" s="2">
        <v>1.9852198676617583E-8</v>
      </c>
      <c r="CE31" s="2">
        <f t="shared" si="11"/>
        <v>0.40126953202632415</v>
      </c>
      <c r="CF31" s="2">
        <v>-6.2801567113357493E-8</v>
      </c>
      <c r="CG31" s="2">
        <f t="shared" si="12"/>
        <v>9.1348230204044796E-15</v>
      </c>
      <c r="CH31" s="2">
        <f t="shared" si="13"/>
        <v>-1.246749187537306E-15</v>
      </c>
      <c r="CI31" s="2">
        <f t="shared" si="14"/>
        <v>4.1663906880096135E-8</v>
      </c>
    </row>
    <row r="32" spans="2:87" x14ac:dyDescent="0.2">
      <c r="B32" s="6" t="s">
        <v>247</v>
      </c>
      <c r="C32" s="17">
        <v>0.75</v>
      </c>
      <c r="U32" s="2">
        <v>28</v>
      </c>
      <c r="V32" s="2">
        <f t="shared" si="15"/>
        <v>0.95862450823187828</v>
      </c>
      <c r="W32" s="2">
        <f t="shared" si="0"/>
        <v>2.529426113007105E-9</v>
      </c>
      <c r="X32" s="2">
        <f t="shared" si="16"/>
        <v>0.95862451195716858</v>
      </c>
      <c r="Y32" s="2">
        <f t="shared" si="1"/>
        <v>-1.3057036563068891E-9</v>
      </c>
      <c r="Z32" s="2">
        <f t="shared" si="3"/>
        <v>0.95862451009452343</v>
      </c>
      <c r="AA32" s="2">
        <f t="shared" si="2"/>
        <v>6.1186122835010792E-10</v>
      </c>
      <c r="AB32" s="2">
        <f t="shared" si="4"/>
        <v>1.5476577685253661E-18</v>
      </c>
      <c r="AC32" s="2">
        <f t="shared" si="5"/>
        <v>-7.9890944300916031E-19</v>
      </c>
      <c r="AD32" s="2">
        <f t="shared" si="6"/>
        <v>3.7252902984619141E-9</v>
      </c>
      <c r="AF32" s="2">
        <v>28</v>
      </c>
      <c r="AG32" s="2">
        <f t="shared" si="25"/>
        <v>2854.6561077237129</v>
      </c>
      <c r="AH32" s="2">
        <v>-4.6556215238524601E-6</v>
      </c>
      <c r="AI32" s="2">
        <f t="shared" si="26"/>
        <v>2854.6561412513256</v>
      </c>
      <c r="AJ32" s="2">
        <v>1.2715786397166084E-5</v>
      </c>
      <c r="AK32" s="2">
        <f t="shared" si="17"/>
        <v>2854.6561244875193</v>
      </c>
      <c r="AL32" s="2">
        <v>4.0300819819094613E-6</v>
      </c>
      <c r="AM32" s="2">
        <f t="shared" si="18"/>
        <v>-1.8762536417867669E-11</v>
      </c>
      <c r="AN32" s="2">
        <f t="shared" si="19"/>
        <v>5.1245661645028462E-11</v>
      </c>
      <c r="AO32" s="2">
        <f t="shared" si="20"/>
        <v>3.3527612686157227E-5</v>
      </c>
      <c r="AQ32" s="64"/>
      <c r="AR32" s="3">
        <f>0.461163*($AR$9/2)</f>
        <v>0.702812412</v>
      </c>
      <c r="AS32" s="26" t="s">
        <v>8</v>
      </c>
      <c r="AY32" s="2" t="s">
        <v>158</v>
      </c>
      <c r="AZ32" s="2">
        <f>(1+$BH$75)*$AR$3</f>
        <v>23.059488617634354</v>
      </c>
      <c r="BA32" s="26" t="s">
        <v>10</v>
      </c>
      <c r="BC32" s="2" t="s">
        <v>158</v>
      </c>
      <c r="BD32" s="2">
        <f>(1+$BL$75)*$AR$3</f>
        <v>26.466902573056224</v>
      </c>
      <c r="BE32" s="26" t="s">
        <v>10</v>
      </c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5.1378628785673688E-2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4.9980157456665703E-2</v>
      </c>
      <c r="BM32" s="2"/>
      <c r="BO32" s="2">
        <v>28</v>
      </c>
      <c r="BP32" s="2">
        <f t="shared" si="21"/>
        <v>0.47176829976926171</v>
      </c>
      <c r="BQ32" s="2">
        <v>-6.9988695935996326E-8</v>
      </c>
      <c r="BR32" s="2">
        <f t="shared" si="22"/>
        <v>0.47176832060121515</v>
      </c>
      <c r="BS32" s="2">
        <v>5.3749283551729476E-8</v>
      </c>
      <c r="BT32" s="2">
        <f t="shared" si="7"/>
        <v>0.47176831018523846</v>
      </c>
      <c r="BU32" s="2">
        <v>-8.1197055745718671E-9</v>
      </c>
      <c r="BV32" s="2">
        <f t="shared" si="8"/>
        <v>5.6828760454852479E-16</v>
      </c>
      <c r="BW32" s="2">
        <f t="shared" si="9"/>
        <v>-4.3642835728422182E-16</v>
      </c>
      <c r="BX32" s="2">
        <f t="shared" si="10"/>
        <v>2.0831953440048068E-8</v>
      </c>
      <c r="BZ32" s="2">
        <v>28</v>
      </c>
      <c r="CA32" s="2">
        <f t="shared" si="23"/>
        <v>0.40126953202632415</v>
      </c>
      <c r="CB32" s="2">
        <v>-6.2801567113357493E-8</v>
      </c>
      <c r="CC32" s="2">
        <f t="shared" si="24"/>
        <v>0.40126955285827759</v>
      </c>
      <c r="CD32" s="2">
        <v>1.9852198676617583E-8</v>
      </c>
      <c r="CE32" s="2">
        <f t="shared" si="11"/>
        <v>0.40126954244230084</v>
      </c>
      <c r="CF32" s="2">
        <v>-2.1474683975508668E-8</v>
      </c>
      <c r="CG32" s="2">
        <f t="shared" si="12"/>
        <v>1.3486438069260503E-15</v>
      </c>
      <c r="CH32" s="2">
        <f t="shared" si="13"/>
        <v>-4.2631969279937399E-16</v>
      </c>
      <c r="CI32" s="2">
        <f t="shared" si="14"/>
        <v>2.0831953440048068E-8</v>
      </c>
    </row>
    <row r="33" spans="2:87" x14ac:dyDescent="0.2">
      <c r="B33" s="6" t="s">
        <v>288</v>
      </c>
      <c r="C33" s="17">
        <v>0</v>
      </c>
      <c r="D33" s="6" t="s">
        <v>61</v>
      </c>
      <c r="J33" s="46" t="s">
        <v>59</v>
      </c>
      <c r="K33" s="46"/>
      <c r="L33" s="46"/>
      <c r="U33" s="2">
        <v>29</v>
      </c>
      <c r="V33" s="2">
        <f t="shared" si="15"/>
        <v>0.95862451009452343</v>
      </c>
      <c r="W33" s="2">
        <f t="shared" si="0"/>
        <v>6.1186122835010792E-10</v>
      </c>
      <c r="X33" s="2">
        <f t="shared" si="16"/>
        <v>0.95862451195716858</v>
      </c>
      <c r="Y33" s="2">
        <f t="shared" si="1"/>
        <v>-1.3057036563068891E-9</v>
      </c>
      <c r="Z33" s="2">
        <f t="shared" si="3"/>
        <v>0.958624511025846</v>
      </c>
      <c r="AA33" s="2">
        <f t="shared" si="2"/>
        <v>-3.4692115846723937E-10</v>
      </c>
      <c r="AB33" s="2">
        <f t="shared" si="4"/>
        <v>-2.1226760616040752E-19</v>
      </c>
      <c r="AC33" s="2">
        <f t="shared" si="5"/>
        <v>4.5297622506089612E-19</v>
      </c>
      <c r="AD33" s="2">
        <f t="shared" si="6"/>
        <v>1.862645149230957E-9</v>
      </c>
      <c r="AF33" s="2">
        <v>29</v>
      </c>
      <c r="AG33" s="2">
        <f t="shared" si="25"/>
        <v>2854.6561077237129</v>
      </c>
      <c r="AH33" s="2">
        <v>-4.6556215238524601E-6</v>
      </c>
      <c r="AI33" s="2">
        <f t="shared" si="26"/>
        <v>2854.6561244875193</v>
      </c>
      <c r="AJ33" s="2">
        <v>4.0300819819094613E-6</v>
      </c>
      <c r="AK33" s="2">
        <f t="shared" si="17"/>
        <v>2854.6561161056161</v>
      </c>
      <c r="AL33" s="2">
        <v>-3.1276977097149938E-7</v>
      </c>
      <c r="AM33" s="2">
        <f t="shared" si="18"/>
        <v>1.4561376777453169E-12</v>
      </c>
      <c r="AN33" s="2">
        <f t="shared" si="19"/>
        <v>-1.2604878184781885E-12</v>
      </c>
      <c r="AO33" s="2">
        <f t="shared" si="20"/>
        <v>1.6763806343078613E-5</v>
      </c>
      <c r="AQ33" s="64"/>
      <c r="AR33" s="3">
        <f>0.443738*($AR$9/2)</f>
        <v>0.67625671200000004</v>
      </c>
      <c r="AS33" s="26" t="s">
        <v>8</v>
      </c>
      <c r="AY33" s="2" t="s">
        <v>163</v>
      </c>
      <c r="AZ33" s="2">
        <f>(1-$BH$76)*$AV$5*$AR$25</f>
        <v>85.708693228754413</v>
      </c>
      <c r="BA33" s="26" t="s">
        <v>10</v>
      </c>
      <c r="BC33" s="2" t="s">
        <v>163</v>
      </c>
      <c r="BD33" s="2">
        <f>(1-$BL$76)*$AV$5*$AR$26</f>
        <v>94.118773530726486</v>
      </c>
      <c r="BE33" s="26" t="s">
        <v>10</v>
      </c>
      <c r="BG33" s="2" t="s">
        <v>190</v>
      </c>
      <c r="BH33" s="2">
        <f xml:space="preserve"> BH31*COS(BH23) - BH32*SIN(BH23)</f>
        <v>0.95932084179642463</v>
      </c>
      <c r="BI33" s="2"/>
      <c r="BK33" s="2" t="s">
        <v>190</v>
      </c>
      <c r="BL33" s="2">
        <f xml:space="preserve"> BL31*COS(BL23) - BL32*SIN(BL23)</f>
        <v>1.0273960647754403</v>
      </c>
      <c r="BM33" s="2"/>
      <c r="BO33" s="2">
        <v>29</v>
      </c>
      <c r="BP33" s="2">
        <f t="shared" si="21"/>
        <v>0.47176831018523846</v>
      </c>
      <c r="BQ33" s="2">
        <v>-8.1197055745718671E-9</v>
      </c>
      <c r="BR33" s="2">
        <f t="shared" si="22"/>
        <v>0.47176832060121515</v>
      </c>
      <c r="BS33" s="2">
        <v>5.3749283551729476E-8</v>
      </c>
      <c r="BT33" s="2">
        <f t="shared" si="7"/>
        <v>0.47176831539322683</v>
      </c>
      <c r="BU33" s="2">
        <v>2.2814789293890136E-8</v>
      </c>
      <c r="BV33" s="2">
        <f t="shared" si="8"/>
        <v>-1.852493718122823E-16</v>
      </c>
      <c r="BW33" s="2">
        <f t="shared" si="9"/>
        <v>1.2262785789302629E-15</v>
      </c>
      <c r="BX33" s="2">
        <f t="shared" si="10"/>
        <v>1.0415976692268458E-8</v>
      </c>
      <c r="BZ33" s="2">
        <v>29</v>
      </c>
      <c r="CA33" s="2">
        <f t="shared" si="23"/>
        <v>0.40126954244230084</v>
      </c>
      <c r="CB33" s="2">
        <v>-2.1474683975508668E-8</v>
      </c>
      <c r="CC33" s="2">
        <f t="shared" si="24"/>
        <v>0.40126955285827759</v>
      </c>
      <c r="CD33" s="2">
        <v>1.9852198676617583E-8</v>
      </c>
      <c r="CE33" s="2">
        <f t="shared" si="11"/>
        <v>0.40126954765028922</v>
      </c>
      <c r="CF33" s="2">
        <v>-8.1124260087328537E-10</v>
      </c>
      <c r="CG33" s="2">
        <f t="shared" si="12"/>
        <v>1.7421178481223514E-17</v>
      </c>
      <c r="CH33" s="2">
        <f t="shared" si="13"/>
        <v>-1.6104949287472442E-17</v>
      </c>
      <c r="CI33" s="2">
        <f t="shared" si="14"/>
        <v>1.0415976747779609E-8</v>
      </c>
    </row>
    <row r="34" spans="2:87" x14ac:dyDescent="0.2">
      <c r="J34" s="6" t="s">
        <v>60</v>
      </c>
      <c r="K34" s="6">
        <f>ROUND($C$17/$C$5 * 100, 2)</f>
        <v>21.02</v>
      </c>
      <c r="L34" s="6" t="s">
        <v>61</v>
      </c>
      <c r="U34" s="2">
        <v>30</v>
      </c>
      <c r="V34" s="2">
        <f t="shared" si="15"/>
        <v>0.95862451009452343</v>
      </c>
      <c r="W34" s="2">
        <f t="shared" si="0"/>
        <v>6.1186122835010792E-10</v>
      </c>
      <c r="X34" s="2">
        <f t="shared" si="16"/>
        <v>0.958624511025846</v>
      </c>
      <c r="Y34" s="2">
        <f t="shared" si="1"/>
        <v>-3.4692115846723937E-10</v>
      </c>
      <c r="Z34" s="2">
        <f t="shared" si="3"/>
        <v>0.95862451056018472</v>
      </c>
      <c r="AA34" s="2">
        <f t="shared" si="2"/>
        <v>1.3247003494143428E-10</v>
      </c>
      <c r="AB34" s="2">
        <f t="shared" si="4"/>
        <v>8.1053278298847694E-20</v>
      </c>
      <c r="AC34" s="2">
        <f t="shared" si="5"/>
        <v>-4.5956657984078057E-20</v>
      </c>
      <c r="AD34" s="2">
        <f t="shared" si="6"/>
        <v>9.3132257461547852E-10</v>
      </c>
      <c r="AF34" s="2">
        <v>30</v>
      </c>
      <c r="AG34" s="2">
        <f t="shared" si="25"/>
        <v>2854.6561161056161</v>
      </c>
      <c r="AH34" s="2">
        <v>-3.1276977097149938E-7</v>
      </c>
      <c r="AI34" s="2">
        <f t="shared" si="26"/>
        <v>2854.6561244875193</v>
      </c>
      <c r="AJ34" s="2">
        <v>4.0300819819094613E-6</v>
      </c>
      <c r="AK34" s="2">
        <f t="shared" si="17"/>
        <v>2854.6561202965677</v>
      </c>
      <c r="AL34" s="2">
        <v>1.8586565602163319E-6</v>
      </c>
      <c r="AM34" s="2">
        <f t="shared" si="18"/>
        <v>-5.8133158665353697E-13</v>
      </c>
      <c r="AN34" s="2">
        <f t="shared" si="19"/>
        <v>7.4905383138856567E-12</v>
      </c>
      <c r="AO34" s="2">
        <f t="shared" si="20"/>
        <v>8.3819031715393066E-6</v>
      </c>
      <c r="AQ34" s="64"/>
      <c r="AR34" s="3">
        <f>0.426313*($AR$9/2)</f>
        <v>0.64970101199999997</v>
      </c>
      <c r="AS34" s="26" t="s">
        <v>8</v>
      </c>
      <c r="AY34" s="2" t="s">
        <v>167</v>
      </c>
      <c r="AZ34" s="2">
        <f>SQRT(AZ32^2 + AZ33^2)</f>
        <v>88.756521508492781</v>
      </c>
      <c r="BA34" s="26" t="s">
        <v>10</v>
      </c>
      <c r="BC34" s="2" t="s">
        <v>167</v>
      </c>
      <c r="BD34" s="2">
        <f>SQRT(BD32^2 + BD33^2)</f>
        <v>97.769322707789243</v>
      </c>
      <c r="BE34" s="26" t="s">
        <v>10</v>
      </c>
      <c r="BG34" s="2" t="s">
        <v>192</v>
      </c>
      <c r="BH34" s="2">
        <f xml:space="preserve"> BH31*SIN(BH23) + BH32*COS(BH23)</f>
        <v>0.40923008070387279</v>
      </c>
      <c r="BI34" s="2"/>
      <c r="BK34" s="2" t="s">
        <v>192</v>
      </c>
      <c r="BL34" s="2">
        <f xml:space="preserve"> BL31*SIN(BL23) + BL32*COS(BL23)</f>
        <v>0.3913408024997983</v>
      </c>
      <c r="BM34" s="2"/>
      <c r="BO34" s="2">
        <v>30</v>
      </c>
      <c r="BP34" s="2">
        <f t="shared" si="21"/>
        <v>0.47176831018523846</v>
      </c>
      <c r="BQ34" s="2">
        <v>-8.1197055745718671E-9</v>
      </c>
      <c r="BR34" s="2">
        <f t="shared" si="22"/>
        <v>0.47176831539322683</v>
      </c>
      <c r="BS34" s="2">
        <v>2.2814789293890136E-8</v>
      </c>
      <c r="BT34" s="5">
        <f t="shared" si="7"/>
        <v>0.47176831278923265</v>
      </c>
      <c r="BU34" s="2">
        <v>7.3475419914981188E-9</v>
      </c>
      <c r="BV34" s="2">
        <f t="shared" si="8"/>
        <v>-5.9659877667768148E-17</v>
      </c>
      <c r="BW34" s="2">
        <f t="shared" si="9"/>
        <v>1.676326223640395E-16</v>
      </c>
      <c r="BX34" s="2">
        <f t="shared" si="10"/>
        <v>5.2079883738898047E-9</v>
      </c>
      <c r="BZ34" s="2">
        <v>30</v>
      </c>
      <c r="CA34" s="2">
        <f t="shared" si="23"/>
        <v>0.40126954765028922</v>
      </c>
      <c r="CB34" s="2">
        <v>-8.1124260087328537E-10</v>
      </c>
      <c r="CC34" s="2">
        <f t="shared" si="24"/>
        <v>0.40126955285827759</v>
      </c>
      <c r="CD34" s="2">
        <v>1.9852198676617583E-8</v>
      </c>
      <c r="CE34" s="5">
        <f t="shared" si="11"/>
        <v>0.4012695502542834</v>
      </c>
      <c r="CF34" s="2">
        <v>9.5204781003221939E-9</v>
      </c>
      <c r="CG34" s="2">
        <f t="shared" si="12"/>
        <v>-7.7234174156625324E-18</v>
      </c>
      <c r="CH34" s="2">
        <f t="shared" si="13"/>
        <v>1.8900242274398294E-16</v>
      </c>
      <c r="CI34" s="2">
        <f t="shared" si="14"/>
        <v>5.2079883738898047E-9</v>
      </c>
    </row>
    <row r="35" spans="2:87" x14ac:dyDescent="0.2">
      <c r="B35" s="59" t="s">
        <v>107</v>
      </c>
      <c r="C35" s="59"/>
      <c r="D35" s="59"/>
      <c r="J35" s="11" t="s">
        <v>55</v>
      </c>
      <c r="K35" s="6">
        <f>ROUND(K15/$C$5 * 100, 2)</f>
        <v>29.92</v>
      </c>
      <c r="L35" s="6" t="s">
        <v>61</v>
      </c>
      <c r="AF35" s="2">
        <v>31</v>
      </c>
      <c r="AG35" s="2">
        <f t="shared" si="25"/>
        <v>2854.6561161056161</v>
      </c>
      <c r="AH35" s="2">
        <v>-3.1276977097149938E-7</v>
      </c>
      <c r="AI35" s="2">
        <f t="shared" si="26"/>
        <v>2854.6561202965677</v>
      </c>
      <c r="AJ35" s="2">
        <v>1.8586565602163319E-6</v>
      </c>
      <c r="AK35" s="2">
        <f t="shared" si="17"/>
        <v>2854.6561182010919</v>
      </c>
      <c r="AL35" s="2">
        <v>7.7294362199609168E-7</v>
      </c>
      <c r="AM35" s="2">
        <f t="shared" si="18"/>
        <v>-2.4175339962559879E-13</v>
      </c>
      <c r="AN35" s="2">
        <f t="shared" si="19"/>
        <v>1.4366367337004084E-12</v>
      </c>
      <c r="AO35" s="2">
        <f t="shared" si="20"/>
        <v>4.1909515857696533E-6</v>
      </c>
      <c r="AQ35" s="64" t="s">
        <v>223</v>
      </c>
      <c r="AR35" s="3">
        <v>7.359375</v>
      </c>
      <c r="AS35" s="26" t="s">
        <v>43</v>
      </c>
      <c r="AY35" s="2" t="s">
        <v>170</v>
      </c>
      <c r="AZ35" s="37">
        <f>$AR$45*AZ34*$AR$27/$AR$46</f>
        <v>4441158.4210132323</v>
      </c>
      <c r="BA35" s="26"/>
      <c r="BC35" s="2" t="s">
        <v>170</v>
      </c>
      <c r="BD35" s="37">
        <f>$AR$45*BD34*$AR$27/$AR$46</f>
        <v>4892136.864770107</v>
      </c>
      <c r="BE35" s="26"/>
      <c r="BG35" s="2" t="s">
        <v>38</v>
      </c>
      <c r="BH35" s="2">
        <f xml:space="preserve"> 4*BH30*SIN(BH23)*SIN(BH23) / (BH27*BH33)</f>
        <v>1.1862857803022708</v>
      </c>
      <c r="BI35" s="2"/>
      <c r="BK35" s="2" t="s">
        <v>38</v>
      </c>
      <c r="BL35" s="2">
        <f xml:space="preserve"> 4*BL30*SIN(BL23)*SIN(BL23) / (BL27*BL33)</f>
        <v>1.1648393740985534</v>
      </c>
      <c r="BM35" s="2"/>
      <c r="BO35" s="2"/>
      <c r="BP35" s="2"/>
      <c r="BQ35" s="2"/>
      <c r="BR35" s="2"/>
      <c r="BS35" s="2"/>
      <c r="BT35" s="2"/>
      <c r="BU35" s="2"/>
      <c r="BV35" s="2"/>
      <c r="BW35" s="2"/>
      <c r="BX35" s="2"/>
    </row>
    <row r="36" spans="2:87" x14ac:dyDescent="0.2">
      <c r="B36" s="6" t="s">
        <v>108</v>
      </c>
      <c r="C36" s="17">
        <v>6</v>
      </c>
      <c r="J36" s="19" t="s">
        <v>81</v>
      </c>
      <c r="K36" s="6">
        <f>ROUND(SUM(K16:K19)/$C$5 * 100, 2)</f>
        <v>15.84</v>
      </c>
      <c r="L36" s="6" t="s">
        <v>61</v>
      </c>
      <c r="AF36" s="2">
        <v>32</v>
      </c>
      <c r="AG36" s="2">
        <f t="shared" si="25"/>
        <v>2854.6561161056161</v>
      </c>
      <c r="AH36" s="2">
        <v>-3.1276977097149938E-7</v>
      </c>
      <c r="AI36" s="2">
        <f t="shared" si="26"/>
        <v>2854.6561182010919</v>
      </c>
      <c r="AJ36" s="2">
        <v>7.7294362199609168E-7</v>
      </c>
      <c r="AK36" s="2">
        <f t="shared" si="17"/>
        <v>2854.656117153354</v>
      </c>
      <c r="AL36" s="2">
        <v>2.3008578864391893E-7</v>
      </c>
      <c r="AM36" s="2">
        <f t="shared" si="18"/>
        <v>-7.1963879417955338E-14</v>
      </c>
      <c r="AN36" s="2">
        <f t="shared" si="19"/>
        <v>1.7784334284425792E-13</v>
      </c>
      <c r="AO36" s="2">
        <f t="shared" si="20"/>
        <v>2.0954757928848267E-6</v>
      </c>
      <c r="AQ36" s="64"/>
      <c r="AR36" s="3">
        <v>5.8781249999999998</v>
      </c>
      <c r="AS36" s="26" t="s">
        <v>43</v>
      </c>
      <c r="AY36" s="2" t="s">
        <v>174</v>
      </c>
      <c r="AZ36" s="2">
        <f xml:space="preserve"> $BH$65 * PI() * $AR$45 * AZ34^2 * $BH$71 * $AR$25 * AZ31</f>
        <v>766.67343933637392</v>
      </c>
      <c r="BA36" s="26" t="s">
        <v>22</v>
      </c>
      <c r="BC36" s="2" t="s">
        <v>174</v>
      </c>
      <c r="BD36" s="2">
        <f xml:space="preserve"> $BL$65 * PI() * $AR$45 * BD34^2 * $BL$71 * $AR$26 * BD31</f>
        <v>664.24495981818836</v>
      </c>
      <c r="BE36" s="26" t="s">
        <v>22</v>
      </c>
      <c r="BG36" s="2" t="s">
        <v>194</v>
      </c>
      <c r="BH36" s="2">
        <f xml:space="preserve"> 4*BH30*SIN(BH23)*COS(BH23) / (BH27*BH34)</f>
        <v>7.5263878508100355</v>
      </c>
      <c r="BI36" s="2"/>
      <c r="BK36" s="2" t="s">
        <v>194</v>
      </c>
      <c r="BL36" s="2">
        <f xml:space="preserve"> 4*BL30*SIN(BL23)*COS(BL23) / (BL27*BL34)</f>
        <v>9.275832724813359</v>
      </c>
      <c r="BM36" s="2"/>
      <c r="BO36" s="61" t="s">
        <v>207</v>
      </c>
      <c r="BP36" s="61"/>
      <c r="BQ36" s="61"/>
      <c r="BR36" s="61"/>
      <c r="BS36" s="61"/>
      <c r="BT36" s="61"/>
      <c r="BU36" s="61"/>
      <c r="BV36" s="61"/>
      <c r="BW36" s="61"/>
      <c r="BX36" s="61"/>
      <c r="BZ36" s="61" t="s">
        <v>208</v>
      </c>
      <c r="CA36" s="61"/>
      <c r="CB36" s="61"/>
      <c r="CC36" s="61"/>
      <c r="CD36" s="61"/>
      <c r="CE36" s="61"/>
      <c r="CF36" s="61"/>
      <c r="CG36" s="61"/>
      <c r="CH36" s="61"/>
      <c r="CI36" s="61"/>
    </row>
    <row r="37" spans="2:87" x14ac:dyDescent="0.2">
      <c r="B37" s="6" t="s">
        <v>109</v>
      </c>
      <c r="C37" s="17">
        <v>9.1440000000000001</v>
      </c>
      <c r="D37" s="6" t="s">
        <v>8</v>
      </c>
      <c r="J37" s="20" t="s">
        <v>72</v>
      </c>
      <c r="K37" s="6">
        <f>ROUND(SUM(K20:K25)/$C$5 * 100, 2)</f>
        <v>28.32</v>
      </c>
      <c r="L37" s="6" t="s">
        <v>61</v>
      </c>
      <c r="AF37" s="2">
        <v>33</v>
      </c>
      <c r="AG37" s="2">
        <f t="shared" si="25"/>
        <v>2854.6561161056161</v>
      </c>
      <c r="AH37" s="2">
        <v>-3.1276977097149938E-7</v>
      </c>
      <c r="AI37" s="2">
        <f t="shared" si="26"/>
        <v>2854.656117153354</v>
      </c>
      <c r="AJ37" s="2">
        <v>2.3008578864391893E-7</v>
      </c>
      <c r="AK37" s="2">
        <f t="shared" si="17"/>
        <v>2854.656116629485</v>
      </c>
      <c r="AL37" s="2">
        <v>-4.134153641643934E-8</v>
      </c>
      <c r="AM37" s="2">
        <f t="shared" si="18"/>
        <v>1.2930382876579634E-14</v>
      </c>
      <c r="AN37" s="2">
        <f t="shared" si="19"/>
        <v>-9.5121000101277395E-15</v>
      </c>
      <c r="AO37" s="2">
        <f t="shared" si="20"/>
        <v>1.0477378964424133E-6</v>
      </c>
      <c r="AQ37" s="64"/>
      <c r="AR37" s="3">
        <v>4.3968749999999996</v>
      </c>
      <c r="AS37" s="26" t="s">
        <v>43</v>
      </c>
      <c r="AY37" s="2" t="s">
        <v>178</v>
      </c>
      <c r="AZ37" s="2">
        <f xml:space="preserve"> $BH$65 * PI() * $AR$45 * AZ34^2 * $BH$72 * $AR$25^2 * AZ31</f>
        <v>327.97417762817321</v>
      </c>
      <c r="BA37" s="26" t="s">
        <v>179</v>
      </c>
      <c r="BC37" s="2" t="s">
        <v>178</v>
      </c>
      <c r="BD37" s="2">
        <f xml:space="preserve"> $BL$65 * PI() * $AR$45 * BD34^2 * $BL$72 * $AR$26^2 * BD31</f>
        <v>364.81011974267449</v>
      </c>
      <c r="BE37" s="26" t="s">
        <v>179</v>
      </c>
      <c r="BG37" s="2" t="s">
        <v>45</v>
      </c>
      <c r="BH37" s="2">
        <f>1/(BH35-1)</f>
        <v>5.3680962571452371</v>
      </c>
      <c r="BI37" s="2"/>
      <c r="BK37" s="2" t="s">
        <v>45</v>
      </c>
      <c r="BL37" s="2">
        <f>1/(BL35-1)</f>
        <v>6.0665117510220856</v>
      </c>
      <c r="BM37" s="2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B38" s="6" t="s">
        <v>110</v>
      </c>
      <c r="C38" s="17">
        <v>1.8675309360000001</v>
      </c>
      <c r="D38" s="6" t="s">
        <v>8</v>
      </c>
      <c r="J38" s="15" t="s">
        <v>73</v>
      </c>
      <c r="K38" s="6">
        <f>ROUND(SUM(K26:K29)/$C$5*100, 2)</f>
        <v>4.8899999999999997</v>
      </c>
      <c r="L38" s="6" t="s">
        <v>61</v>
      </c>
      <c r="AF38" s="2">
        <v>34</v>
      </c>
      <c r="AG38" s="2">
        <f t="shared" si="25"/>
        <v>2854.656116629485</v>
      </c>
      <c r="AH38" s="2">
        <v>-4.134153641643934E-8</v>
      </c>
      <c r="AI38" s="2">
        <f t="shared" si="26"/>
        <v>2854.656117153354</v>
      </c>
      <c r="AJ38" s="2">
        <v>2.3008578864391893E-7</v>
      </c>
      <c r="AK38" s="2">
        <f t="shared" si="17"/>
        <v>2854.6561168914195</v>
      </c>
      <c r="AL38" s="2">
        <v>9.4372353487415239E-8</v>
      </c>
      <c r="AM38" s="2">
        <f t="shared" si="18"/>
        <v>-3.9014980884050632E-15</v>
      </c>
      <c r="AN38" s="2">
        <f t="shared" si="19"/>
        <v>2.1713737378334628E-14</v>
      </c>
      <c r="AO38" s="2">
        <f t="shared" si="20"/>
        <v>5.2386894822120667E-7</v>
      </c>
      <c r="AQ38" s="64"/>
      <c r="AR38" s="3">
        <v>2.9156249999999999</v>
      </c>
      <c r="AS38" s="26" t="s">
        <v>43</v>
      </c>
      <c r="BG38" s="2" t="s">
        <v>197</v>
      </c>
      <c r="BH38" s="2">
        <f>1/(BH36+1)</f>
        <v>0.11728295938414257</v>
      </c>
      <c r="BI38" s="2"/>
      <c r="BK38" s="2" t="s">
        <v>197</v>
      </c>
      <c r="BL38" s="2">
        <f>1/(BL36+1)</f>
        <v>9.7315714140156273E-2</v>
      </c>
      <c r="BM38" s="2"/>
      <c r="BO38" s="30">
        <v>0</v>
      </c>
      <c r="BP38" s="30"/>
      <c r="BQ38" s="30">
        <f>$BH$39</f>
        <v>-8.4787894621962678E-9</v>
      </c>
      <c r="BR38" s="30"/>
      <c r="BS38" s="30">
        <f>$BH$39</f>
        <v>-8.4787894621962678E-9</v>
      </c>
      <c r="BT38" s="30"/>
      <c r="BU38" s="30">
        <f>$BH$39</f>
        <v>-8.4787894621962678E-9</v>
      </c>
      <c r="BV38" s="30"/>
      <c r="BW38" s="30"/>
      <c r="BX38" s="30"/>
      <c r="BZ38" s="30">
        <v>0</v>
      </c>
      <c r="CA38" s="30"/>
      <c r="CB38" s="30">
        <f>$BL$39</f>
        <v>6.3316001400193223E-9</v>
      </c>
      <c r="CC38" s="30"/>
      <c r="CD38" s="30">
        <f>$BL$39</f>
        <v>6.3316001400193223E-9</v>
      </c>
      <c r="CE38" s="30"/>
      <c r="CF38" s="30">
        <f>$BL$39</f>
        <v>6.3316001400193223E-9</v>
      </c>
      <c r="CG38" s="30"/>
      <c r="CH38" s="30"/>
      <c r="CI38" s="30"/>
    </row>
    <row r="39" spans="2:87" x14ac:dyDescent="0.2">
      <c r="J39" s="10" t="s">
        <v>62</v>
      </c>
      <c r="K39" s="10">
        <f>SUM(K34:K38)</f>
        <v>99.99</v>
      </c>
      <c r="L39" s="10" t="s">
        <v>61</v>
      </c>
      <c r="AF39" s="2">
        <v>35</v>
      </c>
      <c r="AG39" s="2">
        <f t="shared" si="25"/>
        <v>2854.656116629485</v>
      </c>
      <c r="AH39" s="2">
        <v>-4.134153641643934E-8</v>
      </c>
      <c r="AI39" s="2">
        <f t="shared" si="26"/>
        <v>2854.6561168914195</v>
      </c>
      <c r="AJ39" s="2">
        <v>9.4372353487415239E-8</v>
      </c>
      <c r="AK39" s="2">
        <f t="shared" si="17"/>
        <v>2854.6561167604523</v>
      </c>
      <c r="AL39" s="2">
        <v>2.6515863282838836E-8</v>
      </c>
      <c r="AM39" s="2">
        <f t="shared" si="18"/>
        <v>-1.0962065275208085E-15</v>
      </c>
      <c r="AN39" s="2">
        <f t="shared" si="19"/>
        <v>2.5023644227520413E-15</v>
      </c>
      <c r="AO39" s="2">
        <f t="shared" si="20"/>
        <v>2.6193447411060333E-7</v>
      </c>
      <c r="AQ39" s="64"/>
      <c r="AR39" s="3">
        <v>1.434375</v>
      </c>
      <c r="AS39" s="26" t="s">
        <v>43</v>
      </c>
      <c r="BG39" s="7" t="s">
        <v>199</v>
      </c>
      <c r="BH39" s="40">
        <f>SIN(BH23)/(1+BH37) - $AR$3*COS(BH23)/($AV$5*$AR$21*(1-BH38))</f>
        <v>-8.4787894621962678E-9</v>
      </c>
      <c r="BI39" s="40"/>
      <c r="BK39" s="7" t="s">
        <v>199</v>
      </c>
      <c r="BL39" s="40">
        <f>SIN(BL23)/(1+BL37) - $AR$3*COS(BL23)/($AV$5*$AR$22*(1-BL38))</f>
        <v>6.3316001400193223E-9</v>
      </c>
      <c r="BM39" s="40"/>
      <c r="BO39" s="2">
        <v>1</v>
      </c>
      <c r="BP39" s="3">
        <f>0.01*PI()</f>
        <v>3.1415926535897934E-2</v>
      </c>
      <c r="BQ39" s="2">
        <f t="dataTable" ref="BQ39:BQ68" dt2D="0" dtr="0" r1="BH23"/>
        <v>-3.3866240629258395</v>
      </c>
      <c r="BR39" s="3">
        <f>0.9*PI()</f>
        <v>2.8274333882308138</v>
      </c>
      <c r="BS39" s="2">
        <f t="dataTable" ref="BS39:BS68" dt2D="0" dtr="0" r1="BH23" ca="1"/>
        <v>0.5734266260696993</v>
      </c>
      <c r="BT39" s="2">
        <f t="shared" ref="BT39:BT68" si="27">(BP39+BR39)/2</f>
        <v>1.4294246573833558</v>
      </c>
      <c r="BU39" s="2">
        <f t="dataTable" ref="BU39:BU68" dt2D="0" dtr="0" r1="BH23" ca="1"/>
        <v>1.1398512844706019</v>
      </c>
      <c r="BV39" s="2">
        <f t="shared" ref="BV39:BV68" si="28">BQ39*BU39</f>
        <v>-3.8602477881450667</v>
      </c>
      <c r="BW39" s="2">
        <f t="shared" ref="BW39:BW68" si="29">BS39*BU39</f>
        <v>0.65362107627519028</v>
      </c>
      <c r="BX39" s="2">
        <f t="shared" ref="BX39:BX68" si="30">BR39-BP39</f>
        <v>2.7960174616949161</v>
      </c>
      <c r="BZ39" s="2">
        <v>1</v>
      </c>
      <c r="CA39" s="3">
        <f>0.01*PI()</f>
        <v>3.1415926535897934E-2</v>
      </c>
      <c r="CB39" s="2">
        <f t="dataTable" ref="CB39:CB68" dt2D="0" dtr="0" r1="BL23"/>
        <v>-2.7521001566134062</v>
      </c>
      <c r="CC39" s="3">
        <f>0.9*PI()</f>
        <v>2.8274333882308138</v>
      </c>
      <c r="CD39" s="2">
        <f t="dataTable" ref="CD39:CD68" dt2D="0" dtr="0" r1="BL23" ca="1"/>
        <v>0.52096812288936345</v>
      </c>
      <c r="CE39" s="2">
        <f t="shared" ref="CE39:CE68" si="31">(CA39+CC39)/2</f>
        <v>1.4294246573833558</v>
      </c>
      <c r="CF39" s="2">
        <f t="dataTable" ref="CF39:CF68" dt2D="0" dtr="0" r1="BL23" ca="1"/>
        <v>1.121785486335827</v>
      </c>
      <c r="CG39" s="2">
        <f t="shared" ref="CG39:CG68" si="32">CB39*CF39</f>
        <v>-3.0872660126314755</v>
      </c>
      <c r="CH39" s="2">
        <f t="shared" ref="CH39:CH68" si="33">CD39*CF39</f>
        <v>0.58441447910090749</v>
      </c>
      <c r="CI39" s="2">
        <f t="shared" ref="CI39:CI68" si="34">CC39-CA39</f>
        <v>2.7960174616949161</v>
      </c>
    </row>
    <row r="40" spans="2:87" x14ac:dyDescent="0.2">
      <c r="B40" s="59" t="s">
        <v>111</v>
      </c>
      <c r="C40" s="59"/>
      <c r="D40" s="59"/>
      <c r="AF40" s="2">
        <v>36</v>
      </c>
      <c r="AG40" s="2">
        <f t="shared" si="25"/>
        <v>2854.656116629485</v>
      </c>
      <c r="AH40" s="2">
        <v>-4.134153641643934E-8</v>
      </c>
      <c r="AI40" s="2">
        <f t="shared" si="26"/>
        <v>2854.6561167604523</v>
      </c>
      <c r="AJ40" s="2">
        <v>2.6515863282838836E-8</v>
      </c>
      <c r="AK40" s="2">
        <f t="shared" si="17"/>
        <v>2854.6561166949687</v>
      </c>
      <c r="AL40" s="2">
        <v>-7.4128365668002516E-9</v>
      </c>
      <c r="AM40" s="2">
        <f t="shared" si="18"/>
        <v>3.0645805287548577E-16</v>
      </c>
      <c r="AN40" s="2">
        <f t="shared" si="19"/>
        <v>-1.9655776094330389E-16</v>
      </c>
      <c r="AO40" s="2">
        <f t="shared" si="20"/>
        <v>1.3096723705530167E-7</v>
      </c>
      <c r="AQ40" s="64"/>
      <c r="AR40" s="3">
        <v>-4.6875E-2</v>
      </c>
      <c r="AS40" s="26" t="s">
        <v>43</v>
      </c>
      <c r="BO40" s="2">
        <v>2</v>
      </c>
      <c r="BP40" s="2">
        <f t="shared" ref="BP40:BP68" si="35">IF(BV39&gt;0,BT39,BP39)</f>
        <v>3.1415926535897934E-2</v>
      </c>
      <c r="BQ40" s="2">
        <v>-3.3866240629258395</v>
      </c>
      <c r="BR40" s="2">
        <f t="shared" ref="BR40:BR68" si="36">IF(BW39&gt;0,BT39,BR39)</f>
        <v>1.4294246573833558</v>
      </c>
      <c r="BS40" s="2">
        <v>1.1398512844706019</v>
      </c>
      <c r="BT40" s="2">
        <f t="shared" si="27"/>
        <v>0.73042029195962688</v>
      </c>
      <c r="BU40" s="2">
        <v>0.81799762585474101</v>
      </c>
      <c r="BV40" s="2">
        <f t="shared" si="28"/>
        <v>-2.7702504431358737</v>
      </c>
      <c r="BW40" s="2">
        <f t="shared" si="29"/>
        <v>0.93239564452442936</v>
      </c>
      <c r="BX40" s="2">
        <f t="shared" si="30"/>
        <v>1.3980087308474578</v>
      </c>
      <c r="BZ40" s="2">
        <v>2</v>
      </c>
      <c r="CA40" s="2">
        <f t="shared" ref="CA40:CA68" si="37">IF(CG39&gt;0,CE39,CA39)</f>
        <v>3.1415926535897934E-2</v>
      </c>
      <c r="CB40" s="2">
        <v>-2.7521001566134062</v>
      </c>
      <c r="CC40" s="2">
        <f t="shared" ref="CC40:CC68" si="38">IF(CH39&gt;0,CE39,CC39)</f>
        <v>1.4294246573833558</v>
      </c>
      <c r="CD40" s="2">
        <v>1.121785486335827</v>
      </c>
      <c r="CE40" s="2">
        <f t="shared" si="31"/>
        <v>0.73042029195962688</v>
      </c>
      <c r="CF40" s="2">
        <v>0.78613286931947157</v>
      </c>
      <c r="CG40" s="2">
        <f t="shared" si="32"/>
        <v>-2.1635163927730643</v>
      </c>
      <c r="CH40" s="2">
        <f t="shared" si="33"/>
        <v>0.8818724431341225</v>
      </c>
      <c r="CI40" s="2">
        <f t="shared" si="34"/>
        <v>1.3980087308474578</v>
      </c>
    </row>
    <row r="41" spans="2:87" x14ac:dyDescent="0.2">
      <c r="B41" s="6" t="s">
        <v>124</v>
      </c>
      <c r="C41" s="22" t="s">
        <v>125</v>
      </c>
      <c r="J41" s="59" t="s">
        <v>116</v>
      </c>
      <c r="K41" s="59"/>
      <c r="L41" s="59"/>
      <c r="AF41" s="2">
        <v>37</v>
      </c>
      <c r="AG41" s="2">
        <f t="shared" si="25"/>
        <v>2854.6561166949687</v>
      </c>
      <c r="AH41" s="2">
        <v>-7.4128365668002516E-9</v>
      </c>
      <c r="AI41" s="2">
        <f t="shared" si="26"/>
        <v>2854.6561167604523</v>
      </c>
      <c r="AJ41" s="2">
        <v>2.6515863282838836E-8</v>
      </c>
      <c r="AK41" s="2">
        <f t="shared" si="17"/>
        <v>2854.6561167277105</v>
      </c>
      <c r="AL41" s="2">
        <v>9.5519681053701788E-9</v>
      </c>
      <c r="AM41" s="2">
        <f t="shared" si="18"/>
        <v>-7.080717845639778E-17</v>
      </c>
      <c r="AN41" s="2">
        <f t="shared" si="19"/>
        <v>2.5327868036403277E-16</v>
      </c>
      <c r="AO41" s="2">
        <f t="shared" si="20"/>
        <v>6.5483618527650833E-8</v>
      </c>
      <c r="AQ41" s="64"/>
      <c r="AR41" s="3">
        <v>-1.528125</v>
      </c>
      <c r="AS41" s="26" t="s">
        <v>43</v>
      </c>
      <c r="AU41" s="23" t="s">
        <v>143</v>
      </c>
      <c r="AV41" s="66" t="s">
        <v>218</v>
      </c>
      <c r="AW41" s="66"/>
      <c r="AX41" s="24"/>
      <c r="AY41" s="24"/>
      <c r="AZ41" s="24"/>
      <c r="BA41" s="24"/>
      <c r="BB41" s="24"/>
      <c r="BC41" s="24"/>
      <c r="BD41" s="24"/>
      <c r="BE41" s="25"/>
      <c r="BG41" s="62" t="s">
        <v>200</v>
      </c>
      <c r="BH41" s="62"/>
      <c r="BI41" s="62"/>
      <c r="BJ41" s="2"/>
      <c r="BK41" s="62" t="s">
        <v>201</v>
      </c>
      <c r="BL41" s="62"/>
      <c r="BM41" s="62"/>
      <c r="BO41" s="2">
        <v>3</v>
      </c>
      <c r="BP41" s="2">
        <f t="shared" si="35"/>
        <v>3.1415926535897934E-2</v>
      </c>
      <c r="BQ41" s="2">
        <v>-3.3866240629258395</v>
      </c>
      <c r="BR41" s="2">
        <f t="shared" si="36"/>
        <v>0.73042029195962688</v>
      </c>
      <c r="BS41" s="2">
        <v>0.81799762585474101</v>
      </c>
      <c r="BT41" s="2">
        <f t="shared" si="27"/>
        <v>0.38091810924776243</v>
      </c>
      <c r="BU41" s="2">
        <v>8.8852235625026255E-2</v>
      </c>
      <c r="BV41" s="2">
        <f t="shared" si="28"/>
        <v>-0.30090911921247043</v>
      </c>
      <c r="BW41" s="2">
        <f t="shared" si="29"/>
        <v>7.268091779315751E-2</v>
      </c>
      <c r="BX41" s="2">
        <f t="shared" si="30"/>
        <v>0.6990043654237289</v>
      </c>
      <c r="BZ41" s="2">
        <v>3</v>
      </c>
      <c r="CA41" s="2">
        <f t="shared" si="37"/>
        <v>3.1415926535897934E-2</v>
      </c>
      <c r="CB41" s="2">
        <v>-2.7521001566134062</v>
      </c>
      <c r="CC41" s="2">
        <f t="shared" si="38"/>
        <v>0.73042029195962688</v>
      </c>
      <c r="CD41" s="2">
        <v>0.78613286931947157</v>
      </c>
      <c r="CE41" s="2">
        <f t="shared" si="31"/>
        <v>0.38091810924776243</v>
      </c>
      <c r="CF41" s="2">
        <v>0.18151173205422474</v>
      </c>
      <c r="CG41" s="2">
        <f t="shared" si="32"/>
        <v>-0.49953846621360254</v>
      </c>
      <c r="CH41" s="2">
        <f t="shared" si="33"/>
        <v>0.14269233873493481</v>
      </c>
      <c r="CI41" s="2">
        <f t="shared" si="34"/>
        <v>0.6990043654237289</v>
      </c>
    </row>
    <row r="42" spans="2:87" x14ac:dyDescent="0.2">
      <c r="B42" s="6" t="s">
        <v>126</v>
      </c>
      <c r="C42" s="6">
        <f>IF(C41="wheeled",0.0325,0.014)</f>
        <v>3.2500000000000001E-2</v>
      </c>
      <c r="J42" s="6" t="s">
        <v>60</v>
      </c>
      <c r="K42" s="6">
        <f>ROUND(C17,2)</f>
        <v>600</v>
      </c>
      <c r="L42" s="6" t="s">
        <v>7</v>
      </c>
      <c r="AF42" s="2">
        <v>38</v>
      </c>
      <c r="AG42" s="2">
        <f t="shared" si="25"/>
        <v>2854.6561166949687</v>
      </c>
      <c r="AH42" s="2">
        <v>-7.4128365668002516E-9</v>
      </c>
      <c r="AI42" s="2">
        <f t="shared" si="26"/>
        <v>2854.6561167277105</v>
      </c>
      <c r="AJ42" s="2">
        <v>9.5519681053701788E-9</v>
      </c>
      <c r="AK42" s="2">
        <f t="shared" si="17"/>
        <v>2854.6561167113396</v>
      </c>
      <c r="AL42" s="2">
        <v>1.0691110219340771E-9</v>
      </c>
      <c r="AM42" s="2">
        <f t="shared" si="18"/>
        <v>-7.9251452773621129E-18</v>
      </c>
      <c r="AN42" s="2">
        <f t="shared" si="19"/>
        <v>1.0212114382614023E-17</v>
      </c>
      <c r="AO42" s="2">
        <f t="shared" si="20"/>
        <v>3.2741809263825417E-8</v>
      </c>
      <c r="AQ42" s="64"/>
      <c r="AR42" s="3">
        <v>-3.0093749999999999</v>
      </c>
      <c r="AS42" s="26" t="s">
        <v>43</v>
      </c>
      <c r="AU42" s="27"/>
      <c r="AV42" s="63" t="s">
        <v>148</v>
      </c>
      <c r="AW42" s="63"/>
      <c r="AX42" s="63"/>
      <c r="AY42" s="63" t="s">
        <v>149</v>
      </c>
      <c r="AZ42" s="63"/>
      <c r="BA42" s="63"/>
      <c r="BB42" s="63"/>
      <c r="BC42" s="63" t="s">
        <v>150</v>
      </c>
      <c r="BD42" s="63"/>
      <c r="BE42" s="65"/>
      <c r="BG42" s="28" t="s">
        <v>154</v>
      </c>
      <c r="BH42" s="29">
        <f>BT102</f>
        <v>0.29161523029662934</v>
      </c>
      <c r="BI42" s="5" t="s">
        <v>155</v>
      </c>
      <c r="BJ42" s="2"/>
      <c r="BK42" s="28" t="s">
        <v>154</v>
      </c>
      <c r="BL42" s="29">
        <f>CE102</f>
        <v>0.27251709950145214</v>
      </c>
      <c r="BM42" s="5" t="s">
        <v>155</v>
      </c>
      <c r="BO42" s="2">
        <v>4</v>
      </c>
      <c r="BP42" s="2">
        <f t="shared" si="35"/>
        <v>3.1415926535897934E-2</v>
      </c>
      <c r="BQ42" s="2">
        <v>-3.3866240629258395</v>
      </c>
      <c r="BR42" s="2">
        <f t="shared" si="36"/>
        <v>0.38091810924776243</v>
      </c>
      <c r="BS42" s="2">
        <v>8.8852235625026255E-2</v>
      </c>
      <c r="BT42" s="2">
        <f t="shared" si="27"/>
        <v>0.20616701789183017</v>
      </c>
      <c r="BU42" s="2">
        <v>-0.54981950657525569</v>
      </c>
      <c r="BV42" s="2">
        <f t="shared" si="28"/>
        <v>1.8620319712337727</v>
      </c>
      <c r="BW42" s="2">
        <f t="shared" si="29"/>
        <v>-4.885269234946029E-2</v>
      </c>
      <c r="BX42" s="2">
        <f t="shared" si="30"/>
        <v>0.34950218271186451</v>
      </c>
      <c r="BZ42" s="2">
        <v>4</v>
      </c>
      <c r="CA42" s="2">
        <f t="shared" si="37"/>
        <v>3.1415926535897934E-2</v>
      </c>
      <c r="CB42" s="2">
        <v>-2.7521001566134062</v>
      </c>
      <c r="CC42" s="2">
        <f t="shared" si="38"/>
        <v>0.38091810924776243</v>
      </c>
      <c r="CD42" s="2">
        <v>0.18151173205422474</v>
      </c>
      <c r="CE42" s="2">
        <f t="shared" si="31"/>
        <v>0.20616701789183017</v>
      </c>
      <c r="CF42" s="2">
        <v>-0.38661987270506665</v>
      </c>
      <c r="CG42" s="2">
        <f t="shared" si="32"/>
        <v>1.0640166122214691</v>
      </c>
      <c r="CH42" s="2">
        <f t="shared" si="33"/>
        <v>-7.0176042741280531E-2</v>
      </c>
      <c r="CI42" s="2">
        <f t="shared" si="34"/>
        <v>0.34950218271186451</v>
      </c>
    </row>
    <row r="43" spans="2:87" x14ac:dyDescent="0.2">
      <c r="B43" s="6" t="s">
        <v>112</v>
      </c>
      <c r="C43" s="17">
        <v>0.30480000000000002</v>
      </c>
      <c r="D43" s="6" t="s">
        <v>8</v>
      </c>
      <c r="J43" s="11" t="s">
        <v>55</v>
      </c>
      <c r="K43" s="6">
        <f>ROUND(K15, 2)</f>
        <v>854.05</v>
      </c>
      <c r="L43" s="6" t="s">
        <v>7</v>
      </c>
      <c r="AF43" s="2">
        <v>39</v>
      </c>
      <c r="AG43" s="2">
        <f t="shared" si="25"/>
        <v>2854.6561166949687</v>
      </c>
      <c r="AH43" s="2">
        <v>-7.4128365668002516E-9</v>
      </c>
      <c r="AI43" s="2">
        <f t="shared" si="26"/>
        <v>2854.6561167113396</v>
      </c>
      <c r="AJ43" s="2">
        <v>1.0691110219340771E-9</v>
      </c>
      <c r="AK43" s="2">
        <f t="shared" si="17"/>
        <v>2854.6561167031541</v>
      </c>
      <c r="AL43" s="2">
        <v>-3.1723175197839737E-9</v>
      </c>
      <c r="AM43" s="2">
        <f t="shared" si="18"/>
        <v>2.3515871312155721E-17</v>
      </c>
      <c r="AN43" s="2">
        <f t="shared" si="19"/>
        <v>-3.3915596254756211E-18</v>
      </c>
      <c r="AO43" s="2">
        <f t="shared" si="20"/>
        <v>1.6370904631912708E-8</v>
      </c>
      <c r="AQ43" s="2"/>
      <c r="AR43" s="2"/>
      <c r="AS43" s="26"/>
      <c r="AU43" s="27"/>
      <c r="AV43" s="4" t="s">
        <v>156</v>
      </c>
      <c r="AW43" s="2">
        <v>-180</v>
      </c>
      <c r="AX43" s="2">
        <v>-9.5</v>
      </c>
      <c r="AY43" s="63" t="s">
        <v>156</v>
      </c>
      <c r="AZ43" s="63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G43" s="2" t="s">
        <v>159</v>
      </c>
      <c r="BH43" s="2">
        <f>($AR$39+$AR$5)/180*PI()</f>
        <v>0.43686144349620099</v>
      </c>
      <c r="BI43" s="2" t="s">
        <v>155</v>
      </c>
      <c r="BJ43" s="2"/>
      <c r="BK43" s="2" t="s">
        <v>159</v>
      </c>
      <c r="BL43" s="2">
        <f>($AR$40+$AR$5)/180*PI()</f>
        <v>0.41100875395103492</v>
      </c>
      <c r="BM43" s="2" t="s">
        <v>155</v>
      </c>
      <c r="BO43" s="2">
        <v>5</v>
      </c>
      <c r="BP43" s="2">
        <f t="shared" si="35"/>
        <v>0.20616701789183017</v>
      </c>
      <c r="BQ43" s="2">
        <v>-0.54981950657525569</v>
      </c>
      <c r="BR43" s="2">
        <f t="shared" si="36"/>
        <v>0.38091810924776243</v>
      </c>
      <c r="BS43" s="2">
        <v>8.8852235625026255E-2</v>
      </c>
      <c r="BT43" s="2">
        <f t="shared" si="27"/>
        <v>0.2935425635697963</v>
      </c>
      <c r="BU43" s="2">
        <v>-0.21357705270781205</v>
      </c>
      <c r="BV43" s="2">
        <f t="shared" si="28"/>
        <v>0.1174288297356066</v>
      </c>
      <c r="BW43" s="2">
        <f t="shared" si="29"/>
        <v>-1.8976798611293168E-2</v>
      </c>
      <c r="BX43" s="2">
        <f t="shared" si="30"/>
        <v>0.17475109135593225</v>
      </c>
      <c r="BZ43" s="2">
        <v>5</v>
      </c>
      <c r="CA43" s="2">
        <f t="shared" si="37"/>
        <v>0.20616701789183017</v>
      </c>
      <c r="CB43" s="2">
        <v>-0.38661987270506665</v>
      </c>
      <c r="CC43" s="2">
        <f t="shared" si="38"/>
        <v>0.38091810924776243</v>
      </c>
      <c r="CD43" s="2">
        <v>0.18151173205422474</v>
      </c>
      <c r="CE43" s="2">
        <f t="shared" si="31"/>
        <v>0.2935425635697963</v>
      </c>
      <c r="CF43" s="2">
        <v>-7.8592215559542114E-2</v>
      </c>
      <c r="CG43" s="2">
        <f t="shared" si="32"/>
        <v>3.038531237523933E-2</v>
      </c>
      <c r="CH43" s="2">
        <f t="shared" si="33"/>
        <v>-1.4265409172191481E-2</v>
      </c>
      <c r="CI43" s="2">
        <f t="shared" si="34"/>
        <v>0.17475109135593225</v>
      </c>
    </row>
    <row r="44" spans="2:87" x14ac:dyDescent="0.2">
      <c r="B44" s="6" t="s">
        <v>113</v>
      </c>
      <c r="C44" s="17">
        <v>5.7</v>
      </c>
      <c r="J44" s="19" t="s">
        <v>81</v>
      </c>
      <c r="K44" s="6">
        <f>ROUND(SUM(K16:K19), 2)</f>
        <v>452.24</v>
      </c>
      <c r="L44" s="6" t="s">
        <v>7</v>
      </c>
      <c r="AF44" s="2">
        <v>40</v>
      </c>
      <c r="AG44" s="2">
        <f t="shared" si="25"/>
        <v>2854.6561167031541</v>
      </c>
      <c r="AH44" s="2">
        <v>-3.1723175197839737E-9</v>
      </c>
      <c r="AI44" s="2">
        <f t="shared" si="26"/>
        <v>2854.6561167113396</v>
      </c>
      <c r="AJ44" s="2">
        <v>1.0691110219340771E-9</v>
      </c>
      <c r="AK44" s="5">
        <f t="shared" si="17"/>
        <v>2854.6561167072468</v>
      </c>
      <c r="AL44" s="2">
        <v>-1.0518306226003915E-9</v>
      </c>
      <c r="AM44" s="2">
        <f t="shared" si="18"/>
        <v>3.3367407119205069E-18</v>
      </c>
      <c r="AN44" s="2">
        <f t="shared" si="19"/>
        <v>-1.1245237118298612E-18</v>
      </c>
      <c r="AO44" s="2">
        <f t="shared" si="20"/>
        <v>8.1854523159563541E-9</v>
      </c>
      <c r="AQ44" s="61" t="s">
        <v>209</v>
      </c>
      <c r="AR44" s="61"/>
      <c r="AS44" s="61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G44" s="2" t="s">
        <v>28</v>
      </c>
      <c r="BH44" s="2">
        <f>BH43-BH42</f>
        <v>0.14524621319957165</v>
      </c>
      <c r="BI44" s="2" t="s">
        <v>155</v>
      </c>
      <c r="BJ44" s="2"/>
      <c r="BK44" s="2" t="s">
        <v>28</v>
      </c>
      <c r="BL44" s="2">
        <f>BL43-BL42</f>
        <v>0.13849165444958278</v>
      </c>
      <c r="BM44" s="2" t="s">
        <v>155</v>
      </c>
      <c r="BO44" s="2">
        <v>6</v>
      </c>
      <c r="BP44" s="2">
        <f t="shared" si="35"/>
        <v>0.2935425635697963</v>
      </c>
      <c r="BQ44" s="2">
        <v>-0.21357705270781205</v>
      </c>
      <c r="BR44" s="2">
        <f t="shared" si="36"/>
        <v>0.38091810924776243</v>
      </c>
      <c r="BS44" s="2">
        <v>8.8852235625026255E-2</v>
      </c>
      <c r="BT44" s="2">
        <f t="shared" si="27"/>
        <v>0.33723033640877936</v>
      </c>
      <c r="BU44" s="2">
        <v>-5.7068645780714085E-2</v>
      </c>
      <c r="BV44" s="2">
        <f t="shared" si="28"/>
        <v>1.2188553167871027E-2</v>
      </c>
      <c r="BW44" s="2">
        <f t="shared" si="29"/>
        <v>-5.0706767617091685E-3</v>
      </c>
      <c r="BX44" s="2">
        <f t="shared" si="30"/>
        <v>8.7375545677966127E-2</v>
      </c>
      <c r="BZ44" s="2">
        <v>6</v>
      </c>
      <c r="CA44" s="2">
        <f t="shared" si="37"/>
        <v>0.2935425635697963</v>
      </c>
      <c r="CB44" s="2">
        <v>-7.8592215559542114E-2</v>
      </c>
      <c r="CC44" s="2">
        <f t="shared" si="38"/>
        <v>0.38091810924776243</v>
      </c>
      <c r="CD44" s="2">
        <v>0.18151173205422474</v>
      </c>
      <c r="CE44" s="2">
        <f t="shared" si="31"/>
        <v>0.33723033640877936</v>
      </c>
      <c r="CF44" s="2">
        <v>5.6800680425225146E-2</v>
      </c>
      <c r="CG44" s="2">
        <f t="shared" si="32"/>
        <v>-4.4640913199079585E-3</v>
      </c>
      <c r="CH44" s="2">
        <f t="shared" si="33"/>
        <v>1.0309989885841114E-2</v>
      </c>
      <c r="CI44" s="2">
        <f t="shared" si="34"/>
        <v>8.7375545677966127E-2</v>
      </c>
    </row>
    <row r="45" spans="2:87" x14ac:dyDescent="0.2">
      <c r="J45" s="20" t="s">
        <v>72</v>
      </c>
      <c r="K45" s="6">
        <f>ROUND(SUM(K20:K25), 2)</f>
        <v>808.45</v>
      </c>
      <c r="L45" s="6" t="s">
        <v>7</v>
      </c>
      <c r="AQ45" s="2" t="s">
        <v>19</v>
      </c>
      <c r="AR45" s="2">
        <f>$C$66</f>
        <v>1.0397562309141399</v>
      </c>
      <c r="AS45" s="26" t="s">
        <v>16</v>
      </c>
      <c r="AU45" s="34" t="s">
        <v>164</v>
      </c>
      <c r="AV45" s="35">
        <v>-1.4875000000000001E-4</v>
      </c>
      <c r="AW45" s="35">
        <v>-2.818766E-2</v>
      </c>
      <c r="AX45" s="35">
        <v>-0.15965826999999999</v>
      </c>
      <c r="AY45" s="35">
        <v>-4.4100000000000001E-6</v>
      </c>
      <c r="AZ45" s="35">
        <v>3.8060999999999998E-4</v>
      </c>
      <c r="BA45" s="35">
        <v>-2.2518899999999999E-3</v>
      </c>
      <c r="BB45" s="35">
        <v>6.2865899999999999E-3</v>
      </c>
      <c r="BC45" s="35">
        <v>-2.0911000000000001E-4</v>
      </c>
      <c r="BD45" s="35">
        <v>4.150877E-2</v>
      </c>
      <c r="BE45" s="36">
        <v>-0.59881362999999999</v>
      </c>
      <c r="BG45" s="2" t="s">
        <v>168</v>
      </c>
      <c r="BH45" s="2">
        <f>BH44/PI()*180</f>
        <v>8.3219950065928057</v>
      </c>
      <c r="BI45" s="2" t="s">
        <v>43</v>
      </c>
      <c r="BJ45" s="2"/>
      <c r="BK45" s="2" t="s">
        <v>168</v>
      </c>
      <c r="BL45" s="2">
        <f>BL44/PI()*180</f>
        <v>7.9349872977452813</v>
      </c>
      <c r="BM45" s="2" t="s">
        <v>43</v>
      </c>
      <c r="BO45" s="2">
        <v>7</v>
      </c>
      <c r="BP45" s="2">
        <f t="shared" si="35"/>
        <v>0.33723033640877936</v>
      </c>
      <c r="BQ45" s="2">
        <v>-5.7068645780714085E-2</v>
      </c>
      <c r="BR45" s="2">
        <f t="shared" si="36"/>
        <v>0.38091810924776243</v>
      </c>
      <c r="BS45" s="2">
        <v>8.8852235625026255E-2</v>
      </c>
      <c r="BT45" s="2">
        <f t="shared" si="27"/>
        <v>0.35907422282827089</v>
      </c>
      <c r="BU45" s="2">
        <v>1.7265328508071442E-2</v>
      </c>
      <c r="BV45" s="2">
        <f t="shared" si="28"/>
        <v>-9.8530891691479393E-4</v>
      </c>
      <c r="BW45" s="2">
        <f t="shared" si="29"/>
        <v>1.5340630367426469E-3</v>
      </c>
      <c r="BX45" s="2">
        <f t="shared" si="30"/>
        <v>4.3687772838983063E-2</v>
      </c>
      <c r="BZ45" s="2">
        <v>7</v>
      </c>
      <c r="CA45" s="2">
        <f t="shared" si="37"/>
        <v>0.2935425635697963</v>
      </c>
      <c r="CB45" s="2">
        <v>-7.8592215559542114E-2</v>
      </c>
      <c r="CC45" s="2">
        <f t="shared" si="38"/>
        <v>0.33723033640877936</v>
      </c>
      <c r="CD45" s="2">
        <v>5.6800680425225146E-2</v>
      </c>
      <c r="CE45" s="2">
        <f t="shared" si="31"/>
        <v>0.31538644998928783</v>
      </c>
      <c r="CF45" s="2">
        <v>-9.4981787984221439E-3</v>
      </c>
      <c r="CG45" s="2">
        <f t="shared" si="32"/>
        <v>7.4648291554866588E-4</v>
      </c>
      <c r="CH45" s="2">
        <f t="shared" si="33"/>
        <v>-5.3950301855082514E-4</v>
      </c>
      <c r="CI45" s="2">
        <f t="shared" si="34"/>
        <v>4.3687772838983063E-2</v>
      </c>
    </row>
    <row r="46" spans="2:87" x14ac:dyDescent="0.2">
      <c r="B46" s="59" t="s">
        <v>248</v>
      </c>
      <c r="C46" s="59"/>
      <c r="D46" s="59"/>
      <c r="J46" s="15" t="s">
        <v>73</v>
      </c>
      <c r="K46" s="6">
        <f>ROUND(SUM(K26:K29), 2)</f>
        <v>139.71</v>
      </c>
      <c r="L46" s="6" t="s">
        <v>7</v>
      </c>
      <c r="AQ46" s="2" t="s">
        <v>31</v>
      </c>
      <c r="AR46" s="37">
        <f>$C$67</f>
        <v>1.7363179204150701E-5</v>
      </c>
      <c r="AS46" s="26" t="s">
        <v>210</v>
      </c>
      <c r="BG46" s="2" t="s">
        <v>171</v>
      </c>
      <c r="BH46" s="2">
        <f xml:space="preserve"> $AR$8*$AR$31 / (2*PI()*$AR$23)</f>
        <v>0.23280121002319468</v>
      </c>
      <c r="BI46" s="2"/>
      <c r="BJ46" s="2"/>
      <c r="BK46" s="2" t="s">
        <v>171</v>
      </c>
      <c r="BL46" s="2">
        <f xml:space="preserve"> $AR$8*$AR$32 / (2*PI()*$AR$24)</f>
        <v>0.19491152470330353</v>
      </c>
      <c r="BM46" s="2"/>
      <c r="BO46" s="2">
        <v>8</v>
      </c>
      <c r="BP46" s="2">
        <f t="shared" si="35"/>
        <v>0.33723033640877936</v>
      </c>
      <c r="BQ46" s="2">
        <v>-5.7068645780714085E-2</v>
      </c>
      <c r="BR46" s="2">
        <f t="shared" si="36"/>
        <v>0.35907422282827089</v>
      </c>
      <c r="BS46" s="2">
        <v>1.7265328508071442E-2</v>
      </c>
      <c r="BT46" s="2">
        <f t="shared" si="27"/>
        <v>0.34815227961852513</v>
      </c>
      <c r="BU46" s="2">
        <v>-1.9562045177405195E-2</v>
      </c>
      <c r="BV46" s="2">
        <f t="shared" si="28"/>
        <v>1.1163794269756632E-3</v>
      </c>
      <c r="BW46" s="2">
        <f t="shared" si="29"/>
        <v>-3.3774513627763536E-4</v>
      </c>
      <c r="BX46" s="2">
        <f t="shared" si="30"/>
        <v>2.1843886419491532E-2</v>
      </c>
      <c r="BZ46" s="2">
        <v>8</v>
      </c>
      <c r="CA46" s="2">
        <f t="shared" si="37"/>
        <v>0.31538644998928783</v>
      </c>
      <c r="CB46" s="2">
        <v>-9.4981787984221439E-3</v>
      </c>
      <c r="CC46" s="2">
        <f t="shared" si="38"/>
        <v>0.33723033640877936</v>
      </c>
      <c r="CD46" s="2">
        <v>5.6800680425225146E-2</v>
      </c>
      <c r="CE46" s="2">
        <f t="shared" si="31"/>
        <v>0.3263083931990336</v>
      </c>
      <c r="CF46" s="2">
        <v>2.3992224638044644E-2</v>
      </c>
      <c r="CG46" s="2">
        <f t="shared" si="32"/>
        <v>-2.2788243938405702E-4</v>
      </c>
      <c r="CH46" s="2">
        <f t="shared" si="33"/>
        <v>1.3627746843557869E-3</v>
      </c>
      <c r="CI46" s="2">
        <f t="shared" si="34"/>
        <v>2.1843886419491532E-2</v>
      </c>
    </row>
    <row r="47" spans="2:87" x14ac:dyDescent="0.2">
      <c r="B47" s="6" t="s">
        <v>113</v>
      </c>
      <c r="C47" s="17">
        <v>3</v>
      </c>
      <c r="J47" s="10" t="s">
        <v>62</v>
      </c>
      <c r="K47" s="10">
        <f>SUM(K42:K46)</f>
        <v>2854.45</v>
      </c>
      <c r="L47" s="6" t="s">
        <v>7</v>
      </c>
      <c r="AF47" s="63" t="s">
        <v>222</v>
      </c>
      <c r="AG47" s="63"/>
      <c r="AH47" s="63"/>
      <c r="AI47" s="63"/>
      <c r="AU47" s="23" t="s">
        <v>143</v>
      </c>
      <c r="AV47" s="66" t="s">
        <v>218</v>
      </c>
      <c r="AW47" s="66"/>
      <c r="AX47" s="24"/>
      <c r="AY47" s="24"/>
      <c r="AZ47" s="24"/>
      <c r="BA47" s="24"/>
      <c r="BB47" s="24"/>
      <c r="BC47" s="24"/>
      <c r="BD47" s="25"/>
      <c r="BG47" s="2" t="s">
        <v>175</v>
      </c>
      <c r="BH47" s="2">
        <f>IF(-$AR$8*($AV$3-$AR$23)/(2*$AR$23*SIN(BH42))&gt;500, 1, 2*ACOS(MIN(1, EXP(-$AR$8*($AV$3-$AR$23)/(2*$AR$23*SIN(BH42)))))/PI() )</f>
        <v>0.89816996423210138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0.80879018822437709</v>
      </c>
      <c r="BM47" s="2"/>
      <c r="BO47" s="2">
        <v>9</v>
      </c>
      <c r="BP47" s="2">
        <f t="shared" si="35"/>
        <v>0.34815227961852513</v>
      </c>
      <c r="BQ47" s="2">
        <v>-1.9562045177405195E-2</v>
      </c>
      <c r="BR47" s="2">
        <f t="shared" si="36"/>
        <v>0.35907422282827089</v>
      </c>
      <c r="BS47" s="2">
        <v>1.7265328508071442E-2</v>
      </c>
      <c r="BT47" s="2">
        <f t="shared" si="27"/>
        <v>0.35361325122339804</v>
      </c>
      <c r="BU47" s="2">
        <v>-1.0628470010205851E-3</v>
      </c>
      <c r="BV47" s="2">
        <f t="shared" si="28"/>
        <v>2.0791461050634311E-5</v>
      </c>
      <c r="BW47" s="2">
        <f t="shared" si="29"/>
        <v>-1.8350402626438946E-5</v>
      </c>
      <c r="BX47" s="2">
        <f t="shared" si="30"/>
        <v>1.0921943209745766E-2</v>
      </c>
      <c r="BZ47" s="2">
        <v>9</v>
      </c>
      <c r="CA47" s="2">
        <f t="shared" si="37"/>
        <v>0.31538644998928783</v>
      </c>
      <c r="CB47" s="2">
        <v>-9.4981787984221439E-3</v>
      </c>
      <c r="CC47" s="2">
        <f t="shared" si="38"/>
        <v>0.3263083931990336</v>
      </c>
      <c r="CD47" s="2">
        <v>2.3992224638044644E-2</v>
      </c>
      <c r="CE47" s="2">
        <f t="shared" si="31"/>
        <v>0.32084742159416069</v>
      </c>
      <c r="CF47" s="2">
        <v>7.3332664204802944E-3</v>
      </c>
      <c r="CG47" s="2">
        <f t="shared" si="32"/>
        <v>-6.9652675638186975E-5</v>
      </c>
      <c r="CH47" s="2">
        <f t="shared" si="33"/>
        <v>1.7594137529079279E-4</v>
      </c>
      <c r="CI47" s="2">
        <f t="shared" si="34"/>
        <v>1.0921943209745766E-2</v>
      </c>
    </row>
    <row r="48" spans="2:87" x14ac:dyDescent="0.2"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U48" s="27"/>
      <c r="AV48" s="63" t="s">
        <v>148</v>
      </c>
      <c r="AW48" s="63"/>
      <c r="AX48" s="63"/>
      <c r="AY48" s="63" t="s">
        <v>149</v>
      </c>
      <c r="AZ48" s="63"/>
      <c r="BA48" s="63"/>
      <c r="BB48" s="63" t="s">
        <v>150</v>
      </c>
      <c r="BC48" s="63"/>
      <c r="BD48" s="65"/>
      <c r="BG48" s="2" t="s">
        <v>180</v>
      </c>
      <c r="BH48" s="2">
        <f>IF(-$AR$8*($AR$23-$AR$10)/(2*$AR$23*SIN(BH42))&gt;500, 1, 2*ACOS(MIN(1, EXP(-$AR$8*($AR$23-$AR$10)/(2*$AR$23*SIN(BH42)))))/PI() )</f>
        <v>0.93992305792225617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0.95628819372332174</v>
      </c>
      <c r="BM48" s="2"/>
      <c r="BO48" s="2">
        <v>10</v>
      </c>
      <c r="BP48" s="2">
        <f t="shared" si="35"/>
        <v>0.35361325122339804</v>
      </c>
      <c r="BQ48" s="2">
        <v>-1.0628470010205851E-3</v>
      </c>
      <c r="BR48" s="2">
        <f t="shared" si="36"/>
        <v>0.35907422282827089</v>
      </c>
      <c r="BS48" s="2">
        <v>1.7265328508071442E-2</v>
      </c>
      <c r="BT48" s="2">
        <f t="shared" si="27"/>
        <v>0.35634373702583444</v>
      </c>
      <c r="BU48" s="2">
        <v>8.1226820307008091E-3</v>
      </c>
      <c r="BV48" s="2">
        <f t="shared" si="28"/>
        <v>-8.6331682365741504E-6</v>
      </c>
      <c r="BW48" s="2">
        <f t="shared" si="29"/>
        <v>1.4024077362665831E-4</v>
      </c>
      <c r="BX48" s="2">
        <f t="shared" si="30"/>
        <v>5.4609716048728552E-3</v>
      </c>
      <c r="BZ48" s="2">
        <v>10</v>
      </c>
      <c r="CA48" s="2">
        <f t="shared" si="37"/>
        <v>0.31538644998928783</v>
      </c>
      <c r="CB48" s="2">
        <v>-9.4981787984221439E-3</v>
      </c>
      <c r="CC48" s="2">
        <f t="shared" si="38"/>
        <v>0.32084742159416069</v>
      </c>
      <c r="CD48" s="2">
        <v>7.3332664204802944E-3</v>
      </c>
      <c r="CE48" s="2">
        <f t="shared" si="31"/>
        <v>0.31811693579172429</v>
      </c>
      <c r="CF48" s="2">
        <v>-1.0607662538750923E-3</v>
      </c>
      <c r="CG48" s="2">
        <f t="shared" si="32"/>
        <v>1.0075347542638083E-5</v>
      </c>
      <c r="CH48" s="2">
        <f t="shared" si="33"/>
        <v>-7.7788815495208889E-6</v>
      </c>
      <c r="CI48" s="2">
        <f t="shared" si="34"/>
        <v>5.4609716048728552E-3</v>
      </c>
    </row>
    <row r="49" spans="2:87" x14ac:dyDescent="0.2">
      <c r="B49" s="59" t="s">
        <v>249</v>
      </c>
      <c r="C49" s="59"/>
      <c r="D49" s="59"/>
      <c r="AF49" s="2">
        <v>0</v>
      </c>
      <c r="AH49" s="2">
        <f>$G$11</f>
        <v>-0.13785375144789214</v>
      </c>
      <c r="AJ49" s="2">
        <f>$G$11</f>
        <v>-0.13785375144789214</v>
      </c>
      <c r="AL49" s="2">
        <f>$G$11</f>
        <v>-0.13785375144789214</v>
      </c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52" t="s">
        <v>156</v>
      </c>
      <c r="BC49" s="35">
        <v>19.25</v>
      </c>
      <c r="BD49" s="36">
        <v>180</v>
      </c>
      <c r="BG49" s="2" t="s">
        <v>183</v>
      </c>
      <c r="BH49" s="2">
        <f>IF(BH42=0,1,BH47*BH48)</f>
        <v>0.8442106593149602</v>
      </c>
      <c r="BI49" s="2"/>
      <c r="BJ49" s="2"/>
      <c r="BK49" s="2" t="s">
        <v>183</v>
      </c>
      <c r="BL49" s="2">
        <f>IF(BL42=0,1,BL47*BL48)</f>
        <v>0.77343650819823495</v>
      </c>
      <c r="BM49" s="2"/>
      <c r="BO49" s="2">
        <v>11</v>
      </c>
      <c r="BP49" s="2">
        <f t="shared" si="35"/>
        <v>0.35361325122339804</v>
      </c>
      <c r="BQ49" s="2">
        <v>-1.0628470010205851E-3</v>
      </c>
      <c r="BR49" s="2">
        <f t="shared" si="36"/>
        <v>0.35634373702583444</v>
      </c>
      <c r="BS49" s="2">
        <v>8.1226820307008091E-3</v>
      </c>
      <c r="BT49" s="2">
        <f t="shared" si="27"/>
        <v>0.35497849412461624</v>
      </c>
      <c r="BU49" s="2">
        <v>3.5352704441739755E-3</v>
      </c>
      <c r="BV49" s="2">
        <f t="shared" si="28"/>
        <v>-3.7574515893870217E-6</v>
      </c>
      <c r="BW49" s="2">
        <f t="shared" si="29"/>
        <v>2.871587771055962E-5</v>
      </c>
      <c r="BX49" s="2">
        <f t="shared" si="30"/>
        <v>2.7304858024363998E-3</v>
      </c>
      <c r="BZ49" s="2">
        <v>11</v>
      </c>
      <c r="CA49" s="2">
        <f t="shared" si="37"/>
        <v>0.31811693579172429</v>
      </c>
      <c r="CB49" s="2">
        <v>-1.0607662538750923E-3</v>
      </c>
      <c r="CC49" s="2">
        <f t="shared" si="38"/>
        <v>0.32084742159416069</v>
      </c>
      <c r="CD49" s="2">
        <v>7.3332664204802944E-3</v>
      </c>
      <c r="CE49" s="2">
        <f t="shared" si="31"/>
        <v>0.31948217869294249</v>
      </c>
      <c r="CF49" s="2">
        <v>3.1416562362558409E-3</v>
      </c>
      <c r="CG49" s="2">
        <f t="shared" si="32"/>
        <v>-3.3325629166964303E-6</v>
      </c>
      <c r="CH49" s="2">
        <f t="shared" si="33"/>
        <v>2.3038602182027464E-5</v>
      </c>
      <c r="CI49" s="2">
        <f t="shared" si="34"/>
        <v>2.7304858024363998E-3</v>
      </c>
    </row>
    <row r="50" spans="2:87" x14ac:dyDescent="0.2">
      <c r="B50" s="6" t="s">
        <v>250</v>
      </c>
      <c r="C50" s="17">
        <v>4.3036300000000001</v>
      </c>
      <c r="AF50" s="2">
        <v>1</v>
      </c>
      <c r="AG50" s="3">
        <v>50</v>
      </c>
      <c r="AH50" s="2">
        <f t="dataTable" ref="AH50:AH79" dt2D="0" dtr="0" r1="C6" ca="1"/>
        <v>3185.1425774494473</v>
      </c>
      <c r="AI50" s="3">
        <v>1500</v>
      </c>
      <c r="AJ50" s="2">
        <f t="dataTable" ref="AJ50:AJ79" dt2D="0" dtr="0" r1="C6" ca="1"/>
        <v>-12373.698204338325</v>
      </c>
      <c r="AK50" s="2">
        <f t="shared" ref="AK50:AK79" si="39">(AG50+AI50)/2</f>
        <v>775</v>
      </c>
      <c r="AL50" s="2">
        <f t="dataTable" ref="AL50:AL79" dt2D="0" dtr="0" r1="C6" ca="1"/>
        <v>-955.51666286503996</v>
      </c>
      <c r="AM50" s="2">
        <f t="shared" ref="AM50:AM79" si="40">AH50*AL50</f>
        <v>-3043456.806353848</v>
      </c>
      <c r="AN50" s="2">
        <f t="shared" ref="AN50:AN79" si="41">AJ50*AL50</f>
        <v>11823274.815508494</v>
      </c>
      <c r="AO50" s="2">
        <f t="shared" ref="AO50:AO79" si="42">AI50-AG50</f>
        <v>1450</v>
      </c>
      <c r="AU50" s="70" t="s">
        <v>160</v>
      </c>
      <c r="AV50" s="51">
        <v>-8.4939000000000004E-12</v>
      </c>
      <c r="AW50" s="24">
        <v>-4.8275424E-9</v>
      </c>
      <c r="AX50" s="25">
        <v>-1.06847729E-6</v>
      </c>
      <c r="AY50" s="51">
        <v>3.7013959E-9</v>
      </c>
      <c r="AZ50" s="24">
        <v>-1.9300005930000001E-7</v>
      </c>
      <c r="BA50" s="25">
        <v>-1.9024789776000001E-6</v>
      </c>
      <c r="BB50" s="51">
        <v>1.0310799999999999E-11</v>
      </c>
      <c r="BC50" s="24">
        <v>-5.7492829999999999E-9</v>
      </c>
      <c r="BD50" s="25">
        <v>1.2571656448000001E-6</v>
      </c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1.1040070551233288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1.0645836970697671</v>
      </c>
      <c r="BM50" s="2"/>
      <c r="BO50" s="2">
        <v>12</v>
      </c>
      <c r="BP50" s="2">
        <f t="shared" si="35"/>
        <v>0.35361325122339804</v>
      </c>
      <c r="BQ50" s="2">
        <v>-1.0628470010205851E-3</v>
      </c>
      <c r="BR50" s="2">
        <f t="shared" si="36"/>
        <v>0.35497849412461624</v>
      </c>
      <c r="BS50" s="2">
        <v>3.5352704441739755E-3</v>
      </c>
      <c r="BT50" s="2">
        <f t="shared" si="27"/>
        <v>0.35429587267400714</v>
      </c>
      <c r="BU50" s="2">
        <v>1.2375489834523037E-3</v>
      </c>
      <c r="BV50" s="2">
        <f t="shared" si="28"/>
        <v>-1.3153252256783547E-6</v>
      </c>
      <c r="BW50" s="2">
        <f t="shared" si="29"/>
        <v>4.3750703444164775E-6</v>
      </c>
      <c r="BX50" s="2">
        <f t="shared" si="30"/>
        <v>1.3652429012181999E-3</v>
      </c>
      <c r="BZ50" s="2">
        <v>12</v>
      </c>
      <c r="CA50" s="2">
        <f t="shared" si="37"/>
        <v>0.31811693579172429</v>
      </c>
      <c r="CB50" s="2">
        <v>-1.0607662538750923E-3</v>
      </c>
      <c r="CC50" s="2">
        <f t="shared" si="38"/>
        <v>0.31948217869294249</v>
      </c>
      <c r="CD50" s="2">
        <v>3.1416562362558409E-3</v>
      </c>
      <c r="CE50" s="2">
        <f t="shared" si="31"/>
        <v>0.31879955724233339</v>
      </c>
      <c r="CF50" s="2">
        <v>1.0417985579059402E-3</v>
      </c>
      <c r="CG50" s="2">
        <f t="shared" si="32"/>
        <v>-1.1051047535623577E-6</v>
      </c>
      <c r="CH50" s="2">
        <f t="shared" si="33"/>
        <v>3.2729729363675389E-6</v>
      </c>
      <c r="CI50" s="2">
        <f t="shared" si="34"/>
        <v>1.3652429012181999E-3</v>
      </c>
    </row>
    <row r="51" spans="2:87" x14ac:dyDescent="0.2">
      <c r="B51" s="6" t="s">
        <v>251</v>
      </c>
      <c r="C51" s="17">
        <f>39.5112*0.3048^2</f>
        <v>3.6707105940480003</v>
      </c>
      <c r="D51" s="6" t="s">
        <v>11</v>
      </c>
      <c r="AF51" s="2">
        <v>2</v>
      </c>
      <c r="AG51" s="2">
        <f t="shared" ref="AG51:AG79" si="43">IF(AM50&gt;0, AK50, AG50)</f>
        <v>50</v>
      </c>
      <c r="AH51" s="2">
        <v>3185.1425774494473</v>
      </c>
      <c r="AI51" s="2">
        <f t="shared" ref="AI51:AI79" si="44">IF(AN50&gt;0, AK50, AI50)</f>
        <v>775</v>
      </c>
      <c r="AJ51" s="2">
        <v>-955.51666286503996</v>
      </c>
      <c r="AK51" s="2">
        <f t="shared" si="39"/>
        <v>412.5</v>
      </c>
      <c r="AL51" s="2">
        <v>2024.5032449370533</v>
      </c>
      <c r="AM51" s="2">
        <f t="shared" si="40"/>
        <v>6448331.483633576</v>
      </c>
      <c r="AN51" s="2">
        <f t="shared" si="41"/>
        <v>-1934446.5845616977</v>
      </c>
      <c r="AO51" s="2">
        <f t="shared" si="42"/>
        <v>725</v>
      </c>
      <c r="AU51" s="70"/>
      <c r="AV51" s="27">
        <v>-1.1499587328259999E-4</v>
      </c>
      <c r="AW51" s="2">
        <v>-6.1271552300758998E-3</v>
      </c>
      <c r="AX51" s="31">
        <v>-0.159010230133804</v>
      </c>
      <c r="AY51" s="27">
        <v>-7.5438686490999997E-5</v>
      </c>
      <c r="AZ51" s="2">
        <v>3.1904202837819998E-4</v>
      </c>
      <c r="BA51" s="31">
        <v>0.119153856516412</v>
      </c>
      <c r="BB51" s="27">
        <v>-1.3598505110960001E-4</v>
      </c>
      <c r="BC51" s="2">
        <v>7.5612407541648004E-3</v>
      </c>
      <c r="BD51" s="31">
        <v>-0.21971859837524699</v>
      </c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4.9856274355919918E-2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5.0774646546341624E-2</v>
      </c>
      <c r="BM51" s="2"/>
      <c r="BO51" s="2">
        <v>13</v>
      </c>
      <c r="BP51" s="2">
        <f t="shared" si="35"/>
        <v>0.35361325122339804</v>
      </c>
      <c r="BQ51" s="2">
        <v>-1.0628470010205851E-3</v>
      </c>
      <c r="BR51" s="2">
        <f t="shared" si="36"/>
        <v>0.35429587267400714</v>
      </c>
      <c r="BS51" s="2">
        <v>1.2375489834523037E-3</v>
      </c>
      <c r="BT51" s="2">
        <f t="shared" si="27"/>
        <v>0.35395456194870256</v>
      </c>
      <c r="BU51" s="2">
        <v>8.7685182427799102E-5</v>
      </c>
      <c r="BV51" s="2">
        <f t="shared" si="28"/>
        <v>-9.3195933177329184E-8</v>
      </c>
      <c r="BW51" s="2">
        <f t="shared" si="29"/>
        <v>1.0851470837735258E-7</v>
      </c>
      <c r="BX51" s="2">
        <f t="shared" si="30"/>
        <v>6.8262145060909996E-4</v>
      </c>
      <c r="BZ51" s="2">
        <v>13</v>
      </c>
      <c r="CA51" s="2">
        <f t="shared" si="37"/>
        <v>0.31811693579172429</v>
      </c>
      <c r="CB51" s="2">
        <v>-1.0607662538750923E-3</v>
      </c>
      <c r="CC51" s="2">
        <f t="shared" si="38"/>
        <v>0.31879955724233339</v>
      </c>
      <c r="CD51" s="2">
        <v>1.0417985579059402E-3</v>
      </c>
      <c r="CE51" s="2">
        <f t="shared" si="31"/>
        <v>0.31845824651702881</v>
      </c>
      <c r="CF51" s="2">
        <v>-9.1452016369591993E-6</v>
      </c>
      <c r="CG51" s="2">
        <f t="shared" si="32"/>
        <v>9.7009212813695716E-9</v>
      </c>
      <c r="CH51" s="2">
        <f t="shared" si="33"/>
        <v>-9.5274578771431371E-9</v>
      </c>
      <c r="CI51" s="2">
        <f t="shared" si="34"/>
        <v>6.8262145060909996E-4</v>
      </c>
    </row>
    <row r="52" spans="2:87" x14ac:dyDescent="0.2">
      <c r="B52" s="6" t="s">
        <v>252</v>
      </c>
      <c r="C52" s="17">
        <f>0.15*3.7875*0.3048</f>
        <v>0.1731645</v>
      </c>
      <c r="D52" s="6" t="s">
        <v>8</v>
      </c>
      <c r="AF52" s="2">
        <v>3</v>
      </c>
      <c r="AG52" s="2">
        <f t="shared" si="43"/>
        <v>412.5</v>
      </c>
      <c r="AH52" s="2">
        <v>2024.5032449370533</v>
      </c>
      <c r="AI52" s="2">
        <f t="shared" si="44"/>
        <v>775</v>
      </c>
      <c r="AJ52" s="2">
        <v>-955.51666286503996</v>
      </c>
      <c r="AK52" s="2">
        <f t="shared" si="39"/>
        <v>593.75</v>
      </c>
      <c r="AL52" s="2">
        <v>761.91586294721947</v>
      </c>
      <c r="AM52" s="2">
        <f t="shared" si="40"/>
        <v>1542501.1369056611</v>
      </c>
      <c r="AN52" s="2">
        <f t="shared" si="41"/>
        <v>-728023.30274726427</v>
      </c>
      <c r="AO52" s="2">
        <f t="shared" si="42"/>
        <v>362.5</v>
      </c>
      <c r="AU52" s="70"/>
      <c r="AV52" s="67">
        <v>-2.4012358386552801</v>
      </c>
      <c r="AW52" s="68"/>
      <c r="AX52" s="69"/>
      <c r="AY52" s="67">
        <v>0.149391545914075</v>
      </c>
      <c r="AZ52" s="68"/>
      <c r="BA52" s="69"/>
      <c r="BB52" s="67">
        <v>3.65120250353774</v>
      </c>
      <c r="BC52" s="68"/>
      <c r="BD52" s="69"/>
      <c r="BG52" s="2" t="s">
        <v>190</v>
      </c>
      <c r="BH52" s="2">
        <f xml:space="preserve"> BH50*COS(BH42) - BH51*SIN(BH42)</f>
        <v>1.0430630412245105</v>
      </c>
      <c r="BI52" s="2"/>
      <c r="BJ52" s="2"/>
      <c r="BK52" s="2" t="s">
        <v>190</v>
      </c>
      <c r="BL52" s="2">
        <f xml:space="preserve"> BL50*COS(BL42) - BL51*SIN(BL42)</f>
        <v>1.011630458074164</v>
      </c>
      <c r="BM52" s="2"/>
      <c r="BO52" s="2">
        <v>14</v>
      </c>
      <c r="BP52" s="2">
        <f t="shared" si="35"/>
        <v>0.35361325122339804</v>
      </c>
      <c r="BQ52" s="2">
        <v>-1.0628470010205851E-3</v>
      </c>
      <c r="BR52" s="2">
        <f t="shared" si="36"/>
        <v>0.35395456194870256</v>
      </c>
      <c r="BS52" s="2">
        <v>8.7685182427799102E-5</v>
      </c>
      <c r="BT52" s="2">
        <f t="shared" si="27"/>
        <v>0.3537839065860503</v>
      </c>
      <c r="BU52" s="2">
        <v>-4.8749737721062725E-4</v>
      </c>
      <c r="BV52" s="2">
        <f t="shared" si="28"/>
        <v>5.1813512537371613E-7</v>
      </c>
      <c r="BW52" s="2">
        <f t="shared" si="29"/>
        <v>-4.2746296453787445E-8</v>
      </c>
      <c r="BX52" s="2">
        <f t="shared" si="30"/>
        <v>3.4131072530452222E-4</v>
      </c>
      <c r="BZ52" s="2">
        <v>14</v>
      </c>
      <c r="CA52" s="2">
        <f t="shared" si="37"/>
        <v>0.31845824651702881</v>
      </c>
      <c r="CB52" s="2">
        <v>-9.1452016369591993E-6</v>
      </c>
      <c r="CC52" s="2">
        <f t="shared" si="38"/>
        <v>0.31879955724233339</v>
      </c>
      <c r="CD52" s="2">
        <v>1.0417985579059402E-3</v>
      </c>
      <c r="CE52" s="2">
        <f t="shared" si="31"/>
        <v>0.31862890187968107</v>
      </c>
      <c r="CF52" s="2">
        <v>5.1641130783763173E-4</v>
      </c>
      <c r="CG52" s="2">
        <f t="shared" si="32"/>
        <v>-4.722685537780951E-9</v>
      </c>
      <c r="CH52" s="2">
        <f t="shared" si="33"/>
        <v>5.3799655579156528E-7</v>
      </c>
      <c r="CI52" s="2">
        <f t="shared" si="34"/>
        <v>3.4131072530457773E-4</v>
      </c>
    </row>
    <row r="53" spans="2:87" x14ac:dyDescent="0.2">
      <c r="AF53" s="2">
        <v>4</v>
      </c>
      <c r="AG53" s="2">
        <f t="shared" si="43"/>
        <v>593.75</v>
      </c>
      <c r="AH53" s="2">
        <v>761.91586294721947</v>
      </c>
      <c r="AI53" s="2">
        <f t="shared" si="44"/>
        <v>775</v>
      </c>
      <c r="AJ53" s="2">
        <v>-955.51666286503996</v>
      </c>
      <c r="AK53" s="2">
        <f t="shared" si="39"/>
        <v>684.375</v>
      </c>
      <c r="AL53" s="2">
        <v>-39.944756981106366</v>
      </c>
      <c r="AM53" s="2">
        <f t="shared" si="40"/>
        <v>-30434.543985476626</v>
      </c>
      <c r="AN53" s="2">
        <f t="shared" si="41"/>
        <v>38167.880889541761</v>
      </c>
      <c r="AO53" s="2">
        <f t="shared" si="42"/>
        <v>181.25</v>
      </c>
      <c r="AU53" s="70" t="s">
        <v>164</v>
      </c>
      <c r="AV53" s="51">
        <v>-1.0006E-12</v>
      </c>
      <c r="AW53" s="24">
        <v>-5.4488110000000002E-10</v>
      </c>
      <c r="AX53" s="25">
        <v>-8.9150928300000004E-8</v>
      </c>
      <c r="AY53" s="2">
        <v>-7.9540000000000002E-13</v>
      </c>
      <c r="AZ53" s="2">
        <v>4.1436390000000001E-10</v>
      </c>
      <c r="BA53" s="2">
        <v>-5.42459956E-8</v>
      </c>
      <c r="BB53" s="51">
        <v>5.9965836000000003E-9</v>
      </c>
      <c r="BC53" s="24">
        <v>-6.3543269799999999E-8</v>
      </c>
      <c r="BD53" s="25">
        <v>-1.1662640125E-6</v>
      </c>
      <c r="BG53" s="2" t="s">
        <v>192</v>
      </c>
      <c r="BH53" s="2">
        <f xml:space="preserve"> BH50*SIN(BH42) + BH51*COS(BH42)</f>
        <v>0.36515300613059792</v>
      </c>
      <c r="BI53" s="2"/>
      <c r="BJ53" s="2"/>
      <c r="BK53" s="2" t="s">
        <v>192</v>
      </c>
      <c r="BL53" s="2">
        <f xml:space="preserve"> BL50*SIN(BL42) + BL51*COS(BL42)</f>
        <v>0.33544050008205134</v>
      </c>
      <c r="BM53" s="2"/>
      <c r="BO53" s="2">
        <v>15</v>
      </c>
      <c r="BP53" s="2">
        <f t="shared" si="35"/>
        <v>0.3537839065860503</v>
      </c>
      <c r="BQ53" s="2">
        <v>-4.8749737721062725E-4</v>
      </c>
      <c r="BR53" s="2">
        <f t="shared" si="36"/>
        <v>0.35395456194870256</v>
      </c>
      <c r="BS53" s="2">
        <v>8.7685182427799102E-5</v>
      </c>
      <c r="BT53" s="2">
        <f t="shared" si="27"/>
        <v>0.35386923426737643</v>
      </c>
      <c r="BU53" s="2">
        <v>-1.9988521239713841E-4</v>
      </c>
      <c r="BV53" s="2">
        <f t="shared" si="28"/>
        <v>9.7443516786794135E-8</v>
      </c>
      <c r="BW53" s="2">
        <f t="shared" si="29"/>
        <v>-1.7526971313662451E-8</v>
      </c>
      <c r="BX53" s="2">
        <f t="shared" si="30"/>
        <v>1.7065536265226111E-4</v>
      </c>
      <c r="BZ53" s="2">
        <v>15</v>
      </c>
      <c r="CA53" s="2">
        <f t="shared" si="37"/>
        <v>0.31845824651702881</v>
      </c>
      <c r="CB53" s="2">
        <v>-9.1452016369591993E-6</v>
      </c>
      <c r="CC53" s="2">
        <f t="shared" si="38"/>
        <v>0.31862890187968107</v>
      </c>
      <c r="CD53" s="2">
        <v>5.1641130783763173E-4</v>
      </c>
      <c r="CE53" s="2">
        <f t="shared" si="31"/>
        <v>0.31854357419835494</v>
      </c>
      <c r="CF53" s="2">
        <v>2.5365421450852799E-4</v>
      </c>
      <c r="CG53" s="2">
        <f t="shared" si="32"/>
        <v>-2.31971893774499E-9</v>
      </c>
      <c r="CH53" s="2">
        <f t="shared" si="33"/>
        <v>1.3098990465287611E-7</v>
      </c>
      <c r="CI53" s="2">
        <f t="shared" si="34"/>
        <v>1.7065536265226111E-4</v>
      </c>
    </row>
    <row r="54" spans="2:87" x14ac:dyDescent="0.2">
      <c r="B54" s="59" t="s">
        <v>253</v>
      </c>
      <c r="C54" s="59"/>
      <c r="D54" s="59"/>
      <c r="AF54" s="2">
        <v>5</v>
      </c>
      <c r="AG54" s="2">
        <f t="shared" si="43"/>
        <v>593.75</v>
      </c>
      <c r="AH54" s="2">
        <v>761.91586294721947</v>
      </c>
      <c r="AI54" s="2">
        <f t="shared" si="44"/>
        <v>684.375</v>
      </c>
      <c r="AJ54" s="2">
        <v>-39.944756981106366</v>
      </c>
      <c r="AK54" s="2">
        <f t="shared" si="39"/>
        <v>639.0625</v>
      </c>
      <c r="AL54" s="2">
        <v>375.19946372750701</v>
      </c>
      <c r="AM54" s="2">
        <f t="shared" si="40"/>
        <v>285870.42318327748</v>
      </c>
      <c r="AN54" s="2">
        <f t="shared" si="41"/>
        <v>-14987.2513980367</v>
      </c>
      <c r="AO54" s="2">
        <f t="shared" si="42"/>
        <v>90.625</v>
      </c>
      <c r="AU54" s="70"/>
      <c r="AV54" s="27">
        <v>-2.5152080542999999E-6</v>
      </c>
      <c r="AW54" s="2">
        <v>3.1024404767040001E-4</v>
      </c>
      <c r="AX54" s="31">
        <v>2.5353308848270002E-4</v>
      </c>
      <c r="AY54" s="2">
        <v>-2.3838353068999999E-6</v>
      </c>
      <c r="AZ54" s="2">
        <v>6.7252067827910001E-4</v>
      </c>
      <c r="BA54" s="2">
        <v>-1.27258419497411E-2</v>
      </c>
      <c r="BB54" s="27">
        <v>9.3159135848999998E-6</v>
      </c>
      <c r="BC54" s="2">
        <v>1.3749855601419999E-4</v>
      </c>
      <c r="BD54" s="31">
        <v>-3.8346064905490001E-4</v>
      </c>
      <c r="BG54" s="2" t="s">
        <v>38</v>
      </c>
      <c r="BH54" s="2">
        <f xml:space="preserve"> 4*BH49*SIN(BH42)*SIN(BH42) / (BH46*BH52)</f>
        <v>1.1494487975248187</v>
      </c>
      <c r="BI54" s="2"/>
      <c r="BJ54" s="2"/>
      <c r="BK54" s="2" t="s">
        <v>38</v>
      </c>
      <c r="BL54" s="2">
        <f xml:space="preserve"> 4*BL49*SIN(BL42)*SIN(BL42) / (BL46*BL52)</f>
        <v>1.1366715156120055</v>
      </c>
      <c r="BM54" s="2"/>
      <c r="BO54" s="2">
        <v>16</v>
      </c>
      <c r="BP54" s="2">
        <f t="shared" si="35"/>
        <v>0.35386923426737643</v>
      </c>
      <c r="BQ54" s="2">
        <v>-1.9988521239713841E-4</v>
      </c>
      <c r="BR54" s="2">
        <f t="shared" si="36"/>
        <v>0.35395456194870256</v>
      </c>
      <c r="BS54" s="2">
        <v>8.7685182427799102E-5</v>
      </c>
      <c r="BT54" s="2">
        <f t="shared" si="27"/>
        <v>0.35391189810803947</v>
      </c>
      <c r="BU54" s="2">
        <v>-5.6094793490321648E-5</v>
      </c>
      <c r="BV54" s="2">
        <f t="shared" si="28"/>
        <v>1.1212519711186561E-8</v>
      </c>
      <c r="BW54" s="2">
        <f t="shared" si="29"/>
        <v>-4.9186822004485715E-9</v>
      </c>
      <c r="BX54" s="2">
        <f t="shared" si="30"/>
        <v>8.5327681326130556E-5</v>
      </c>
      <c r="BZ54" s="2">
        <v>16</v>
      </c>
      <c r="CA54" s="2">
        <f t="shared" si="37"/>
        <v>0.31845824651702881</v>
      </c>
      <c r="CB54" s="2">
        <v>-9.1452016369591993E-6</v>
      </c>
      <c r="CC54" s="2">
        <f t="shared" si="38"/>
        <v>0.31854357419835494</v>
      </c>
      <c r="CD54" s="2">
        <v>2.5365421450852799E-4</v>
      </c>
      <c r="CE54" s="2">
        <f t="shared" si="31"/>
        <v>0.3185009103576919</v>
      </c>
      <c r="CF54" s="2">
        <v>1.2225979728591047E-4</v>
      </c>
      <c r="CG54" s="2">
        <f t="shared" si="32"/>
        <v>-1.1180904982734083E-9</v>
      </c>
      <c r="CH54" s="2">
        <f t="shared" si="33"/>
        <v>3.101171284652948E-8</v>
      </c>
      <c r="CI54" s="2">
        <f t="shared" si="34"/>
        <v>8.5327681326130556E-5</v>
      </c>
    </row>
    <row r="55" spans="2:87" x14ac:dyDescent="0.2">
      <c r="B55" s="6" t="s">
        <v>254</v>
      </c>
      <c r="C55" s="17">
        <v>1.1798999999999999</v>
      </c>
      <c r="AF55" s="2">
        <v>6</v>
      </c>
      <c r="AG55" s="2">
        <f t="shared" si="43"/>
        <v>639.0625</v>
      </c>
      <c r="AH55" s="2">
        <v>375.19946372750701</v>
      </c>
      <c r="AI55" s="2">
        <f t="shared" si="44"/>
        <v>684.375</v>
      </c>
      <c r="AJ55" s="2">
        <v>-39.944756981106366</v>
      </c>
      <c r="AK55" s="2">
        <f t="shared" si="39"/>
        <v>661.71875</v>
      </c>
      <c r="AL55" s="2">
        <v>171.18083105931237</v>
      </c>
      <c r="AM55" s="2">
        <f t="shared" si="40"/>
        <v>64226.956013882977</v>
      </c>
      <c r="AN55" s="2">
        <f t="shared" si="41"/>
        <v>-6837.7766964880575</v>
      </c>
      <c r="AO55" s="2">
        <f t="shared" si="42"/>
        <v>45.3125</v>
      </c>
      <c r="AU55" s="71"/>
      <c r="AV55" s="67">
        <v>-1.5880058514071E-2</v>
      </c>
      <c r="AW55" s="68"/>
      <c r="AX55" s="69"/>
      <c r="AY55" s="68">
        <v>0.110802661807325</v>
      </c>
      <c r="AZ55" s="68"/>
      <c r="BA55" s="68"/>
      <c r="BB55" s="67">
        <v>7.4721088420790002E-3</v>
      </c>
      <c r="BC55" s="68"/>
      <c r="BD55" s="69"/>
      <c r="BG55" s="2" t="s">
        <v>194</v>
      </c>
      <c r="BH55" s="2">
        <f xml:space="preserve"> 4*BH49*SIN(BH42)*COS(BH42) / (BH46*BH53)</f>
        <v>10.938407811930844</v>
      </c>
      <c r="BI55" s="2"/>
      <c r="BJ55" s="2"/>
      <c r="BK55" s="2" t="s">
        <v>194</v>
      </c>
      <c r="BL55" s="2">
        <f xml:space="preserve"> 4*BL49*SIN(BL42)*COS(BL42) / (BL46*BL53)</f>
        <v>12.266094160309461</v>
      </c>
      <c r="BM55" s="2"/>
      <c r="BO55" s="2">
        <v>17</v>
      </c>
      <c r="BP55" s="2">
        <f t="shared" si="35"/>
        <v>0.35391189810803947</v>
      </c>
      <c r="BQ55" s="2">
        <v>-5.6094793490321648E-5</v>
      </c>
      <c r="BR55" s="2">
        <f t="shared" si="36"/>
        <v>0.35395456194870256</v>
      </c>
      <c r="BS55" s="2">
        <v>8.7685182427799102E-5</v>
      </c>
      <c r="BT55" s="2">
        <f t="shared" si="27"/>
        <v>0.35393323002837102</v>
      </c>
      <c r="BU55" s="2">
        <v>1.5796499873196868E-5</v>
      </c>
      <c r="BV55" s="2">
        <f t="shared" si="28"/>
        <v>-8.8610139825687041E-10</v>
      </c>
      <c r="BW55" s="2">
        <f t="shared" si="29"/>
        <v>1.3851189731019726E-9</v>
      </c>
      <c r="BX55" s="2">
        <f t="shared" si="30"/>
        <v>4.2663840663093033E-5</v>
      </c>
      <c r="BZ55" s="2">
        <v>17</v>
      </c>
      <c r="CA55" s="2">
        <f t="shared" si="37"/>
        <v>0.31845824651702881</v>
      </c>
      <c r="CB55" s="2">
        <v>-9.1452016369591993E-6</v>
      </c>
      <c r="CC55" s="2">
        <f t="shared" si="38"/>
        <v>0.3185009103576919</v>
      </c>
      <c r="CD55" s="2">
        <v>1.2225979728591047E-4</v>
      </c>
      <c r="CE55" s="2">
        <f t="shared" si="31"/>
        <v>0.31847957843736036</v>
      </c>
      <c r="CF55" s="2">
        <v>5.6558620599229947E-5</v>
      </c>
      <c r="CG55" s="2">
        <f t="shared" si="32"/>
        <v>-5.1723998968823203E-10</v>
      </c>
      <c r="CH55" s="2">
        <f t="shared" si="33"/>
        <v>6.9148454892325732E-9</v>
      </c>
      <c r="CI55" s="2">
        <f t="shared" si="34"/>
        <v>4.2663840663093033E-5</v>
      </c>
    </row>
    <row r="56" spans="2:87" x14ac:dyDescent="0.2">
      <c r="B56" s="6" t="s">
        <v>255</v>
      </c>
      <c r="C56" s="17">
        <f>27.34325*0.3048^2</f>
        <v>2.5402710484800002</v>
      </c>
      <c r="D56" s="6" t="s">
        <v>11</v>
      </c>
      <c r="AF56" s="2">
        <v>7</v>
      </c>
      <c r="AG56" s="2">
        <f t="shared" si="43"/>
        <v>661.71875</v>
      </c>
      <c r="AH56" s="2">
        <v>171.18083105931237</v>
      </c>
      <c r="AI56" s="2">
        <f t="shared" si="44"/>
        <v>684.375</v>
      </c>
      <c r="AJ56" s="2">
        <v>-39.944756981106366</v>
      </c>
      <c r="AK56" s="2">
        <f t="shared" si="39"/>
        <v>673.046875</v>
      </c>
      <c r="AL56" s="2">
        <v>66.506406460631297</v>
      </c>
      <c r="AM56" s="2">
        <f t="shared" si="40"/>
        <v>11384.621928699287</v>
      </c>
      <c r="AN56" s="2">
        <f t="shared" si="41"/>
        <v>-2656.5822437565994</v>
      </c>
      <c r="AO56" s="2">
        <f t="shared" si="42"/>
        <v>22.65625</v>
      </c>
      <c r="BG56" s="2" t="s">
        <v>45</v>
      </c>
      <c r="BH56" s="2">
        <f>1/(BH54-1)</f>
        <v>6.6912549084507154</v>
      </c>
      <c r="BI56" s="2"/>
      <c r="BJ56" s="2"/>
      <c r="BK56" s="2" t="s">
        <v>45</v>
      </c>
      <c r="BL56" s="2">
        <f>1/(BL54-1)</f>
        <v>7.3168135695435126</v>
      </c>
      <c r="BM56" s="2"/>
      <c r="BO56" s="2">
        <v>18</v>
      </c>
      <c r="BP56" s="2">
        <f t="shared" si="35"/>
        <v>0.35391189810803947</v>
      </c>
      <c r="BQ56" s="2">
        <v>-5.6094793490321648E-5</v>
      </c>
      <c r="BR56" s="2">
        <f t="shared" si="36"/>
        <v>0.35393323002837102</v>
      </c>
      <c r="BS56" s="2">
        <v>1.5796499873196868E-5</v>
      </c>
      <c r="BT56" s="2">
        <f t="shared" si="27"/>
        <v>0.35392256406820521</v>
      </c>
      <c r="BU56" s="2">
        <v>-2.0148820461328432E-5</v>
      </c>
      <c r="BV56" s="2">
        <f t="shared" si="28"/>
        <v>1.1302439228517857E-9</v>
      </c>
      <c r="BW56" s="2">
        <f t="shared" si="29"/>
        <v>-3.1828083986244103E-10</v>
      </c>
      <c r="BX56" s="2">
        <f t="shared" si="30"/>
        <v>2.1331920331546517E-5</v>
      </c>
      <c r="BZ56" s="2">
        <v>18</v>
      </c>
      <c r="CA56" s="2">
        <f t="shared" si="37"/>
        <v>0.31845824651702881</v>
      </c>
      <c r="CB56" s="2">
        <v>-9.1452016369591993E-6</v>
      </c>
      <c r="CC56" s="2">
        <f t="shared" si="38"/>
        <v>0.31847957843736036</v>
      </c>
      <c r="CD56" s="2">
        <v>5.6558620599229947E-5</v>
      </c>
      <c r="CE56" s="2">
        <f t="shared" si="31"/>
        <v>0.31846891247719455</v>
      </c>
      <c r="CF56" s="2">
        <v>2.3707040182521788E-5</v>
      </c>
      <c r="CG56" s="2">
        <f t="shared" si="32"/>
        <v>-2.1680566268465578E-10</v>
      </c>
      <c r="CH56" s="2">
        <f t="shared" si="33"/>
        <v>1.3408374912139488E-9</v>
      </c>
      <c r="CI56" s="2">
        <f t="shared" si="34"/>
        <v>2.1331920331546517E-5</v>
      </c>
    </row>
    <row r="57" spans="2:87" x14ac:dyDescent="0.2">
      <c r="B57" s="6" t="s">
        <v>256</v>
      </c>
      <c r="C57" s="17">
        <f>0.115*9.73719*0.3048</f>
        <v>0.34130798388000005</v>
      </c>
      <c r="D57" s="6" t="s">
        <v>8</v>
      </c>
      <c r="AF57" s="2">
        <v>8</v>
      </c>
      <c r="AG57" s="2">
        <f t="shared" si="43"/>
        <v>673.046875</v>
      </c>
      <c r="AH57" s="2">
        <v>66.506406460631297</v>
      </c>
      <c r="AI57" s="2">
        <f t="shared" si="44"/>
        <v>684.375</v>
      </c>
      <c r="AJ57" s="2">
        <v>-39.944756981106366</v>
      </c>
      <c r="AK57" s="2">
        <f t="shared" si="39"/>
        <v>678.7109375</v>
      </c>
      <c r="AL57" s="2">
        <v>13.502917095144767</v>
      </c>
      <c r="AM57" s="2">
        <f t="shared" si="40"/>
        <v>898.03049273390468</v>
      </c>
      <c r="AN57" s="2">
        <f t="shared" si="41"/>
        <v>-539.37074190158444</v>
      </c>
      <c r="AO57" s="2">
        <f t="shared" si="42"/>
        <v>11.328125</v>
      </c>
      <c r="BG57" s="2" t="s">
        <v>197</v>
      </c>
      <c r="BH57" s="2">
        <f>1/(BH55+1)</f>
        <v>8.3763263556856676E-2</v>
      </c>
      <c r="BI57" s="2"/>
      <c r="BJ57" s="2"/>
      <c r="BK57" s="2" t="s">
        <v>197</v>
      </c>
      <c r="BL57" s="2">
        <f>1/(BL55+1)</f>
        <v>7.5380137357375185E-2</v>
      </c>
      <c r="BM57" s="2"/>
      <c r="BO57" s="2">
        <v>19</v>
      </c>
      <c r="BP57" s="2">
        <f t="shared" si="35"/>
        <v>0.35392256406820521</v>
      </c>
      <c r="BQ57" s="2">
        <v>-2.0148820461328432E-5</v>
      </c>
      <c r="BR57" s="2">
        <f t="shared" si="36"/>
        <v>0.35393323002837102</v>
      </c>
      <c r="BS57" s="2">
        <v>1.5796499873196868E-5</v>
      </c>
      <c r="BT57" s="2">
        <f t="shared" si="27"/>
        <v>0.35392789704828809</v>
      </c>
      <c r="BU57" s="2">
        <v>-2.1760787068669796E-6</v>
      </c>
      <c r="BV57" s="2">
        <f t="shared" si="28"/>
        <v>4.3845419174382515E-11</v>
      </c>
      <c r="BW57" s="2">
        <f t="shared" si="29"/>
        <v>-3.4374427017090646E-11</v>
      </c>
      <c r="BX57" s="2">
        <f t="shared" si="30"/>
        <v>1.0665960165801014E-5</v>
      </c>
      <c r="BZ57" s="2">
        <v>19</v>
      </c>
      <c r="CA57" s="2">
        <f t="shared" si="37"/>
        <v>0.31845824651702881</v>
      </c>
      <c r="CB57" s="2">
        <v>-9.1452016369591993E-6</v>
      </c>
      <c r="CC57" s="2">
        <f t="shared" si="38"/>
        <v>0.31846891247719455</v>
      </c>
      <c r="CD57" s="2">
        <v>2.3707040182521788E-5</v>
      </c>
      <c r="CE57" s="2">
        <f t="shared" si="31"/>
        <v>0.31846357949711168</v>
      </c>
      <c r="CF57" s="2">
        <v>7.2810019489388811E-6</v>
      </c>
      <c r="CG57" s="2">
        <f t="shared" si="32"/>
        <v>-6.6586230942138976E-11</v>
      </c>
      <c r="CH57" s="2">
        <f t="shared" si="33"/>
        <v>1.726110057725135E-10</v>
      </c>
      <c r="CI57" s="2">
        <f t="shared" si="34"/>
        <v>1.0665960165745503E-5</v>
      </c>
    </row>
    <row r="58" spans="2:87" x14ac:dyDescent="0.2">
      <c r="B58" s="6" t="s">
        <v>257</v>
      </c>
      <c r="C58" s="17">
        <v>35</v>
      </c>
      <c r="D58" s="6" t="s">
        <v>43</v>
      </c>
      <c r="AF58" s="2">
        <v>9</v>
      </c>
      <c r="AG58" s="2">
        <f t="shared" si="43"/>
        <v>678.7109375</v>
      </c>
      <c r="AH58" s="2">
        <v>13.502917095144767</v>
      </c>
      <c r="AI58" s="2">
        <f t="shared" si="44"/>
        <v>684.375</v>
      </c>
      <c r="AJ58" s="2">
        <v>-39.944756981106366</v>
      </c>
      <c r="AK58" s="2">
        <f t="shared" si="39"/>
        <v>681.54296875</v>
      </c>
      <c r="AL58" s="2">
        <v>-13.165396854135452</v>
      </c>
      <c r="AM58" s="2">
        <f t="shared" si="40"/>
        <v>-177.77126224607073</v>
      </c>
      <c r="AN58" s="2">
        <f t="shared" si="41"/>
        <v>525.88857789826284</v>
      </c>
      <c r="AO58" s="2">
        <f t="shared" si="42"/>
        <v>5.6640625</v>
      </c>
      <c r="BG58" s="7" t="s">
        <v>199</v>
      </c>
      <c r="BH58" s="40">
        <f>SIN(BH42)/(1+BH56) - $AR$3*COS(BH42)/($AV$5*$AR$23*(1-BH57))</f>
        <v>-1.9661369823897878E-9</v>
      </c>
      <c r="BI58" s="40"/>
      <c r="BJ58" s="2"/>
      <c r="BK58" s="7" t="s">
        <v>199</v>
      </c>
      <c r="BL58" s="40">
        <f>SIN(BL42)/(1+BL56) - $AR$3*COS(BL42)/($AV$5*$AR$24*(1-BL57))</f>
        <v>-1.1003073174808975E-9</v>
      </c>
      <c r="BM58" s="40"/>
      <c r="BO58" s="2">
        <v>20</v>
      </c>
      <c r="BP58" s="2">
        <f t="shared" si="35"/>
        <v>0.35392789704828809</v>
      </c>
      <c r="BQ58" s="2">
        <v>-2.1760787068669796E-6</v>
      </c>
      <c r="BR58" s="2">
        <f t="shared" si="36"/>
        <v>0.35393323002837102</v>
      </c>
      <c r="BS58" s="2">
        <v>1.5796499873196868E-5</v>
      </c>
      <c r="BT58" s="2">
        <f t="shared" si="27"/>
        <v>0.35393056353832952</v>
      </c>
      <c r="BU58" s="2">
        <v>6.8102309799603078E-6</v>
      </c>
      <c r="BV58" s="2">
        <f t="shared" si="28"/>
        <v>-1.4819598624337471E-11</v>
      </c>
      <c r="BW58" s="2">
        <f t="shared" si="29"/>
        <v>1.0757781281138438E-10</v>
      </c>
      <c r="BX58" s="2">
        <f t="shared" si="30"/>
        <v>5.3329800829282625E-6</v>
      </c>
      <c r="BZ58" s="2">
        <v>20</v>
      </c>
      <c r="CA58" s="2">
        <f t="shared" si="37"/>
        <v>0.31845824651702881</v>
      </c>
      <c r="CB58" s="2">
        <v>-9.1452016369591993E-6</v>
      </c>
      <c r="CC58" s="2">
        <f t="shared" si="38"/>
        <v>0.31846357949711168</v>
      </c>
      <c r="CD58" s="2">
        <v>7.2810019489388811E-6</v>
      </c>
      <c r="CE58" s="2">
        <f t="shared" si="31"/>
        <v>0.31846091300707025</v>
      </c>
      <c r="CF58" s="2">
        <v>-9.3207917473137059E-7</v>
      </c>
      <c r="CG58" s="2">
        <f t="shared" si="32"/>
        <v>8.5240519945289092E-12</v>
      </c>
      <c r="CH58" s="2">
        <f t="shared" si="33"/>
        <v>-6.7864702877844532E-12</v>
      </c>
      <c r="CI58" s="2">
        <f t="shared" si="34"/>
        <v>5.3329800828727514E-6</v>
      </c>
    </row>
    <row r="59" spans="2:87" x14ac:dyDescent="0.2">
      <c r="AF59" s="2">
        <v>10</v>
      </c>
      <c r="AG59" s="2">
        <f t="shared" si="43"/>
        <v>678.7109375</v>
      </c>
      <c r="AH59" s="2">
        <v>13.502917095144767</v>
      </c>
      <c r="AI59" s="2">
        <f t="shared" si="44"/>
        <v>681.54296875</v>
      </c>
      <c r="AJ59" s="2">
        <v>-13.165396854135452</v>
      </c>
      <c r="AK59" s="2">
        <f t="shared" si="39"/>
        <v>680.126953125</v>
      </c>
      <c r="AL59" s="2">
        <v>0.18264089271588091</v>
      </c>
      <c r="AM59" s="2">
        <f t="shared" si="40"/>
        <v>2.4661848325257698</v>
      </c>
      <c r="AN59" s="2">
        <f t="shared" si="41"/>
        <v>-2.404539834398149</v>
      </c>
      <c r="AO59" s="2">
        <f t="shared" si="42"/>
        <v>2.83203125</v>
      </c>
      <c r="BG59" s="2"/>
      <c r="BH59" s="2"/>
      <c r="BI59" s="2"/>
      <c r="BJ59" s="2"/>
      <c r="BK59" s="2"/>
      <c r="BL59" s="2"/>
      <c r="BM59" s="2"/>
      <c r="BO59" s="2">
        <v>21</v>
      </c>
      <c r="BP59" s="2">
        <f t="shared" si="35"/>
        <v>0.35392789704828809</v>
      </c>
      <c r="BQ59" s="2">
        <v>-2.1760787068669796E-6</v>
      </c>
      <c r="BR59" s="2">
        <f t="shared" si="36"/>
        <v>0.35393056353832952</v>
      </c>
      <c r="BS59" s="2">
        <v>6.8102309799603078E-6</v>
      </c>
      <c r="BT59" s="2">
        <f t="shared" si="27"/>
        <v>0.35392923029330881</v>
      </c>
      <c r="BU59" s="2">
        <v>2.3170812356795856E-6</v>
      </c>
      <c r="BV59" s="2">
        <f t="shared" si="28"/>
        <v>-5.0421511390433754E-12</v>
      </c>
      <c r="BW59" s="2">
        <f t="shared" si="29"/>
        <v>1.5779858414309826E-11</v>
      </c>
      <c r="BX59" s="2">
        <f t="shared" si="30"/>
        <v>2.6664900414363757E-6</v>
      </c>
      <c r="BZ59" s="2">
        <v>21</v>
      </c>
      <c r="CA59" s="2">
        <f t="shared" si="37"/>
        <v>0.31846091300707025</v>
      </c>
      <c r="CB59" s="2">
        <v>-9.3207917473137059E-7</v>
      </c>
      <c r="CC59" s="2">
        <f t="shared" si="38"/>
        <v>0.31846357949711168</v>
      </c>
      <c r="CD59" s="2">
        <v>7.2810019489388811E-6</v>
      </c>
      <c r="CE59" s="2">
        <f t="shared" si="31"/>
        <v>0.31846224625209096</v>
      </c>
      <c r="CF59" s="2">
        <v>3.1744665544772288E-6</v>
      </c>
      <c r="CG59" s="2">
        <f t="shared" si="32"/>
        <v>-2.9588541663094729E-12</v>
      </c>
      <c r="CH59" s="2">
        <f t="shared" si="33"/>
        <v>2.3113297169989999E-11</v>
      </c>
      <c r="CI59" s="2">
        <f t="shared" si="34"/>
        <v>2.6664900414363757E-6</v>
      </c>
    </row>
    <row r="60" spans="2:87" x14ac:dyDescent="0.2">
      <c r="B60" s="55" t="s">
        <v>2</v>
      </c>
      <c r="C60" s="58"/>
      <c r="D60" s="58"/>
      <c r="AF60" s="2">
        <v>11</v>
      </c>
      <c r="AG60" s="2">
        <f t="shared" si="43"/>
        <v>680.126953125</v>
      </c>
      <c r="AH60" s="2">
        <v>0.18264089271588091</v>
      </c>
      <c r="AI60" s="2">
        <f t="shared" si="44"/>
        <v>681.54296875</v>
      </c>
      <c r="AJ60" s="2">
        <v>-13.165396854135452</v>
      </c>
      <c r="AK60" s="2">
        <f t="shared" si="39"/>
        <v>680.8349609375</v>
      </c>
      <c r="AL60" s="2">
        <v>-6.4879077876580595</v>
      </c>
      <c r="AM60" s="2">
        <f t="shared" si="40"/>
        <v>-1.1849572701961839</v>
      </c>
      <c r="AN60" s="2">
        <f t="shared" si="41"/>
        <v>85.415880777554321</v>
      </c>
      <c r="AO60" s="2">
        <f t="shared" si="42"/>
        <v>1.416015625</v>
      </c>
      <c r="BG60" s="62" t="s">
        <v>206</v>
      </c>
      <c r="BH60" s="62"/>
      <c r="BI60" s="62"/>
      <c r="BJ60" s="2"/>
      <c r="BK60" s="62" t="s">
        <v>220</v>
      </c>
      <c r="BL60" s="62"/>
      <c r="BM60" s="62"/>
      <c r="BO60" s="2">
        <v>22</v>
      </c>
      <c r="BP60" s="2">
        <f t="shared" si="35"/>
        <v>0.35392789704828809</v>
      </c>
      <c r="BQ60" s="2">
        <v>-2.1760787068669796E-6</v>
      </c>
      <c r="BR60" s="2">
        <f t="shared" si="36"/>
        <v>0.35392923029330881</v>
      </c>
      <c r="BS60" s="2">
        <v>2.3170812356795856E-6</v>
      </c>
      <c r="BT60" s="2">
        <f t="shared" si="27"/>
        <v>0.35392856367079845</v>
      </c>
      <c r="BU60" s="2">
        <v>7.0502539153971533E-8</v>
      </c>
      <c r="BV60" s="2">
        <f t="shared" si="28"/>
        <v>-1.5341907423301297E-13</v>
      </c>
      <c r="BW60" s="2">
        <f t="shared" si="29"/>
        <v>1.6336011054143272E-13</v>
      </c>
      <c r="BX60" s="2">
        <f t="shared" si="30"/>
        <v>1.3332450207181878E-6</v>
      </c>
      <c r="BZ60" s="2">
        <v>22</v>
      </c>
      <c r="CA60" s="2">
        <f t="shared" si="37"/>
        <v>0.31846091300707025</v>
      </c>
      <c r="CB60" s="2">
        <v>-9.3207917473137059E-7</v>
      </c>
      <c r="CC60" s="2">
        <f t="shared" si="38"/>
        <v>0.31846224625209096</v>
      </c>
      <c r="CD60" s="2">
        <v>3.1744665544772288E-6</v>
      </c>
      <c r="CE60" s="2">
        <f t="shared" si="31"/>
        <v>0.3184615796295806</v>
      </c>
      <c r="CF60" s="2">
        <v>1.1211949816625211E-6</v>
      </c>
      <c r="CG60" s="2">
        <f t="shared" si="32"/>
        <v>-1.0450424932209568E-12</v>
      </c>
      <c r="CH60" s="2">
        <f t="shared" si="33"/>
        <v>3.5591959703353828E-12</v>
      </c>
      <c r="CI60" s="2">
        <f t="shared" si="34"/>
        <v>1.3332450207181878E-6</v>
      </c>
    </row>
    <row r="61" spans="2:87" x14ac:dyDescent="0.2">
      <c r="B61" s="6" t="s">
        <v>3</v>
      </c>
      <c r="C61" s="17">
        <v>250</v>
      </c>
      <c r="D61" s="6" t="s">
        <v>4</v>
      </c>
      <c r="AF61" s="2">
        <v>12</v>
      </c>
      <c r="AG61" s="2">
        <f t="shared" si="43"/>
        <v>680.126953125</v>
      </c>
      <c r="AH61" s="2">
        <v>0.18264089271588091</v>
      </c>
      <c r="AI61" s="2">
        <f t="shared" si="44"/>
        <v>680.8349609375</v>
      </c>
      <c r="AJ61" s="2">
        <v>-6.4879077876580595</v>
      </c>
      <c r="AK61" s="2">
        <f t="shared" si="39"/>
        <v>680.48095703125</v>
      </c>
      <c r="AL61" s="2">
        <v>-3.1517658992074757</v>
      </c>
      <c r="AM61" s="2">
        <f t="shared" si="40"/>
        <v>-0.5756413374627245</v>
      </c>
      <c r="AN61" s="2">
        <f t="shared" si="41"/>
        <v>20.448366522343289</v>
      </c>
      <c r="AO61" s="2">
        <f t="shared" si="42"/>
        <v>0.7080078125</v>
      </c>
      <c r="BG61" s="28" t="s">
        <v>154</v>
      </c>
      <c r="BH61" s="29">
        <f>BT136</f>
        <v>0.26282147610336321</v>
      </c>
      <c r="BI61" s="5" t="s">
        <v>155</v>
      </c>
      <c r="BJ61" s="2"/>
      <c r="BK61" s="28" t="s">
        <v>154</v>
      </c>
      <c r="BL61" s="29">
        <f>CE136</f>
        <v>0.27412810216549394</v>
      </c>
      <c r="BM61" s="5" t="s">
        <v>155</v>
      </c>
      <c r="BO61" s="2">
        <v>23</v>
      </c>
      <c r="BP61" s="2">
        <f t="shared" si="35"/>
        <v>0.35392789704828809</v>
      </c>
      <c r="BQ61" s="2">
        <v>-2.1760787068669796E-6</v>
      </c>
      <c r="BR61" s="2">
        <f t="shared" si="36"/>
        <v>0.35392856367079845</v>
      </c>
      <c r="BS61" s="2">
        <v>7.0502539153971533E-8</v>
      </c>
      <c r="BT61" s="2">
        <f t="shared" si="27"/>
        <v>0.35392823035954324</v>
      </c>
      <c r="BU61" s="2">
        <v>-1.0527877652363737E-6</v>
      </c>
      <c r="BV61" s="2">
        <f t="shared" si="28"/>
        <v>2.2909490387809456E-12</v>
      </c>
      <c r="BW61" s="2">
        <f t="shared" si="29"/>
        <v>-7.422421063939963E-14</v>
      </c>
      <c r="BX61" s="2">
        <f t="shared" si="30"/>
        <v>6.6662251035909392E-7</v>
      </c>
      <c r="BZ61" s="2">
        <v>23</v>
      </c>
      <c r="CA61" s="2">
        <f t="shared" si="37"/>
        <v>0.31846091300707025</v>
      </c>
      <c r="CB61" s="2">
        <v>-9.3207917473137059E-7</v>
      </c>
      <c r="CC61" s="2">
        <f t="shared" si="38"/>
        <v>0.3184615796295806</v>
      </c>
      <c r="CD61" s="2">
        <v>1.1211949816625211E-6</v>
      </c>
      <c r="CE61" s="2">
        <f t="shared" si="31"/>
        <v>0.3184612463183254</v>
      </c>
      <c r="CF61" s="2">
        <v>9.4558226339247486E-8</v>
      </c>
      <c r="CG61" s="2">
        <f t="shared" si="32"/>
        <v>-8.8135753570347941E-14</v>
      </c>
      <c r="CH61" s="2">
        <f t="shared" si="33"/>
        <v>1.060182088464731E-13</v>
      </c>
      <c r="CI61" s="2">
        <f t="shared" si="34"/>
        <v>6.6662251035909392E-7</v>
      </c>
    </row>
    <row r="62" spans="2:87" x14ac:dyDescent="0.2">
      <c r="B62" s="6" t="s">
        <v>5</v>
      </c>
      <c r="C62" s="17">
        <v>0.85</v>
      </c>
      <c r="AF62" s="2">
        <v>13</v>
      </c>
      <c r="AG62" s="2">
        <f t="shared" si="43"/>
        <v>680.126953125</v>
      </c>
      <c r="AH62" s="2">
        <v>0.18264089271588091</v>
      </c>
      <c r="AI62" s="2">
        <f t="shared" si="44"/>
        <v>680.48095703125</v>
      </c>
      <c r="AJ62" s="2">
        <v>-3.1517658992074757</v>
      </c>
      <c r="AK62" s="2">
        <f t="shared" si="39"/>
        <v>680.303955078125</v>
      </c>
      <c r="AL62" s="2">
        <v>-1.4843456161797803</v>
      </c>
      <c r="AM62" s="2">
        <f t="shared" si="40"/>
        <v>-0.27110220843797939</v>
      </c>
      <c r="AN62" s="2">
        <f t="shared" si="41"/>
        <v>4.6783098957135403</v>
      </c>
      <c r="AO62" s="2">
        <f t="shared" si="42"/>
        <v>0.35400390625</v>
      </c>
      <c r="BG62" s="2" t="s">
        <v>159</v>
      </c>
      <c r="BH62" s="2">
        <f>($AR$41+$AR$5)/180*PI()</f>
        <v>0.38515606440586897</v>
      </c>
      <c r="BI62" s="2" t="s">
        <v>155</v>
      </c>
      <c r="BJ62" s="2"/>
      <c r="BK62" s="2" t="s">
        <v>159</v>
      </c>
      <c r="BL62" s="2">
        <f>($AR$42+$AR$5)/180*PI()</f>
        <v>0.35930337486070296</v>
      </c>
      <c r="BM62" s="2" t="s">
        <v>155</v>
      </c>
      <c r="BO62" s="2">
        <v>24</v>
      </c>
      <c r="BP62" s="2">
        <f t="shared" si="35"/>
        <v>0.35392823035954324</v>
      </c>
      <c r="BQ62" s="2">
        <v>-1.0527877652363737E-6</v>
      </c>
      <c r="BR62" s="2">
        <f t="shared" si="36"/>
        <v>0.35392856367079845</v>
      </c>
      <c r="BS62" s="2">
        <v>7.0502539153971533E-8</v>
      </c>
      <c r="BT62" s="2">
        <f t="shared" si="27"/>
        <v>0.35392839701517087</v>
      </c>
      <c r="BU62" s="2">
        <v>-4.9114253333065738E-7</v>
      </c>
      <c r="BV62" s="2">
        <f t="shared" si="28"/>
        <v>5.1706885007771396E-13</v>
      </c>
      <c r="BW62" s="2">
        <f t="shared" si="29"/>
        <v>-3.4626795686325443E-14</v>
      </c>
      <c r="BX62" s="2">
        <f t="shared" si="30"/>
        <v>3.3331125520730254E-7</v>
      </c>
      <c r="BZ62" s="2">
        <v>24</v>
      </c>
      <c r="CA62" s="2">
        <f t="shared" si="37"/>
        <v>0.31846091300707025</v>
      </c>
      <c r="CB62" s="2">
        <v>-9.3207917473137059E-7</v>
      </c>
      <c r="CC62" s="2">
        <f t="shared" si="38"/>
        <v>0.3184612463183254</v>
      </c>
      <c r="CD62" s="2">
        <v>9.4558226339247486E-8</v>
      </c>
      <c r="CE62" s="2">
        <f t="shared" si="31"/>
        <v>0.31846107966269782</v>
      </c>
      <c r="CF62" s="2">
        <v>-4.1876039346550042E-7</v>
      </c>
      <c r="CG62" s="2">
        <f t="shared" si="32"/>
        <v>3.9031784195150767E-13</v>
      </c>
      <c r="CH62" s="2">
        <f t="shared" si="33"/>
        <v>-3.9597240067223124E-14</v>
      </c>
      <c r="CI62" s="2">
        <f t="shared" si="34"/>
        <v>3.3331125515179139E-7</v>
      </c>
    </row>
    <row r="63" spans="2:87" x14ac:dyDescent="0.2">
      <c r="B63" s="6" t="s">
        <v>6</v>
      </c>
      <c r="C63" s="17">
        <v>0.8</v>
      </c>
      <c r="AF63" s="2">
        <v>14</v>
      </c>
      <c r="AG63" s="2">
        <f t="shared" si="43"/>
        <v>680.126953125</v>
      </c>
      <c r="AH63" s="2">
        <v>0.18264089271588091</v>
      </c>
      <c r="AI63" s="2">
        <f t="shared" si="44"/>
        <v>680.303955078125</v>
      </c>
      <c r="AJ63" s="2">
        <v>-1.4843456161797803</v>
      </c>
      <c r="AK63" s="2">
        <f t="shared" si="39"/>
        <v>680.2154541015625</v>
      </c>
      <c r="AL63" s="2">
        <v>-0.65079813996544544</v>
      </c>
      <c r="AM63" s="2">
        <f t="shared" si="40"/>
        <v>-0.11886235326112377</v>
      </c>
      <c r="AN63" s="2">
        <f t="shared" si="41"/>
        <v>0.96600936607566401</v>
      </c>
      <c r="AO63" s="2">
        <f t="shared" si="42"/>
        <v>0.177001953125</v>
      </c>
      <c r="BG63" s="2" t="s">
        <v>28</v>
      </c>
      <c r="BH63" s="2">
        <f>BH62-BH61</f>
        <v>0.12233458830250576</v>
      </c>
      <c r="BI63" s="2" t="s">
        <v>155</v>
      </c>
      <c r="BJ63" s="2"/>
      <c r="BK63" s="2" t="s">
        <v>28</v>
      </c>
      <c r="BL63" s="2">
        <f>BL62-BL61</f>
        <v>8.5175272695209026E-2</v>
      </c>
      <c r="BM63" s="2" t="s">
        <v>155</v>
      </c>
      <c r="BO63" s="2">
        <v>25</v>
      </c>
      <c r="BP63" s="2">
        <f t="shared" si="35"/>
        <v>0.35392839701517087</v>
      </c>
      <c r="BQ63" s="2">
        <v>-4.9114253333065738E-7</v>
      </c>
      <c r="BR63" s="2">
        <f t="shared" si="36"/>
        <v>0.35392856367079845</v>
      </c>
      <c r="BS63" s="2">
        <v>7.0502539153971533E-8</v>
      </c>
      <c r="BT63" s="2">
        <f t="shared" si="27"/>
        <v>0.35392848034298463</v>
      </c>
      <c r="BU63" s="2">
        <v>-2.1031997723963691E-7</v>
      </c>
      <c r="BV63" s="2">
        <f t="shared" si="28"/>
        <v>1.0329708643152147E-13</v>
      </c>
      <c r="BW63" s="2">
        <f t="shared" si="29"/>
        <v>-1.4828092430199903E-14</v>
      </c>
      <c r="BX63" s="2">
        <f t="shared" si="30"/>
        <v>1.6665562757589569E-7</v>
      </c>
      <c r="BZ63" s="2">
        <v>25</v>
      </c>
      <c r="CA63" s="2">
        <f t="shared" si="37"/>
        <v>0.31846107966269782</v>
      </c>
      <c r="CB63" s="2">
        <v>-4.1876039346550042E-7</v>
      </c>
      <c r="CC63" s="2">
        <f t="shared" si="38"/>
        <v>0.3184612463183254</v>
      </c>
      <c r="CD63" s="2">
        <v>9.4558226339247486E-8</v>
      </c>
      <c r="CE63" s="2">
        <f t="shared" si="31"/>
        <v>0.31846116299051164</v>
      </c>
      <c r="CF63" s="2">
        <v>-1.6210106328073959E-7</v>
      </c>
      <c r="CG63" s="2">
        <f t="shared" si="32"/>
        <v>6.7881505040618496E-14</v>
      </c>
      <c r="CH63" s="2">
        <f t="shared" si="33"/>
        <v>-1.5327989031532855E-14</v>
      </c>
      <c r="CI63" s="2">
        <f t="shared" si="34"/>
        <v>1.6665562757589569E-7</v>
      </c>
    </row>
    <row r="64" spans="2:87" x14ac:dyDescent="0.2">
      <c r="AF64" s="2">
        <v>15</v>
      </c>
      <c r="AG64" s="2">
        <f t="shared" si="43"/>
        <v>680.126953125</v>
      </c>
      <c r="AH64" s="2">
        <v>0.18264089271588091</v>
      </c>
      <c r="AI64" s="2">
        <f t="shared" si="44"/>
        <v>680.2154541015625</v>
      </c>
      <c r="AJ64" s="2">
        <v>-0.65079813996544544</v>
      </c>
      <c r="AK64" s="2">
        <f t="shared" si="39"/>
        <v>680.17120361328125</v>
      </c>
      <c r="AL64" s="2">
        <v>-0.2340650681835541</v>
      </c>
      <c r="AM64" s="2">
        <f t="shared" si="40"/>
        <v>-4.2749853006647853E-2</v>
      </c>
      <c r="AN64" s="2">
        <f t="shared" si="41"/>
        <v>0.15232911100474217</v>
      </c>
      <c r="AO64" s="2">
        <f t="shared" si="42"/>
        <v>8.85009765625E-2</v>
      </c>
      <c r="BG64" s="2" t="s">
        <v>168</v>
      </c>
      <c r="BH64" s="2">
        <f>BH63/PI()*180</f>
        <v>7.0092555982040698</v>
      </c>
      <c r="BI64" s="2" t="s">
        <v>43</v>
      </c>
      <c r="BJ64" s="2"/>
      <c r="BK64" s="2" t="s">
        <v>168</v>
      </c>
      <c r="BL64" s="2">
        <f>BL63/PI()*180</f>
        <v>4.8801836443113578</v>
      </c>
      <c r="BM64" s="2" t="s">
        <v>43</v>
      </c>
      <c r="BO64" s="2">
        <v>26</v>
      </c>
      <c r="BP64" s="2">
        <f t="shared" si="35"/>
        <v>0.35392848034298463</v>
      </c>
      <c r="BQ64" s="2">
        <v>-2.1031997723963691E-7</v>
      </c>
      <c r="BR64" s="2">
        <f t="shared" si="36"/>
        <v>0.35392856367079845</v>
      </c>
      <c r="BS64" s="2">
        <v>7.0502539153971533E-8</v>
      </c>
      <c r="BT64" s="2">
        <f t="shared" si="27"/>
        <v>0.35392852200689151</v>
      </c>
      <c r="BU64" s="2">
        <v>-6.9908714164790275E-8</v>
      </c>
      <c r="BV64" s="2">
        <f t="shared" si="28"/>
        <v>1.4703199171990974E-14</v>
      </c>
      <c r="BW64" s="2">
        <f t="shared" si="29"/>
        <v>-4.9287418576069306E-15</v>
      </c>
      <c r="BX64" s="2">
        <f t="shared" si="30"/>
        <v>8.3327813815703422E-8</v>
      </c>
      <c r="BZ64" s="2">
        <v>26</v>
      </c>
      <c r="CA64" s="2">
        <f t="shared" si="37"/>
        <v>0.31846116299051164</v>
      </c>
      <c r="CB64" s="2">
        <v>-1.6210106328073959E-7</v>
      </c>
      <c r="CC64" s="2">
        <f t="shared" si="38"/>
        <v>0.3184612463183254</v>
      </c>
      <c r="CD64" s="2">
        <v>9.4558226339247486E-8</v>
      </c>
      <c r="CE64" s="2">
        <f t="shared" si="31"/>
        <v>0.31846120465441852</v>
      </c>
      <c r="CF64" s="2">
        <v>-3.3771413450456311E-8</v>
      </c>
      <c r="CG64" s="2">
        <f t="shared" si="32"/>
        <v>5.4743820288124386E-15</v>
      </c>
      <c r="CH64" s="2">
        <f t="shared" si="33"/>
        <v>-3.193364956844555E-15</v>
      </c>
      <c r="CI64" s="2">
        <f t="shared" si="34"/>
        <v>8.3327813760192271E-8</v>
      </c>
    </row>
    <row r="65" spans="2:87" x14ac:dyDescent="0.2">
      <c r="B65" s="59" t="s">
        <v>272</v>
      </c>
      <c r="C65" s="60"/>
      <c r="D65" s="60"/>
      <c r="AF65" s="2">
        <v>16</v>
      </c>
      <c r="AG65" s="2">
        <f t="shared" si="43"/>
        <v>680.126953125</v>
      </c>
      <c r="AH65" s="2">
        <v>0.18264089271588091</v>
      </c>
      <c r="AI65" s="2">
        <f t="shared" si="44"/>
        <v>680.17120361328125</v>
      </c>
      <c r="AJ65" s="2">
        <v>-0.2340650681835541</v>
      </c>
      <c r="AK65" s="2">
        <f t="shared" si="39"/>
        <v>680.14907836914062</v>
      </c>
      <c r="AL65" s="2">
        <v>-2.5708698872676905E-2</v>
      </c>
      <c r="AM65" s="2">
        <f t="shared" si="40"/>
        <v>-4.6954597126694711E-3</v>
      </c>
      <c r="AN65" s="2">
        <f t="shared" si="41"/>
        <v>6.0175083545435807E-3</v>
      </c>
      <c r="AO65" s="2">
        <f t="shared" si="42"/>
        <v>4.425048828125E-2</v>
      </c>
      <c r="AQ65" s="2"/>
      <c r="AR65" s="2"/>
      <c r="AS65" s="26"/>
      <c r="BG65" s="2" t="s">
        <v>171</v>
      </c>
      <c r="BH65" s="2">
        <f xml:space="preserve"> $AR$8*$AR$33 / (2*PI()*$AR$25)</f>
        <v>0.16580624184935927</v>
      </c>
      <c r="BI65" s="2"/>
      <c r="BJ65" s="2"/>
      <c r="BK65" s="2" t="s">
        <v>171</v>
      </c>
      <c r="BL65" s="2">
        <f xml:space="preserve"> $AR$8*$AR$34 / (2*PI()*$AR$26)</f>
        <v>0.14274781591970581</v>
      </c>
      <c r="BM65" s="2"/>
      <c r="BO65" s="2">
        <v>27</v>
      </c>
      <c r="BP65" s="2">
        <f t="shared" si="35"/>
        <v>0.35392852200689151</v>
      </c>
      <c r="BQ65" s="2">
        <v>-6.9908714164790275E-8</v>
      </c>
      <c r="BR65" s="2">
        <f t="shared" si="36"/>
        <v>0.35392856367079845</v>
      </c>
      <c r="BS65" s="2">
        <v>7.0502539153971533E-8</v>
      </c>
      <c r="BT65" s="2">
        <f t="shared" si="27"/>
        <v>0.35392854283884501</v>
      </c>
      <c r="BU65" s="2">
        <v>2.9691374359153144E-10</v>
      </c>
      <c r="BV65" s="2">
        <f t="shared" si="28"/>
        <v>-2.0756858032338203E-17</v>
      </c>
      <c r="BW65" s="2">
        <f t="shared" si="29"/>
        <v>2.0933172832914211E-17</v>
      </c>
      <c r="BX65" s="2">
        <f t="shared" si="30"/>
        <v>4.1663906935607287E-8</v>
      </c>
      <c r="BZ65" s="2">
        <v>27</v>
      </c>
      <c r="CA65" s="2">
        <f t="shared" si="37"/>
        <v>0.31846120465441852</v>
      </c>
      <c r="CB65" s="2">
        <v>-3.3771413450456311E-8</v>
      </c>
      <c r="CC65" s="2">
        <f t="shared" si="38"/>
        <v>0.3184612463183254</v>
      </c>
      <c r="CD65" s="2">
        <v>9.4558226339247486E-8</v>
      </c>
      <c r="CE65" s="2">
        <f t="shared" si="31"/>
        <v>0.31846122548637196</v>
      </c>
      <c r="CF65" s="2">
        <v>3.0393407769724323E-8</v>
      </c>
      <c r="CG65" s="2">
        <f t="shared" si="32"/>
        <v>-1.0264283399596714E-15</v>
      </c>
      <c r="CH65" s="2">
        <f t="shared" si="33"/>
        <v>2.8739467311106356E-15</v>
      </c>
      <c r="CI65" s="2">
        <f t="shared" si="34"/>
        <v>4.1663906880096135E-8</v>
      </c>
    </row>
    <row r="66" spans="2:87" x14ac:dyDescent="0.2">
      <c r="B66" s="6" t="s">
        <v>15</v>
      </c>
      <c r="C66" s="17">
        <v>1.0397562309141399</v>
      </c>
      <c r="D66" s="6" t="s">
        <v>16</v>
      </c>
      <c r="AF66" s="2">
        <v>17</v>
      </c>
      <c r="AG66" s="2">
        <f t="shared" si="43"/>
        <v>680.126953125</v>
      </c>
      <c r="AH66" s="2">
        <v>0.18264089271588091</v>
      </c>
      <c r="AI66" s="2">
        <f t="shared" si="44"/>
        <v>680.14907836914062</v>
      </c>
      <c r="AJ66" s="2">
        <v>-2.5708698872676905E-2</v>
      </c>
      <c r="AK66" s="2">
        <f t="shared" si="39"/>
        <v>680.13801574707031</v>
      </c>
      <c r="AL66" s="2">
        <v>7.8466944136835082E-2</v>
      </c>
      <c r="AM66" s="2">
        <f t="shared" si="40"/>
        <v>1.4331272725838716E-2</v>
      </c>
      <c r="AN66" s="2">
        <f t="shared" si="41"/>
        <v>-2.0172830382730539E-3</v>
      </c>
      <c r="AO66" s="2">
        <f t="shared" si="42"/>
        <v>2.2125244140625E-2</v>
      </c>
      <c r="BG66" s="2" t="s">
        <v>175</v>
      </c>
      <c r="BH66" s="2">
        <f>IF(-$AR$8*($AV$3-$AR$25)/(2*$AR$25*SIN(BH61))&gt;500, 1, 2*ACOS(MIN(1, EXP(-$AR$8*($AV$3-$AR$25)/(2*$AR$25*SIN(BH61)))))/PI() )</f>
        <v>0.65774955485975595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0.38187925944040885</v>
      </c>
      <c r="BM66" s="2"/>
      <c r="BO66" s="2">
        <v>28</v>
      </c>
      <c r="BP66" s="2">
        <f t="shared" si="35"/>
        <v>0.35392852200689151</v>
      </c>
      <c r="BQ66" s="2">
        <v>-6.9908714164790275E-8</v>
      </c>
      <c r="BR66" s="2">
        <f t="shared" si="36"/>
        <v>0.35392854283884501</v>
      </c>
      <c r="BS66" s="2">
        <v>2.9691374359153144E-10</v>
      </c>
      <c r="BT66" s="2">
        <f t="shared" si="27"/>
        <v>0.35392853242286826</v>
      </c>
      <c r="BU66" s="2">
        <v>-3.4805899773449056E-8</v>
      </c>
      <c r="BV66" s="2">
        <f t="shared" si="28"/>
        <v>2.4332356985103885E-15</v>
      </c>
      <c r="BW66" s="2">
        <f t="shared" si="29"/>
        <v>-1.0334350000806395E-17</v>
      </c>
      <c r="BX66" s="2">
        <f t="shared" si="30"/>
        <v>2.0831953495559219E-8</v>
      </c>
      <c r="BZ66" s="2">
        <v>28</v>
      </c>
      <c r="CA66" s="2">
        <f t="shared" si="37"/>
        <v>0.31846120465441852</v>
      </c>
      <c r="CB66" s="2">
        <v>-3.3771413450456311E-8</v>
      </c>
      <c r="CC66" s="2">
        <f t="shared" si="38"/>
        <v>0.31846122548637196</v>
      </c>
      <c r="CD66" s="2">
        <v>3.0393407769724323E-8</v>
      </c>
      <c r="CE66" s="2">
        <f t="shared" si="31"/>
        <v>0.31846121507039526</v>
      </c>
      <c r="CF66" s="2">
        <v>-1.6890024448490415E-9</v>
      </c>
      <c r="CG66" s="2">
        <f t="shared" si="32"/>
        <v>5.7039999883828508E-17</v>
      </c>
      <c r="CH66" s="2">
        <f t="shared" si="33"/>
        <v>-5.1334540030358236E-17</v>
      </c>
      <c r="CI66" s="2">
        <f t="shared" si="34"/>
        <v>2.0831953440048068E-8</v>
      </c>
    </row>
    <row r="67" spans="2:87" x14ac:dyDescent="0.2">
      <c r="B67" s="6" t="s">
        <v>214</v>
      </c>
      <c r="C67" s="41">
        <v>1.7363179204150701E-5</v>
      </c>
      <c r="D67" s="6" t="s">
        <v>210</v>
      </c>
      <c r="AF67" s="2">
        <v>18</v>
      </c>
      <c r="AG67" s="2">
        <f t="shared" si="43"/>
        <v>680.13801574707031</v>
      </c>
      <c r="AH67" s="2">
        <v>7.8466944136835082E-2</v>
      </c>
      <c r="AI67" s="2">
        <f t="shared" si="44"/>
        <v>680.14907836914062</v>
      </c>
      <c r="AJ67" s="2">
        <v>-2.5708698872676905E-2</v>
      </c>
      <c r="AK67" s="2">
        <f t="shared" si="39"/>
        <v>680.14354705810547</v>
      </c>
      <c r="AL67" s="2">
        <v>2.6379334434295743E-2</v>
      </c>
      <c r="AM67" s="2">
        <f t="shared" si="40"/>
        <v>2.0699057614227741E-3</v>
      </c>
      <c r="AN67" s="2">
        <f t="shared" si="41"/>
        <v>-6.7817836543294604E-4</v>
      </c>
      <c r="AO67" s="2">
        <f t="shared" si="42"/>
        <v>1.10626220703125E-2</v>
      </c>
      <c r="BG67" s="2" t="s">
        <v>180</v>
      </c>
      <c r="BH67" s="2">
        <f>IF(-$AR$8*($AR$25-$AR$10)/(2*$AR$25*SIN(BH61))&gt;500, 1, 2*ACOS(MIN(1, EXP(-$AR$8*($AR$25-$AR$10)/(2*$AR$25*SIN(BH61)))))/PI() )</f>
        <v>0.9649597851655749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0.96417251068311538</v>
      </c>
      <c r="BM67" s="2"/>
      <c r="BO67" s="2">
        <v>29</v>
      </c>
      <c r="BP67" s="2">
        <f t="shared" si="35"/>
        <v>0.35392853242286826</v>
      </c>
      <c r="BQ67" s="2">
        <v>-3.4805899773449056E-8</v>
      </c>
      <c r="BR67" s="2">
        <f t="shared" si="36"/>
        <v>0.35392854283884501</v>
      </c>
      <c r="BS67" s="2">
        <v>2.9691374359153144E-10</v>
      </c>
      <c r="BT67" s="2">
        <f t="shared" si="27"/>
        <v>0.35392853763085663</v>
      </c>
      <c r="BU67" s="2">
        <v>-1.7254492931662035E-8</v>
      </c>
      <c r="BV67" s="2">
        <f t="shared" si="28"/>
        <v>6.0055815162111397E-16</v>
      </c>
      <c r="BW67" s="2">
        <f t="shared" si="29"/>
        <v>-5.1230960901133936E-18</v>
      </c>
      <c r="BX67" s="2">
        <f t="shared" si="30"/>
        <v>1.0415976747779609E-8</v>
      </c>
      <c r="BZ67" s="2">
        <v>29</v>
      </c>
      <c r="CA67" s="2">
        <f t="shared" si="37"/>
        <v>0.31846121507039526</v>
      </c>
      <c r="CB67" s="2">
        <v>-1.6890024448490415E-9</v>
      </c>
      <c r="CC67" s="2">
        <f t="shared" si="38"/>
        <v>0.31846122548637196</v>
      </c>
      <c r="CD67" s="2">
        <v>3.0393407769724323E-8</v>
      </c>
      <c r="CE67" s="2">
        <f t="shared" si="31"/>
        <v>0.31846122027838364</v>
      </c>
      <c r="CF67" s="2">
        <v>1.4352202849787776E-8</v>
      </c>
      <c r="CG67" s="2">
        <f t="shared" si="32"/>
        <v>-2.4240905702260936E-17</v>
      </c>
      <c r="CH67" s="2">
        <f t="shared" si="33"/>
        <v>4.3621235360739935E-16</v>
      </c>
      <c r="CI67" s="2">
        <f t="shared" si="34"/>
        <v>1.0415976692268458E-8</v>
      </c>
    </row>
    <row r="68" spans="2:87" x14ac:dyDescent="0.2">
      <c r="B68" s="6" t="s">
        <v>132</v>
      </c>
      <c r="C68" s="17">
        <v>333.91694458017901</v>
      </c>
      <c r="D68" s="6" t="s">
        <v>10</v>
      </c>
      <c r="AF68" s="2">
        <v>19</v>
      </c>
      <c r="AG68" s="2">
        <f t="shared" si="43"/>
        <v>680.14354705810547</v>
      </c>
      <c r="AH68" s="2">
        <v>2.6379334434295743E-2</v>
      </c>
      <c r="AI68" s="2">
        <f t="shared" si="44"/>
        <v>680.14907836914062</v>
      </c>
      <c r="AJ68" s="2">
        <v>-2.5708698872676905E-2</v>
      </c>
      <c r="AK68" s="2">
        <f t="shared" si="39"/>
        <v>680.14631271362305</v>
      </c>
      <c r="AL68" s="2">
        <v>3.3537073068146128E-4</v>
      </c>
      <c r="AM68" s="2">
        <f t="shared" si="40"/>
        <v>8.846856664120395E-6</v>
      </c>
      <c r="AN68" s="2">
        <f t="shared" si="41"/>
        <v>-8.6219451257993133E-6</v>
      </c>
      <c r="AO68" s="2">
        <f t="shared" si="42"/>
        <v>5.53131103515625E-3</v>
      </c>
      <c r="BG68" s="2" t="s">
        <v>183</v>
      </c>
      <c r="BH68" s="2">
        <f>IF(BH61=0,1,BH66*BH67)</f>
        <v>0.63470186915022264</v>
      </c>
      <c r="BI68" s="2"/>
      <c r="BJ68" s="2"/>
      <c r="BK68" s="2" t="s">
        <v>183</v>
      </c>
      <c r="BL68" s="2">
        <f>IF(BL61=0,1,BL66*BL67)</f>
        <v>0.3681974843524678</v>
      </c>
      <c r="BM68" s="2"/>
      <c r="BO68" s="2">
        <v>30</v>
      </c>
      <c r="BP68" s="2">
        <f t="shared" si="35"/>
        <v>0.35392853763085663</v>
      </c>
      <c r="BQ68" s="2">
        <v>-1.7254492931662035E-8</v>
      </c>
      <c r="BR68" s="2">
        <f t="shared" si="36"/>
        <v>0.35392854283884501</v>
      </c>
      <c r="BS68" s="2">
        <v>2.9691374359153144E-10</v>
      </c>
      <c r="BT68" s="5">
        <f t="shared" si="27"/>
        <v>0.35392854023485082</v>
      </c>
      <c r="BU68" s="2">
        <v>-8.4787894621962678E-9</v>
      </c>
      <c r="BV68" s="2">
        <f t="shared" si="28"/>
        <v>1.4629721284451606E-16</v>
      </c>
      <c r="BW68" s="2">
        <f t="shared" si="29"/>
        <v>-2.5174691203451214E-18</v>
      </c>
      <c r="BX68" s="2">
        <f t="shared" si="30"/>
        <v>5.2079883738898047E-9</v>
      </c>
      <c r="BZ68" s="2">
        <v>30</v>
      </c>
      <c r="CA68" s="2">
        <f t="shared" si="37"/>
        <v>0.31846121507039526</v>
      </c>
      <c r="CB68" s="2">
        <v>-1.6890024448490415E-9</v>
      </c>
      <c r="CC68" s="2">
        <f t="shared" si="38"/>
        <v>0.31846122027838364</v>
      </c>
      <c r="CD68" s="2">
        <v>1.4352202849787776E-8</v>
      </c>
      <c r="CE68" s="5">
        <f t="shared" si="31"/>
        <v>0.31846121767438945</v>
      </c>
      <c r="CF68" s="2">
        <v>6.3316001400193223E-9</v>
      </c>
      <c r="CG68" s="2">
        <f t="shared" si="32"/>
        <v>-1.0694088116299169E-17</v>
      </c>
      <c r="CH68" s="2">
        <f t="shared" si="33"/>
        <v>9.0872409573302001E-17</v>
      </c>
      <c r="CI68" s="2">
        <f t="shared" si="34"/>
        <v>5.2079883738898047E-9</v>
      </c>
    </row>
    <row r="69" spans="2:87" x14ac:dyDescent="0.2">
      <c r="B69" s="6" t="s">
        <v>17</v>
      </c>
      <c r="C69" s="1">
        <v>9.80149119240094</v>
      </c>
      <c r="D69" s="6" t="s">
        <v>18</v>
      </c>
      <c r="AF69" s="2">
        <v>20</v>
      </c>
      <c r="AG69" s="2">
        <f t="shared" si="43"/>
        <v>680.14631271362305</v>
      </c>
      <c r="AH69" s="2">
        <v>3.3537073068146128E-4</v>
      </c>
      <c r="AI69" s="2">
        <f t="shared" si="44"/>
        <v>680.14907836914062</v>
      </c>
      <c r="AJ69" s="2">
        <v>-2.5708698872676905E-2</v>
      </c>
      <c r="AK69" s="2">
        <f t="shared" si="39"/>
        <v>680.14769554138184</v>
      </c>
      <c r="AL69" s="2">
        <v>-1.2686650833074964E-2</v>
      </c>
      <c r="AM69" s="2">
        <f t="shared" si="40"/>
        <v>-4.2547313597889198E-6</v>
      </c>
      <c r="AN69" s="2">
        <f t="shared" si="41"/>
        <v>3.2615728597031984E-4</v>
      </c>
      <c r="AO69" s="2">
        <f t="shared" si="42"/>
        <v>2.765655517578125E-3</v>
      </c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0.96684918337746883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0.72815122424404377</v>
      </c>
      <c r="BM69" s="2"/>
    </row>
    <row r="70" spans="2:87" x14ac:dyDescent="0.2">
      <c r="AF70" s="2">
        <v>21</v>
      </c>
      <c r="AG70" s="2">
        <f t="shared" si="43"/>
        <v>680.14631271362305</v>
      </c>
      <c r="AH70" s="2">
        <v>3.3537073068146128E-4</v>
      </c>
      <c r="AI70" s="2">
        <f t="shared" si="44"/>
        <v>680.14769554138184</v>
      </c>
      <c r="AJ70" s="2">
        <v>-1.2686650833074964E-2</v>
      </c>
      <c r="AK70" s="2">
        <f t="shared" si="39"/>
        <v>680.14700412750244</v>
      </c>
      <c r="AL70" s="2">
        <v>-6.1756367417729052E-3</v>
      </c>
      <c r="AM70" s="2">
        <f t="shared" si="40"/>
        <v>-2.0711278065116581E-6</v>
      </c>
      <c r="AN70" s="2">
        <f t="shared" si="41"/>
        <v>7.834814701478159E-5</v>
      </c>
      <c r="AO70" s="2">
        <f t="shared" si="42"/>
        <v>1.3828277587890625E-3</v>
      </c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5.3699775880314771E-2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6.4408398297053623E-2</v>
      </c>
      <c r="BM70" s="2"/>
      <c r="BO70" s="61" t="s">
        <v>211</v>
      </c>
      <c r="BP70" s="61"/>
      <c r="BQ70" s="61"/>
      <c r="BR70" s="61"/>
      <c r="BS70" s="61"/>
      <c r="BT70" s="61"/>
      <c r="BU70" s="61"/>
      <c r="BV70" s="61"/>
      <c r="BW70" s="61"/>
      <c r="BX70" s="61"/>
      <c r="BZ70" s="61" t="s">
        <v>212</v>
      </c>
      <c r="CA70" s="61"/>
      <c r="CB70" s="61"/>
      <c r="CC70" s="61"/>
      <c r="CD70" s="61"/>
      <c r="CE70" s="61"/>
      <c r="CF70" s="61"/>
      <c r="CG70" s="61"/>
      <c r="CH70" s="61"/>
      <c r="CI70" s="61"/>
    </row>
    <row r="71" spans="2:87" x14ac:dyDescent="0.2">
      <c r="B71" s="59" t="s">
        <v>273</v>
      </c>
      <c r="C71" s="60"/>
      <c r="D71" s="60"/>
      <c r="AF71" s="2">
        <v>22</v>
      </c>
      <c r="AG71" s="2">
        <f t="shared" si="43"/>
        <v>680.14631271362305</v>
      </c>
      <c r="AH71" s="2">
        <v>3.3537073068146128E-4</v>
      </c>
      <c r="AI71" s="2">
        <f t="shared" si="44"/>
        <v>680.14700412750244</v>
      </c>
      <c r="AJ71" s="2">
        <v>-6.1756367417729052E-3</v>
      </c>
      <c r="AK71" s="2">
        <f t="shared" si="39"/>
        <v>680.14665842056274</v>
      </c>
      <c r="AL71" s="2">
        <v>-2.9201321772234223E-3</v>
      </c>
      <c r="AM71" s="2">
        <f t="shared" si="40"/>
        <v>-9.7932686196186543E-7</v>
      </c>
      <c r="AN71" s="2">
        <f t="shared" si="41"/>
        <v>1.8033675564494277E-5</v>
      </c>
      <c r="AO71" s="2">
        <f t="shared" si="42"/>
        <v>6.9141387939453125E-4</v>
      </c>
      <c r="BG71" s="2" t="s">
        <v>190</v>
      </c>
      <c r="BH71" s="2">
        <f xml:space="preserve"> BH69*COS(BH61) - BH70*SIN(BH61)</f>
        <v>0.91969680908228579</v>
      </c>
      <c r="BI71" s="2"/>
      <c r="BJ71" s="2"/>
      <c r="BK71" s="2" t="s">
        <v>190</v>
      </c>
      <c r="BL71" s="2">
        <f xml:space="preserve"> BL69*COS(BL61) - BL70*SIN(BL61)</f>
        <v>0.68352736825313221</v>
      </c>
      <c r="BM71" s="2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2:87" x14ac:dyDescent="0.2">
      <c r="B72" s="6" t="s">
        <v>15</v>
      </c>
      <c r="C72" s="17">
        <v>1.00854450666398</v>
      </c>
      <c r="D72" s="6" t="s">
        <v>16</v>
      </c>
      <c r="AF72" s="2">
        <v>23</v>
      </c>
      <c r="AG72" s="2">
        <f t="shared" si="43"/>
        <v>680.14631271362305</v>
      </c>
      <c r="AH72" s="2">
        <v>3.3537073068146128E-4</v>
      </c>
      <c r="AI72" s="2">
        <f t="shared" si="44"/>
        <v>680.14665842056274</v>
      </c>
      <c r="AJ72" s="2">
        <v>-2.9201321772234223E-3</v>
      </c>
      <c r="AK72" s="2">
        <f t="shared" si="39"/>
        <v>680.1464855670929</v>
      </c>
      <c r="AL72" s="2">
        <v>-1.2923805156788148E-3</v>
      </c>
      <c r="AM72" s="2">
        <f t="shared" si="40"/>
        <v>-4.3342659786168786E-7</v>
      </c>
      <c r="AN72" s="2">
        <f t="shared" si="41"/>
        <v>3.7739219290503068E-6</v>
      </c>
      <c r="AO72" s="2">
        <f t="shared" si="42"/>
        <v>3.4570693969726562E-4</v>
      </c>
      <c r="BG72" s="2" t="s">
        <v>192</v>
      </c>
      <c r="BH72" s="2">
        <f xml:space="preserve"> BH69*SIN(BH61) + BH70*COS(BH61)</f>
        <v>0.30304915226929097</v>
      </c>
      <c r="BI72" s="2"/>
      <c r="BJ72" s="2"/>
      <c r="BK72" s="2" t="s">
        <v>192</v>
      </c>
      <c r="BL72" s="2">
        <f xml:space="preserve"> BL69*SIN(BL61) + BL70*COS(BL61)</f>
        <v>0.25911963257969972</v>
      </c>
      <c r="BM72" s="2"/>
      <c r="BO72" s="30">
        <v>0</v>
      </c>
      <c r="BP72" s="30"/>
      <c r="BQ72" s="30">
        <f>$BH$58</f>
        <v>-1.9661369823897878E-9</v>
      </c>
      <c r="BR72" s="30"/>
      <c r="BS72" s="30">
        <f>$BH$58</f>
        <v>-1.9661369823897878E-9</v>
      </c>
      <c r="BT72" s="30"/>
      <c r="BU72" s="30">
        <f>$BH$58</f>
        <v>-1.9661369823897878E-9</v>
      </c>
      <c r="BV72" s="30"/>
      <c r="BW72" s="30"/>
      <c r="BX72" s="30"/>
      <c r="BZ72" s="30">
        <v>0</v>
      </c>
      <c r="CA72" s="30"/>
      <c r="CB72" s="30">
        <f>$BL$58</f>
        <v>-1.1003073174808975E-9</v>
      </c>
      <c r="CC72" s="30"/>
      <c r="CD72" s="30">
        <f>$BL$58</f>
        <v>-1.1003073174808975E-9</v>
      </c>
      <c r="CE72" s="30"/>
      <c r="CF72" s="30">
        <f>$BL$58</f>
        <v>-1.1003073174808975E-9</v>
      </c>
      <c r="CG72" s="30"/>
      <c r="CH72" s="30"/>
      <c r="CI72" s="30"/>
    </row>
    <row r="73" spans="2:87" x14ac:dyDescent="0.2">
      <c r="B73" s="6" t="s">
        <v>214</v>
      </c>
      <c r="C73" s="41">
        <v>1.7265641515845801E-5</v>
      </c>
      <c r="D73" s="6" t="s">
        <v>210</v>
      </c>
      <c r="AF73" s="2">
        <v>24</v>
      </c>
      <c r="AG73" s="2">
        <f t="shared" si="43"/>
        <v>680.14631271362305</v>
      </c>
      <c r="AH73" s="2">
        <v>3.3537073068146128E-4</v>
      </c>
      <c r="AI73" s="2">
        <f t="shared" si="44"/>
        <v>680.1464855670929</v>
      </c>
      <c r="AJ73" s="2">
        <v>-1.2923805156788148E-3</v>
      </c>
      <c r="AK73" s="2">
        <f t="shared" si="39"/>
        <v>680.14639914035797</v>
      </c>
      <c r="AL73" s="2">
        <v>-4.7850484088485246E-4</v>
      </c>
      <c r="AM73" s="2">
        <f t="shared" si="40"/>
        <v>-1.6047651812216935E-7</v>
      </c>
      <c r="AN73" s="2">
        <f t="shared" si="41"/>
        <v>6.1841033301757486E-7</v>
      </c>
      <c r="AO73" s="2">
        <f t="shared" si="42"/>
        <v>1.7285346984863281E-4</v>
      </c>
      <c r="BG73" s="2" t="s">
        <v>38</v>
      </c>
      <c r="BH73" s="2">
        <f xml:space="preserve"> 4*BH68*SIN(BH61)*SIN(BH61) / (BH65*BH71)</f>
        <v>1.1237847612740766</v>
      </c>
      <c r="BI73" s="2"/>
      <c r="BJ73" s="2"/>
      <c r="BK73" s="2" t="s">
        <v>38</v>
      </c>
      <c r="BL73" s="2">
        <f xml:space="preserve"> 4*BL68*SIN(BL61)*SIN(BL61) / (BL65*BL71)</f>
        <v>1.1061566574379862</v>
      </c>
      <c r="BM73" s="2"/>
      <c r="BO73" s="2">
        <v>1</v>
      </c>
      <c r="BP73" s="3">
        <f>0.01*PI()</f>
        <v>3.1415926535897934E-2</v>
      </c>
      <c r="BQ73" s="2">
        <f t="dataTable" ref="BQ73:BQ102" dt2D="0" dtr="0" r1="BH42" ca="1"/>
        <v>-2.3277212816142119</v>
      </c>
      <c r="BR73" s="3">
        <f>0.9*PI()</f>
        <v>2.8274333882308138</v>
      </c>
      <c r="BS73" s="2">
        <f t="dataTable" ref="BS73:BS102" dt2D="0" dtr="0" r1="BH42" ca="1"/>
        <v>0.49224813467188072</v>
      </c>
      <c r="BT73" s="2">
        <f t="shared" ref="BT73:BT102" si="45">(BP73+BR73)/2</f>
        <v>1.4294246573833558</v>
      </c>
      <c r="BU73" s="2">
        <f t="dataTable" ref="BU73:BU102" dt2D="0" dtr="0" r1="BH42" ca="1"/>
        <v>1.1161116461645033</v>
      </c>
      <c r="BV73" s="2">
        <f t="shared" ref="BV73:BV102" si="46">BQ73*BU73</f>
        <v>-2.5979968314345854</v>
      </c>
      <c r="BW73" s="2">
        <f t="shared" ref="BW73:BW102" si="47">BS73*BU73</f>
        <v>0.54940387591003892</v>
      </c>
      <c r="BX73" s="2">
        <f t="shared" ref="BX73:BX102" si="48">BR73-BP73</f>
        <v>2.7960174616949161</v>
      </c>
      <c r="BZ73" s="2">
        <v>1</v>
      </c>
      <c r="CA73" s="3">
        <f>0.01*PI()</f>
        <v>3.1415926535897934E-2</v>
      </c>
      <c r="CB73" s="2">
        <f t="dataTable" ref="CB73:CB102" dt2D="0" dtr="0" r1="BL42" ca="1"/>
        <v>-2.0243434819879984</v>
      </c>
      <c r="CC73" s="3">
        <f>0.9*PI()</f>
        <v>2.8274333882308138</v>
      </c>
      <c r="CD73" s="2">
        <f t="dataTable" ref="CD73:CD102" dt2D="0" dtr="0" r1="BL42" ca="1"/>
        <v>0.47991721643991009</v>
      </c>
      <c r="CE73" s="2">
        <f t="shared" ref="CE73:CE102" si="49">(CA73+CC73)/2</f>
        <v>1.4294246573833558</v>
      </c>
      <c r="CF73" s="2">
        <f t="dataTable" ref="CF73:CF102" dt2D="0" dtr="0" r1="BL42" ca="1"/>
        <v>1.1203741474923916</v>
      </c>
      <c r="CG73" s="2">
        <f t="shared" ref="CG73:CG102" si="50">CB73*CF73</f>
        <v>-2.2680221028640832</v>
      </c>
      <c r="CH73" s="2">
        <f t="shared" ref="CH73:CH102" si="51">CD73*CF73</f>
        <v>0.53768684223578589</v>
      </c>
      <c r="CI73" s="2">
        <f t="shared" ref="CI73:CI102" si="52">CC73-CA73</f>
        <v>2.7960174616949161</v>
      </c>
    </row>
    <row r="74" spans="2:87" x14ac:dyDescent="0.2">
      <c r="B74" s="6" t="s">
        <v>132</v>
      </c>
      <c r="C74" s="17">
        <v>332.721752148093</v>
      </c>
      <c r="D74" s="6" t="s">
        <v>10</v>
      </c>
      <c r="AF74" s="2">
        <v>25</v>
      </c>
      <c r="AG74" s="2">
        <f t="shared" si="43"/>
        <v>680.14631271362305</v>
      </c>
      <c r="AH74" s="2">
        <v>3.3537073068146128E-4</v>
      </c>
      <c r="AI74" s="2">
        <f t="shared" si="44"/>
        <v>680.14639914035797</v>
      </c>
      <c r="AJ74" s="2">
        <v>-4.7850484088485246E-4</v>
      </c>
      <c r="AK74" s="2">
        <f t="shared" si="39"/>
        <v>680.14635592699051</v>
      </c>
      <c r="AL74" s="2">
        <v>-7.1567042141396087E-5</v>
      </c>
      <c r="AM74" s="2">
        <f t="shared" si="40"/>
        <v>-2.4001491215670939E-8</v>
      </c>
      <c r="AN74" s="2">
        <f t="shared" si="41"/>
        <v>3.4245176112468264E-8</v>
      </c>
      <c r="AO74" s="2">
        <f t="shared" si="42"/>
        <v>8.6426734924316406E-5</v>
      </c>
      <c r="BG74" s="2" t="s">
        <v>194</v>
      </c>
      <c r="BH74" s="2">
        <f xml:space="preserve"> 4*BH68*SIN(BH61)*COS(BH61) / (BH65*BH72)</f>
        <v>12.676223208304528</v>
      </c>
      <c r="BI74" s="2"/>
      <c r="BJ74" s="2"/>
      <c r="BK74" s="2" t="s">
        <v>194</v>
      </c>
      <c r="BL74" s="2">
        <f xml:space="preserve"> 4*BL68*SIN(BL61)*COS(BL61) / (BL65*BL72)</f>
        <v>10.376365641901053</v>
      </c>
      <c r="BM74" s="2"/>
      <c r="BO74" s="2">
        <v>2</v>
      </c>
      <c r="BP74" s="2">
        <f t="shared" ref="BP74:BP102" si="53">IF(BV73&gt;0,BT73,BP73)</f>
        <v>3.1415926535897934E-2</v>
      </c>
      <c r="BQ74" s="2">
        <v>-2.3277212816142119</v>
      </c>
      <c r="BR74" s="2">
        <f t="shared" ref="BR74:BR102" si="54">IF(BW73&gt;0,BT73,BR73)</f>
        <v>1.4294246573833558</v>
      </c>
      <c r="BS74" s="2">
        <v>1.1161116461645033</v>
      </c>
      <c r="BT74" s="2">
        <f t="shared" si="45"/>
        <v>0.73042029195962688</v>
      </c>
      <c r="BU74" s="2">
        <v>0.7723723038530883</v>
      </c>
      <c r="BV74" s="2">
        <f t="shared" si="46"/>
        <v>-1.7978674490082323</v>
      </c>
      <c r="BW74" s="2">
        <f t="shared" si="47"/>
        <v>0.86205372350534037</v>
      </c>
      <c r="BX74" s="2">
        <f t="shared" si="48"/>
        <v>1.3980087308474578</v>
      </c>
      <c r="BZ74" s="2">
        <v>2</v>
      </c>
      <c r="CA74" s="2">
        <f t="shared" ref="CA74:CA102" si="55">IF(CG73&gt;0,CE73,CA73)</f>
        <v>3.1415926535897934E-2</v>
      </c>
      <c r="CB74" s="2">
        <v>-2.0243434819879984</v>
      </c>
      <c r="CC74" s="2">
        <f t="shared" ref="CC74:CC102" si="56">IF(CH73&gt;0,CE73,CC73)</f>
        <v>1.4294246573833558</v>
      </c>
      <c r="CD74" s="2">
        <v>1.1203741474923916</v>
      </c>
      <c r="CE74" s="2">
        <f t="shared" si="49"/>
        <v>0.73042029195962688</v>
      </c>
      <c r="CF74" s="2">
        <v>0.77051967653911679</v>
      </c>
      <c r="CG74" s="2">
        <f t="shared" si="50"/>
        <v>-1.559796484945462</v>
      </c>
      <c r="CH74" s="2">
        <f t="shared" si="51"/>
        <v>0.86327032572862628</v>
      </c>
      <c r="CI74" s="2">
        <f t="shared" si="52"/>
        <v>1.3980087308474578</v>
      </c>
    </row>
    <row r="75" spans="2:87" x14ac:dyDescent="0.2">
      <c r="B75" s="6" t="s">
        <v>17</v>
      </c>
      <c r="C75" s="1">
        <v>9.8005536647414697</v>
      </c>
      <c r="D75" s="6" t="s">
        <v>18</v>
      </c>
      <c r="AF75" s="2">
        <v>26</v>
      </c>
      <c r="AG75" s="2">
        <f t="shared" si="43"/>
        <v>680.14631271362305</v>
      </c>
      <c r="AH75" s="2">
        <v>3.3537073068146128E-4</v>
      </c>
      <c r="AI75" s="2">
        <f t="shared" si="44"/>
        <v>680.14635592699051</v>
      </c>
      <c r="AJ75" s="2">
        <v>-7.1567042141396087E-5</v>
      </c>
      <c r="AK75" s="2">
        <f t="shared" si="39"/>
        <v>680.14633432030678</v>
      </c>
      <c r="AL75" s="2">
        <v>1.3190184745326405E-4</v>
      </c>
      <c r="AM75" s="2">
        <f t="shared" si="40"/>
        <v>4.423601895863581E-8</v>
      </c>
      <c r="AN75" s="2">
        <f t="shared" si="41"/>
        <v>-9.4398250752157458E-9</v>
      </c>
      <c r="AO75" s="2">
        <f t="shared" si="42"/>
        <v>4.3213367462158203E-5</v>
      </c>
      <c r="BG75" s="2" t="s">
        <v>45</v>
      </c>
      <c r="BH75" s="2">
        <f>1/(BH73-1)</f>
        <v>8.0785388258402975</v>
      </c>
      <c r="BI75" s="2"/>
      <c r="BJ75" s="2"/>
      <c r="BK75" s="2" t="s">
        <v>45</v>
      </c>
      <c r="BL75" s="2">
        <f>1/(BL73-1)</f>
        <v>9.4200403830930011</v>
      </c>
      <c r="BM75" s="2"/>
      <c r="BO75" s="2">
        <v>3</v>
      </c>
      <c r="BP75" s="2">
        <f t="shared" si="53"/>
        <v>3.1415926535897934E-2</v>
      </c>
      <c r="BQ75" s="2">
        <v>-2.3277212816142119</v>
      </c>
      <c r="BR75" s="2">
        <f t="shared" si="54"/>
        <v>0.73042029195962688</v>
      </c>
      <c r="BS75" s="2">
        <v>0.7723723038530883</v>
      </c>
      <c r="BT75" s="2">
        <f t="shared" si="45"/>
        <v>0.38091810924776243</v>
      </c>
      <c r="BU75" s="2">
        <v>0.24049012180925367</v>
      </c>
      <c r="BV75" s="2">
        <f t="shared" si="46"/>
        <v>-0.55979397455339386</v>
      </c>
      <c r="BW75" s="2">
        <f t="shared" si="47"/>
        <v>0.18574790943572309</v>
      </c>
      <c r="BX75" s="2">
        <f t="shared" si="48"/>
        <v>0.6990043654237289</v>
      </c>
      <c r="BZ75" s="2">
        <v>3</v>
      </c>
      <c r="CA75" s="2">
        <f t="shared" si="55"/>
        <v>3.1415926535897934E-2</v>
      </c>
      <c r="CB75" s="2">
        <v>-2.0243434819879984</v>
      </c>
      <c r="CC75" s="2">
        <f t="shared" si="56"/>
        <v>0.73042029195962688</v>
      </c>
      <c r="CD75" s="2">
        <v>0.77051967653911679</v>
      </c>
      <c r="CE75" s="2">
        <f t="shared" si="49"/>
        <v>0.38091810924776243</v>
      </c>
      <c r="CF75" s="2">
        <v>0.28291140173905527</v>
      </c>
      <c r="CG75" s="2">
        <f t="shared" si="50"/>
        <v>-0.57270985209054459</v>
      </c>
      <c r="CH75" s="2">
        <f t="shared" si="51"/>
        <v>0.217988801757205</v>
      </c>
      <c r="CI75" s="2">
        <f t="shared" si="52"/>
        <v>0.6990043654237289</v>
      </c>
    </row>
    <row r="76" spans="2:87" x14ac:dyDescent="0.2">
      <c r="AF76" s="2">
        <v>27</v>
      </c>
      <c r="AG76" s="2">
        <f t="shared" si="43"/>
        <v>680.14633432030678</v>
      </c>
      <c r="AH76" s="2">
        <v>1.3190184745326405E-4</v>
      </c>
      <c r="AI76" s="2">
        <f t="shared" si="44"/>
        <v>680.14635592699051</v>
      </c>
      <c r="AJ76" s="2">
        <v>-7.1567042141396087E-5</v>
      </c>
      <c r="AK76" s="2">
        <f t="shared" si="39"/>
        <v>680.14634512364864</v>
      </c>
      <c r="AL76" s="2">
        <v>3.0167404929670738E-5</v>
      </c>
      <c r="AM76" s="2">
        <f t="shared" si="40"/>
        <v>3.9791364430942761E-9</v>
      </c>
      <c r="AN76" s="2">
        <f t="shared" si="41"/>
        <v>-2.1589919398983058E-9</v>
      </c>
      <c r="AO76" s="2">
        <f t="shared" si="42"/>
        <v>2.1606683731079102E-5</v>
      </c>
      <c r="BG76" s="2" t="s">
        <v>197</v>
      </c>
      <c r="BH76" s="2">
        <f>1/(BH74+1)</f>
        <v>7.3119602156886135E-2</v>
      </c>
      <c r="BI76" s="2"/>
      <c r="BK76" s="2" t="s">
        <v>197</v>
      </c>
      <c r="BL76" s="2">
        <f>1/(BL74+1)</f>
        <v>8.7901534767556438E-2</v>
      </c>
      <c r="BM76" s="2"/>
      <c r="BO76" s="2">
        <v>4</v>
      </c>
      <c r="BP76" s="2">
        <f t="shared" si="53"/>
        <v>3.1415926535897934E-2</v>
      </c>
      <c r="BQ76" s="2">
        <v>-2.3277212816142119</v>
      </c>
      <c r="BR76" s="2">
        <f t="shared" si="54"/>
        <v>0.38091810924776243</v>
      </c>
      <c r="BS76" s="2">
        <v>0.24049012180925367</v>
      </c>
      <c r="BT76" s="2">
        <f t="shared" si="45"/>
        <v>0.20616701789183017</v>
      </c>
      <c r="BU76" s="2">
        <v>-0.27674880010146047</v>
      </c>
      <c r="BV76" s="2">
        <f t="shared" si="46"/>
        <v>0.64419407165736686</v>
      </c>
      <c r="BW76" s="2">
        <f t="shared" si="47"/>
        <v>-6.6555352646965021E-2</v>
      </c>
      <c r="BX76" s="2">
        <f t="shared" si="48"/>
        <v>0.34950218271186451</v>
      </c>
      <c r="BZ76" s="2">
        <v>4</v>
      </c>
      <c r="CA76" s="2">
        <f t="shared" si="55"/>
        <v>3.1415926535897934E-2</v>
      </c>
      <c r="CB76" s="2">
        <v>-2.0243434819879984</v>
      </c>
      <c r="CC76" s="2">
        <f t="shared" si="56"/>
        <v>0.38091810924776243</v>
      </c>
      <c r="CD76" s="2">
        <v>0.28291140173905527</v>
      </c>
      <c r="CE76" s="2">
        <f t="shared" si="49"/>
        <v>0.20616701789183017</v>
      </c>
      <c r="CF76" s="2">
        <v>-0.2076922293482496</v>
      </c>
      <c r="CG76" s="2">
        <f t="shared" si="50"/>
        <v>0.42044041074068556</v>
      </c>
      <c r="CH76" s="2">
        <f t="shared" si="51"/>
        <v>-5.8758499735222645E-2</v>
      </c>
      <c r="CI76" s="2">
        <f t="shared" si="52"/>
        <v>0.34950218271186451</v>
      </c>
    </row>
    <row r="77" spans="2:87" x14ac:dyDescent="0.2">
      <c r="B77" s="59" t="s">
        <v>74</v>
      </c>
      <c r="C77" s="59"/>
      <c r="D77" s="59"/>
      <c r="AF77" s="2">
        <v>28</v>
      </c>
      <c r="AG77" s="2">
        <f t="shared" si="43"/>
        <v>680.14634512364864</v>
      </c>
      <c r="AH77" s="2">
        <v>3.0167404929670738E-5</v>
      </c>
      <c r="AI77" s="2">
        <f t="shared" si="44"/>
        <v>680.14635592699051</v>
      </c>
      <c r="AJ77" s="2">
        <v>-7.1567042141396087E-5</v>
      </c>
      <c r="AK77" s="2">
        <f t="shared" si="39"/>
        <v>680.14635052531958</v>
      </c>
      <c r="AL77" s="2">
        <v>-2.0699817014246946E-5</v>
      </c>
      <c r="AM77" s="2">
        <f t="shared" si="40"/>
        <v>-6.2445976183887554E-10</v>
      </c>
      <c r="AN77" s="2">
        <f t="shared" si="41"/>
        <v>1.4814246765777989E-9</v>
      </c>
      <c r="AO77" s="2">
        <f t="shared" si="42"/>
        <v>1.0803341865539551E-5</v>
      </c>
      <c r="BG77" s="7" t="s">
        <v>199</v>
      </c>
      <c r="BH77" s="40">
        <f>SIN(BH61)/(1+BH75) - $AR$3*COS(BH61)/($AV$5*$AR$25*(1-BH76))</f>
        <v>4.5346084769082307E-9</v>
      </c>
      <c r="BI77" s="40"/>
      <c r="BK77" s="7" t="s">
        <v>199</v>
      </c>
      <c r="BL77" s="40">
        <f>SIN(BL61)/(1+BL75) - $AR$3*COS(BL61)/($AV$5*$AR$26*(1-BL76))</f>
        <v>5.9883536393523507E-9</v>
      </c>
      <c r="BM77" s="40"/>
      <c r="BO77" s="2">
        <v>5</v>
      </c>
      <c r="BP77" s="2">
        <f t="shared" si="53"/>
        <v>0.20616701789183017</v>
      </c>
      <c r="BQ77" s="2">
        <v>-0.27674880010146047</v>
      </c>
      <c r="BR77" s="2">
        <f t="shared" si="54"/>
        <v>0.38091810924776243</v>
      </c>
      <c r="BS77" s="2">
        <v>0.24049012180925367</v>
      </c>
      <c r="BT77" s="2">
        <f t="shared" si="45"/>
        <v>0.2935425635697963</v>
      </c>
      <c r="BU77" s="2">
        <v>5.6392027021561139E-3</v>
      </c>
      <c r="BV77" s="2">
        <f t="shared" si="46"/>
        <v>-1.5606425813506181E-3</v>
      </c>
      <c r="BW77" s="2">
        <f t="shared" si="47"/>
        <v>1.3561725447485962E-3</v>
      </c>
      <c r="BX77" s="2">
        <f t="shared" si="48"/>
        <v>0.17475109135593225</v>
      </c>
      <c r="BZ77" s="2">
        <v>5</v>
      </c>
      <c r="CA77" s="2">
        <f t="shared" si="55"/>
        <v>0.20616701789183017</v>
      </c>
      <c r="CB77" s="2">
        <v>-0.2076922293482496</v>
      </c>
      <c r="CC77" s="2">
        <f t="shared" si="56"/>
        <v>0.38091810924776243</v>
      </c>
      <c r="CD77" s="2">
        <v>0.28291140173905527</v>
      </c>
      <c r="CE77" s="2">
        <f t="shared" si="49"/>
        <v>0.2935425635697963</v>
      </c>
      <c r="CF77" s="2">
        <v>5.9474163802932828E-2</v>
      </c>
      <c r="CG77" s="2">
        <f t="shared" si="50"/>
        <v>-1.235232166885409E-2</v>
      </c>
      <c r="CH77" s="2">
        <f t="shared" si="51"/>
        <v>1.6825919048745908E-2</v>
      </c>
      <c r="CI77" s="2">
        <f t="shared" si="52"/>
        <v>0.17475109135593225</v>
      </c>
    </row>
    <row r="78" spans="2:87" x14ac:dyDescent="0.2">
      <c r="B78" s="6" t="s">
        <v>264</v>
      </c>
      <c r="C78" s="17">
        <v>30</v>
      </c>
      <c r="AF78" s="2">
        <v>29</v>
      </c>
      <c r="AG78" s="2">
        <f t="shared" si="43"/>
        <v>680.14634512364864</v>
      </c>
      <c r="AH78" s="2">
        <v>3.0167404929670738E-5</v>
      </c>
      <c r="AI78" s="2">
        <f t="shared" si="44"/>
        <v>680.14635052531958</v>
      </c>
      <c r="AJ78" s="2">
        <v>-2.0699817014246946E-5</v>
      </c>
      <c r="AK78" s="2">
        <f t="shared" si="39"/>
        <v>680.14634782448411</v>
      </c>
      <c r="AL78" s="2">
        <v>4.7337939577118959E-6</v>
      </c>
      <c r="AM78" s="2">
        <f t="shared" si="40"/>
        <v>1.428062791759234E-10</v>
      </c>
      <c r="AN78" s="2">
        <f t="shared" si="41"/>
        <v>-9.7988668707784092E-11</v>
      </c>
      <c r="AO78" s="2">
        <f t="shared" si="42"/>
        <v>5.4016709327697754E-6</v>
      </c>
      <c r="BO78" s="2">
        <v>6</v>
      </c>
      <c r="BP78" s="2">
        <f t="shared" si="53"/>
        <v>0.20616701789183017</v>
      </c>
      <c r="BQ78" s="2">
        <v>-0.27674880010146047</v>
      </c>
      <c r="BR78" s="2">
        <f t="shared" si="54"/>
        <v>0.2935425635697963</v>
      </c>
      <c r="BS78" s="2">
        <v>5.6392027021561139E-3</v>
      </c>
      <c r="BT78" s="2">
        <f t="shared" si="45"/>
        <v>0.24985479073081324</v>
      </c>
      <c r="BU78" s="2">
        <v>-0.12806408801905705</v>
      </c>
      <c r="BV78" s="2">
        <f t="shared" si="46"/>
        <v>3.5441582695361858E-2</v>
      </c>
      <c r="BW78" s="2">
        <f t="shared" si="47"/>
        <v>-7.22179351206225E-4</v>
      </c>
      <c r="BX78" s="2">
        <f t="shared" si="48"/>
        <v>8.7375545677966127E-2</v>
      </c>
      <c r="BZ78" s="2">
        <v>6</v>
      </c>
      <c r="CA78" s="2">
        <f t="shared" si="55"/>
        <v>0.20616701789183017</v>
      </c>
      <c r="CB78" s="2">
        <v>-0.2076922293482496</v>
      </c>
      <c r="CC78" s="2">
        <f t="shared" si="56"/>
        <v>0.2935425635697963</v>
      </c>
      <c r="CD78" s="2">
        <v>5.9474163802932828E-2</v>
      </c>
      <c r="CE78" s="2">
        <f t="shared" si="49"/>
        <v>0.24985479073081324</v>
      </c>
      <c r="CF78" s="2">
        <v>-6.7144868863303772E-2</v>
      </c>
      <c r="CG78" s="2">
        <f t="shared" si="50"/>
        <v>1.394546750351543E-2</v>
      </c>
      <c r="CH78" s="2">
        <f t="shared" si="51"/>
        <v>-3.9933849293025724E-3</v>
      </c>
      <c r="CI78" s="2">
        <f t="shared" si="52"/>
        <v>8.7375545677966127E-2</v>
      </c>
    </row>
    <row r="79" spans="2:87" x14ac:dyDescent="0.2">
      <c r="B79" s="6" t="s">
        <v>266</v>
      </c>
      <c r="C79" s="17">
        <v>0.8</v>
      </c>
      <c r="AF79" s="2">
        <v>30</v>
      </c>
      <c r="AG79" s="2">
        <f t="shared" si="43"/>
        <v>680.14634782448411</v>
      </c>
      <c r="AH79" s="2">
        <v>4.7337939577118959E-6</v>
      </c>
      <c r="AI79" s="2">
        <f t="shared" si="44"/>
        <v>680.14635052531958</v>
      </c>
      <c r="AJ79" s="2">
        <v>-2.0699817014246946E-5</v>
      </c>
      <c r="AK79" s="5">
        <f t="shared" si="39"/>
        <v>680.14634917490184</v>
      </c>
      <c r="AL79" s="2">
        <v>-7.9830138020042796E-6</v>
      </c>
      <c r="AM79" s="2">
        <f t="shared" si="40"/>
        <v>-3.7789942500258528E-11</v>
      </c>
      <c r="AN79" s="2">
        <f t="shared" si="41"/>
        <v>1.6524692492369639E-10</v>
      </c>
      <c r="AO79" s="2">
        <f t="shared" si="42"/>
        <v>2.7008354663848877E-6</v>
      </c>
      <c r="BO79" s="2">
        <v>7</v>
      </c>
      <c r="BP79" s="2">
        <f t="shared" si="53"/>
        <v>0.24985479073081324</v>
      </c>
      <c r="BQ79" s="2">
        <v>-0.12806408801905705</v>
      </c>
      <c r="BR79" s="2">
        <f t="shared" si="54"/>
        <v>0.2935425635697963</v>
      </c>
      <c r="BS79" s="2">
        <v>5.6392027021561139E-3</v>
      </c>
      <c r="BT79" s="2">
        <f t="shared" si="45"/>
        <v>0.27169867715030477</v>
      </c>
      <c r="BU79" s="2">
        <v>-5.9617815610467043E-2</v>
      </c>
      <c r="BV79" s="2">
        <f t="shared" si="46"/>
        <v>7.6349011858427651E-3</v>
      </c>
      <c r="BW79" s="2">
        <f t="shared" si="47"/>
        <v>-3.361969468871907E-4</v>
      </c>
      <c r="BX79" s="2">
        <f t="shared" si="48"/>
        <v>4.3687772838983063E-2</v>
      </c>
      <c r="BZ79" s="2">
        <v>7</v>
      </c>
      <c r="CA79" s="2">
        <f t="shared" si="55"/>
        <v>0.24985479073081324</v>
      </c>
      <c r="CB79" s="2">
        <v>-6.7144868863303772E-2</v>
      </c>
      <c r="CC79" s="2">
        <f t="shared" si="56"/>
        <v>0.2935425635697963</v>
      </c>
      <c r="CD79" s="2">
        <v>5.9474163802932828E-2</v>
      </c>
      <c r="CE79" s="2">
        <f t="shared" si="49"/>
        <v>0.27169867715030477</v>
      </c>
      <c r="CF79" s="2">
        <v>-2.3675054515374626E-3</v>
      </c>
      <c r="CG79" s="2">
        <f t="shared" si="50"/>
        <v>1.589658430766397E-4</v>
      </c>
      <c r="CH79" s="2">
        <f t="shared" si="51"/>
        <v>-1.4080540702907549E-4</v>
      </c>
      <c r="CI79" s="2">
        <f t="shared" si="52"/>
        <v>4.3687772838983063E-2</v>
      </c>
    </row>
    <row r="80" spans="2:87" x14ac:dyDescent="0.2">
      <c r="B80" s="6" t="s">
        <v>267</v>
      </c>
      <c r="C80" s="17">
        <v>0.8</v>
      </c>
      <c r="BO80" s="2">
        <v>8</v>
      </c>
      <c r="BP80" s="2">
        <f t="shared" si="53"/>
        <v>0.27169867715030477</v>
      </c>
      <c r="BQ80" s="2">
        <v>-5.9617815610467043E-2</v>
      </c>
      <c r="BR80" s="2">
        <f t="shared" si="54"/>
        <v>0.2935425635697963</v>
      </c>
      <c r="BS80" s="2">
        <v>5.6392027021561139E-3</v>
      </c>
      <c r="BT80" s="2">
        <f t="shared" si="45"/>
        <v>0.28262062036005053</v>
      </c>
      <c r="BU80" s="2">
        <v>-2.6615186551259197E-2</v>
      </c>
      <c r="BV80" s="2">
        <f t="shared" si="46"/>
        <v>1.586739284251153E-3</v>
      </c>
      <c r="BW80" s="2">
        <f t="shared" si="47"/>
        <v>-1.5008843191824994E-4</v>
      </c>
      <c r="BX80" s="2">
        <f t="shared" si="48"/>
        <v>2.1843886419491532E-2</v>
      </c>
      <c r="BZ80" s="2">
        <v>8</v>
      </c>
      <c r="CA80" s="2">
        <f t="shared" si="55"/>
        <v>0.27169867715030477</v>
      </c>
      <c r="CB80" s="2">
        <v>-2.3675054515374626E-3</v>
      </c>
      <c r="CC80" s="2">
        <f t="shared" si="56"/>
        <v>0.2935425635697963</v>
      </c>
      <c r="CD80" s="2">
        <v>5.9474163802932828E-2</v>
      </c>
      <c r="CE80" s="2">
        <f t="shared" si="49"/>
        <v>0.28262062036005053</v>
      </c>
      <c r="CF80" s="2">
        <v>2.889679499515968E-2</v>
      </c>
      <c r="CG80" s="2">
        <f t="shared" si="50"/>
        <v>-6.8413319683001002E-5</v>
      </c>
      <c r="CH80" s="2">
        <f t="shared" si="51"/>
        <v>1.7186127189218964E-3</v>
      </c>
      <c r="CI80" s="2">
        <f t="shared" si="52"/>
        <v>2.1843886419491532E-2</v>
      </c>
    </row>
    <row r="81" spans="2:87" x14ac:dyDescent="0.2">
      <c r="B81" s="6" t="s">
        <v>268</v>
      </c>
      <c r="C81" s="17">
        <v>0.8</v>
      </c>
      <c r="BO81" s="2">
        <v>9</v>
      </c>
      <c r="BP81" s="2">
        <f t="shared" si="53"/>
        <v>0.28262062036005053</v>
      </c>
      <c r="BQ81" s="2">
        <v>-2.6615186551259197E-2</v>
      </c>
      <c r="BR81" s="2">
        <f t="shared" si="54"/>
        <v>0.2935425635697963</v>
      </c>
      <c r="BS81" s="2">
        <v>5.6392027021561139E-3</v>
      </c>
      <c r="BT81" s="2">
        <f t="shared" si="45"/>
        <v>0.28808159196492344</v>
      </c>
      <c r="BU81" s="2">
        <v>-1.0397078904365319E-2</v>
      </c>
      <c r="BV81" s="2">
        <f t="shared" si="46"/>
        <v>2.7672019462784454E-4</v>
      </c>
      <c r="BW81" s="2">
        <f t="shared" si="47"/>
        <v>-5.8631235452027234E-5</v>
      </c>
      <c r="BX81" s="2">
        <f t="shared" si="48"/>
        <v>1.0921943209745766E-2</v>
      </c>
      <c r="BZ81" s="2">
        <v>9</v>
      </c>
      <c r="CA81" s="2">
        <f t="shared" si="55"/>
        <v>0.27169867715030477</v>
      </c>
      <c r="CB81" s="2">
        <v>-2.3675054515374626E-3</v>
      </c>
      <c r="CC81" s="2">
        <f t="shared" si="56"/>
        <v>0.28262062036005053</v>
      </c>
      <c r="CD81" s="2">
        <v>2.889679499515968E-2</v>
      </c>
      <c r="CE81" s="2">
        <f t="shared" si="49"/>
        <v>0.27715964875517762</v>
      </c>
      <c r="CF81" s="2">
        <v>1.3353112535046674E-2</v>
      </c>
      <c r="CG81" s="2">
        <f t="shared" si="50"/>
        <v>-3.1613566721716231E-5</v>
      </c>
      <c r="CH81" s="2">
        <f t="shared" si="51"/>
        <v>3.8586215547254071E-4</v>
      </c>
      <c r="CI81" s="2">
        <f t="shared" si="52"/>
        <v>1.0921943209745766E-2</v>
      </c>
    </row>
    <row r="82" spans="2:87" x14ac:dyDescent="0.2">
      <c r="B82" s="6" t="s">
        <v>258</v>
      </c>
      <c r="C82" s="17">
        <v>5</v>
      </c>
      <c r="D82" s="6" t="s">
        <v>43</v>
      </c>
      <c r="BO82" s="2">
        <v>10</v>
      </c>
      <c r="BP82" s="2">
        <f t="shared" si="53"/>
        <v>0.28808159196492344</v>
      </c>
      <c r="BQ82" s="2">
        <v>-1.0397078904365319E-2</v>
      </c>
      <c r="BR82" s="2">
        <f t="shared" si="54"/>
        <v>0.2935425635697963</v>
      </c>
      <c r="BS82" s="2">
        <v>5.6392027021561139E-3</v>
      </c>
      <c r="BT82" s="2">
        <f t="shared" si="45"/>
        <v>0.29081207776735984</v>
      </c>
      <c r="BU82" s="2">
        <v>-2.3565132833051686E-3</v>
      </c>
      <c r="BV82" s="2">
        <f t="shared" si="46"/>
        <v>2.4500854545708822E-5</v>
      </c>
      <c r="BW82" s="2">
        <f t="shared" si="47"/>
        <v>-1.3288856074881282E-5</v>
      </c>
      <c r="BX82" s="2">
        <f t="shared" si="48"/>
        <v>5.4609716048728552E-3</v>
      </c>
      <c r="BZ82" s="2">
        <v>10</v>
      </c>
      <c r="CA82" s="2">
        <f t="shared" si="55"/>
        <v>0.27169867715030477</v>
      </c>
      <c r="CB82" s="2">
        <v>-2.3675054515374626E-3</v>
      </c>
      <c r="CC82" s="2">
        <f t="shared" si="56"/>
        <v>0.27715964875517762</v>
      </c>
      <c r="CD82" s="2">
        <v>1.3353112535046674E-2</v>
      </c>
      <c r="CE82" s="2">
        <f t="shared" si="49"/>
        <v>0.27442916295274122</v>
      </c>
      <c r="CF82" s="2">
        <v>5.515271829122162E-3</v>
      </c>
      <c r="CG82" s="2">
        <f t="shared" si="50"/>
        <v>-1.3057436122157711E-5</v>
      </c>
      <c r="CH82" s="2">
        <f t="shared" si="51"/>
        <v>7.3646045395640933E-5</v>
      </c>
      <c r="CI82" s="2">
        <f t="shared" si="52"/>
        <v>5.4609716048728552E-3</v>
      </c>
    </row>
    <row r="83" spans="2:87" x14ac:dyDescent="0.2">
      <c r="BO83" s="2">
        <v>11</v>
      </c>
      <c r="BP83" s="2">
        <f t="shared" si="53"/>
        <v>0.29081207776735984</v>
      </c>
      <c r="BQ83" s="2">
        <v>-2.3565132833051686E-3</v>
      </c>
      <c r="BR83" s="2">
        <f t="shared" si="54"/>
        <v>0.2935425635697963</v>
      </c>
      <c r="BS83" s="2">
        <v>5.6392027021561139E-3</v>
      </c>
      <c r="BT83" s="2">
        <f t="shared" si="45"/>
        <v>0.29217732066857804</v>
      </c>
      <c r="BU83" s="2">
        <v>1.6469143428909996E-3</v>
      </c>
      <c r="BV83" s="2">
        <f t="shared" si="46"/>
        <v>-3.8809755254884439E-6</v>
      </c>
      <c r="BW83" s="2">
        <f t="shared" si="47"/>
        <v>9.2872838126505858E-6</v>
      </c>
      <c r="BX83" s="2">
        <f t="shared" si="48"/>
        <v>2.7304858024364553E-3</v>
      </c>
      <c r="BZ83" s="2">
        <v>11</v>
      </c>
      <c r="CA83" s="2">
        <f t="shared" si="55"/>
        <v>0.27169867715030477</v>
      </c>
      <c r="CB83" s="2">
        <v>-2.3675054515374626E-3</v>
      </c>
      <c r="CC83" s="2">
        <f t="shared" si="56"/>
        <v>0.27442916295274122</v>
      </c>
      <c r="CD83" s="2">
        <v>5.515271829122162E-3</v>
      </c>
      <c r="CE83" s="2">
        <f t="shared" si="49"/>
        <v>0.27306392005152302</v>
      </c>
      <c r="CF83" s="2">
        <v>1.5795459671477316E-3</v>
      </c>
      <c r="CG83" s="2">
        <f t="shared" si="50"/>
        <v>-3.7395836881762683E-6</v>
      </c>
      <c r="CH83" s="2">
        <f t="shared" si="51"/>
        <v>8.7116253754134046E-6</v>
      </c>
      <c r="CI83" s="2">
        <f t="shared" si="52"/>
        <v>2.7304858024364553E-3</v>
      </c>
    </row>
    <row r="84" spans="2:87" x14ac:dyDescent="0.2">
      <c r="BO84" s="2">
        <v>12</v>
      </c>
      <c r="BP84" s="2">
        <f t="shared" si="53"/>
        <v>0.29081207776735984</v>
      </c>
      <c r="BQ84" s="2">
        <v>-2.3565132833051686E-3</v>
      </c>
      <c r="BR84" s="2">
        <f t="shared" si="54"/>
        <v>0.29217732066857804</v>
      </c>
      <c r="BS84" s="2">
        <v>1.6469143428909996E-3</v>
      </c>
      <c r="BT84" s="2">
        <f t="shared" si="45"/>
        <v>0.29149469921796894</v>
      </c>
      <c r="BU84" s="2">
        <v>-3.5340254891625539E-4</v>
      </c>
      <c r="BV84" s="2">
        <f t="shared" si="46"/>
        <v>8.3279780087506048E-7</v>
      </c>
      <c r="BW84" s="2">
        <f t="shared" si="47"/>
        <v>-5.8202372662441912E-7</v>
      </c>
      <c r="BX84" s="2">
        <f t="shared" si="48"/>
        <v>1.3652429012181999E-3</v>
      </c>
      <c r="BZ84" s="2">
        <v>12</v>
      </c>
      <c r="CA84" s="2">
        <f t="shared" si="55"/>
        <v>0.27169867715030477</v>
      </c>
      <c r="CB84" s="2">
        <v>-2.3675054515374626E-3</v>
      </c>
      <c r="CC84" s="2">
        <f t="shared" si="56"/>
        <v>0.27306392005152302</v>
      </c>
      <c r="CD84" s="2">
        <v>1.5795459671477316E-3</v>
      </c>
      <c r="CE84" s="2">
        <f t="shared" si="49"/>
        <v>0.27238129860091387</v>
      </c>
      <c r="CF84" s="2">
        <v>-3.9255821740902253E-4</v>
      </c>
      <c r="CG84" s="2">
        <f t="shared" si="50"/>
        <v>9.2938371976168926E-7</v>
      </c>
      <c r="CH84" s="2">
        <f t="shared" si="51"/>
        <v>-6.2006374917912397E-7</v>
      </c>
      <c r="CI84" s="2">
        <f t="shared" si="52"/>
        <v>1.3652429012182554E-3</v>
      </c>
    </row>
    <row r="85" spans="2:87" x14ac:dyDescent="0.2">
      <c r="BO85" s="2">
        <v>13</v>
      </c>
      <c r="BP85" s="2">
        <f t="shared" si="53"/>
        <v>0.29149469921796894</v>
      </c>
      <c r="BQ85" s="2">
        <v>-3.5340254891625539E-4</v>
      </c>
      <c r="BR85" s="2">
        <f t="shared" si="54"/>
        <v>0.29217732066857804</v>
      </c>
      <c r="BS85" s="2">
        <v>1.6469143428909996E-3</v>
      </c>
      <c r="BT85" s="2">
        <f t="shared" si="45"/>
        <v>0.29183600994327352</v>
      </c>
      <c r="BU85" s="2">
        <v>6.4710455959814117E-4</v>
      </c>
      <c r="BV85" s="2">
        <f t="shared" si="46"/>
        <v>-2.2868840077731399E-7</v>
      </c>
      <c r="BW85" s="2">
        <f t="shared" si="47"/>
        <v>1.0657257805523423E-6</v>
      </c>
      <c r="BX85" s="2">
        <f t="shared" si="48"/>
        <v>6.8262145060909996E-4</v>
      </c>
      <c r="BZ85" s="2">
        <v>13</v>
      </c>
      <c r="CA85" s="2">
        <f t="shared" si="55"/>
        <v>0.27238129860091387</v>
      </c>
      <c r="CB85" s="2">
        <v>-3.9255821740902253E-4</v>
      </c>
      <c r="CC85" s="2">
        <f t="shared" si="56"/>
        <v>0.27306392005152302</v>
      </c>
      <c r="CD85" s="2">
        <v>1.5795459671477316E-3</v>
      </c>
      <c r="CE85" s="2">
        <f t="shared" si="49"/>
        <v>0.27272260932621845</v>
      </c>
      <c r="CF85" s="2">
        <v>5.9384852197052335E-4</v>
      </c>
      <c r="CG85" s="2">
        <f t="shared" si="50"/>
        <v>-2.3312011719573138E-7</v>
      </c>
      <c r="CH85" s="2">
        <f t="shared" si="51"/>
        <v>9.3801103797518127E-7</v>
      </c>
      <c r="CI85" s="2">
        <f t="shared" si="52"/>
        <v>6.8262145060915547E-4</v>
      </c>
    </row>
    <row r="86" spans="2:87" x14ac:dyDescent="0.2">
      <c r="BO86" s="2">
        <v>14</v>
      </c>
      <c r="BP86" s="2">
        <f t="shared" si="53"/>
        <v>0.29149469921796894</v>
      </c>
      <c r="BQ86" s="2">
        <v>-3.5340254891625539E-4</v>
      </c>
      <c r="BR86" s="2">
        <f t="shared" si="54"/>
        <v>0.29183600994327352</v>
      </c>
      <c r="BS86" s="2">
        <v>6.4710455959814117E-4</v>
      </c>
      <c r="BT86" s="2">
        <f t="shared" si="45"/>
        <v>0.29166535458062126</v>
      </c>
      <c r="BU86" s="2">
        <v>1.4693824173113434E-4</v>
      </c>
      <c r="BV86" s="2">
        <f t="shared" si="46"/>
        <v>-5.1928349161055767E-8</v>
      </c>
      <c r="BW86" s="2">
        <f t="shared" si="47"/>
        <v>9.5084406203550895E-8</v>
      </c>
      <c r="BX86" s="2">
        <f t="shared" si="48"/>
        <v>3.4131072530457773E-4</v>
      </c>
      <c r="BZ86" s="2">
        <v>14</v>
      </c>
      <c r="CA86" s="2">
        <f t="shared" si="55"/>
        <v>0.27238129860091387</v>
      </c>
      <c r="CB86" s="2">
        <v>-3.9255821740902253E-4</v>
      </c>
      <c r="CC86" s="2">
        <f t="shared" si="56"/>
        <v>0.27272260932621845</v>
      </c>
      <c r="CD86" s="2">
        <v>5.9384852197052335E-4</v>
      </c>
      <c r="CE86" s="2">
        <f t="shared" si="49"/>
        <v>0.27255195396356613</v>
      </c>
      <c r="CF86" s="2">
        <v>1.0073390548252098E-4</v>
      </c>
      <c r="CG86" s="2">
        <f t="shared" si="50"/>
        <v>-3.9543922368867398E-8</v>
      </c>
      <c r="CH86" s="2">
        <f t="shared" si="51"/>
        <v>5.9820680883113488E-8</v>
      </c>
      <c r="CI86" s="2">
        <f t="shared" si="52"/>
        <v>3.4131072530457773E-4</v>
      </c>
    </row>
    <row r="87" spans="2:87" x14ac:dyDescent="0.2">
      <c r="BO87" s="2">
        <v>15</v>
      </c>
      <c r="BP87" s="2">
        <f t="shared" si="53"/>
        <v>0.29149469921796894</v>
      </c>
      <c r="BQ87" s="2">
        <v>-3.5340254891625539E-4</v>
      </c>
      <c r="BR87" s="2">
        <f t="shared" si="54"/>
        <v>0.29166535458062126</v>
      </c>
      <c r="BS87" s="2">
        <v>1.4693824173113434E-4</v>
      </c>
      <c r="BT87" s="2">
        <f t="shared" si="45"/>
        <v>0.29158002689929508</v>
      </c>
      <c r="BU87" s="2">
        <v>-1.0321033563314569E-4</v>
      </c>
      <c r="BV87" s="2">
        <f t="shared" si="46"/>
        <v>3.6474795687255903E-8</v>
      </c>
      <c r="BW87" s="2">
        <f t="shared" si="47"/>
        <v>-1.5165545246414671E-8</v>
      </c>
      <c r="BX87" s="2">
        <f t="shared" si="48"/>
        <v>1.7065536265231662E-4</v>
      </c>
      <c r="BZ87" s="2">
        <v>15</v>
      </c>
      <c r="CA87" s="2">
        <f t="shared" si="55"/>
        <v>0.27238129860091387</v>
      </c>
      <c r="CB87" s="2">
        <v>-3.9255821740902253E-4</v>
      </c>
      <c r="CC87" s="2">
        <f t="shared" si="56"/>
        <v>0.27255195396356613</v>
      </c>
      <c r="CD87" s="2">
        <v>1.0073390548252098E-4</v>
      </c>
      <c r="CE87" s="2">
        <f t="shared" si="49"/>
        <v>0.27246662628224</v>
      </c>
      <c r="CF87" s="2">
        <v>-1.4588995620515993E-4</v>
      </c>
      <c r="CG87" s="2">
        <f t="shared" si="50"/>
        <v>5.7270301145777946E-8</v>
      </c>
      <c r="CH87" s="2">
        <f t="shared" si="51"/>
        <v>-1.4696065059219705E-8</v>
      </c>
      <c r="CI87" s="2">
        <f t="shared" si="52"/>
        <v>1.7065536265226111E-4</v>
      </c>
    </row>
    <row r="88" spans="2:87" x14ac:dyDescent="0.2">
      <c r="BO88" s="2">
        <v>16</v>
      </c>
      <c r="BP88" s="2">
        <f t="shared" si="53"/>
        <v>0.29158002689929508</v>
      </c>
      <c r="BQ88" s="2">
        <v>-1.0321033563314569E-4</v>
      </c>
      <c r="BR88" s="2">
        <f t="shared" si="54"/>
        <v>0.29166535458062126</v>
      </c>
      <c r="BS88" s="2">
        <v>1.4693824173113434E-4</v>
      </c>
      <c r="BT88" s="2">
        <f t="shared" si="45"/>
        <v>0.29162269073995817</v>
      </c>
      <c r="BU88" s="2">
        <v>2.1869406430334581E-5</v>
      </c>
      <c r="BV88" s="2">
        <f t="shared" si="46"/>
        <v>-2.2571487777725066E-9</v>
      </c>
      <c r="BW88" s="2">
        <f t="shared" si="47"/>
        <v>3.2134521285769264E-9</v>
      </c>
      <c r="BX88" s="2">
        <f t="shared" si="48"/>
        <v>8.5327681326186067E-5</v>
      </c>
      <c r="BZ88" s="2">
        <v>16</v>
      </c>
      <c r="CA88" s="2">
        <f t="shared" si="55"/>
        <v>0.27246662628224</v>
      </c>
      <c r="CB88" s="2">
        <v>-1.4588995620515993E-4</v>
      </c>
      <c r="CC88" s="2">
        <f t="shared" si="56"/>
        <v>0.27255195396356613</v>
      </c>
      <c r="CD88" s="2">
        <v>1.0073390548252098E-4</v>
      </c>
      <c r="CE88" s="2">
        <f t="shared" si="49"/>
        <v>0.27250929012290304</v>
      </c>
      <c r="CF88" s="2">
        <v>-2.2572476855289847E-5</v>
      </c>
      <c r="CG88" s="2">
        <f t="shared" si="50"/>
        <v>3.2930976598602218E-9</v>
      </c>
      <c r="CH88" s="2">
        <f t="shared" si="51"/>
        <v>-2.27381375004716E-9</v>
      </c>
      <c r="CI88" s="2">
        <f t="shared" si="52"/>
        <v>8.5327681326130556E-5</v>
      </c>
    </row>
    <row r="89" spans="2:87" x14ac:dyDescent="0.2">
      <c r="BO89" s="2">
        <v>17</v>
      </c>
      <c r="BP89" s="2">
        <f t="shared" si="53"/>
        <v>0.29158002689929508</v>
      </c>
      <c r="BQ89" s="2">
        <v>-1.0321033563314569E-4</v>
      </c>
      <c r="BR89" s="2">
        <f t="shared" si="54"/>
        <v>0.29162269073995817</v>
      </c>
      <c r="BS89" s="2">
        <v>2.1869406430334581E-5</v>
      </c>
      <c r="BT89" s="2">
        <f t="shared" si="45"/>
        <v>0.29160135881962662</v>
      </c>
      <c r="BU89" s="2">
        <v>-4.0669101117656037E-5</v>
      </c>
      <c r="BV89" s="2">
        <f t="shared" si="46"/>
        <v>4.1974715762516199E-9</v>
      </c>
      <c r="BW89" s="2">
        <f t="shared" si="47"/>
        <v>-8.8940910149839421E-10</v>
      </c>
      <c r="BX89" s="2">
        <f t="shared" si="48"/>
        <v>4.2663840663093033E-5</v>
      </c>
      <c r="BZ89" s="2">
        <v>17</v>
      </c>
      <c r="CA89" s="2">
        <f t="shared" si="55"/>
        <v>0.27250929012290304</v>
      </c>
      <c r="CB89" s="2">
        <v>-2.2572476855289847E-5</v>
      </c>
      <c r="CC89" s="2">
        <f t="shared" si="56"/>
        <v>0.27255195396356613</v>
      </c>
      <c r="CD89" s="2">
        <v>1.0073390548252098E-4</v>
      </c>
      <c r="CE89" s="2">
        <f t="shared" si="49"/>
        <v>0.27253062204323458</v>
      </c>
      <c r="CF89" s="2">
        <v>3.9082101261057878E-5</v>
      </c>
      <c r="CG89" s="2">
        <f t="shared" si="50"/>
        <v>-8.821798261713231E-10</v>
      </c>
      <c r="CH89" s="2">
        <f t="shared" si="51"/>
        <v>3.9368926944897186E-9</v>
      </c>
      <c r="CI89" s="2">
        <f t="shared" si="52"/>
        <v>4.2663840663093033E-5</v>
      </c>
    </row>
    <row r="90" spans="2:87" x14ac:dyDescent="0.2">
      <c r="BO90" s="2">
        <v>18</v>
      </c>
      <c r="BP90" s="2">
        <f t="shared" si="53"/>
        <v>0.29160135881962662</v>
      </c>
      <c r="BQ90" s="2">
        <v>-4.0669101117656037E-5</v>
      </c>
      <c r="BR90" s="2">
        <f t="shared" si="54"/>
        <v>0.29162269073995817</v>
      </c>
      <c r="BS90" s="2">
        <v>2.1869406430334581E-5</v>
      </c>
      <c r="BT90" s="2">
        <f t="shared" si="45"/>
        <v>0.29161202477979242</v>
      </c>
      <c r="BU90" s="2">
        <v>-9.3995064899959901E-6</v>
      </c>
      <c r="BV90" s="2">
        <f t="shared" si="46"/>
        <v>3.8226947989771108E-10</v>
      </c>
      <c r="BW90" s="2">
        <f t="shared" si="47"/>
        <v>-2.0556162767428993E-10</v>
      </c>
      <c r="BX90" s="2">
        <f t="shared" si="48"/>
        <v>2.1331920331546517E-5</v>
      </c>
      <c r="BZ90" s="2">
        <v>18</v>
      </c>
      <c r="CA90" s="2">
        <f t="shared" si="55"/>
        <v>0.27250929012290304</v>
      </c>
      <c r="CB90" s="2">
        <v>-2.2572476855289847E-5</v>
      </c>
      <c r="CC90" s="2">
        <f t="shared" si="56"/>
        <v>0.27253062204323458</v>
      </c>
      <c r="CD90" s="2">
        <v>3.9082101261057878E-5</v>
      </c>
      <c r="CE90" s="2">
        <f t="shared" si="49"/>
        <v>0.27251995608306878</v>
      </c>
      <c r="CF90" s="2">
        <v>8.255158961988085E-6</v>
      </c>
      <c r="CG90" s="2">
        <f t="shared" si="50"/>
        <v>-1.8633938460621459E-10</v>
      </c>
      <c r="CH90" s="2">
        <f t="shared" si="51"/>
        <v>3.226289584785478E-10</v>
      </c>
      <c r="CI90" s="2">
        <f t="shared" si="52"/>
        <v>2.1331920331546517E-5</v>
      </c>
    </row>
    <row r="91" spans="2:87" x14ac:dyDescent="0.2">
      <c r="BO91" s="2">
        <v>19</v>
      </c>
      <c r="BP91" s="2">
        <f t="shared" si="53"/>
        <v>0.29161202477979242</v>
      </c>
      <c r="BQ91" s="2">
        <v>-9.3995064899959901E-6</v>
      </c>
      <c r="BR91" s="2">
        <f t="shared" si="54"/>
        <v>0.29162269073995817</v>
      </c>
      <c r="BS91" s="2">
        <v>2.1869406430334581E-5</v>
      </c>
      <c r="BT91" s="2">
        <f t="shared" si="45"/>
        <v>0.2916173577598753</v>
      </c>
      <c r="BU91" s="2">
        <v>6.2350351813442173E-6</v>
      </c>
      <c r="BV91" s="2">
        <f t="shared" si="46"/>
        <v>-5.8606253652398299E-11</v>
      </c>
      <c r="BW91" s="2">
        <f t="shared" si="47"/>
        <v>1.3635651848825158E-10</v>
      </c>
      <c r="BX91" s="2">
        <f t="shared" si="48"/>
        <v>1.0665960165745503E-5</v>
      </c>
      <c r="BZ91" s="2">
        <v>19</v>
      </c>
      <c r="CA91" s="2">
        <f t="shared" si="55"/>
        <v>0.27250929012290304</v>
      </c>
      <c r="CB91" s="2">
        <v>-2.2572476855289847E-5</v>
      </c>
      <c r="CC91" s="2">
        <f t="shared" si="56"/>
        <v>0.27251995608306878</v>
      </c>
      <c r="CD91" s="2">
        <v>8.255158961988085E-6</v>
      </c>
      <c r="CE91" s="2">
        <f t="shared" si="49"/>
        <v>0.27251462310298591</v>
      </c>
      <c r="CF91" s="2">
        <v>-7.1585722541608887E-6</v>
      </c>
      <c r="CG91" s="2">
        <f t="shared" si="50"/>
        <v>1.6158670652396673E-10</v>
      </c>
      <c r="CH91" s="2">
        <f t="shared" si="51"/>
        <v>-5.9095151898975502E-11</v>
      </c>
      <c r="CI91" s="2">
        <f t="shared" si="52"/>
        <v>1.0665960165745503E-5</v>
      </c>
    </row>
    <row r="92" spans="2:87" x14ac:dyDescent="0.2">
      <c r="BO92" s="2">
        <v>20</v>
      </c>
      <c r="BP92" s="2">
        <f t="shared" si="53"/>
        <v>0.29161202477979242</v>
      </c>
      <c r="BQ92" s="2">
        <v>-9.3995064899959901E-6</v>
      </c>
      <c r="BR92" s="2">
        <f t="shared" si="54"/>
        <v>0.2916173577598753</v>
      </c>
      <c r="BS92" s="2">
        <v>6.2350351813442173E-6</v>
      </c>
      <c r="BT92" s="2">
        <f t="shared" si="45"/>
        <v>0.29161469126983386</v>
      </c>
      <c r="BU92" s="2">
        <v>-1.5822143513491427E-6</v>
      </c>
      <c r="BV92" s="2">
        <f t="shared" si="46"/>
        <v>1.4872034064071062E-11</v>
      </c>
      <c r="BW92" s="2">
        <f t="shared" si="47"/>
        <v>-9.8651621450896244E-12</v>
      </c>
      <c r="BX92" s="2">
        <f t="shared" si="48"/>
        <v>5.3329800828727514E-6</v>
      </c>
      <c r="BZ92" s="2">
        <v>20</v>
      </c>
      <c r="CA92" s="2">
        <f t="shared" si="55"/>
        <v>0.27251462310298591</v>
      </c>
      <c r="CB92" s="2">
        <v>-7.1585722541608887E-6</v>
      </c>
      <c r="CC92" s="2">
        <f t="shared" si="56"/>
        <v>0.27251995608306878</v>
      </c>
      <c r="CD92" s="2">
        <v>8.255158961988085E-6</v>
      </c>
      <c r="CE92" s="2">
        <f t="shared" si="49"/>
        <v>0.27251728959302735</v>
      </c>
      <c r="CF92" s="2">
        <v>5.4831502681318423E-7</v>
      </c>
      <c r="CG92" s="2">
        <f t="shared" si="50"/>
        <v>-3.9251527374843442E-12</v>
      </c>
      <c r="CH92" s="2">
        <f t="shared" si="51"/>
        <v>4.526427707589595E-12</v>
      </c>
      <c r="CI92" s="2">
        <f t="shared" si="52"/>
        <v>5.3329800828727514E-6</v>
      </c>
    </row>
    <row r="93" spans="2:87" x14ac:dyDescent="0.2">
      <c r="BO93" s="2">
        <v>21</v>
      </c>
      <c r="BP93" s="2">
        <f t="shared" si="53"/>
        <v>0.29161469126983386</v>
      </c>
      <c r="BQ93" s="2">
        <v>-1.5822143513491427E-6</v>
      </c>
      <c r="BR93" s="2">
        <f t="shared" si="54"/>
        <v>0.2916173577598753</v>
      </c>
      <c r="BS93" s="2">
        <v>6.2350351813442173E-6</v>
      </c>
      <c r="BT93" s="2">
        <f t="shared" si="45"/>
        <v>0.29161602451485458</v>
      </c>
      <c r="BU93" s="2">
        <v>2.3264157407928976E-6</v>
      </c>
      <c r="BV93" s="2">
        <f t="shared" si="46"/>
        <v>-3.6808883722870701E-12</v>
      </c>
      <c r="BW93" s="2">
        <f t="shared" si="47"/>
        <v>1.4505283990276686E-11</v>
      </c>
      <c r="BX93" s="2">
        <f t="shared" si="48"/>
        <v>2.6664900414363757E-6</v>
      </c>
      <c r="BZ93" s="2">
        <v>21</v>
      </c>
      <c r="CA93" s="2">
        <f t="shared" si="55"/>
        <v>0.27251462310298591</v>
      </c>
      <c r="CB93" s="2">
        <v>-7.1585722541608887E-6</v>
      </c>
      <c r="CC93" s="2">
        <f t="shared" si="56"/>
        <v>0.27251728959302735</v>
      </c>
      <c r="CD93" s="2">
        <v>5.4831502681318423E-7</v>
      </c>
      <c r="CE93" s="2">
        <f t="shared" si="49"/>
        <v>0.27251595634800663</v>
      </c>
      <c r="CF93" s="2">
        <v>-3.305123195497528E-6</v>
      </c>
      <c r="CG93" s="2">
        <f t="shared" si="50"/>
        <v>2.3659963203872178E-11</v>
      </c>
      <c r="CH93" s="2">
        <f t="shared" si="51"/>
        <v>-1.8122487135601042E-12</v>
      </c>
      <c r="CI93" s="2">
        <f t="shared" si="52"/>
        <v>2.6664900414363757E-6</v>
      </c>
    </row>
    <row r="94" spans="2:87" x14ac:dyDescent="0.2">
      <c r="BO94" s="2">
        <v>22</v>
      </c>
      <c r="BP94" s="2">
        <f t="shared" si="53"/>
        <v>0.29161469126983386</v>
      </c>
      <c r="BQ94" s="2">
        <v>-1.5822143513491427E-6</v>
      </c>
      <c r="BR94" s="2">
        <f t="shared" si="54"/>
        <v>0.29161602451485458</v>
      </c>
      <c r="BS94" s="2">
        <v>2.3264157407928976E-6</v>
      </c>
      <c r="BT94" s="2">
        <f t="shared" si="45"/>
        <v>0.29161535789234422</v>
      </c>
      <c r="BU94" s="2">
        <v>3.7210202623316757E-7</v>
      </c>
      <c r="BV94" s="2">
        <f t="shared" si="46"/>
        <v>-5.8874516607221292E-13</v>
      </c>
      <c r="BW94" s="2">
        <f t="shared" si="47"/>
        <v>8.656640110097728E-13</v>
      </c>
      <c r="BX94" s="2">
        <f t="shared" si="48"/>
        <v>1.3332450207181878E-6</v>
      </c>
      <c r="BZ94" s="2">
        <v>22</v>
      </c>
      <c r="CA94" s="2">
        <f t="shared" si="55"/>
        <v>0.27251595634800663</v>
      </c>
      <c r="CB94" s="2">
        <v>-3.305123195497528E-6</v>
      </c>
      <c r="CC94" s="2">
        <f t="shared" si="56"/>
        <v>0.27251728959302735</v>
      </c>
      <c r="CD94" s="2">
        <v>5.4831502681318423E-7</v>
      </c>
      <c r="CE94" s="2">
        <f t="shared" si="49"/>
        <v>0.27251662297051699</v>
      </c>
      <c r="CF94" s="2">
        <v>-1.37840272969314E-6</v>
      </c>
      <c r="CG94" s="2">
        <f t="shared" si="50"/>
        <v>4.5557908346459066E-12</v>
      </c>
      <c r="CH94" s="2">
        <f t="shared" si="51"/>
        <v>-7.5579892969106036E-13</v>
      </c>
      <c r="CI94" s="2">
        <f t="shared" si="52"/>
        <v>1.3332450207181878E-6</v>
      </c>
    </row>
    <row r="95" spans="2:87" x14ac:dyDescent="0.2">
      <c r="BO95" s="2">
        <v>23</v>
      </c>
      <c r="BP95" s="2">
        <f t="shared" si="53"/>
        <v>0.29161469126983386</v>
      </c>
      <c r="BQ95" s="2">
        <v>-1.5822143513491427E-6</v>
      </c>
      <c r="BR95" s="2">
        <f t="shared" si="54"/>
        <v>0.29161535789234422</v>
      </c>
      <c r="BS95" s="2">
        <v>3.7210202623316757E-7</v>
      </c>
      <c r="BT95" s="2">
        <f t="shared" si="45"/>
        <v>0.29161502458108901</v>
      </c>
      <c r="BU95" s="2">
        <v>-6.0505582966108307E-7</v>
      </c>
      <c r="BV95" s="2">
        <f t="shared" si="46"/>
        <v>9.5732801705722798E-13</v>
      </c>
      <c r="BW95" s="2">
        <f t="shared" si="47"/>
        <v>-2.251425002010793E-13</v>
      </c>
      <c r="BX95" s="2">
        <f t="shared" si="48"/>
        <v>6.6662251035909392E-7</v>
      </c>
      <c r="BZ95" s="2">
        <v>23</v>
      </c>
      <c r="CA95" s="2">
        <f t="shared" si="55"/>
        <v>0.27251662297051699</v>
      </c>
      <c r="CB95" s="2">
        <v>-1.37840272969314E-6</v>
      </c>
      <c r="CC95" s="2">
        <f t="shared" si="56"/>
        <v>0.27251728959302735</v>
      </c>
      <c r="CD95" s="2">
        <v>5.4831502681318423E-7</v>
      </c>
      <c r="CE95" s="2">
        <f t="shared" si="49"/>
        <v>0.27251695628177219</v>
      </c>
      <c r="CF95" s="2">
        <v>-4.1504351271093309E-7</v>
      </c>
      <c r="CG95" s="2">
        <f t="shared" si="50"/>
        <v>5.7209711086217967E-13</v>
      </c>
      <c r="CH95" s="2">
        <f t="shared" si="51"/>
        <v>-2.2757459480073343E-13</v>
      </c>
      <c r="CI95" s="2">
        <f t="shared" si="52"/>
        <v>6.6662251035909392E-7</v>
      </c>
    </row>
    <row r="96" spans="2:87" x14ac:dyDescent="0.2">
      <c r="BO96" s="2">
        <v>24</v>
      </c>
      <c r="BP96" s="2">
        <f t="shared" si="53"/>
        <v>0.29161502458108901</v>
      </c>
      <c r="BQ96" s="2">
        <v>-6.0505582966108307E-7</v>
      </c>
      <c r="BR96" s="2">
        <f t="shared" si="54"/>
        <v>0.29161535789234422</v>
      </c>
      <c r="BS96" s="2">
        <v>3.7210202623316757E-7</v>
      </c>
      <c r="BT96" s="2">
        <f t="shared" si="45"/>
        <v>0.29161519123671664</v>
      </c>
      <c r="BU96" s="2">
        <v>-1.1647681837784196E-7</v>
      </c>
      <c r="BV96" s="2">
        <f t="shared" si="46"/>
        <v>7.0474977979888453E-14</v>
      </c>
      <c r="BW96" s="2">
        <f t="shared" si="47"/>
        <v>-4.3341260127587645E-14</v>
      </c>
      <c r="BX96" s="2">
        <f t="shared" si="48"/>
        <v>3.3331125520730254E-7</v>
      </c>
      <c r="BZ96" s="2">
        <v>24</v>
      </c>
      <c r="CA96" s="2">
        <f t="shared" si="55"/>
        <v>0.27251695628177219</v>
      </c>
      <c r="CB96" s="2">
        <v>-4.1504351271093309E-7</v>
      </c>
      <c r="CC96" s="2">
        <f t="shared" si="56"/>
        <v>0.27251728959302735</v>
      </c>
      <c r="CD96" s="2">
        <v>5.4831502681318423E-7</v>
      </c>
      <c r="CE96" s="2">
        <f t="shared" si="49"/>
        <v>0.27251712293739977</v>
      </c>
      <c r="CF96" s="2">
        <v>6.6635841594608891E-8</v>
      </c>
      <c r="CG96" s="2">
        <f t="shared" si="50"/>
        <v>-2.7656773767875778E-14</v>
      </c>
      <c r="CH96" s="2">
        <f t="shared" si="51"/>
        <v>3.6537433270667071E-14</v>
      </c>
      <c r="CI96" s="2">
        <f t="shared" si="52"/>
        <v>3.3331125515179139E-7</v>
      </c>
    </row>
    <row r="97" spans="67:87" x14ac:dyDescent="0.2">
      <c r="BO97" s="2">
        <v>25</v>
      </c>
      <c r="BP97" s="2">
        <f t="shared" si="53"/>
        <v>0.29161519123671664</v>
      </c>
      <c r="BQ97" s="2">
        <v>-1.1647681837784196E-7</v>
      </c>
      <c r="BR97" s="2">
        <f t="shared" si="54"/>
        <v>0.29161535789234422</v>
      </c>
      <c r="BS97" s="2">
        <v>3.7210202623316757E-7</v>
      </c>
      <c r="BT97" s="2">
        <f t="shared" si="45"/>
        <v>0.2916152745645304</v>
      </c>
      <c r="BU97" s="2">
        <v>1.2781262461597498E-7</v>
      </c>
      <c r="BV97" s="2">
        <f t="shared" si="46"/>
        <v>-1.488720786379021E-14</v>
      </c>
      <c r="BW97" s="2">
        <f t="shared" si="47"/>
        <v>4.7559336597783523E-14</v>
      </c>
      <c r="BX97" s="2">
        <f t="shared" si="48"/>
        <v>1.6665562757589569E-7</v>
      </c>
      <c r="BZ97" s="2">
        <v>25</v>
      </c>
      <c r="CA97" s="2">
        <f t="shared" si="55"/>
        <v>0.27251695628177219</v>
      </c>
      <c r="CB97" s="2">
        <v>-4.1504351271093309E-7</v>
      </c>
      <c r="CC97" s="2">
        <f t="shared" si="56"/>
        <v>0.27251712293739977</v>
      </c>
      <c r="CD97" s="2">
        <v>6.6635841594608891E-8</v>
      </c>
      <c r="CE97" s="2">
        <f t="shared" si="49"/>
        <v>0.27251703960958595</v>
      </c>
      <c r="CF97" s="2">
        <v>-1.7420381441535238E-7</v>
      </c>
      <c r="CG97" s="2">
        <f t="shared" si="50"/>
        <v>7.230216306259133E-14</v>
      </c>
      <c r="CH97" s="2">
        <f t="shared" si="51"/>
        <v>-1.1608217782558066E-14</v>
      </c>
      <c r="CI97" s="2">
        <f t="shared" si="52"/>
        <v>1.6665562757589569E-7</v>
      </c>
    </row>
    <row r="98" spans="67:87" x14ac:dyDescent="0.2">
      <c r="BO98" s="2">
        <v>26</v>
      </c>
      <c r="BP98" s="2">
        <f t="shared" si="53"/>
        <v>0.29161519123671664</v>
      </c>
      <c r="BQ98" s="2">
        <v>-1.1647681837784196E-7</v>
      </c>
      <c r="BR98" s="2">
        <f t="shared" si="54"/>
        <v>0.2916152745645304</v>
      </c>
      <c r="BS98" s="2">
        <v>1.2781262461597498E-7</v>
      </c>
      <c r="BT98" s="2">
        <f t="shared" si="45"/>
        <v>0.29161523290062352</v>
      </c>
      <c r="BU98" s="2">
        <v>5.6679082954813609E-9</v>
      </c>
      <c r="BV98" s="2">
        <f t="shared" si="46"/>
        <v>-6.6017992511504632E-16</v>
      </c>
      <c r="BW98" s="2">
        <f t="shared" si="47"/>
        <v>7.2443023532812973E-16</v>
      </c>
      <c r="BX98" s="2">
        <f t="shared" si="48"/>
        <v>8.3327813760192271E-8</v>
      </c>
      <c r="BZ98" s="2">
        <v>26</v>
      </c>
      <c r="CA98" s="2">
        <f t="shared" si="55"/>
        <v>0.27251703960958595</v>
      </c>
      <c r="CB98" s="2">
        <v>-1.7420381441535238E-7</v>
      </c>
      <c r="CC98" s="2">
        <f t="shared" si="56"/>
        <v>0.27251712293739977</v>
      </c>
      <c r="CD98" s="2">
        <v>6.6635841594608891E-8</v>
      </c>
      <c r="CE98" s="2">
        <f t="shared" si="49"/>
        <v>0.27251708127349283</v>
      </c>
      <c r="CF98" s="2">
        <v>-5.3783981213140208E-8</v>
      </c>
      <c r="CG98" s="2">
        <f t="shared" si="50"/>
        <v>9.3693746817726755E-15</v>
      </c>
      <c r="CH98" s="2">
        <f t="shared" si="51"/>
        <v>-3.5839408524462311E-15</v>
      </c>
      <c r="CI98" s="2">
        <f t="shared" si="52"/>
        <v>8.3327813815703422E-8</v>
      </c>
    </row>
    <row r="99" spans="67:87" x14ac:dyDescent="0.2">
      <c r="BO99" s="2">
        <v>27</v>
      </c>
      <c r="BP99" s="2">
        <f t="shared" si="53"/>
        <v>0.29161519123671664</v>
      </c>
      <c r="BQ99" s="2">
        <v>-1.1647681837784196E-7</v>
      </c>
      <c r="BR99" s="2">
        <f t="shared" si="54"/>
        <v>0.29161523290062352</v>
      </c>
      <c r="BS99" s="2">
        <v>5.6679082954813609E-9</v>
      </c>
      <c r="BT99" s="2">
        <f t="shared" si="45"/>
        <v>0.29161521206867008</v>
      </c>
      <c r="BU99" s="2">
        <v>-5.5404453754015481E-8</v>
      </c>
      <c r="BV99" s="2">
        <f t="shared" si="46"/>
        <v>6.4533344972300051E-15</v>
      </c>
      <c r="BW99" s="2">
        <f t="shared" si="47"/>
        <v>-3.1402736303899777E-16</v>
      </c>
      <c r="BX99" s="2">
        <f t="shared" si="48"/>
        <v>4.1663906880096135E-8</v>
      </c>
      <c r="BZ99" s="2">
        <v>27</v>
      </c>
      <c r="CA99" s="2">
        <f t="shared" si="55"/>
        <v>0.27251708127349283</v>
      </c>
      <c r="CB99" s="2">
        <v>-5.3783981213140208E-8</v>
      </c>
      <c r="CC99" s="2">
        <f t="shared" si="56"/>
        <v>0.27251712293739977</v>
      </c>
      <c r="CD99" s="2">
        <v>6.6635841594608891E-8</v>
      </c>
      <c r="CE99" s="2">
        <f t="shared" si="49"/>
        <v>0.27251710210544633</v>
      </c>
      <c r="CF99" s="2">
        <v>6.4259315785131221E-9</v>
      </c>
      <c r="CG99" s="2">
        <f t="shared" si="50"/>
        <v>-3.4561218329567416E-16</v>
      </c>
      <c r="CH99" s="2">
        <f t="shared" si="51"/>
        <v>4.2819735876359549E-16</v>
      </c>
      <c r="CI99" s="2">
        <f t="shared" si="52"/>
        <v>4.1663906935607287E-8</v>
      </c>
    </row>
    <row r="100" spans="67:87" x14ac:dyDescent="0.2">
      <c r="BO100" s="2">
        <v>28</v>
      </c>
      <c r="BP100" s="2">
        <f t="shared" si="53"/>
        <v>0.29161521206867008</v>
      </c>
      <c r="BQ100" s="2">
        <v>-5.5404453754015481E-8</v>
      </c>
      <c r="BR100" s="2">
        <f t="shared" si="54"/>
        <v>0.29161523290062352</v>
      </c>
      <c r="BS100" s="2">
        <v>5.6679082954813609E-9</v>
      </c>
      <c r="BT100" s="2">
        <f t="shared" si="45"/>
        <v>0.29161522248464677</v>
      </c>
      <c r="BU100" s="2">
        <v>-2.4868272427425175E-8</v>
      </c>
      <c r="BV100" s="2">
        <f t="shared" si="46"/>
        <v>1.3778130496475364E-15</v>
      </c>
      <c r="BW100" s="2">
        <f t="shared" si="47"/>
        <v>-1.4095108758569355E-16</v>
      </c>
      <c r="BX100" s="2">
        <f t="shared" si="48"/>
        <v>2.0831953440048068E-8</v>
      </c>
      <c r="BZ100" s="2">
        <v>28</v>
      </c>
      <c r="CA100" s="2">
        <f t="shared" si="55"/>
        <v>0.27251708127349283</v>
      </c>
      <c r="CB100" s="2">
        <v>-5.3783981213140208E-8</v>
      </c>
      <c r="CC100" s="2">
        <f t="shared" si="56"/>
        <v>0.27251710210544633</v>
      </c>
      <c r="CD100" s="2">
        <v>6.4259315785131221E-9</v>
      </c>
      <c r="CE100" s="2">
        <f t="shared" si="49"/>
        <v>0.27251709168946958</v>
      </c>
      <c r="CF100" s="2">
        <v>-2.3679024414857697E-8</v>
      </c>
      <c r="CG100" s="2">
        <f t="shared" si="50"/>
        <v>1.2735522042741947E-15</v>
      </c>
      <c r="CH100" s="2">
        <f t="shared" si="51"/>
        <v>-1.5215979073581729E-16</v>
      </c>
      <c r="CI100" s="2">
        <f t="shared" si="52"/>
        <v>2.0831953495559219E-8</v>
      </c>
    </row>
    <row r="101" spans="67:87" x14ac:dyDescent="0.2">
      <c r="BO101" s="2">
        <v>29</v>
      </c>
      <c r="BP101" s="2">
        <f t="shared" si="53"/>
        <v>0.29161522248464677</v>
      </c>
      <c r="BQ101" s="2">
        <v>-2.4868272427425175E-8</v>
      </c>
      <c r="BR101" s="2">
        <f t="shared" si="54"/>
        <v>0.29161523290062352</v>
      </c>
      <c r="BS101" s="2">
        <v>5.6679082954813609E-9</v>
      </c>
      <c r="BT101" s="2">
        <f t="shared" si="45"/>
        <v>0.29161522769263515</v>
      </c>
      <c r="BU101" s="2">
        <v>-9.6001820035218621E-9</v>
      </c>
      <c r="BV101" s="2">
        <f t="shared" si="46"/>
        <v>2.3873994141644612E-16</v>
      </c>
      <c r="BW101" s="2">
        <f t="shared" si="47"/>
        <v>-5.4412951215892432E-17</v>
      </c>
      <c r="BX101" s="2">
        <f t="shared" si="48"/>
        <v>1.0415976747779609E-8</v>
      </c>
      <c r="BZ101" s="2">
        <v>29</v>
      </c>
      <c r="CA101" s="2">
        <f t="shared" si="55"/>
        <v>0.27251709168946958</v>
      </c>
      <c r="CB101" s="2">
        <v>-2.3679024414857697E-8</v>
      </c>
      <c r="CC101" s="2">
        <f t="shared" si="56"/>
        <v>0.27251710210544633</v>
      </c>
      <c r="CD101" s="2">
        <v>6.4259315785131221E-9</v>
      </c>
      <c r="CE101" s="2">
        <f t="shared" si="49"/>
        <v>0.27251709689745796</v>
      </c>
      <c r="CF101" s="2">
        <v>-8.6265463453139013E-9</v>
      </c>
      <c r="CG101" s="2">
        <f t="shared" si="50"/>
        <v>2.0426820152658929E-16</v>
      </c>
      <c r="CH101" s="2">
        <f t="shared" si="51"/>
        <v>-5.5433596573859561E-17</v>
      </c>
      <c r="CI101" s="2">
        <f t="shared" si="52"/>
        <v>1.0415976747779609E-8</v>
      </c>
    </row>
    <row r="102" spans="67:87" x14ac:dyDescent="0.2">
      <c r="BO102" s="2">
        <v>30</v>
      </c>
      <c r="BP102" s="2">
        <f t="shared" si="53"/>
        <v>0.29161522769263515</v>
      </c>
      <c r="BQ102" s="2">
        <v>-9.6001820035218621E-9</v>
      </c>
      <c r="BR102" s="2">
        <f t="shared" si="54"/>
        <v>0.29161523290062352</v>
      </c>
      <c r="BS102" s="2">
        <v>5.6679082954813609E-9</v>
      </c>
      <c r="BT102" s="5">
        <f t="shared" si="45"/>
        <v>0.29161523029662934</v>
      </c>
      <c r="BU102" s="2">
        <v>-1.9661369823897878E-9</v>
      </c>
      <c r="BV102" s="2">
        <f t="shared" si="46"/>
        <v>1.8875272874797223E-17</v>
      </c>
      <c r="BW102" s="2">
        <f t="shared" si="47"/>
        <v>-1.1143884112539769E-17</v>
      </c>
      <c r="BX102" s="2">
        <f t="shared" si="48"/>
        <v>5.2079883738898047E-9</v>
      </c>
      <c r="BZ102" s="2">
        <v>30</v>
      </c>
      <c r="CA102" s="2">
        <f t="shared" si="55"/>
        <v>0.27251709689745796</v>
      </c>
      <c r="CB102" s="2">
        <v>-8.6265463453139013E-9</v>
      </c>
      <c r="CC102" s="2">
        <f t="shared" si="56"/>
        <v>0.27251710210544633</v>
      </c>
      <c r="CD102" s="2">
        <v>6.4259315785131221E-9</v>
      </c>
      <c r="CE102" s="5">
        <f t="shared" si="49"/>
        <v>0.27251709950145214</v>
      </c>
      <c r="CF102" s="2">
        <v>-1.1003073174808975E-9</v>
      </c>
      <c r="CG102" s="2">
        <f t="shared" si="50"/>
        <v>9.4918520683369786E-18</v>
      </c>
      <c r="CH102" s="2">
        <f t="shared" si="51"/>
        <v>-7.0704995374695623E-18</v>
      </c>
      <c r="CI102" s="2">
        <f t="shared" si="52"/>
        <v>5.2079883738898047E-9</v>
      </c>
    </row>
    <row r="104" spans="67:87" x14ac:dyDescent="0.2">
      <c r="BO104" s="61" t="s">
        <v>213</v>
      </c>
      <c r="BP104" s="61"/>
      <c r="BQ104" s="61"/>
      <c r="BR104" s="61"/>
      <c r="BS104" s="61"/>
      <c r="BT104" s="61"/>
      <c r="BU104" s="61"/>
      <c r="BV104" s="61"/>
      <c r="BW104" s="61"/>
      <c r="BX104" s="61"/>
      <c r="BZ104" s="61" t="s">
        <v>221</v>
      </c>
      <c r="CA104" s="61"/>
      <c r="CB104" s="61"/>
      <c r="CC104" s="61"/>
      <c r="CD104" s="61"/>
      <c r="CE104" s="61"/>
      <c r="CF104" s="61"/>
      <c r="CG104" s="61"/>
      <c r="CH104" s="61"/>
      <c r="CI104" s="61"/>
    </row>
    <row r="105" spans="67:87" x14ac:dyDescent="0.2"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67:87" x14ac:dyDescent="0.2">
      <c r="BO106" s="30">
        <v>0</v>
      </c>
      <c r="BP106" s="30"/>
      <c r="BQ106" s="30">
        <f>$BH$77</f>
        <v>4.5346084769082307E-9</v>
      </c>
      <c r="BR106" s="30"/>
      <c r="BS106" s="30">
        <f>$BH$77</f>
        <v>4.5346084769082307E-9</v>
      </c>
      <c r="BT106" s="30"/>
      <c r="BU106" s="30">
        <f>$BH$77</f>
        <v>4.5346084769082307E-9</v>
      </c>
      <c r="BV106" s="30"/>
      <c r="BW106" s="30"/>
      <c r="BX106" s="30"/>
      <c r="BZ106" s="30">
        <v>0</v>
      </c>
      <c r="CA106" s="30"/>
      <c r="CB106" s="30">
        <f>$BL$77</f>
        <v>5.9883536393523507E-9</v>
      </c>
      <c r="CC106" s="30"/>
      <c r="CD106" s="30">
        <f>$BL$77</f>
        <v>5.9883536393523507E-9</v>
      </c>
      <c r="CE106" s="30"/>
      <c r="CF106" s="30">
        <f>$BL$77</f>
        <v>5.9883536393523507E-9</v>
      </c>
      <c r="CG106" s="30"/>
      <c r="CH106" s="30"/>
      <c r="CI106" s="30"/>
    </row>
    <row r="107" spans="67:87" x14ac:dyDescent="0.2">
      <c r="BO107" s="2">
        <v>1</v>
      </c>
      <c r="BP107" s="3">
        <f>0.01*PI()</f>
        <v>3.1415926535897934E-2</v>
      </c>
      <c r="BQ107" s="2">
        <f t="dataTable" ref="BQ107:BQ136" dt2D="0" dtr="0" r1="BH61" ca="1"/>
        <v>-1.8019342928422648</v>
      </c>
      <c r="BR107" s="3">
        <f>0.9*PI()</f>
        <v>2.8274333882308138</v>
      </c>
      <c r="BS107" s="2">
        <f t="dataTable" ref="BS107:BS136" dt2D="0" dtr="0" r1="BH61" ca="1"/>
        <v>0.48629053762625502</v>
      </c>
      <c r="BT107" s="2">
        <f t="shared" ref="BT107:BT136" si="57">(BP107+BR107)/2</f>
        <v>1.4294246573833558</v>
      </c>
      <c r="BU107" s="2">
        <f t="dataTable" ref="BU107:BU136" dt2D="0" dtr="0" r1="BH61" ca="1"/>
        <v>1.1404063437196745</v>
      </c>
      <c r="BV107" s="2">
        <f t="shared" ref="BV107:BV136" si="58">BQ107*BU107</f>
        <v>-2.0549372985233445</v>
      </c>
      <c r="BW107" s="2">
        <f t="shared" ref="BW107:BW136" si="59">BS107*BU107</f>
        <v>0.55456881399983227</v>
      </c>
      <c r="BX107" s="2">
        <f t="shared" ref="BX107:BX136" si="60">BR107-BP107</f>
        <v>2.7960174616949161</v>
      </c>
      <c r="BZ107" s="2">
        <v>1</v>
      </c>
      <c r="CA107" s="3">
        <f>0.01*PI()</f>
        <v>3.1415926535897934E-2</v>
      </c>
      <c r="CB107" s="2">
        <f t="dataTable" ref="CB107:CB136" dt2D="0" dtr="0" r1="BL61" ca="1"/>
        <v>-1.9021038879587644</v>
      </c>
      <c r="CC107" s="3">
        <f>0.9*PI()</f>
        <v>2.8274333882308138</v>
      </c>
      <c r="CD107" s="2">
        <f t="dataTable" ref="CD107:CD136" dt2D="0" dtr="0" r1="BL61" ca="1"/>
        <v>0.55491492401533937</v>
      </c>
      <c r="CE107" s="2">
        <f t="shared" ref="CE107:CE136" si="61">(CA107+CC107)/2</f>
        <v>1.4294246573833558</v>
      </c>
      <c r="CF107" s="2">
        <f t="dataTable" ref="CF107:CF136" dt2D="0" dtr="0" r1="BL61" ca="1"/>
        <v>1.2268096748877353</v>
      </c>
      <c r="CG107" s="2">
        <f t="shared" ref="CG107:CG136" si="62">CB107*CF107</f>
        <v>-2.333519452389389</v>
      </c>
      <c r="CH107" s="2">
        <f t="shared" ref="CH107:CH136" si="63">CD107*CF107</f>
        <v>0.68077499752161086</v>
      </c>
      <c r="CI107" s="2">
        <f t="shared" ref="CI107:CI136" si="64">CC107-CA107</f>
        <v>2.7960174616949161</v>
      </c>
    </row>
    <row r="108" spans="67:87" x14ac:dyDescent="0.2">
      <c r="BO108" s="2">
        <v>2</v>
      </c>
      <c r="BP108" s="2">
        <f t="shared" ref="BP108:BP136" si="65">IF(BV107&gt;0,BT107,BP107)</f>
        <v>3.1415926535897934E-2</v>
      </c>
      <c r="BQ108" s="2">
        <v>-1.8019342928422648</v>
      </c>
      <c r="BR108" s="2">
        <f t="shared" ref="BR108:BR136" si="66">IF(BW107&gt;0,BT107,BR107)</f>
        <v>1.4294246573833558</v>
      </c>
      <c r="BS108" s="2">
        <v>1.1404063437196745</v>
      </c>
      <c r="BT108" s="2">
        <f t="shared" si="57"/>
        <v>0.73042029195962688</v>
      </c>
      <c r="BU108" s="2">
        <v>0.78364605045665514</v>
      </c>
      <c r="BV108" s="2">
        <f t="shared" si="58"/>
        <v>-1.4120786917682466</v>
      </c>
      <c r="BW108" s="2">
        <f t="shared" si="59"/>
        <v>0.89367492717163766</v>
      </c>
      <c r="BX108" s="2">
        <f t="shared" si="60"/>
        <v>1.3980087308474578</v>
      </c>
      <c r="BZ108" s="2">
        <v>2</v>
      </c>
      <c r="CA108" s="2">
        <f t="shared" ref="CA108:CA136" si="67">IF(CG107&gt;0,CE107,CA107)</f>
        <v>3.1415926535897934E-2</v>
      </c>
      <c r="CB108" s="2">
        <v>-1.9021038879587644</v>
      </c>
      <c r="CC108" s="2">
        <f t="shared" ref="CC108:CC136" si="68">IF(CH107&gt;0,CE107,CC107)</f>
        <v>1.4294246573833558</v>
      </c>
      <c r="CD108" s="2">
        <v>1.2268096748877353</v>
      </c>
      <c r="CE108" s="2">
        <f t="shared" si="61"/>
        <v>0.73042029195962688</v>
      </c>
      <c r="CF108" s="2">
        <v>0.8527478552103267</v>
      </c>
      <c r="CG108" s="2">
        <f t="shared" si="62"/>
        <v>-1.6220150108440599</v>
      </c>
      <c r="CH108" s="2">
        <f t="shared" si="63"/>
        <v>1.0461593190117944</v>
      </c>
      <c r="CI108" s="2">
        <f t="shared" si="64"/>
        <v>1.3980087308474578</v>
      </c>
    </row>
    <row r="109" spans="67:87" x14ac:dyDescent="0.2">
      <c r="BO109" s="2">
        <v>3</v>
      </c>
      <c r="BP109" s="2">
        <f t="shared" si="65"/>
        <v>3.1415926535897934E-2</v>
      </c>
      <c r="BQ109" s="2">
        <v>-1.8019342928422648</v>
      </c>
      <c r="BR109" s="2">
        <f t="shared" si="66"/>
        <v>0.73042029195962688</v>
      </c>
      <c r="BS109" s="2">
        <v>0.78364605045665514</v>
      </c>
      <c r="BT109" s="2">
        <f t="shared" si="57"/>
        <v>0.38091810924776243</v>
      </c>
      <c r="BU109" s="2">
        <v>0.3184462446241097</v>
      </c>
      <c r="BV109" s="2">
        <f t="shared" si="58"/>
        <v>-0.57381920861502</v>
      </c>
      <c r="BW109" s="2">
        <f t="shared" si="59"/>
        <v>0.2495491418824374</v>
      </c>
      <c r="BX109" s="2">
        <f t="shared" si="60"/>
        <v>0.6990043654237289</v>
      </c>
      <c r="BZ109" s="2">
        <v>3</v>
      </c>
      <c r="CA109" s="2">
        <f t="shared" si="67"/>
        <v>3.1415926535897934E-2</v>
      </c>
      <c r="CB109" s="2">
        <v>-1.9021038879587644</v>
      </c>
      <c r="CC109" s="2">
        <f t="shared" si="68"/>
        <v>0.73042029195962688</v>
      </c>
      <c r="CD109" s="2">
        <v>0.8527478552103267</v>
      </c>
      <c r="CE109" s="2">
        <f t="shared" si="61"/>
        <v>0.38091810924776243</v>
      </c>
      <c r="CF109" s="2">
        <v>0.36230051826756599</v>
      </c>
      <c r="CG109" s="2">
        <f t="shared" si="62"/>
        <v>-0.68913322440621261</v>
      </c>
      <c r="CH109" s="2">
        <f t="shared" si="63"/>
        <v>0.30895098989425668</v>
      </c>
      <c r="CI109" s="2">
        <f t="shared" si="64"/>
        <v>0.6990043654237289</v>
      </c>
    </row>
    <row r="110" spans="67:87" x14ac:dyDescent="0.2">
      <c r="BO110" s="2">
        <v>4</v>
      </c>
      <c r="BP110" s="2">
        <f t="shared" si="65"/>
        <v>3.1415926535897934E-2</v>
      </c>
      <c r="BQ110" s="2">
        <v>-1.8019342928422648</v>
      </c>
      <c r="BR110" s="2">
        <f t="shared" si="66"/>
        <v>0.38091810924776243</v>
      </c>
      <c r="BS110" s="2">
        <v>0.3184462446241097</v>
      </c>
      <c r="BT110" s="2">
        <f t="shared" si="57"/>
        <v>0.20616701789183017</v>
      </c>
      <c r="BU110" s="2">
        <v>-0.18195082613132937</v>
      </c>
      <c r="BV110" s="2">
        <f t="shared" si="58"/>
        <v>0.32786343321702288</v>
      </c>
      <c r="BW110" s="2">
        <f t="shared" si="59"/>
        <v>-5.7941557287776162E-2</v>
      </c>
      <c r="BX110" s="2">
        <f t="shared" si="60"/>
        <v>0.34950218271186451</v>
      </c>
      <c r="BZ110" s="2">
        <v>4</v>
      </c>
      <c r="CA110" s="2">
        <f t="shared" si="67"/>
        <v>3.1415926535897934E-2</v>
      </c>
      <c r="CB110" s="2">
        <v>-1.9021038879587644</v>
      </c>
      <c r="CC110" s="2">
        <f t="shared" si="68"/>
        <v>0.38091810924776243</v>
      </c>
      <c r="CD110" s="2">
        <v>0.36230051826756599</v>
      </c>
      <c r="CE110" s="2">
        <f t="shared" si="61"/>
        <v>0.20616701789183017</v>
      </c>
      <c r="CF110" s="2">
        <v>-0.27570255344992495</v>
      </c>
      <c r="CG110" s="2">
        <f t="shared" si="62"/>
        <v>0.52441489883726133</v>
      </c>
      <c r="CH110" s="2">
        <f t="shared" si="63"/>
        <v>-9.9887178002599122E-2</v>
      </c>
      <c r="CI110" s="2">
        <f t="shared" si="64"/>
        <v>0.34950218271186451</v>
      </c>
    </row>
    <row r="111" spans="67:87" x14ac:dyDescent="0.2">
      <c r="BO111" s="2">
        <v>5</v>
      </c>
      <c r="BP111" s="2">
        <f t="shared" si="65"/>
        <v>0.20616701789183017</v>
      </c>
      <c r="BQ111" s="2">
        <v>-0.18195082613132937</v>
      </c>
      <c r="BR111" s="2">
        <f t="shared" si="66"/>
        <v>0.38091810924776243</v>
      </c>
      <c r="BS111" s="2">
        <v>0.3184462446241097</v>
      </c>
      <c r="BT111" s="2">
        <f t="shared" si="57"/>
        <v>0.2935425635697963</v>
      </c>
      <c r="BU111" s="2">
        <v>8.9615430219374251E-2</v>
      </c>
      <c r="BV111" s="2">
        <f t="shared" si="58"/>
        <v>-1.6305601562529644E-2</v>
      </c>
      <c r="BW111" s="2">
        <f t="shared" si="59"/>
        <v>2.8537697213733684E-2</v>
      </c>
      <c r="BX111" s="2">
        <f t="shared" si="60"/>
        <v>0.17475109135593225</v>
      </c>
      <c r="BZ111" s="2">
        <v>5</v>
      </c>
      <c r="CA111" s="2">
        <f t="shared" si="67"/>
        <v>0.20616701789183017</v>
      </c>
      <c r="CB111" s="2">
        <v>-0.27570255344992495</v>
      </c>
      <c r="CC111" s="2">
        <f t="shared" si="68"/>
        <v>0.38091810924776243</v>
      </c>
      <c r="CD111" s="2">
        <v>0.36230051826756599</v>
      </c>
      <c r="CE111" s="2">
        <f t="shared" si="61"/>
        <v>0.2935425635697963</v>
      </c>
      <c r="CF111" s="2">
        <v>7.1546103937858124E-2</v>
      </c>
      <c r="CG111" s="2">
        <f t="shared" si="62"/>
        <v>-1.9725443545061214E-2</v>
      </c>
      <c r="CH111" s="2">
        <f t="shared" si="63"/>
        <v>2.5921190536711141E-2</v>
      </c>
      <c r="CI111" s="2">
        <f t="shared" si="64"/>
        <v>0.17475109135593225</v>
      </c>
    </row>
    <row r="112" spans="67:87" x14ac:dyDescent="0.2">
      <c r="BO112" s="2">
        <v>6</v>
      </c>
      <c r="BP112" s="2">
        <f t="shared" si="65"/>
        <v>0.20616701789183017</v>
      </c>
      <c r="BQ112" s="2">
        <v>-0.18195082613132937</v>
      </c>
      <c r="BR112" s="2">
        <f t="shared" si="66"/>
        <v>0.2935425635697963</v>
      </c>
      <c r="BS112" s="2">
        <v>8.9615430219374251E-2</v>
      </c>
      <c r="BT112" s="2">
        <f t="shared" si="57"/>
        <v>0.24985479073081324</v>
      </c>
      <c r="BU112" s="2">
        <v>-3.9547011240407819E-2</v>
      </c>
      <c r="BV112" s="2">
        <f t="shared" si="58"/>
        <v>7.1956113662171714E-3</v>
      </c>
      <c r="BW112" s="2">
        <f t="shared" si="59"/>
        <v>-3.544022426199576E-3</v>
      </c>
      <c r="BX112" s="2">
        <f t="shared" si="60"/>
        <v>8.7375545677966127E-2</v>
      </c>
      <c r="BZ112" s="2">
        <v>6</v>
      </c>
      <c r="CA112" s="2">
        <f t="shared" si="67"/>
        <v>0.20616701789183017</v>
      </c>
      <c r="CB112" s="2">
        <v>-0.27570255344992495</v>
      </c>
      <c r="CC112" s="2">
        <f t="shared" si="68"/>
        <v>0.2935425635697963</v>
      </c>
      <c r="CD112" s="2">
        <v>7.1546103937858124E-2</v>
      </c>
      <c r="CE112" s="2">
        <f t="shared" si="61"/>
        <v>0.24985479073081324</v>
      </c>
      <c r="CF112" s="2">
        <v>-9.3614497219513787E-2</v>
      </c>
      <c r="CG112" s="2">
        <f t="shared" si="62"/>
        <v>2.5809755923350851E-2</v>
      </c>
      <c r="CH112" s="2">
        <f t="shared" si="63"/>
        <v>-6.6977525481576638E-3</v>
      </c>
      <c r="CI112" s="2">
        <f t="shared" si="64"/>
        <v>8.7375545677966127E-2</v>
      </c>
    </row>
    <row r="113" spans="67:87" x14ac:dyDescent="0.2">
      <c r="BO113" s="2">
        <v>7</v>
      </c>
      <c r="BP113" s="2">
        <f t="shared" si="65"/>
        <v>0.24985479073081324</v>
      </c>
      <c r="BQ113" s="2">
        <v>-3.9547011240407819E-2</v>
      </c>
      <c r="BR113" s="2">
        <f t="shared" si="66"/>
        <v>0.2935425635697963</v>
      </c>
      <c r="BS113" s="2">
        <v>8.9615430219374251E-2</v>
      </c>
      <c r="BT113" s="2">
        <f t="shared" si="57"/>
        <v>0.27169867715030477</v>
      </c>
      <c r="BU113" s="2">
        <v>2.6461469965262264E-2</v>
      </c>
      <c r="BV113" s="2">
        <f t="shared" si="58"/>
        <v>-1.0464720501539406E-3</v>
      </c>
      <c r="BW113" s="2">
        <f t="shared" si="59"/>
        <v>2.3713560151740281E-3</v>
      </c>
      <c r="BX113" s="2">
        <f t="shared" si="60"/>
        <v>4.3687772838983063E-2</v>
      </c>
      <c r="BZ113" s="2">
        <v>7</v>
      </c>
      <c r="CA113" s="2">
        <f t="shared" si="67"/>
        <v>0.24985479073081324</v>
      </c>
      <c r="CB113" s="2">
        <v>-9.3614497219513787E-2</v>
      </c>
      <c r="CC113" s="2">
        <f t="shared" si="68"/>
        <v>0.2935425635697963</v>
      </c>
      <c r="CD113" s="2">
        <v>7.1546103937858124E-2</v>
      </c>
      <c r="CE113" s="2">
        <f t="shared" si="61"/>
        <v>0.27169867715030477</v>
      </c>
      <c r="CF113" s="2">
        <v>-9.1544490145199185E-3</v>
      </c>
      <c r="CG113" s="2">
        <f t="shared" si="62"/>
        <v>8.5698914181595563E-4</v>
      </c>
      <c r="CH113" s="2">
        <f t="shared" si="63"/>
        <v>-6.5496516068666501E-4</v>
      </c>
      <c r="CI113" s="2">
        <f t="shared" si="64"/>
        <v>4.3687772838983063E-2</v>
      </c>
    </row>
    <row r="114" spans="67:87" x14ac:dyDescent="0.2">
      <c r="BO114" s="2">
        <v>8</v>
      </c>
      <c r="BP114" s="2">
        <f t="shared" si="65"/>
        <v>0.24985479073081324</v>
      </c>
      <c r="BQ114" s="2">
        <v>-3.9547011240407819E-2</v>
      </c>
      <c r="BR114" s="2">
        <f t="shared" si="66"/>
        <v>0.27169867715030477</v>
      </c>
      <c r="BS114" s="2">
        <v>2.6461469965262264E-2</v>
      </c>
      <c r="BT114" s="2">
        <f t="shared" si="57"/>
        <v>0.260776733940559</v>
      </c>
      <c r="BU114" s="2">
        <v>-6.1640994798925659E-3</v>
      </c>
      <c r="BV114" s="2">
        <f t="shared" si="58"/>
        <v>2.437717114183033E-4</v>
      </c>
      <c r="BW114" s="2">
        <f t="shared" si="59"/>
        <v>-1.6311113325006587E-4</v>
      </c>
      <c r="BX114" s="2">
        <f t="shared" si="60"/>
        <v>2.1843886419491532E-2</v>
      </c>
      <c r="BZ114" s="2">
        <v>8</v>
      </c>
      <c r="CA114" s="2">
        <f t="shared" si="67"/>
        <v>0.27169867715030477</v>
      </c>
      <c r="CB114" s="2">
        <v>-9.1544490145199185E-3</v>
      </c>
      <c r="CC114" s="2">
        <f t="shared" si="68"/>
        <v>0.2935425635697963</v>
      </c>
      <c r="CD114" s="2">
        <v>7.1546103937858124E-2</v>
      </c>
      <c r="CE114" s="2">
        <f t="shared" si="61"/>
        <v>0.28262062036005053</v>
      </c>
      <c r="CF114" s="2">
        <v>3.1643557000100908E-2</v>
      </c>
      <c r="CG114" s="2">
        <f t="shared" si="62"/>
        <v>-2.8967932919547865E-4</v>
      </c>
      <c r="CH114" s="2">
        <f t="shared" si="63"/>
        <v>2.2639732180927577E-3</v>
      </c>
      <c r="CI114" s="2">
        <f t="shared" si="64"/>
        <v>2.1843886419491532E-2</v>
      </c>
    </row>
    <row r="115" spans="67:87" x14ac:dyDescent="0.2">
      <c r="BO115" s="2">
        <v>9</v>
      </c>
      <c r="BP115" s="2">
        <f t="shared" si="65"/>
        <v>0.260776733940559</v>
      </c>
      <c r="BQ115" s="2">
        <v>-6.1640994798925659E-3</v>
      </c>
      <c r="BR115" s="2">
        <f t="shared" si="66"/>
        <v>0.27169867715030477</v>
      </c>
      <c r="BS115" s="2">
        <v>2.6461469965262264E-2</v>
      </c>
      <c r="BT115" s="2">
        <f t="shared" si="57"/>
        <v>0.26623770554543191</v>
      </c>
      <c r="BU115" s="2">
        <v>1.0240315575105054E-2</v>
      </c>
      <c r="BV115" s="2">
        <f t="shared" si="58"/>
        <v>-6.3122323910440797E-5</v>
      </c>
      <c r="BW115" s="2">
        <f t="shared" si="59"/>
        <v>2.7097380302544972E-4</v>
      </c>
      <c r="BX115" s="2">
        <f t="shared" si="60"/>
        <v>1.0921943209745766E-2</v>
      </c>
      <c r="BZ115" s="2">
        <v>9</v>
      </c>
      <c r="CA115" s="2">
        <f t="shared" si="67"/>
        <v>0.27169867715030477</v>
      </c>
      <c r="CB115" s="2">
        <v>-9.1544490145199185E-3</v>
      </c>
      <c r="CC115" s="2">
        <f t="shared" si="68"/>
        <v>0.28262062036005053</v>
      </c>
      <c r="CD115" s="2">
        <v>3.1643557000100908E-2</v>
      </c>
      <c r="CE115" s="2">
        <f t="shared" si="61"/>
        <v>0.27715964875517762</v>
      </c>
      <c r="CF115" s="2">
        <v>1.1359027479801855E-2</v>
      </c>
      <c r="CG115" s="2">
        <f t="shared" si="62"/>
        <v>-1.0398563791837676E-4</v>
      </c>
      <c r="CH115" s="2">
        <f t="shared" si="63"/>
        <v>3.5944003352282258E-4</v>
      </c>
      <c r="CI115" s="2">
        <f t="shared" si="64"/>
        <v>1.0921943209745766E-2</v>
      </c>
    </row>
    <row r="116" spans="67:87" x14ac:dyDescent="0.2">
      <c r="BO116" s="2">
        <v>10</v>
      </c>
      <c r="BP116" s="2">
        <f t="shared" si="65"/>
        <v>0.260776733940559</v>
      </c>
      <c r="BQ116" s="2">
        <v>-6.1640994798925659E-3</v>
      </c>
      <c r="BR116" s="2">
        <f t="shared" si="66"/>
        <v>0.26623770554543191</v>
      </c>
      <c r="BS116" s="2">
        <v>1.0240315575105054E-2</v>
      </c>
      <c r="BT116" s="2">
        <f t="shared" si="57"/>
        <v>0.26350721974299546</v>
      </c>
      <c r="BU116" s="2">
        <v>2.0613735851214565E-3</v>
      </c>
      <c r="BV116" s="2">
        <f t="shared" si="58"/>
        <v>-1.2706511843911444E-5</v>
      </c>
      <c r="BW116" s="2">
        <f t="shared" si="59"/>
        <v>2.1109116029829395E-5</v>
      </c>
      <c r="BX116" s="2">
        <f t="shared" si="60"/>
        <v>5.4609716048729107E-3</v>
      </c>
      <c r="BZ116" s="2">
        <v>10</v>
      </c>
      <c r="CA116" s="2">
        <f t="shared" si="67"/>
        <v>0.27169867715030477</v>
      </c>
      <c r="CB116" s="2">
        <v>-9.1544490145199185E-3</v>
      </c>
      <c r="CC116" s="2">
        <f t="shared" si="68"/>
        <v>0.27715964875517762</v>
      </c>
      <c r="CD116" s="2">
        <v>1.1359027479801855E-2</v>
      </c>
      <c r="CE116" s="2">
        <f t="shared" si="61"/>
        <v>0.27442916295274122</v>
      </c>
      <c r="CF116" s="2">
        <v>1.1312437419599038E-3</v>
      </c>
      <c r="CG116" s="2">
        <f t="shared" si="62"/>
        <v>-1.0355913158766666E-5</v>
      </c>
      <c r="CH116" s="2">
        <f t="shared" si="63"/>
        <v>1.2849828751276427E-5</v>
      </c>
      <c r="CI116" s="2">
        <f t="shared" si="64"/>
        <v>5.4609716048728552E-3</v>
      </c>
    </row>
    <row r="117" spans="67:87" x14ac:dyDescent="0.2">
      <c r="BO117" s="2">
        <v>11</v>
      </c>
      <c r="BP117" s="2">
        <f t="shared" si="65"/>
        <v>0.260776733940559</v>
      </c>
      <c r="BQ117" s="2">
        <v>-6.1640994798925659E-3</v>
      </c>
      <c r="BR117" s="2">
        <f t="shared" si="66"/>
        <v>0.26350721974299546</v>
      </c>
      <c r="BS117" s="2">
        <v>2.0613735851214565E-3</v>
      </c>
      <c r="BT117" s="2">
        <f t="shared" si="57"/>
        <v>0.2621419768417772</v>
      </c>
      <c r="BU117" s="2">
        <v>-2.0455000239184076E-3</v>
      </c>
      <c r="BV117" s="2">
        <f t="shared" si="58"/>
        <v>1.2608665633555687E-5</v>
      </c>
      <c r="BW117" s="2">
        <f t="shared" si="59"/>
        <v>-4.216539717670713E-6</v>
      </c>
      <c r="BX117" s="2">
        <f t="shared" si="60"/>
        <v>2.7304858024364553E-3</v>
      </c>
      <c r="BZ117" s="2">
        <v>11</v>
      </c>
      <c r="CA117" s="2">
        <f t="shared" si="67"/>
        <v>0.27169867715030477</v>
      </c>
      <c r="CB117" s="2">
        <v>-9.1544490145199185E-3</v>
      </c>
      <c r="CC117" s="2">
        <f t="shared" si="68"/>
        <v>0.27442916295274122</v>
      </c>
      <c r="CD117" s="2">
        <v>1.1312437419599038E-3</v>
      </c>
      <c r="CE117" s="2">
        <f t="shared" si="61"/>
        <v>0.27306392005152302</v>
      </c>
      <c r="CF117" s="2">
        <v>-4.0043207391326427E-3</v>
      </c>
      <c r="CG117" s="2">
        <f t="shared" si="62"/>
        <v>3.6657350044174492E-5</v>
      </c>
      <c r="CH117" s="2">
        <f t="shared" si="63"/>
        <v>-4.5298627769440581E-6</v>
      </c>
      <c r="CI117" s="2">
        <f t="shared" si="64"/>
        <v>2.7304858024364553E-3</v>
      </c>
    </row>
    <row r="118" spans="67:87" x14ac:dyDescent="0.2">
      <c r="BO118" s="2">
        <v>12</v>
      </c>
      <c r="BP118" s="2">
        <f t="shared" si="65"/>
        <v>0.2621419768417772</v>
      </c>
      <c r="BQ118" s="2">
        <v>-2.0455000239184076E-3</v>
      </c>
      <c r="BR118" s="2">
        <f t="shared" si="66"/>
        <v>0.26350721974299546</v>
      </c>
      <c r="BS118" s="2">
        <v>2.0613735851214565E-3</v>
      </c>
      <c r="BT118" s="2">
        <f t="shared" si="57"/>
        <v>0.26282459829238636</v>
      </c>
      <c r="BU118" s="2">
        <v>9.3966107053110315E-6</v>
      </c>
      <c r="BV118" s="2">
        <f t="shared" si="58"/>
        <v>-1.9220767422465679E-8</v>
      </c>
      <c r="BW118" s="2">
        <f t="shared" si="59"/>
        <v>1.9369925097597661E-8</v>
      </c>
      <c r="BX118" s="2">
        <f t="shared" si="60"/>
        <v>1.3652429012182554E-3</v>
      </c>
      <c r="BZ118" s="2">
        <v>12</v>
      </c>
      <c r="CA118" s="2">
        <f t="shared" si="67"/>
        <v>0.27306392005152302</v>
      </c>
      <c r="CB118" s="2">
        <v>-4.0043207391326427E-3</v>
      </c>
      <c r="CC118" s="2">
        <f t="shared" si="68"/>
        <v>0.27442916295274122</v>
      </c>
      <c r="CD118" s="2">
        <v>1.1312437419599038E-3</v>
      </c>
      <c r="CE118" s="2">
        <f t="shared" si="61"/>
        <v>0.27374654150213212</v>
      </c>
      <c r="CF118" s="2">
        <v>-1.4347234909685563E-3</v>
      </c>
      <c r="CG118" s="2">
        <f t="shared" si="62"/>
        <v>5.7450930298061749E-6</v>
      </c>
      <c r="CH118" s="2">
        <f t="shared" si="63"/>
        <v>-1.6230219706010459E-6</v>
      </c>
      <c r="CI118" s="2">
        <f t="shared" si="64"/>
        <v>1.3652429012181999E-3</v>
      </c>
    </row>
    <row r="119" spans="67:87" x14ac:dyDescent="0.2">
      <c r="BO119" s="2">
        <v>13</v>
      </c>
      <c r="BP119" s="2">
        <f t="shared" si="65"/>
        <v>0.2621419768417772</v>
      </c>
      <c r="BQ119" s="2">
        <v>-2.0455000239184076E-3</v>
      </c>
      <c r="BR119" s="2">
        <f t="shared" si="66"/>
        <v>0.26282459829238636</v>
      </c>
      <c r="BS119" s="2">
        <v>9.3966107053110315E-6</v>
      </c>
      <c r="BT119" s="2">
        <f t="shared" si="57"/>
        <v>0.26248328756708178</v>
      </c>
      <c r="BU119" s="2">
        <v>-1.0176860167854206E-3</v>
      </c>
      <c r="BV119" s="2">
        <f t="shared" si="58"/>
        <v>2.0816767716760069E-6</v>
      </c>
      <c r="BW119" s="2">
        <f t="shared" si="59"/>
        <v>-9.5627993199712253E-9</v>
      </c>
      <c r="BX119" s="2">
        <f t="shared" si="60"/>
        <v>6.8262145060915547E-4</v>
      </c>
      <c r="BZ119" s="2">
        <v>13</v>
      </c>
      <c r="CA119" s="2">
        <f t="shared" si="67"/>
        <v>0.27374654150213212</v>
      </c>
      <c r="CB119" s="2">
        <v>-1.4347234909685563E-3</v>
      </c>
      <c r="CC119" s="2">
        <f t="shared" si="68"/>
        <v>0.27442916295274122</v>
      </c>
      <c r="CD119" s="2">
        <v>1.1312437419599038E-3</v>
      </c>
      <c r="CE119" s="2">
        <f t="shared" si="61"/>
        <v>0.2740878522274367</v>
      </c>
      <c r="CF119" s="2">
        <v>-1.5128680080010032E-4</v>
      </c>
      <c r="CG119" s="2">
        <f t="shared" si="62"/>
        <v>2.1705472698138451E-7</v>
      </c>
      <c r="CH119" s="2">
        <f t="shared" si="63"/>
        <v>-1.7114224664624805E-7</v>
      </c>
      <c r="CI119" s="2">
        <f t="shared" si="64"/>
        <v>6.8262145060909996E-4</v>
      </c>
    </row>
    <row r="120" spans="67:87" x14ac:dyDescent="0.2">
      <c r="BO120" s="2">
        <v>14</v>
      </c>
      <c r="BP120" s="2">
        <f t="shared" si="65"/>
        <v>0.26248328756708178</v>
      </c>
      <c r="BQ120" s="2">
        <v>-1.0176860167854206E-3</v>
      </c>
      <c r="BR120" s="2">
        <f t="shared" si="66"/>
        <v>0.26282459829238636</v>
      </c>
      <c r="BS120" s="2">
        <v>9.3966107053110315E-6</v>
      </c>
      <c r="BT120" s="2">
        <f t="shared" si="57"/>
        <v>0.2626539429297341</v>
      </c>
      <c r="BU120" s="2">
        <v>-5.0405337245011672E-4</v>
      </c>
      <c r="BV120" s="2">
        <f t="shared" si="58"/>
        <v>5.1296806885601732E-7</v>
      </c>
      <c r="BW120" s="2">
        <f t="shared" si="59"/>
        <v>-4.7363933156128949E-9</v>
      </c>
      <c r="BX120" s="2">
        <f t="shared" si="60"/>
        <v>3.4131072530457773E-4</v>
      </c>
      <c r="BZ120" s="2">
        <v>14</v>
      </c>
      <c r="CA120" s="2">
        <f t="shared" si="67"/>
        <v>0.2740878522274367</v>
      </c>
      <c r="CB120" s="2">
        <v>-1.5128680080010032E-4</v>
      </c>
      <c r="CC120" s="2">
        <f t="shared" si="68"/>
        <v>0.27442916295274122</v>
      </c>
      <c r="CD120" s="2">
        <v>1.1312437419599038E-3</v>
      </c>
      <c r="CE120" s="2">
        <f t="shared" si="61"/>
        <v>0.27425850759008896</v>
      </c>
      <c r="CF120" s="2">
        <v>4.9009165454852108E-4</v>
      </c>
      <c r="CG120" s="2">
        <f t="shared" si="62"/>
        <v>-7.4144398515473686E-8</v>
      </c>
      <c r="CH120" s="2">
        <f t="shared" si="63"/>
        <v>5.544131171947895E-7</v>
      </c>
      <c r="CI120" s="2">
        <f t="shared" si="64"/>
        <v>3.4131072530452222E-4</v>
      </c>
    </row>
    <row r="121" spans="67:87" x14ac:dyDescent="0.2">
      <c r="BO121" s="2">
        <v>15</v>
      </c>
      <c r="BP121" s="2">
        <f t="shared" si="65"/>
        <v>0.2626539429297341</v>
      </c>
      <c r="BQ121" s="2">
        <v>-5.0405337245011672E-4</v>
      </c>
      <c r="BR121" s="2">
        <f t="shared" si="66"/>
        <v>0.26282459829238636</v>
      </c>
      <c r="BS121" s="2">
        <v>9.3966107053110315E-6</v>
      </c>
      <c r="BT121" s="2">
        <f t="shared" si="57"/>
        <v>0.26273927061106023</v>
      </c>
      <c r="BU121" s="2">
        <v>-2.4730555967916387E-4</v>
      </c>
      <c r="BV121" s="2">
        <f t="shared" si="58"/>
        <v>1.2465520138194615E-7</v>
      </c>
      <c r="BW121" s="2">
        <f t="shared" si="59"/>
        <v>-2.3238340695641676E-9</v>
      </c>
      <c r="BX121" s="2">
        <f t="shared" si="60"/>
        <v>1.7065536265226111E-4</v>
      </c>
      <c r="BZ121" s="2">
        <v>15</v>
      </c>
      <c r="CA121" s="2">
        <f t="shared" si="67"/>
        <v>0.2740878522274367</v>
      </c>
      <c r="CB121" s="2">
        <v>-1.5128680080010032E-4</v>
      </c>
      <c r="CC121" s="2">
        <f t="shared" si="68"/>
        <v>0.27425850759008896</v>
      </c>
      <c r="CD121" s="2">
        <v>4.9009165454852108E-4</v>
      </c>
      <c r="CE121" s="2">
        <f t="shared" si="61"/>
        <v>0.27417317990876283</v>
      </c>
      <c r="CF121" s="2">
        <v>1.694307334094286E-4</v>
      </c>
      <c r="CG121" s="2">
        <f t="shared" si="62"/>
        <v>-2.5632633614727128E-8</v>
      </c>
      <c r="CH121" s="2">
        <f t="shared" si="63"/>
        <v>8.3036588467996257E-8</v>
      </c>
      <c r="CI121" s="2">
        <f t="shared" si="64"/>
        <v>1.7065536265226111E-4</v>
      </c>
    </row>
    <row r="122" spans="67:87" x14ac:dyDescent="0.2">
      <c r="BO122" s="2">
        <v>16</v>
      </c>
      <c r="BP122" s="2">
        <f t="shared" si="65"/>
        <v>0.26273927061106023</v>
      </c>
      <c r="BQ122" s="2">
        <v>-2.4730555967916387E-4</v>
      </c>
      <c r="BR122" s="2">
        <f t="shared" si="66"/>
        <v>0.26282459829238636</v>
      </c>
      <c r="BS122" s="2">
        <v>9.3966107053110315E-6</v>
      </c>
      <c r="BT122" s="2">
        <f t="shared" si="57"/>
        <v>0.26278193445172326</v>
      </c>
      <c r="BU122" s="2">
        <v>-1.1894877061877432E-4</v>
      </c>
      <c r="BV122" s="2">
        <f t="shared" si="58"/>
        <v>2.9416692291024466E-8</v>
      </c>
      <c r="BW122" s="2">
        <f t="shared" si="59"/>
        <v>-1.1177152913799611E-9</v>
      </c>
      <c r="BX122" s="2">
        <f t="shared" si="60"/>
        <v>8.5327681326130556E-5</v>
      </c>
      <c r="BZ122" s="2">
        <v>16</v>
      </c>
      <c r="CA122" s="2">
        <f t="shared" si="67"/>
        <v>0.2740878522274367</v>
      </c>
      <c r="CB122" s="2">
        <v>-1.5128680080010032E-4</v>
      </c>
      <c r="CC122" s="2">
        <f t="shared" si="68"/>
        <v>0.27417317990876283</v>
      </c>
      <c r="CD122" s="2">
        <v>1.694307334094286E-4</v>
      </c>
      <c r="CE122" s="2">
        <f t="shared" si="61"/>
        <v>0.27413051606809979</v>
      </c>
      <c r="CF122" s="2">
        <v>9.0790442575962305E-6</v>
      </c>
      <c r="CG122" s="2">
        <f t="shared" si="62"/>
        <v>-1.3735395600542555E-9</v>
      </c>
      <c r="CH122" s="2">
        <f t="shared" si="63"/>
        <v>1.5382691272211905E-9</v>
      </c>
      <c r="CI122" s="2">
        <f t="shared" si="64"/>
        <v>8.5327681326130556E-5</v>
      </c>
    </row>
    <row r="123" spans="67:87" x14ac:dyDescent="0.2">
      <c r="BO123" s="2">
        <v>17</v>
      </c>
      <c r="BP123" s="2">
        <f t="shared" si="65"/>
        <v>0.26278193445172326</v>
      </c>
      <c r="BQ123" s="2">
        <v>-1.1894877061877432E-4</v>
      </c>
      <c r="BR123" s="2">
        <f t="shared" si="66"/>
        <v>0.26282459829238636</v>
      </c>
      <c r="BS123" s="2">
        <v>9.3966107053110315E-6</v>
      </c>
      <c r="BT123" s="2">
        <f t="shared" si="57"/>
        <v>0.26280326637205481</v>
      </c>
      <c r="BU123" s="2">
        <v>-5.4774654168240899E-5</v>
      </c>
      <c r="BV123" s="2">
        <f t="shared" si="58"/>
        <v>6.5153777743807776E-9</v>
      </c>
      <c r="BW123" s="2">
        <f t="shared" si="59"/>
        <v>-5.1469610173700193E-10</v>
      </c>
      <c r="BX123" s="2">
        <f t="shared" si="60"/>
        <v>4.2663840663093033E-5</v>
      </c>
      <c r="BZ123" s="2">
        <v>17</v>
      </c>
      <c r="CA123" s="2">
        <f t="shared" si="67"/>
        <v>0.2740878522274367</v>
      </c>
      <c r="CB123" s="2">
        <v>-1.5128680080010032E-4</v>
      </c>
      <c r="CC123" s="2">
        <f t="shared" si="68"/>
        <v>0.27413051606809979</v>
      </c>
      <c r="CD123" s="2">
        <v>9.0790442575962305E-6</v>
      </c>
      <c r="CE123" s="2">
        <f t="shared" si="61"/>
        <v>0.27410918414776825</v>
      </c>
      <c r="CF123" s="2">
        <v>-7.1102108617958348E-5</v>
      </c>
      <c r="CG123" s="2">
        <f t="shared" si="62"/>
        <v>1.0756810542952161E-8</v>
      </c>
      <c r="CH123" s="2">
        <f t="shared" si="63"/>
        <v>-6.4553919095085821E-10</v>
      </c>
      <c r="CI123" s="2">
        <f t="shared" si="64"/>
        <v>4.2663840663093033E-5</v>
      </c>
    </row>
    <row r="124" spans="67:87" x14ac:dyDescent="0.2">
      <c r="BO124" s="2">
        <v>18</v>
      </c>
      <c r="BP124" s="2">
        <f t="shared" si="65"/>
        <v>0.26280326637205481</v>
      </c>
      <c r="BQ124" s="2">
        <v>-5.4774654168240899E-5</v>
      </c>
      <c r="BR124" s="2">
        <f t="shared" si="66"/>
        <v>0.26282459829238636</v>
      </c>
      <c r="BS124" s="2">
        <v>9.3966107053110315E-6</v>
      </c>
      <c r="BT124" s="2">
        <f t="shared" si="57"/>
        <v>0.26281393233222061</v>
      </c>
      <c r="BU124" s="2">
        <v>-2.2688665306580535E-5</v>
      </c>
      <c r="BV124" s="2">
        <f t="shared" si="58"/>
        <v>1.2427637957069141E-9</v>
      </c>
      <c r="BW124" s="2">
        <f t="shared" si="59"/>
        <v>-2.1319655530903365E-10</v>
      </c>
      <c r="BX124" s="2">
        <f t="shared" si="60"/>
        <v>2.1331920331546517E-5</v>
      </c>
      <c r="BZ124" s="2">
        <v>18</v>
      </c>
      <c r="CA124" s="2">
        <f t="shared" si="67"/>
        <v>0.27410918414776825</v>
      </c>
      <c r="CB124" s="2">
        <v>-7.1102108617958348E-5</v>
      </c>
      <c r="CC124" s="2">
        <f t="shared" si="68"/>
        <v>0.27413051606809979</v>
      </c>
      <c r="CD124" s="2">
        <v>9.0790442575962305E-6</v>
      </c>
      <c r="CE124" s="2">
        <f t="shared" si="61"/>
        <v>0.27411985010793405</v>
      </c>
      <c r="CF124" s="2">
        <v>-3.1011089787310459E-5</v>
      </c>
      <c r="CG124" s="2">
        <f t="shared" si="62"/>
        <v>2.2049538744186069E-9</v>
      </c>
      <c r="CH124" s="2">
        <f t="shared" si="63"/>
        <v>-2.815510566552821E-10</v>
      </c>
      <c r="CI124" s="2">
        <f t="shared" si="64"/>
        <v>2.1331920331546517E-5</v>
      </c>
    </row>
    <row r="125" spans="67:87" x14ac:dyDescent="0.2">
      <c r="BO125" s="2">
        <v>19</v>
      </c>
      <c r="BP125" s="2">
        <f t="shared" si="65"/>
        <v>0.26281393233222061</v>
      </c>
      <c r="BQ125" s="2">
        <v>-2.2688665306580535E-5</v>
      </c>
      <c r="BR125" s="2">
        <f t="shared" si="66"/>
        <v>0.26282459829238636</v>
      </c>
      <c r="BS125" s="2">
        <v>9.3966107053110315E-6</v>
      </c>
      <c r="BT125" s="2">
        <f t="shared" si="57"/>
        <v>0.26281926531230348</v>
      </c>
      <c r="BU125" s="2">
        <v>-6.6459381972035214E-6</v>
      </c>
      <c r="BV125" s="2">
        <f t="shared" si="58"/>
        <v>1.5078746740456992E-10</v>
      </c>
      <c r="BW125" s="2">
        <f t="shared" si="59"/>
        <v>-6.2449294010678108E-11</v>
      </c>
      <c r="BX125" s="2">
        <f t="shared" si="60"/>
        <v>1.0665960165745503E-5</v>
      </c>
      <c r="BZ125" s="2">
        <v>19</v>
      </c>
      <c r="CA125" s="2">
        <f t="shared" si="67"/>
        <v>0.27411985010793405</v>
      </c>
      <c r="CB125" s="2">
        <v>-3.1011089787310459E-5</v>
      </c>
      <c r="CC125" s="2">
        <f t="shared" si="68"/>
        <v>0.27413051606809979</v>
      </c>
      <c r="CD125" s="2">
        <v>9.0790442575962305E-6</v>
      </c>
      <c r="CE125" s="2">
        <f t="shared" si="61"/>
        <v>0.27412518308801692</v>
      </c>
      <c r="CF125" s="2">
        <v>-1.0965912169216829E-5</v>
      </c>
      <c r="CG125" s="2">
        <f t="shared" si="62"/>
        <v>3.400648868793435E-10</v>
      </c>
      <c r="CH125" s="2">
        <f t="shared" si="63"/>
        <v>-9.9560001909232674E-11</v>
      </c>
      <c r="CI125" s="2">
        <f t="shared" si="64"/>
        <v>1.0665960165745503E-5</v>
      </c>
    </row>
    <row r="126" spans="67:87" x14ac:dyDescent="0.2">
      <c r="BO126" s="2">
        <v>20</v>
      </c>
      <c r="BP126" s="2">
        <f t="shared" si="65"/>
        <v>0.26281926531230348</v>
      </c>
      <c r="BQ126" s="2">
        <v>-6.6459381972035214E-6</v>
      </c>
      <c r="BR126" s="2">
        <f t="shared" si="66"/>
        <v>0.26282459829238636</v>
      </c>
      <c r="BS126" s="2">
        <v>9.3966107053110315E-6</v>
      </c>
      <c r="BT126" s="2">
        <f t="shared" si="57"/>
        <v>0.26282193180234492</v>
      </c>
      <c r="BU126" s="2">
        <v>1.37535852951301E-6</v>
      </c>
      <c r="BV126" s="2">
        <f t="shared" si="58"/>
        <v>-9.1405477861401799E-12</v>
      </c>
      <c r="BW126" s="2">
        <f t="shared" si="59"/>
        <v>1.2923708682062788E-11</v>
      </c>
      <c r="BX126" s="2">
        <f t="shared" si="60"/>
        <v>5.3329800828727514E-6</v>
      </c>
      <c r="BZ126" s="2">
        <v>20</v>
      </c>
      <c r="CA126" s="2">
        <f t="shared" si="67"/>
        <v>0.27412518308801692</v>
      </c>
      <c r="CB126" s="2">
        <v>-1.0965912169216829E-5</v>
      </c>
      <c r="CC126" s="2">
        <f t="shared" si="68"/>
        <v>0.27413051606809979</v>
      </c>
      <c r="CD126" s="2">
        <v>9.0790442575962305E-6</v>
      </c>
      <c r="CE126" s="2">
        <f t="shared" si="61"/>
        <v>0.27412784957805836</v>
      </c>
      <c r="CF126" s="2">
        <v>-9.4340630721334584E-7</v>
      </c>
      <c r="CG126" s="2">
        <f t="shared" si="62"/>
        <v>1.034531070478674E-11</v>
      </c>
      <c r="CH126" s="2">
        <f t="shared" si="63"/>
        <v>-8.5652276160853934E-12</v>
      </c>
      <c r="CI126" s="2">
        <f t="shared" si="64"/>
        <v>5.3329800828727514E-6</v>
      </c>
    </row>
    <row r="127" spans="67:87" x14ac:dyDescent="0.2">
      <c r="BO127" s="2">
        <v>21</v>
      </c>
      <c r="BP127" s="2">
        <f t="shared" si="65"/>
        <v>0.26281926531230348</v>
      </c>
      <c r="BQ127" s="2">
        <v>-6.6459381972035214E-6</v>
      </c>
      <c r="BR127" s="2">
        <f t="shared" si="66"/>
        <v>0.26282193180234492</v>
      </c>
      <c r="BS127" s="2">
        <v>1.37535852951301E-6</v>
      </c>
      <c r="BT127" s="2">
        <f t="shared" si="57"/>
        <v>0.2628205985573242</v>
      </c>
      <c r="BU127" s="2">
        <v>-2.6352842649353392E-6</v>
      </c>
      <c r="BV127" s="2">
        <f t="shared" si="58"/>
        <v>1.7513936356823176E-11</v>
      </c>
      <c r="BW127" s="2">
        <f t="shared" si="59"/>
        <v>-3.6244606914702416E-12</v>
      </c>
      <c r="BX127" s="2">
        <f t="shared" si="60"/>
        <v>2.6664900414363757E-6</v>
      </c>
      <c r="BZ127" s="2">
        <v>21</v>
      </c>
      <c r="CA127" s="2">
        <f t="shared" si="67"/>
        <v>0.27412784957805836</v>
      </c>
      <c r="CB127" s="2">
        <v>-9.4340630721334584E-7</v>
      </c>
      <c r="CC127" s="2">
        <f t="shared" si="68"/>
        <v>0.27413051606809979</v>
      </c>
      <c r="CD127" s="2">
        <v>9.0790442575962305E-6</v>
      </c>
      <c r="CE127" s="2">
        <f t="shared" si="61"/>
        <v>0.27412918282307908</v>
      </c>
      <c r="CF127" s="2">
        <v>4.0678258874972395E-6</v>
      </c>
      <c r="CG127" s="2">
        <f t="shared" si="62"/>
        <v>-3.8376125989106222E-12</v>
      </c>
      <c r="CH127" s="2">
        <f t="shared" si="63"/>
        <v>3.6931971264783101E-11</v>
      </c>
      <c r="CI127" s="2">
        <f t="shared" si="64"/>
        <v>2.6664900414363757E-6</v>
      </c>
    </row>
    <row r="128" spans="67:87" x14ac:dyDescent="0.2">
      <c r="BO128" s="2">
        <v>22</v>
      </c>
      <c r="BP128" s="2">
        <f t="shared" si="65"/>
        <v>0.2628205985573242</v>
      </c>
      <c r="BQ128" s="2">
        <v>-2.6352842649353392E-6</v>
      </c>
      <c r="BR128" s="2">
        <f t="shared" si="66"/>
        <v>0.26282193180234492</v>
      </c>
      <c r="BS128" s="2">
        <v>1.37535852951301E-6</v>
      </c>
      <c r="BT128" s="2">
        <f t="shared" si="57"/>
        <v>0.26282126517983456</v>
      </c>
      <c r="BU128" s="2">
        <v>-6.2996147540475556E-7</v>
      </c>
      <c r="BV128" s="2">
        <f t="shared" si="58"/>
        <v>1.6601275636496031E-12</v>
      </c>
      <c r="BW128" s="2">
        <f t="shared" si="59"/>
        <v>-8.6642288846253078E-13</v>
      </c>
      <c r="BX128" s="2">
        <f t="shared" si="60"/>
        <v>1.3332450207181878E-6</v>
      </c>
      <c r="BZ128" s="2">
        <v>22</v>
      </c>
      <c r="CA128" s="2">
        <f t="shared" si="67"/>
        <v>0.27412784957805836</v>
      </c>
      <c r="CB128" s="2">
        <v>-9.4340630721334584E-7</v>
      </c>
      <c r="CC128" s="2">
        <f t="shared" si="68"/>
        <v>0.27412918282307908</v>
      </c>
      <c r="CD128" s="2">
        <v>4.0678258874972395E-6</v>
      </c>
      <c r="CE128" s="2">
        <f t="shared" si="61"/>
        <v>0.27412851620056872</v>
      </c>
      <c r="CF128" s="2">
        <v>1.5622115181537777E-6</v>
      </c>
      <c r="CG128" s="2">
        <f t="shared" si="62"/>
        <v>-1.4738001994276102E-12</v>
      </c>
      <c r="CH128" s="2">
        <f t="shared" si="63"/>
        <v>6.3548044552923004E-12</v>
      </c>
      <c r="CI128" s="2">
        <f t="shared" si="64"/>
        <v>1.3332450207181878E-6</v>
      </c>
    </row>
    <row r="129" spans="67:87" x14ac:dyDescent="0.2">
      <c r="BO129" s="2">
        <v>23</v>
      </c>
      <c r="BP129" s="2">
        <f t="shared" si="65"/>
        <v>0.26282126517983456</v>
      </c>
      <c r="BQ129" s="2">
        <v>-6.2996147540475556E-7</v>
      </c>
      <c r="BR129" s="2">
        <f t="shared" si="66"/>
        <v>0.26282193180234492</v>
      </c>
      <c r="BS129" s="2">
        <v>1.37535852951301E-6</v>
      </c>
      <c r="BT129" s="2">
        <f t="shared" si="57"/>
        <v>0.26282159849108977</v>
      </c>
      <c r="BU129" s="2">
        <v>3.7269887512986211E-7</v>
      </c>
      <c r="BV129" s="2">
        <f t="shared" si="58"/>
        <v>-2.3478593325850068E-13</v>
      </c>
      <c r="BW129" s="2">
        <f t="shared" si="59"/>
        <v>5.1259457684976008E-13</v>
      </c>
      <c r="BX129" s="2">
        <f t="shared" si="60"/>
        <v>6.6662251035909392E-7</v>
      </c>
      <c r="BZ129" s="2">
        <v>23</v>
      </c>
      <c r="CA129" s="2">
        <f t="shared" si="67"/>
        <v>0.27412784957805836</v>
      </c>
      <c r="CB129" s="2">
        <v>-9.4340630721334584E-7</v>
      </c>
      <c r="CC129" s="2">
        <f t="shared" si="68"/>
        <v>0.27412851620056872</v>
      </c>
      <c r="CD129" s="2">
        <v>1.5622115181537777E-6</v>
      </c>
      <c r="CE129" s="2">
        <f t="shared" si="61"/>
        <v>0.27412818288931351</v>
      </c>
      <c r="CF129" s="2">
        <v>3.0940303740942254E-7</v>
      </c>
      <c r="CG129" s="2">
        <f t="shared" si="62"/>
        <v>-2.9189277696301603E-13</v>
      </c>
      <c r="CH129" s="2">
        <f t="shared" si="63"/>
        <v>4.8335298879276401E-13</v>
      </c>
      <c r="CI129" s="2">
        <f t="shared" si="64"/>
        <v>6.6662251035909392E-7</v>
      </c>
    </row>
    <row r="130" spans="67:87" x14ac:dyDescent="0.2">
      <c r="BO130" s="2">
        <v>24</v>
      </c>
      <c r="BP130" s="2">
        <f t="shared" si="65"/>
        <v>0.26282126517983456</v>
      </c>
      <c r="BQ130" s="2">
        <v>-6.2996147540475556E-7</v>
      </c>
      <c r="BR130" s="2">
        <f t="shared" si="66"/>
        <v>0.26282159849108977</v>
      </c>
      <c r="BS130" s="2">
        <v>3.7269887512986211E-7</v>
      </c>
      <c r="BT130" s="2">
        <f t="shared" si="57"/>
        <v>0.26282143183546214</v>
      </c>
      <c r="BU130" s="2">
        <v>-1.2863121321218807E-7</v>
      </c>
      <c r="BV130" s="2">
        <f t="shared" si="58"/>
        <v>8.1032708858253681E-14</v>
      </c>
      <c r="BW130" s="2">
        <f t="shared" si="59"/>
        <v>-4.794070847077195E-14</v>
      </c>
      <c r="BX130" s="2">
        <f t="shared" si="60"/>
        <v>3.3331125520730254E-7</v>
      </c>
      <c r="BZ130" s="2">
        <v>24</v>
      </c>
      <c r="CA130" s="2">
        <f t="shared" si="67"/>
        <v>0.27412784957805836</v>
      </c>
      <c r="CB130" s="2">
        <v>-9.4340630721334584E-7</v>
      </c>
      <c r="CC130" s="2">
        <f t="shared" si="68"/>
        <v>0.27412818288931351</v>
      </c>
      <c r="CD130" s="2">
        <v>3.0940303740942254E-7</v>
      </c>
      <c r="CE130" s="2">
        <f t="shared" si="61"/>
        <v>0.27412801623368593</v>
      </c>
      <c r="CF130" s="2">
        <v>-3.1700152693450723E-7</v>
      </c>
      <c r="CG130" s="2">
        <f t="shared" si="62"/>
        <v>2.9906123990627547E-13</v>
      </c>
      <c r="CH130" s="2">
        <f t="shared" si="63"/>
        <v>-9.8081235296961407E-14</v>
      </c>
      <c r="CI130" s="2">
        <f t="shared" si="64"/>
        <v>3.3331125515179139E-7</v>
      </c>
    </row>
    <row r="131" spans="67:87" x14ac:dyDescent="0.2">
      <c r="BO131" s="2">
        <v>25</v>
      </c>
      <c r="BP131" s="2">
        <f t="shared" si="65"/>
        <v>0.26282143183546214</v>
      </c>
      <c r="BQ131" s="2">
        <v>-1.2863121321218807E-7</v>
      </c>
      <c r="BR131" s="2">
        <f t="shared" si="66"/>
        <v>0.26282159849108977</v>
      </c>
      <c r="BS131" s="2">
        <v>3.7269887512986211E-7</v>
      </c>
      <c r="BT131" s="2">
        <f t="shared" si="57"/>
        <v>0.26282151516327595</v>
      </c>
      <c r="BU131" s="2">
        <v>1.2203385275910694E-7</v>
      </c>
      <c r="BV131" s="2">
        <f t="shared" si="58"/>
        <v>-1.5697362533361449E-14</v>
      </c>
      <c r="BW131" s="2">
        <f t="shared" si="59"/>
        <v>4.5481879651082374E-14</v>
      </c>
      <c r="BX131" s="2">
        <f t="shared" si="60"/>
        <v>1.6665562763140684E-7</v>
      </c>
      <c r="BZ131" s="2">
        <v>25</v>
      </c>
      <c r="CA131" s="2">
        <f t="shared" si="67"/>
        <v>0.27412801623368593</v>
      </c>
      <c r="CB131" s="2">
        <v>-3.1700152693450723E-7</v>
      </c>
      <c r="CC131" s="2">
        <f t="shared" si="68"/>
        <v>0.27412818288931351</v>
      </c>
      <c r="CD131" s="2">
        <v>3.0940303740942254E-7</v>
      </c>
      <c r="CE131" s="2">
        <f t="shared" si="61"/>
        <v>0.27412809956149975</v>
      </c>
      <c r="CF131" s="2">
        <v>-3.7992175794254734E-9</v>
      </c>
      <c r="CG131" s="2">
        <f t="shared" si="62"/>
        <v>1.2043577738342976E-15</v>
      </c>
      <c r="CH131" s="2">
        <f t="shared" si="63"/>
        <v>-1.1754894588535155E-15</v>
      </c>
      <c r="CI131" s="2">
        <f t="shared" si="64"/>
        <v>1.6665562757589569E-7</v>
      </c>
    </row>
    <row r="132" spans="67:87" x14ac:dyDescent="0.2">
      <c r="BO132" s="2">
        <v>26</v>
      </c>
      <c r="BP132" s="2">
        <f t="shared" si="65"/>
        <v>0.26282143183546214</v>
      </c>
      <c r="BQ132" s="2">
        <v>-1.2863121321218807E-7</v>
      </c>
      <c r="BR132" s="2">
        <f t="shared" si="66"/>
        <v>0.26282151516327595</v>
      </c>
      <c r="BS132" s="2">
        <v>1.2203385275910694E-7</v>
      </c>
      <c r="BT132" s="2">
        <f t="shared" si="57"/>
        <v>0.26282147349936902</v>
      </c>
      <c r="BU132" s="2">
        <v>-3.2986747777741243E-9</v>
      </c>
      <c r="BV132" s="2">
        <f t="shared" si="58"/>
        <v>4.2431253865753049E-16</v>
      </c>
      <c r="BW132" s="2">
        <f t="shared" si="59"/>
        <v>-4.0254999213106731E-16</v>
      </c>
      <c r="BX132" s="2">
        <f t="shared" si="60"/>
        <v>8.3327813815703422E-8</v>
      </c>
      <c r="BZ132" s="2">
        <v>26</v>
      </c>
      <c r="CA132" s="2">
        <f t="shared" si="67"/>
        <v>0.27412809956149975</v>
      </c>
      <c r="CB132" s="2">
        <v>-3.7992175794254734E-9</v>
      </c>
      <c r="CC132" s="2">
        <f t="shared" si="68"/>
        <v>0.27412818288931351</v>
      </c>
      <c r="CD132" s="2">
        <v>3.0940303740942254E-7</v>
      </c>
      <c r="CE132" s="2">
        <f t="shared" si="61"/>
        <v>0.27412814122540663</v>
      </c>
      <c r="CF132" s="2">
        <v>1.5280191664746035E-7</v>
      </c>
      <c r="CG132" s="2">
        <f t="shared" si="62"/>
        <v>-5.8052772789693726E-16</v>
      </c>
      <c r="CH132" s="2">
        <f t="shared" si="63"/>
        <v>4.727737713270564E-14</v>
      </c>
      <c r="CI132" s="2">
        <f t="shared" si="64"/>
        <v>8.3327813760192271E-8</v>
      </c>
    </row>
    <row r="133" spans="67:87" x14ac:dyDescent="0.2">
      <c r="BO133" s="2">
        <v>27</v>
      </c>
      <c r="BP133" s="2">
        <f t="shared" si="65"/>
        <v>0.26282147349936902</v>
      </c>
      <c r="BQ133" s="2">
        <v>-3.2986747777741243E-9</v>
      </c>
      <c r="BR133" s="2">
        <f t="shared" si="66"/>
        <v>0.26282151516327595</v>
      </c>
      <c r="BS133" s="2">
        <v>1.2203385275910694E-7</v>
      </c>
      <c r="BT133" s="2">
        <f t="shared" si="57"/>
        <v>0.26282149433132251</v>
      </c>
      <c r="BU133" s="2">
        <v>5.9367590551917537E-8</v>
      </c>
      <c r="BV133" s="2">
        <f t="shared" si="58"/>
        <v>-1.9583437357083179E-16</v>
      </c>
      <c r="BW133" s="2">
        <f t="shared" si="59"/>
        <v>7.2448558040756537E-15</v>
      </c>
      <c r="BX133" s="2">
        <f t="shared" si="60"/>
        <v>4.1663906935607287E-8</v>
      </c>
      <c r="BZ133" s="2">
        <v>27</v>
      </c>
      <c r="CA133" s="2">
        <f t="shared" si="67"/>
        <v>0.27412809956149975</v>
      </c>
      <c r="CB133" s="2">
        <v>-3.7992175794254734E-9</v>
      </c>
      <c r="CC133" s="2">
        <f t="shared" si="68"/>
        <v>0.27412814122540663</v>
      </c>
      <c r="CD133" s="2">
        <v>1.5280191664746035E-7</v>
      </c>
      <c r="CE133" s="2">
        <f t="shared" si="61"/>
        <v>0.27412812039345319</v>
      </c>
      <c r="CF133" s="2">
        <v>7.4501351116085246E-8</v>
      </c>
      <c r="CG133" s="2">
        <f t="shared" si="62"/>
        <v>-2.8304684285118067E-16</v>
      </c>
      <c r="CH133" s="2">
        <f t="shared" si="63"/>
        <v>1.1383949243363234E-14</v>
      </c>
      <c r="CI133" s="2">
        <f t="shared" si="64"/>
        <v>4.1663906880096135E-8</v>
      </c>
    </row>
    <row r="134" spans="67:87" x14ac:dyDescent="0.2">
      <c r="BO134" s="2">
        <v>28</v>
      </c>
      <c r="BP134" s="2">
        <f t="shared" si="65"/>
        <v>0.26282147349936902</v>
      </c>
      <c r="BQ134" s="2">
        <v>-3.2986747777741243E-9</v>
      </c>
      <c r="BR134" s="2">
        <f t="shared" si="66"/>
        <v>0.26282149433132251</v>
      </c>
      <c r="BS134" s="2">
        <v>5.9367590551917537E-8</v>
      </c>
      <c r="BT134" s="2">
        <f t="shared" si="57"/>
        <v>0.26282148391534577</v>
      </c>
      <c r="BU134" s="2">
        <v>2.8034458025849585E-8</v>
      </c>
      <c r="BV134" s="2">
        <f t="shared" si="58"/>
        <v>-9.2476559598437398E-17</v>
      </c>
      <c r="BW134" s="2">
        <f t="shared" si="59"/>
        <v>1.6643382254235566E-15</v>
      </c>
      <c r="BX134" s="2">
        <f t="shared" si="60"/>
        <v>2.0831953495559219E-8</v>
      </c>
      <c r="BZ134" s="2">
        <v>28</v>
      </c>
      <c r="CA134" s="2">
        <f t="shared" si="67"/>
        <v>0.27412809956149975</v>
      </c>
      <c r="CB134" s="2">
        <v>-3.7992175794254734E-9</v>
      </c>
      <c r="CC134" s="2">
        <f t="shared" si="68"/>
        <v>0.27412812039345319</v>
      </c>
      <c r="CD134" s="2">
        <v>7.4501351116085246E-8</v>
      </c>
      <c r="CE134" s="2">
        <f t="shared" si="61"/>
        <v>0.2741281099774765</v>
      </c>
      <c r="CF134" s="2">
        <v>3.53510672644608E-8</v>
      </c>
      <c r="CG134" s="2">
        <f t="shared" si="62"/>
        <v>-1.3430639620259187E-16</v>
      </c>
      <c r="CH134" s="2">
        <f t="shared" si="63"/>
        <v>2.6337022745979414E-15</v>
      </c>
      <c r="CI134" s="2">
        <f t="shared" si="64"/>
        <v>2.0831953440048068E-8</v>
      </c>
    </row>
    <row r="135" spans="67:87" x14ac:dyDescent="0.2">
      <c r="BO135" s="2">
        <v>29</v>
      </c>
      <c r="BP135" s="2">
        <f t="shared" si="65"/>
        <v>0.26282147349936902</v>
      </c>
      <c r="BQ135" s="2">
        <v>-3.2986747777741243E-9</v>
      </c>
      <c r="BR135" s="2">
        <f t="shared" si="66"/>
        <v>0.26282148391534577</v>
      </c>
      <c r="BS135" s="2">
        <v>2.8034458025849585E-8</v>
      </c>
      <c r="BT135" s="2">
        <f t="shared" si="57"/>
        <v>0.26282147870735739</v>
      </c>
      <c r="BU135" s="2">
        <v>1.2367891714243351E-8</v>
      </c>
      <c r="BV135" s="2">
        <f t="shared" si="58"/>
        <v>-4.079765245201612E-17</v>
      </c>
      <c r="BW135" s="2">
        <f t="shared" si="59"/>
        <v>3.4672714113120809E-16</v>
      </c>
      <c r="BX135" s="2">
        <f t="shared" si="60"/>
        <v>1.0415976747779609E-8</v>
      </c>
      <c r="BZ135" s="2">
        <v>29</v>
      </c>
      <c r="CA135" s="2">
        <f t="shared" si="67"/>
        <v>0.27412809956149975</v>
      </c>
      <c r="CB135" s="2">
        <v>-3.7992175794254734E-9</v>
      </c>
      <c r="CC135" s="2">
        <f t="shared" si="68"/>
        <v>0.2741281099774765</v>
      </c>
      <c r="CD135" s="2">
        <v>3.53510672644608E-8</v>
      </c>
      <c r="CE135" s="2">
        <f t="shared" si="61"/>
        <v>0.27412810476948812</v>
      </c>
      <c r="CF135" s="2">
        <v>1.5775924934458008E-8</v>
      </c>
      <c r="CG135" s="2">
        <f t="shared" si="62"/>
        <v>-5.9936171342689522E-17</v>
      </c>
      <c r="CH135" s="2">
        <f t="shared" si="63"/>
        <v>5.5769578351710937E-16</v>
      </c>
      <c r="CI135" s="2">
        <f t="shared" si="64"/>
        <v>1.0415976747779609E-8</v>
      </c>
    </row>
    <row r="136" spans="67:87" x14ac:dyDescent="0.2">
      <c r="BO136" s="2">
        <v>30</v>
      </c>
      <c r="BP136" s="2">
        <f t="shared" si="65"/>
        <v>0.26282147349936902</v>
      </c>
      <c r="BQ136" s="2">
        <v>-3.2986747777741243E-9</v>
      </c>
      <c r="BR136" s="2">
        <f t="shared" si="66"/>
        <v>0.26282147870735739</v>
      </c>
      <c r="BS136" s="2">
        <v>1.2367891714243351E-8</v>
      </c>
      <c r="BT136" s="5">
        <f t="shared" si="57"/>
        <v>0.26282147610336321</v>
      </c>
      <c r="BU136" s="2">
        <v>4.5346084769082307E-9</v>
      </c>
      <c r="BV136" s="2">
        <f t="shared" si="58"/>
        <v>-1.4958198609857919E-17</v>
      </c>
      <c r="BW136" s="2">
        <f t="shared" si="59"/>
        <v>5.6083546608890968E-17</v>
      </c>
      <c r="BX136" s="2">
        <f t="shared" si="60"/>
        <v>5.2079883738898047E-9</v>
      </c>
      <c r="BZ136" s="2">
        <v>30</v>
      </c>
      <c r="CA136" s="2">
        <f t="shared" si="67"/>
        <v>0.27412809956149975</v>
      </c>
      <c r="CB136" s="2">
        <v>-3.7992175794254734E-9</v>
      </c>
      <c r="CC136" s="2">
        <f t="shared" si="68"/>
        <v>0.27412810476948812</v>
      </c>
      <c r="CD136" s="2">
        <v>1.5775924934458008E-8</v>
      </c>
      <c r="CE136" s="5">
        <f t="shared" si="61"/>
        <v>0.27412810216549394</v>
      </c>
      <c r="CF136" s="2">
        <v>5.9883536393523507E-9</v>
      </c>
      <c r="CG136" s="2">
        <f t="shared" si="62"/>
        <v>-2.2751058418443962E-17</v>
      </c>
      <c r="CH136" s="2">
        <f t="shared" si="63"/>
        <v>9.44718174954111E-17</v>
      </c>
      <c r="CI136" s="2">
        <f t="shared" si="64"/>
        <v>5.2079883738898047E-9</v>
      </c>
    </row>
  </sheetData>
  <mergeCells count="87">
    <mergeCell ref="B1:D1"/>
    <mergeCell ref="B3:D3"/>
    <mergeCell ref="F3:H3"/>
    <mergeCell ref="J3:L3"/>
    <mergeCell ref="N3:P3"/>
    <mergeCell ref="F15:H15"/>
    <mergeCell ref="B28:D28"/>
    <mergeCell ref="B35:D35"/>
    <mergeCell ref="N18:P18"/>
    <mergeCell ref="J9:L9"/>
    <mergeCell ref="B16:D16"/>
    <mergeCell ref="F29:H29"/>
    <mergeCell ref="AQ7:AS7"/>
    <mergeCell ref="AQ2:AS2"/>
    <mergeCell ref="AU2:AW2"/>
    <mergeCell ref="AY2:BE2"/>
    <mergeCell ref="AU9:AW9"/>
    <mergeCell ref="B60:D60"/>
    <mergeCell ref="B21:D21"/>
    <mergeCell ref="BC30:BE30"/>
    <mergeCell ref="AQ35:AQ42"/>
    <mergeCell ref="B40:D40"/>
    <mergeCell ref="AV42:AX42"/>
    <mergeCell ref="AY42:BB42"/>
    <mergeCell ref="BC42:BE42"/>
    <mergeCell ref="AQ27:AQ34"/>
    <mergeCell ref="AV30:AW30"/>
    <mergeCell ref="AY30:BA30"/>
    <mergeCell ref="AQ19:AQ26"/>
    <mergeCell ref="AY21:BA21"/>
    <mergeCell ref="BC21:BE21"/>
    <mergeCell ref="AU53:AU55"/>
    <mergeCell ref="AV55:AX55"/>
    <mergeCell ref="AQ11:AQ18"/>
    <mergeCell ref="AY12:BA12"/>
    <mergeCell ref="BC12:BE12"/>
    <mergeCell ref="BK22:BM22"/>
    <mergeCell ref="AU23:AU29"/>
    <mergeCell ref="AV23:AW23"/>
    <mergeCell ref="AV24:AW24"/>
    <mergeCell ref="AV25:AW25"/>
    <mergeCell ref="AV26:AW26"/>
    <mergeCell ref="BG22:BI22"/>
    <mergeCell ref="AV27:AW27"/>
    <mergeCell ref="AV28:AW28"/>
    <mergeCell ref="AV29:AW29"/>
    <mergeCell ref="AU14:AW14"/>
    <mergeCell ref="AU22:AW22"/>
    <mergeCell ref="BO36:BX36"/>
    <mergeCell ref="BZ36:CI36"/>
    <mergeCell ref="AV41:AW41"/>
    <mergeCell ref="BG41:BI41"/>
    <mergeCell ref="BK41:BM41"/>
    <mergeCell ref="BZ2:CI2"/>
    <mergeCell ref="AY3:BA3"/>
    <mergeCell ref="BC3:BE3"/>
    <mergeCell ref="BG3:BI3"/>
    <mergeCell ref="BK3:BM3"/>
    <mergeCell ref="BG2:BM2"/>
    <mergeCell ref="BO2:BX2"/>
    <mergeCell ref="BO104:BX104"/>
    <mergeCell ref="BZ104:CI104"/>
    <mergeCell ref="B65:D65"/>
    <mergeCell ref="AF47:AI47"/>
    <mergeCell ref="AY43:AZ43"/>
    <mergeCell ref="AQ44:AS44"/>
    <mergeCell ref="BG60:BI60"/>
    <mergeCell ref="BK60:BM60"/>
    <mergeCell ref="BO70:BX70"/>
    <mergeCell ref="BZ70:CI70"/>
    <mergeCell ref="B77:D77"/>
    <mergeCell ref="B71:D71"/>
    <mergeCell ref="AY55:BA55"/>
    <mergeCell ref="BB55:BD55"/>
    <mergeCell ref="AY48:BA48"/>
    <mergeCell ref="BB48:BD48"/>
    <mergeCell ref="B54:D54"/>
    <mergeCell ref="AV47:AW47"/>
    <mergeCell ref="AV48:AX48"/>
    <mergeCell ref="AU50:AU52"/>
    <mergeCell ref="AV52:AX52"/>
    <mergeCell ref="BB52:BD52"/>
    <mergeCell ref="J41:L41"/>
    <mergeCell ref="B46:D46"/>
    <mergeCell ref="F22:H22"/>
    <mergeCell ref="B49:D49"/>
    <mergeCell ref="AY52:BA52"/>
  </mergeCells>
  <conditionalFormatting sqref="G12">
    <cfRule type="containsText" dxfId="11" priority="1" operator="containsText" text="FALSE">
      <formula>NOT(ISERROR(SEARCH("FALSE",G12)))</formula>
    </cfRule>
    <cfRule type="containsText" dxfId="10" priority="2" operator="containsText" text="TRUE">
      <formula>NOT(ISERROR(SEARCH("TRUE",G12)))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NOT(ISERROR(SEARCH("YES",G12)))</formula>
    </cfRule>
    <cfRule type="cellIs" dxfId="6" priority="6" operator="equal">
      <formula>"""YES"""</formula>
    </cfRule>
  </conditionalFormatting>
  <conditionalFormatting sqref="K31">
    <cfRule type="containsText" dxfId="5" priority="7" operator="containsText" text="FALSE">
      <formula>NOT(ISERROR(SEARCH("FALSE",K31)))</formula>
    </cfRule>
    <cfRule type="containsText" dxfId="4" priority="8" operator="containsText" text="TRUE">
      <formula>NOT(ISERROR(SEARCH("TRUE",K31)))</formula>
    </cfRule>
    <cfRule type="cellIs" dxfId="3" priority="9" operator="equal">
      <formula>1</formula>
    </cfRule>
    <cfRule type="cellIs" dxfId="2" priority="10" operator="equal">
      <formula>TRUE</formula>
    </cfRule>
    <cfRule type="containsText" dxfId="1" priority="11" operator="containsText" text="YES">
      <formula>NOT(ISERROR(SEARCH("YES",K31)))</formula>
    </cfRule>
    <cfRule type="cellIs" dxfId="0" priority="12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multirotor_MT</vt:lpstr>
      <vt:lpstr>multirotor_MMT</vt:lpstr>
      <vt:lpstr>multirotor_BEMT</vt:lpstr>
      <vt:lpstr>lift+cruise_MT</vt:lpstr>
      <vt:lpstr>lift+cruise_MMT</vt:lpstr>
      <vt:lpstr>lift+cruise_BEMT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2025-06-30T07:19:58Z</dcterms:modified>
</cp:coreProperties>
</file>