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selection_by_energy/liftcruise/"/>
    </mc:Choice>
  </mc:AlternateContent>
  <xr:revisionPtr revIDLastSave="0" documentId="13_ncr:1_{90B0D45E-6279-DD4F-8083-D7F7E8C840B6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liftcruise_opt_250_test_250" sheetId="12" r:id="rId1"/>
    <sheet name="liftcruise_opt_250_test_550" sheetId="19" r:id="rId2"/>
    <sheet name="liftcruise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0" l="1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G14" i="19" s="1"/>
  <c r="G15" i="19" s="1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O22" i="20" l="1"/>
  <c r="O25" i="20" s="1"/>
  <c r="AK6" i="19"/>
  <c r="K46" i="20"/>
  <c r="AG7" i="20"/>
  <c r="K38" i="20"/>
  <c r="AO6" i="20"/>
  <c r="G28" i="20"/>
  <c r="AI7" i="19"/>
  <c r="K38" i="19"/>
  <c r="G13" i="20"/>
  <c r="K11" i="20" s="1"/>
  <c r="O5" i="20"/>
  <c r="AK6" i="20"/>
  <c r="AI7" i="20" s="1"/>
  <c r="AO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G13" i="19"/>
  <c r="K11" i="19" s="1"/>
  <c r="O5" i="19"/>
  <c r="O22" i="19"/>
  <c r="O25" i="19" s="1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K7" i="19" l="1"/>
  <c r="AI8" i="19" s="1"/>
  <c r="AO7" i="19"/>
  <c r="AG8" i="19"/>
  <c r="K45" i="20"/>
  <c r="K5" i="20"/>
  <c r="AK7" i="20"/>
  <c r="AG8" i="20" s="1"/>
  <c r="O14" i="20"/>
  <c r="O10" i="20"/>
  <c r="K45" i="19"/>
  <c r="AO8" i="19"/>
  <c r="AK8" i="19"/>
  <c r="AI9" i="19" s="1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9" i="19" l="1"/>
  <c r="AK9" i="19" s="1"/>
  <c r="AI8" i="20"/>
  <c r="AK8" i="20"/>
  <c r="AI9" i="20" s="1"/>
  <c r="AG9" i="20"/>
  <c r="AO8" i="20"/>
  <c r="O20" i="20"/>
  <c r="O15" i="20"/>
  <c r="O20" i="19"/>
  <c r="O15" i="19"/>
  <c r="AO9" i="19"/>
  <c r="AG6" i="12"/>
  <c r="G14" i="12"/>
  <c r="G15" i="12" s="1"/>
  <c r="O25" i="12"/>
  <c r="G6" i="12"/>
  <c r="AI6" i="12"/>
  <c r="G25" i="12"/>
  <c r="K42" i="12"/>
  <c r="AG10" i="19" l="1"/>
  <c r="AI10" i="19"/>
  <c r="AK9" i="20"/>
  <c r="AG10" i="20" s="1"/>
  <c r="G16" i="20"/>
  <c r="O23" i="20"/>
  <c r="K16" i="20"/>
  <c r="O28" i="20"/>
  <c r="O30" i="20" s="1"/>
  <c r="AO9" i="20"/>
  <c r="AI10" i="20"/>
  <c r="AO10" i="19"/>
  <c r="G16" i="19"/>
  <c r="O23" i="19"/>
  <c r="K16" i="19"/>
  <c r="O28" i="19"/>
  <c r="O30" i="19" s="1"/>
  <c r="AO6" i="12"/>
  <c r="AK6" i="12"/>
  <c r="AG7" i="12" s="1"/>
  <c r="AK10" i="19" l="1"/>
  <c r="AG11" i="19"/>
  <c r="AI11" i="19"/>
  <c r="AO11" i="19" s="1"/>
  <c r="AO10" i="20"/>
  <c r="AK10" i="20"/>
  <c r="AG11" i="20" s="1"/>
  <c r="G19" i="20"/>
  <c r="W4" i="20"/>
  <c r="Y4" i="20"/>
  <c r="AA4" i="20"/>
  <c r="AG12" i="19"/>
  <c r="G19" i="19"/>
  <c r="Y4" i="19"/>
  <c r="W4" i="19"/>
  <c r="AA4" i="19"/>
  <c r="AI7" i="12"/>
  <c r="AO7" i="12" s="1"/>
  <c r="AK11" i="19" l="1"/>
  <c r="AI12" i="19" s="1"/>
  <c r="AK12" i="19"/>
  <c r="AG13" i="19" s="1"/>
  <c r="AI11" i="20"/>
  <c r="AK11" i="20" s="1"/>
  <c r="AI12" i="20" s="1"/>
  <c r="AG12" i="20"/>
  <c r="AC4" i="20"/>
  <c r="X5" i="20" s="1"/>
  <c r="AB4" i="20"/>
  <c r="V5" i="20" s="1"/>
  <c r="AC4" i="19"/>
  <c r="X5" i="19" s="1"/>
  <c r="Y5" i="19" s="1"/>
  <c r="AB4" i="19"/>
  <c r="V5" i="19" s="1"/>
  <c r="AO12" i="19"/>
  <c r="AI13" i="19"/>
  <c r="AO13" i="19" s="1"/>
  <c r="AK7" i="12"/>
  <c r="AI8" i="12" s="1"/>
  <c r="AO11" i="20" l="1"/>
  <c r="AK12" i="20"/>
  <c r="AG13" i="20" s="1"/>
  <c r="Z5" i="20"/>
  <c r="AA5" i="20" s="1"/>
  <c r="W5" i="20"/>
  <c r="AD5" i="20"/>
  <c r="Y5" i="20"/>
  <c r="AC5" i="20" s="1"/>
  <c r="X6" i="20" s="1"/>
  <c r="AO12" i="20"/>
  <c r="AI13" i="20"/>
  <c r="AO13" i="20" s="1"/>
  <c r="Z5" i="19"/>
  <c r="AA5" i="19" s="1"/>
  <c r="AC5" i="19" s="1"/>
  <c r="X6" i="19" s="1"/>
  <c r="W5" i="19"/>
  <c r="AK13" i="19"/>
  <c r="AD5" i="19"/>
  <c r="AG8" i="12"/>
  <c r="AO8" i="12" s="1"/>
  <c r="AB5" i="19" l="1"/>
  <c r="V6" i="19" s="1"/>
  <c r="AI14" i="19"/>
  <c r="AG14" i="19"/>
  <c r="AB5" i="20"/>
  <c r="V6" i="20" s="1"/>
  <c r="AD6" i="20" s="1"/>
  <c r="Y6" i="20"/>
  <c r="AK13" i="20"/>
  <c r="Z6" i="19"/>
  <c r="AA6" i="19" s="1"/>
  <c r="W6" i="19"/>
  <c r="AD6" i="19"/>
  <c r="Y6" i="19"/>
  <c r="AK8" i="12"/>
  <c r="AI9" i="12" s="1"/>
  <c r="AO14" i="19" l="1"/>
  <c r="AK14" i="19"/>
  <c r="AG15" i="19" s="1"/>
  <c r="Z6" i="20"/>
  <c r="AA6" i="20" s="1"/>
  <c r="AC6" i="20" s="1"/>
  <c r="X7" i="20" s="1"/>
  <c r="W6" i="20"/>
  <c r="AI15" i="19"/>
  <c r="AK15" i="19" s="1"/>
  <c r="AI14" i="20"/>
  <c r="AG14" i="20"/>
  <c r="AC6" i="19"/>
  <c r="X7" i="19" s="1"/>
  <c r="AB6" i="19"/>
  <c r="V7" i="19" s="1"/>
  <c r="AG9" i="12"/>
  <c r="AO9" i="12" s="1"/>
  <c r="AO14" i="20" l="1"/>
  <c r="AB6" i="20"/>
  <c r="V7" i="20" s="1"/>
  <c r="W7" i="20" s="1"/>
  <c r="AK14" i="20"/>
  <c r="AG15" i="20" s="1"/>
  <c r="AG16" i="19"/>
  <c r="AI16" i="19"/>
  <c r="AO15" i="19"/>
  <c r="AI15" i="20"/>
  <c r="AK15" i="20" s="1"/>
  <c r="AI16" i="20" s="1"/>
  <c r="Y7" i="20"/>
  <c r="AO16" i="19"/>
  <c r="Z7" i="19"/>
  <c r="AA7" i="19" s="1"/>
  <c r="W7" i="19"/>
  <c r="AD7" i="19"/>
  <c r="Y7" i="19"/>
  <c r="AK9" i="12"/>
  <c r="AI10" i="12" s="1"/>
  <c r="AO15" i="20" l="1"/>
  <c r="Z7" i="20"/>
  <c r="AA7" i="20" s="1"/>
  <c r="AB7" i="20" s="1"/>
  <c r="V8" i="20" s="1"/>
  <c r="AD7" i="20"/>
  <c r="AG16" i="20"/>
  <c r="AK16" i="19"/>
  <c r="AG17" i="19" s="1"/>
  <c r="AC7" i="19"/>
  <c r="X8" i="19" s="1"/>
  <c r="AK16" i="20"/>
  <c r="AG17" i="20" s="1"/>
  <c r="W8" i="20"/>
  <c r="AC7" i="20"/>
  <c r="X8" i="20" s="1"/>
  <c r="AO16" i="20"/>
  <c r="AI17" i="20"/>
  <c r="AI17" i="19"/>
  <c r="AK17" i="19" s="1"/>
  <c r="Y8" i="19"/>
  <c r="AB7" i="19"/>
  <c r="V8" i="19" s="1"/>
  <c r="AG10" i="12"/>
  <c r="AO10" i="12" s="1"/>
  <c r="AO17" i="19" l="1"/>
  <c r="AO17" i="20"/>
  <c r="AK17" i="20"/>
  <c r="AG18" i="20" s="1"/>
  <c r="AD8" i="20"/>
  <c r="Y8" i="20"/>
  <c r="Z8" i="20"/>
  <c r="AA8" i="20" s="1"/>
  <c r="AB8" i="20" s="1"/>
  <c r="V9" i="20" s="1"/>
  <c r="AG18" i="19"/>
  <c r="AI18" i="19"/>
  <c r="AO18" i="19" s="1"/>
  <c r="Z8" i="19"/>
  <c r="AA8" i="19" s="1"/>
  <c r="AC8" i="19" s="1"/>
  <c r="X9" i="19" s="1"/>
  <c r="W8" i="19"/>
  <c r="AK18" i="19"/>
  <c r="AG19" i="19" s="1"/>
  <c r="AD8" i="19"/>
  <c r="AK10" i="12"/>
  <c r="AI18" i="20" l="1"/>
  <c r="AK18" i="20" s="1"/>
  <c r="AI19" i="20" s="1"/>
  <c r="AB8" i="19"/>
  <c r="V9" i="19" s="1"/>
  <c r="Z9" i="19" s="1"/>
  <c r="AA9" i="19" s="1"/>
  <c r="W9" i="20"/>
  <c r="AC8" i="20"/>
  <c r="X9" i="20" s="1"/>
  <c r="AG19" i="20"/>
  <c r="AO18" i="20"/>
  <c r="AI19" i="19"/>
  <c r="AK19" i="19" s="1"/>
  <c r="W9" i="19"/>
  <c r="AD9" i="19"/>
  <c r="Y9" i="19"/>
  <c r="AG11" i="12"/>
  <c r="AI11" i="12"/>
  <c r="AO19" i="19" l="1"/>
  <c r="AC9" i="19"/>
  <c r="X10" i="19" s="1"/>
  <c r="AO19" i="20"/>
  <c r="AK19" i="20"/>
  <c r="AI20" i="20" s="1"/>
  <c r="AG20" i="20"/>
  <c r="AD9" i="20"/>
  <c r="Y9" i="20"/>
  <c r="Z9" i="20"/>
  <c r="AA9" i="20" s="1"/>
  <c r="AB9" i="20" s="1"/>
  <c r="V10" i="20" s="1"/>
  <c r="AG20" i="19"/>
  <c r="AI20" i="19"/>
  <c r="AO20" i="19" s="1"/>
  <c r="Y10" i="19"/>
  <c r="AB9" i="19"/>
  <c r="V10" i="19" s="1"/>
  <c r="AO11" i="12"/>
  <c r="AK11" i="12"/>
  <c r="AK20" i="19" l="1"/>
  <c r="AG21" i="19" s="1"/>
  <c r="W10" i="20"/>
  <c r="AC9" i="20"/>
  <c r="X10" i="20" s="1"/>
  <c r="AK20" i="20"/>
  <c r="AI21" i="20" s="1"/>
  <c r="AO20" i="20"/>
  <c r="AI21" i="19"/>
  <c r="AK21" i="19" s="1"/>
  <c r="Z10" i="19"/>
  <c r="AA10" i="19" s="1"/>
  <c r="AC10" i="19" s="1"/>
  <c r="X11" i="19" s="1"/>
  <c r="W10" i="19"/>
  <c r="AD10" i="19"/>
  <c r="AO21" i="19"/>
  <c r="AI12" i="12"/>
  <c r="AG12" i="12"/>
  <c r="AG21" i="20" l="1"/>
  <c r="AK21" i="20"/>
  <c r="AI22" i="20" s="1"/>
  <c r="AO21" i="20"/>
  <c r="AD10" i="20"/>
  <c r="Y10" i="20"/>
  <c r="Z10" i="20"/>
  <c r="AA10" i="20" s="1"/>
  <c r="AB10" i="20" s="1"/>
  <c r="V11" i="20" s="1"/>
  <c r="AB10" i="19"/>
  <c r="V11" i="19" s="1"/>
  <c r="W11" i="19" s="1"/>
  <c r="AG22" i="19"/>
  <c r="AI22" i="19"/>
  <c r="Y11" i="19"/>
  <c r="AO12" i="12"/>
  <c r="AK12" i="12"/>
  <c r="AG22" i="20" l="1"/>
  <c r="AO22" i="19"/>
  <c r="Z11" i="19"/>
  <c r="AA11" i="19" s="1"/>
  <c r="AB11" i="19" s="1"/>
  <c r="V12" i="19" s="1"/>
  <c r="W12" i="19" s="1"/>
  <c r="AD11" i="19"/>
  <c r="AK22" i="19"/>
  <c r="AG23" i="19" s="1"/>
  <c r="W11" i="20"/>
  <c r="AC10" i="20"/>
  <c r="X11" i="20" s="1"/>
  <c r="AK22" i="20"/>
  <c r="AI23" i="20" s="1"/>
  <c r="AO22" i="20"/>
  <c r="AI23" i="19"/>
  <c r="AK23" i="19" s="1"/>
  <c r="AG13" i="12"/>
  <c r="AI13" i="12"/>
  <c r="AC11" i="19" l="1"/>
  <c r="X12" i="19" s="1"/>
  <c r="Z12" i="19" s="1"/>
  <c r="AA12" i="19" s="1"/>
  <c r="AB12" i="19" s="1"/>
  <c r="V13" i="19" s="1"/>
  <c r="AG23" i="20"/>
  <c r="AO23" i="19"/>
  <c r="AG24" i="19"/>
  <c r="AI24" i="19"/>
  <c r="AK23" i="20"/>
  <c r="AI24" i="20" s="1"/>
  <c r="AG24" i="20"/>
  <c r="AO23" i="20"/>
  <c r="AD11" i="20"/>
  <c r="Y11" i="20"/>
  <c r="Z11" i="20"/>
  <c r="AA11" i="20" s="1"/>
  <c r="AB11" i="20" s="1"/>
  <c r="V12" i="20" s="1"/>
  <c r="AK13" i="12"/>
  <c r="AO13" i="12"/>
  <c r="Y12" i="19" l="1"/>
  <c r="AC12" i="19" s="1"/>
  <c r="X13" i="19" s="1"/>
  <c r="AD12" i="19"/>
  <c r="AK24" i="19"/>
  <c r="AG25" i="19" s="1"/>
  <c r="AO24" i="19"/>
  <c r="W12" i="20"/>
  <c r="AC11" i="20"/>
  <c r="X12" i="20" s="1"/>
  <c r="AK24" i="20"/>
  <c r="AI25" i="20" s="1"/>
  <c r="AO24" i="20"/>
  <c r="AI25" i="19"/>
  <c r="AK25" i="19" s="1"/>
  <c r="W13" i="19"/>
  <c r="AO25" i="19"/>
  <c r="AI14" i="12"/>
  <c r="AG14" i="12"/>
  <c r="AG25" i="20" l="1"/>
  <c r="AK25" i="20"/>
  <c r="AI26" i="20" s="1"/>
  <c r="AG26" i="20"/>
  <c r="AO25" i="20"/>
  <c r="AD12" i="20"/>
  <c r="Y12" i="20"/>
  <c r="Z12" i="20"/>
  <c r="AA12" i="20" s="1"/>
  <c r="AB12" i="20" s="1"/>
  <c r="V13" i="20" s="1"/>
  <c r="AG26" i="19"/>
  <c r="AI26" i="19"/>
  <c r="AD13" i="19"/>
  <c r="Y13" i="19"/>
  <c r="AO26" i="19"/>
  <c r="Z13" i="19"/>
  <c r="AA13" i="19" s="1"/>
  <c r="AB13" i="19" s="1"/>
  <c r="V14" i="19" s="1"/>
  <c r="AK14" i="12"/>
  <c r="AG15" i="12" s="1"/>
  <c r="AI15" i="12"/>
  <c r="AO14" i="12"/>
  <c r="W13" i="20" l="1"/>
  <c r="AC12" i="20"/>
  <c r="X13" i="20" s="1"/>
  <c r="AK26" i="20"/>
  <c r="AI27" i="20" s="1"/>
  <c r="AG27" i="20"/>
  <c r="AO26" i="20"/>
  <c r="AK26" i="19"/>
  <c r="W14" i="19"/>
  <c r="AC13" i="19"/>
  <c r="X14" i="19" s="1"/>
  <c r="AO15" i="12"/>
  <c r="AK15" i="12"/>
  <c r="AK27" i="20" l="1"/>
  <c r="AI28" i="20" s="1"/>
  <c r="AG28" i="20"/>
  <c r="AO27" i="20"/>
  <c r="AD13" i="20"/>
  <c r="Y13" i="20"/>
  <c r="Z13" i="20"/>
  <c r="AA13" i="20" s="1"/>
  <c r="AB13" i="20" s="1"/>
  <c r="V14" i="20" s="1"/>
  <c r="AG27" i="19"/>
  <c r="AI27" i="19"/>
  <c r="AO27" i="19" s="1"/>
  <c r="AD14" i="19"/>
  <c r="Y14" i="19"/>
  <c r="Z14" i="19"/>
  <c r="AA14" i="19" s="1"/>
  <c r="AB14" i="19" s="1"/>
  <c r="V15" i="19" s="1"/>
  <c r="AG16" i="12"/>
  <c r="AI16" i="12"/>
  <c r="W14" i="20" l="1"/>
  <c r="AC13" i="20"/>
  <c r="X14" i="20" s="1"/>
  <c r="AK28" i="20"/>
  <c r="AI29" i="20" s="1"/>
  <c r="AG29" i="20"/>
  <c r="AO28" i="20"/>
  <c r="AK27" i="19"/>
  <c r="W15" i="19"/>
  <c r="AC14" i="19"/>
  <c r="X15" i="19" s="1"/>
  <c r="AO16" i="12"/>
  <c r="AK16" i="12"/>
  <c r="AK29" i="20" l="1"/>
  <c r="AI30" i="20" s="1"/>
  <c r="AG30" i="20"/>
  <c r="AO29" i="20"/>
  <c r="AD14" i="20"/>
  <c r="Y14" i="20"/>
  <c r="Z14" i="20"/>
  <c r="AA14" i="20" s="1"/>
  <c r="AB14" i="20" s="1"/>
  <c r="V15" i="20" s="1"/>
  <c r="AG28" i="19"/>
  <c r="AI28" i="19"/>
  <c r="AO28" i="19" s="1"/>
  <c r="AD15" i="19"/>
  <c r="Y15" i="19"/>
  <c r="Z15" i="19"/>
  <c r="AA15" i="19" s="1"/>
  <c r="AB15" i="19" s="1"/>
  <c r="V16" i="19" s="1"/>
  <c r="AG17" i="12"/>
  <c r="AI17" i="12"/>
  <c r="W15" i="20" l="1"/>
  <c r="AC14" i="20"/>
  <c r="X15" i="20" s="1"/>
  <c r="AK30" i="20"/>
  <c r="AI31" i="20" s="1"/>
  <c r="AG31" i="20"/>
  <c r="AO30" i="20"/>
  <c r="AK28" i="19"/>
  <c r="AC15" i="19"/>
  <c r="X16" i="19" s="1"/>
  <c r="Z16" i="19" s="1"/>
  <c r="AA16" i="19" s="1"/>
  <c r="W16" i="19"/>
  <c r="AK17" i="12"/>
  <c r="AO17" i="12"/>
  <c r="AD16" i="19" l="1"/>
  <c r="Y16" i="19"/>
  <c r="AK31" i="20"/>
  <c r="AI32" i="20" s="1"/>
  <c r="AG32" i="20"/>
  <c r="AO31" i="20"/>
  <c r="AD15" i="20"/>
  <c r="Y15" i="20"/>
  <c r="Z15" i="20"/>
  <c r="AA15" i="20" s="1"/>
  <c r="AB15" i="20" s="1"/>
  <c r="V16" i="20" s="1"/>
  <c r="AB16" i="19"/>
  <c r="V17" i="19" s="1"/>
  <c r="W17" i="19" s="1"/>
  <c r="AC16" i="19"/>
  <c r="X17" i="19" s="1"/>
  <c r="AG29" i="19"/>
  <c r="AI29" i="19"/>
  <c r="AI18" i="12"/>
  <c r="AG18" i="12"/>
  <c r="AD17" i="19" l="1"/>
  <c r="AO29" i="19"/>
  <c r="Z17" i="19"/>
  <c r="AA17" i="19" s="1"/>
  <c r="AB17" i="19" s="1"/>
  <c r="V18" i="19" s="1"/>
  <c r="W18" i="19" s="1"/>
  <c r="Y17" i="19"/>
  <c r="AC17" i="19" s="1"/>
  <c r="X18" i="19" s="1"/>
  <c r="W16" i="20"/>
  <c r="AC15" i="20"/>
  <c r="X16" i="20" s="1"/>
  <c r="AK32" i="20"/>
  <c r="AI33" i="20" s="1"/>
  <c r="AO32" i="20"/>
  <c r="AK29" i="19"/>
  <c r="AK18" i="12"/>
  <c r="AI19" i="12" s="1"/>
  <c r="AG19" i="12"/>
  <c r="AO18" i="12"/>
  <c r="Z18" i="19" l="1"/>
  <c r="AA18" i="19" s="1"/>
  <c r="Y18" i="19"/>
  <c r="AD18" i="19"/>
  <c r="AG33" i="20"/>
  <c r="AO33" i="20" s="1"/>
  <c r="AD16" i="20"/>
  <c r="Y16" i="20"/>
  <c r="Z16" i="20"/>
  <c r="AA16" i="20" s="1"/>
  <c r="AB16" i="20" s="1"/>
  <c r="V17" i="20" s="1"/>
  <c r="AB18" i="19"/>
  <c r="V19" i="19" s="1"/>
  <c r="W19" i="19" s="1"/>
  <c r="AG30" i="19"/>
  <c r="AI30" i="19"/>
  <c r="AK19" i="12"/>
  <c r="AO19" i="12"/>
  <c r="AC18" i="19" l="1"/>
  <c r="X19" i="19" s="1"/>
  <c r="Y19" i="19" s="1"/>
  <c r="AK33" i="20"/>
  <c r="AO30" i="19"/>
  <c r="Z19" i="19"/>
  <c r="AA19" i="19" s="1"/>
  <c r="AB19" i="19" s="1"/>
  <c r="V20" i="19" s="1"/>
  <c r="W17" i="20"/>
  <c r="AC16" i="20"/>
  <c r="X17" i="20" s="1"/>
  <c r="AK30" i="19"/>
  <c r="AI20" i="12"/>
  <c r="AG20" i="12"/>
  <c r="AD19" i="19" l="1"/>
  <c r="AI34" i="20"/>
  <c r="AG34" i="20"/>
  <c r="AK34" i="20" s="1"/>
  <c r="AC19" i="19"/>
  <c r="X20" i="19" s="1"/>
  <c r="Y20" i="19" s="1"/>
  <c r="AD17" i="20"/>
  <c r="Y17" i="20"/>
  <c r="Z17" i="20"/>
  <c r="AA17" i="20" s="1"/>
  <c r="AB17" i="20" s="1"/>
  <c r="V18" i="20" s="1"/>
  <c r="AG31" i="19"/>
  <c r="AI31" i="19"/>
  <c r="W20" i="19"/>
  <c r="AK20" i="12"/>
  <c r="AI21" i="12" s="1"/>
  <c r="AO20" i="12"/>
  <c r="AO31" i="19" l="1"/>
  <c r="AI35" i="20"/>
  <c r="AG35" i="20"/>
  <c r="AK35" i="20" s="1"/>
  <c r="AO34" i="20"/>
  <c r="Z20" i="19"/>
  <c r="AA20" i="19" s="1"/>
  <c r="AB20" i="19" s="1"/>
  <c r="V21" i="19" s="1"/>
  <c r="W21" i="19" s="1"/>
  <c r="AD20" i="19"/>
  <c r="AG21" i="12"/>
  <c r="AK21" i="12" s="1"/>
  <c r="W18" i="20"/>
  <c r="AC17" i="20"/>
  <c r="X18" i="20" s="1"/>
  <c r="AK31" i="19"/>
  <c r="AC20" i="19" l="1"/>
  <c r="X21" i="19" s="1"/>
  <c r="AI36" i="20"/>
  <c r="AG36" i="20"/>
  <c r="AK36" i="20" s="1"/>
  <c r="AO35" i="20"/>
  <c r="AG22" i="12"/>
  <c r="AI22" i="12"/>
  <c r="AK22" i="12" s="1"/>
  <c r="AO21" i="12"/>
  <c r="AD18" i="20"/>
  <c r="Y18" i="20"/>
  <c r="Z18" i="20"/>
  <c r="AA18" i="20" s="1"/>
  <c r="AB18" i="20" s="1"/>
  <c r="V19" i="20" s="1"/>
  <c r="AG32" i="19"/>
  <c r="AI32" i="19"/>
  <c r="AD21" i="19"/>
  <c r="Y21" i="19"/>
  <c r="Z21" i="19"/>
  <c r="AA21" i="19" s="1"/>
  <c r="AB21" i="19" s="1"/>
  <c r="V22" i="19" s="1"/>
  <c r="AO22" i="12" l="1"/>
  <c r="AI37" i="20"/>
  <c r="AG37" i="20"/>
  <c r="AO36" i="20"/>
  <c r="AO32" i="19"/>
  <c r="W19" i="20"/>
  <c r="AC18" i="20"/>
  <c r="X19" i="20" s="1"/>
  <c r="AK32" i="19"/>
  <c r="W22" i="19"/>
  <c r="AC21" i="19"/>
  <c r="X22" i="19" s="1"/>
  <c r="AG23" i="12"/>
  <c r="AI23" i="12"/>
  <c r="AK37" i="20" l="1"/>
  <c r="AI38" i="20"/>
  <c r="AG38" i="20"/>
  <c r="AO37" i="20"/>
  <c r="AD19" i="20"/>
  <c r="Y19" i="20"/>
  <c r="Z19" i="20"/>
  <c r="AA19" i="20" s="1"/>
  <c r="AB19" i="20" s="1"/>
  <c r="V20" i="20" s="1"/>
  <c r="AG33" i="19"/>
  <c r="AI33" i="19"/>
  <c r="AD22" i="19"/>
  <c r="Y22" i="19"/>
  <c r="Z22" i="19"/>
  <c r="AA22" i="19" s="1"/>
  <c r="AB22" i="19" s="1"/>
  <c r="V23" i="19" s="1"/>
  <c r="AK23" i="12"/>
  <c r="AO23" i="12"/>
  <c r="AK38" i="20" l="1"/>
  <c r="AI39" i="20" s="1"/>
  <c r="AG39" i="20"/>
  <c r="AK39" i="20" s="1"/>
  <c r="AI40" i="20" s="1"/>
  <c r="AO39" i="20"/>
  <c r="AG40" i="20"/>
  <c r="AO33" i="19"/>
  <c r="AO38" i="20"/>
  <c r="W20" i="20"/>
  <c r="AC19" i="20"/>
  <c r="X20" i="20" s="1"/>
  <c r="AK40" i="20"/>
  <c r="AI41" i="20" s="1"/>
  <c r="AO40" i="20"/>
  <c r="AK33" i="19"/>
  <c r="W23" i="19"/>
  <c r="AC22" i="19"/>
  <c r="X23" i="19" s="1"/>
  <c r="AI24" i="12"/>
  <c r="AG24" i="12"/>
  <c r="AG41" i="20" l="1"/>
  <c r="AO41" i="20" s="1"/>
  <c r="AD20" i="20"/>
  <c r="Y20" i="20"/>
  <c r="Z20" i="20"/>
  <c r="AA20" i="20" s="1"/>
  <c r="AB20" i="20" s="1"/>
  <c r="V21" i="20" s="1"/>
  <c r="AG34" i="19"/>
  <c r="AI34" i="19"/>
  <c r="AO34" i="19" s="1"/>
  <c r="AD23" i="19"/>
  <c r="Y23" i="19"/>
  <c r="Z23" i="19"/>
  <c r="AA23" i="19" s="1"/>
  <c r="AB23" i="19" s="1"/>
  <c r="V24" i="19" s="1"/>
  <c r="AO24" i="12"/>
  <c r="AK24" i="12"/>
  <c r="AK41" i="20" l="1"/>
  <c r="AI42" i="20" s="1"/>
  <c r="AG42" i="20"/>
  <c r="W21" i="20"/>
  <c r="AC20" i="20"/>
  <c r="X21" i="20" s="1"/>
  <c r="AK42" i="20"/>
  <c r="AI43" i="20" s="1"/>
  <c r="AO42" i="20"/>
  <c r="AK34" i="19"/>
  <c r="W24" i="19"/>
  <c r="AC23" i="19"/>
  <c r="X24" i="19" s="1"/>
  <c r="AG25" i="12"/>
  <c r="AI25" i="12"/>
  <c r="AG43" i="20" l="1"/>
  <c r="AK43" i="20"/>
  <c r="AI44" i="20" s="1"/>
  <c r="AO43" i="20"/>
  <c r="AD21" i="20"/>
  <c r="Y21" i="20"/>
  <c r="Z21" i="20"/>
  <c r="AA21" i="20" s="1"/>
  <c r="AB21" i="20" s="1"/>
  <c r="V22" i="20" s="1"/>
  <c r="AG35" i="19"/>
  <c r="AI35" i="19"/>
  <c r="AO35" i="19" s="1"/>
  <c r="AD24" i="19"/>
  <c r="Y24" i="19"/>
  <c r="Z24" i="19"/>
  <c r="AA24" i="19" s="1"/>
  <c r="AB24" i="19" s="1"/>
  <c r="V25" i="19" s="1"/>
  <c r="AK25" i="12"/>
  <c r="AO25" i="12"/>
  <c r="AG44" i="20" l="1"/>
  <c r="AK44" i="20"/>
  <c r="W22" i="20"/>
  <c r="AC21" i="20"/>
  <c r="X22" i="20" s="1"/>
  <c r="AO44" i="20"/>
  <c r="AK35" i="19"/>
  <c r="W25" i="19"/>
  <c r="AC24" i="19"/>
  <c r="X25" i="19" s="1"/>
  <c r="AG26" i="12"/>
  <c r="AI26" i="12"/>
  <c r="AD22" i="20" l="1"/>
  <c r="Y22" i="20"/>
  <c r="Z22" i="20"/>
  <c r="AA22" i="20" s="1"/>
  <c r="AB22" i="20" s="1"/>
  <c r="V23" i="20" s="1"/>
  <c r="AG36" i="19"/>
  <c r="AI36" i="19"/>
  <c r="AO36" i="19" s="1"/>
  <c r="AD25" i="19"/>
  <c r="Y25" i="19"/>
  <c r="Z25" i="19"/>
  <c r="AA25" i="19" s="1"/>
  <c r="AB25" i="19" s="1"/>
  <c r="V26" i="19" s="1"/>
  <c r="AO26" i="12"/>
  <c r="AK26" i="12"/>
  <c r="W23" i="20" l="1"/>
  <c r="AC22" i="20"/>
  <c r="X23" i="20" s="1"/>
  <c r="AK36" i="19"/>
  <c r="W26" i="19"/>
  <c r="AC25" i="19"/>
  <c r="X26" i="19" s="1"/>
  <c r="AG27" i="12"/>
  <c r="AI27" i="12"/>
  <c r="AD23" i="20" l="1"/>
  <c r="Y23" i="20"/>
  <c r="Z23" i="20"/>
  <c r="AA23" i="20" s="1"/>
  <c r="AB23" i="20" s="1"/>
  <c r="V24" i="20" s="1"/>
  <c r="AG37" i="19"/>
  <c r="AI37" i="19"/>
  <c r="AO37" i="19" s="1"/>
  <c r="AD26" i="19"/>
  <c r="Y26" i="19"/>
  <c r="Z26" i="19"/>
  <c r="AA26" i="19" s="1"/>
  <c r="AB26" i="19" s="1"/>
  <c r="V27" i="19" s="1"/>
  <c r="AO27" i="12"/>
  <c r="AK27" i="12"/>
  <c r="W24" i="20" l="1"/>
  <c r="AC23" i="20"/>
  <c r="X24" i="20" s="1"/>
  <c r="AK37" i="19"/>
  <c r="W27" i="19"/>
  <c r="AC26" i="19"/>
  <c r="X27" i="19" s="1"/>
  <c r="AI28" i="12"/>
  <c r="AG28" i="12"/>
  <c r="AD24" i="20" l="1"/>
  <c r="Y24" i="20"/>
  <c r="Z24" i="20"/>
  <c r="AA24" i="20" s="1"/>
  <c r="AB24" i="20" s="1"/>
  <c r="V25" i="20" s="1"/>
  <c r="AG38" i="19"/>
  <c r="AI38" i="19"/>
  <c r="AD27" i="19"/>
  <c r="Y27" i="19"/>
  <c r="Z27" i="19"/>
  <c r="AA27" i="19" s="1"/>
  <c r="AB27" i="19" s="1"/>
  <c r="V28" i="19" s="1"/>
  <c r="AO28" i="12"/>
  <c r="AK28" i="12"/>
  <c r="W25" i="20" l="1"/>
  <c r="AC24" i="20"/>
  <c r="X25" i="20" s="1"/>
  <c r="AK38" i="19"/>
  <c r="AO38" i="19"/>
  <c r="W28" i="19"/>
  <c r="AC27" i="19"/>
  <c r="X28" i="19" s="1"/>
  <c r="AI29" i="12"/>
  <c r="AG29" i="12"/>
  <c r="AD25" i="20" l="1"/>
  <c r="Y25" i="20"/>
  <c r="Z25" i="20"/>
  <c r="AA25" i="20" s="1"/>
  <c r="AB25" i="20" s="1"/>
  <c r="V26" i="20" s="1"/>
  <c r="AG39" i="19"/>
  <c r="AI39" i="19"/>
  <c r="AO39" i="19" s="1"/>
  <c r="AD28" i="19"/>
  <c r="Y28" i="19"/>
  <c r="Z28" i="19"/>
  <c r="AA28" i="19" s="1"/>
  <c r="AB28" i="19" s="1"/>
  <c r="V29" i="19" s="1"/>
  <c r="AK29" i="12"/>
  <c r="AI30" i="12" s="1"/>
  <c r="AO29" i="12"/>
  <c r="W26" i="20" l="1"/>
  <c r="AC25" i="20"/>
  <c r="X26" i="20" s="1"/>
  <c r="AK39" i="19"/>
  <c r="W29" i="19"/>
  <c r="AC28" i="19"/>
  <c r="X29" i="19" s="1"/>
  <c r="AG30" i="12"/>
  <c r="AO30" i="12" s="1"/>
  <c r="AD26" i="20" l="1"/>
  <c r="Y26" i="20"/>
  <c r="Z26" i="20"/>
  <c r="AA26" i="20" s="1"/>
  <c r="AB26" i="20" s="1"/>
  <c r="V27" i="20" s="1"/>
  <c r="AG40" i="19"/>
  <c r="AI40" i="19"/>
  <c r="AD29" i="19"/>
  <c r="Y29" i="19"/>
  <c r="Z29" i="19"/>
  <c r="AA29" i="19" s="1"/>
  <c r="AB29" i="19" s="1"/>
  <c r="V30" i="19" s="1"/>
  <c r="AK30" i="12"/>
  <c r="AG31" i="12"/>
  <c r="AI31" i="12"/>
  <c r="AO40" i="19" l="1"/>
  <c r="W27" i="20"/>
  <c r="AC26" i="20"/>
  <c r="X27" i="20" s="1"/>
  <c r="AK40" i="19"/>
  <c r="W30" i="19"/>
  <c r="AC29" i="19"/>
  <c r="X30" i="19" s="1"/>
  <c r="AO31" i="12"/>
  <c r="AK31" i="12"/>
  <c r="AD27" i="20" l="1"/>
  <c r="Y27" i="20"/>
  <c r="Z27" i="20"/>
  <c r="AA27" i="20" s="1"/>
  <c r="AB27" i="20" s="1"/>
  <c r="V28" i="20" s="1"/>
  <c r="AG41" i="19"/>
  <c r="AI41" i="19"/>
  <c r="AO41" i="19" s="1"/>
  <c r="AD30" i="19"/>
  <c r="Y30" i="19"/>
  <c r="Z30" i="19"/>
  <c r="AA30" i="19" s="1"/>
  <c r="AB30" i="19" s="1"/>
  <c r="V31" i="19" s="1"/>
  <c r="AG32" i="12"/>
  <c r="AI32" i="12"/>
  <c r="W28" i="20" l="1"/>
  <c r="AC27" i="20"/>
  <c r="X28" i="20" s="1"/>
  <c r="AK41" i="19"/>
  <c r="W31" i="19"/>
  <c r="AC30" i="19"/>
  <c r="X31" i="19" s="1"/>
  <c r="AO32" i="12"/>
  <c r="AK32" i="12"/>
  <c r="AD28" i="20" l="1"/>
  <c r="Y28" i="20"/>
  <c r="Z28" i="20"/>
  <c r="AA28" i="20" s="1"/>
  <c r="AB28" i="20" s="1"/>
  <c r="V29" i="20" s="1"/>
  <c r="AG42" i="19"/>
  <c r="AI42" i="19"/>
  <c r="AO42" i="19" s="1"/>
  <c r="AD31" i="19"/>
  <c r="Y31" i="19"/>
  <c r="Z31" i="19"/>
  <c r="AA31" i="19" s="1"/>
  <c r="AB31" i="19" s="1"/>
  <c r="V32" i="19" s="1"/>
  <c r="AI33" i="12"/>
  <c r="AG33" i="12"/>
  <c r="W29" i="20" l="1"/>
  <c r="AC28" i="20"/>
  <c r="X29" i="20" s="1"/>
  <c r="AK42" i="19"/>
  <c r="W32" i="19"/>
  <c r="AC31" i="19"/>
  <c r="X32" i="19" s="1"/>
  <c r="AK33" i="12"/>
  <c r="AI34" i="12" s="1"/>
  <c r="AG34" i="12"/>
  <c r="AO33" i="12"/>
  <c r="AD29" i="20" l="1"/>
  <c r="Y29" i="20"/>
  <c r="Z29" i="20"/>
  <c r="AA29" i="20" s="1"/>
  <c r="AB29" i="20" s="1"/>
  <c r="V30" i="20" s="1"/>
  <c r="AG43" i="19"/>
  <c r="AI43" i="19"/>
  <c r="AD32" i="19"/>
  <c r="Y32" i="19"/>
  <c r="Z32" i="19"/>
  <c r="AA32" i="19" s="1"/>
  <c r="AB32" i="19" s="1"/>
  <c r="V33" i="19" s="1"/>
  <c r="AK34" i="12"/>
  <c r="AG35" i="12" s="1"/>
  <c r="AI35" i="12"/>
  <c r="AO34" i="12"/>
  <c r="W30" i="20" l="1"/>
  <c r="AC29" i="20"/>
  <c r="X30" i="20" s="1"/>
  <c r="AO43" i="19"/>
  <c r="AK43" i="19"/>
  <c r="W33" i="19"/>
  <c r="AC32" i="19"/>
  <c r="X33" i="19" s="1"/>
  <c r="AO35" i="12"/>
  <c r="AK35" i="12"/>
  <c r="AD30" i="20" l="1"/>
  <c r="Y30" i="20"/>
  <c r="Z30" i="20"/>
  <c r="AA30" i="20" s="1"/>
  <c r="AB30" i="20" s="1"/>
  <c r="V31" i="20" s="1"/>
  <c r="AG44" i="19"/>
  <c r="AI44" i="19"/>
  <c r="AO44" i="19" s="1"/>
  <c r="AD33" i="19"/>
  <c r="Y33" i="19"/>
  <c r="Z33" i="19"/>
  <c r="AA33" i="19" s="1"/>
  <c r="AB33" i="19" s="1"/>
  <c r="V34" i="19" s="1"/>
  <c r="AG36" i="12"/>
  <c r="AI36" i="12"/>
  <c r="W31" i="20" l="1"/>
  <c r="AC30" i="20"/>
  <c r="X31" i="20" s="1"/>
  <c r="AK44" i="19"/>
  <c r="W34" i="19"/>
  <c r="AC33" i="19"/>
  <c r="X34" i="19" s="1"/>
  <c r="AO36" i="12"/>
  <c r="AK36" i="12"/>
  <c r="AD31" i="20" l="1"/>
  <c r="Y31" i="20"/>
  <c r="Z31" i="20"/>
  <c r="AA31" i="20" s="1"/>
  <c r="AB31" i="20" s="1"/>
  <c r="V32" i="20" s="1"/>
  <c r="AD34" i="19"/>
  <c r="Y34" i="19"/>
  <c r="Z34" i="19"/>
  <c r="AG37" i="12"/>
  <c r="AI37" i="12"/>
  <c r="W32" i="20" l="1"/>
  <c r="AC31" i="20"/>
  <c r="X32" i="20" s="1"/>
  <c r="O26" i="19"/>
  <c r="O27" i="19" s="1"/>
  <c r="G17" i="19" s="1"/>
  <c r="AA34" i="19"/>
  <c r="AB34" i="19" s="1"/>
  <c r="AO37" i="12"/>
  <c r="AK37" i="12"/>
  <c r="AD32" i="20" l="1"/>
  <c r="Y32" i="20"/>
  <c r="Z32" i="20"/>
  <c r="AA32" i="20" s="1"/>
  <c r="AB32" i="20" s="1"/>
  <c r="V33" i="20" s="1"/>
  <c r="AC34" i="19"/>
  <c r="G20" i="19"/>
  <c r="G18" i="19"/>
  <c r="AI38" i="12"/>
  <c r="AG38" i="12"/>
  <c r="W33" i="20" l="1"/>
  <c r="AC32" i="20"/>
  <c r="X33" i="20" s="1"/>
  <c r="K6" i="19"/>
  <c r="G33" i="19"/>
  <c r="K10" i="19" s="1"/>
  <c r="K15" i="19" s="1"/>
  <c r="AK38" i="12"/>
  <c r="AG39" i="12" s="1"/>
  <c r="AO38" i="12"/>
  <c r="AD33" i="20" l="1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0" l="1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J4" i="19" l="1"/>
  <c r="AL4" i="19"/>
  <c r="AH4" i="19"/>
  <c r="AD34" i="20"/>
  <c r="Y34" i="20"/>
  <c r="Z34" i="20"/>
  <c r="AO40" i="12"/>
  <c r="AK40" i="12"/>
  <c r="O26" i="20" l="1"/>
  <c r="O27" i="20" s="1"/>
  <c r="G17" i="20" s="1"/>
  <c r="AA34" i="20"/>
  <c r="AB34" i="20" s="1"/>
  <c r="AI41" i="12"/>
  <c r="AG41" i="12"/>
  <c r="AC34" i="20" l="1"/>
  <c r="G20" i="20"/>
  <c r="G18" i="20"/>
  <c r="AK41" i="12"/>
  <c r="AG42" i="12" s="1"/>
  <c r="AI42" i="12"/>
  <c r="AO41" i="12"/>
  <c r="K6" i="20" l="1"/>
  <c r="G33" i="20"/>
  <c r="K10" i="20" s="1"/>
  <c r="K15" i="20" s="1"/>
  <c r="AO42" i="12"/>
  <c r="AK42" i="12"/>
  <c r="K43" i="20" l="1"/>
  <c r="K35" i="20"/>
  <c r="K7" i="20"/>
  <c r="K19" i="20"/>
  <c r="K18" i="20"/>
  <c r="AG43" i="12"/>
  <c r="AI43" i="12"/>
  <c r="K36" i="20" l="1"/>
  <c r="K39" i="20" s="1"/>
  <c r="K44" i="20"/>
  <c r="K47" i="20" s="1"/>
  <c r="K30" i="20"/>
  <c r="AO43" i="12"/>
  <c r="AK43" i="12"/>
  <c r="K31" i="20" l="1"/>
  <c r="AH4" i="20"/>
  <c r="AL4" i="20"/>
  <c r="AJ4" i="20"/>
  <c r="AG44" i="12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<sst xmlns="http://schemas.openxmlformats.org/spreadsheetml/2006/main" count="858" uniqueCount="179">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</sst>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612.54999999999995</c:v>
                </c:pt>
                <c:pt idx="2">
                  <c:v>335.8</c:v>
                </c:pt>
                <c:pt idx="3">
                  <c:v>654.32000000000005</c:v>
                </c:pt>
                <c:pt idx="4">
                  <c:v>111.69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liftcruise_opt_250_test_250!$K$34:$K$38</c:f>
              <c:numCache>
                <c:formatCode>General</c:formatCode>
                <c:ptCount val="5"/>
                <c:pt idx="0">
                  <c:v>25.93</c:v>
                </c:pt>
                <c:pt idx="1">
                  <c:v>26.47</c:v>
                </c:pt>
                <c:pt idx="2">
                  <c:v>14.51</c:v>
                </c:pt>
                <c:pt idx="3">
                  <c:v>28.27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234.88</c:v>
                </c:pt>
                <c:pt idx="2">
                  <c:v>247.81</c:v>
                </c:pt>
                <c:pt idx="3">
                  <c:v>583.20000000000005</c:v>
                </c:pt>
                <c:pt idx="4">
                  <c:v>83.12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liftcruise_opt_250_test_550!$J$34:$J$38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liftcruise_opt_250_test_550!$K$34:$K$38</c:f>
              <c:numCache>
                <c:formatCode>General</c:formatCode>
                <c:ptCount val="5"/>
                <c:pt idx="0">
                  <c:v>34.31</c:v>
                </c:pt>
                <c:pt idx="1">
                  <c:v>13.43</c:v>
                </c:pt>
                <c:pt idx="2">
                  <c:v>14.17</c:v>
                </c:pt>
                <c:pt idx="3">
                  <c:v>33.340000000000003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229.63</c:v>
                </c:pt>
                <c:pt idx="2">
                  <c:v>250.89</c:v>
                </c:pt>
                <c:pt idx="3">
                  <c:v>536.5</c:v>
                </c:pt>
                <c:pt idx="4">
                  <c:v>80.569999999999993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liftcruise_opt_550_test_550!$J$34:$J$38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liftcruise_opt_550_test_550!$K$34:$K$38</c:f>
              <c:numCache>
                <c:formatCode>General</c:formatCode>
                <c:ptCount val="5"/>
                <c:pt idx="0">
                  <c:v>35.340000000000003</c:v>
                </c:pt>
                <c:pt idx="1">
                  <c:v>13.53</c:v>
                </c:pt>
                <c:pt idx="2">
                  <c:v>14.78</c:v>
                </c:pt>
                <c:pt idx="3">
                  <c:v>31.6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abSelected="1" zoomScale="88" workbookViewId="0">
      <selection activeCell="G41" sqref="G4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469.24837498628995</v>
      </c>
      <c r="L4" s="6" t="s">
        <v>97</v>
      </c>
      <c r="N4" s="6" t="s">
        <v>131</v>
      </c>
      <c r="O4" s="6">
        <f xml:space="preserve"> $C$5 * $C$74</f>
        <v>22681.962142798897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1.1821393986721578</v>
      </c>
      <c r="X4" s="3">
        <v>1</v>
      </c>
      <c r="Y4" s="2">
        <f t="shared" ref="Y4:Y34" si="1" xml:space="preserve"> $O$22 * TAN($O$19/180*PI()) + $O$23 / (2 * SQRT($O$22^2 + X4^2)) - X4</f>
        <v>-2.9557697033284036E-2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0.48919953309235575</v>
      </c>
      <c r="AB4" s="2">
        <f>W4*AA4</f>
        <v>0.57830204188049783</v>
      </c>
      <c r="AC4" s="2">
        <f>Y4*AA4</f>
        <v>-1.4459611587967859E-2</v>
      </c>
      <c r="AD4" s="2">
        <f>X4-V4</f>
        <v>1</v>
      </c>
      <c r="AF4" s="2">
        <v>0</v>
      </c>
      <c r="AH4" s="2">
        <f>K30</f>
        <v>8.0711850387160666E-5</v>
      </c>
      <c r="AJ4" s="2">
        <f>K30</f>
        <v>8.0711850387160666E-5</v>
      </c>
      <c r="AL4" s="2">
        <f>K30</f>
        <v>8.0711850387160666E-5</v>
      </c>
    </row>
    <row r="5" spans="2:41" x14ac:dyDescent="0.2">
      <c r="B5" s="9" t="s">
        <v>38</v>
      </c>
      <c r="C5" s="9">
        <v>2314.35518019759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58.656046873286243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0.48919953309235575</v>
      </c>
      <c r="X5" s="2">
        <f>IF(AC4&gt;0, Z4, X4)</f>
        <v>1</v>
      </c>
      <c r="Y5" s="2">
        <f t="shared" si="1"/>
        <v>-2.9557697033284036E-2</v>
      </c>
      <c r="Z5" s="2">
        <f t="shared" ref="Z5:Z34" si="3" xml:space="preserve"> (V5 + X5)/2</f>
        <v>0.75</v>
      </c>
      <c r="AA5" s="2">
        <f t="shared" si="2"/>
        <v>0.22675639818176574</v>
      </c>
      <c r="AB5" s="2">
        <f t="shared" ref="AB5:AB34" si="4">W5*AA5</f>
        <v>0.1109291241162241</v>
      </c>
      <c r="AC5" s="2">
        <f t="shared" ref="AC5:AC34" si="5">Y5*AA5</f>
        <v>-6.7023969178153509E-3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-956.70604708734095</v>
      </c>
      <c r="AI5" s="3">
        <v>10000</v>
      </c>
      <c r="AJ5" s="2">
        <f t="dataTable" ref="AJ5:AJ44" dt2D="0" dtr="0" r1="C5"/>
        <v>3399.2622229305671</v>
      </c>
      <c r="AK5" s="2">
        <f>(AG5+AI5)/2</f>
        <v>5250</v>
      </c>
      <c r="AL5" s="2">
        <f t="dataTable" ref="AL5:AL44" dt2D="0" dtr="0" r1="C5" ca="1"/>
        <v>1116.4569836156343</v>
      </c>
      <c r="AM5" s="2">
        <f>AH5*AL5</f>
        <v>-1068121.1475379698</v>
      </c>
      <c r="AN5" s="2">
        <f>AJ5*AL5</f>
        <v>3795130.0479316367</v>
      </c>
      <c r="AO5" s="2">
        <f>AI5-AG5</f>
        <v>9500</v>
      </c>
    </row>
    <row r="6" spans="2:41" x14ac:dyDescent="0.2">
      <c r="B6" s="6" t="s">
        <v>168</v>
      </c>
      <c r="C6" s="16">
        <v>420.47683955229598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160.79213551655127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0.2290937574072246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0.22675639818176574</v>
      </c>
      <c r="X6" s="2">
        <f t="shared" ref="X6:X34" si="8">IF(AC5&gt;0, Z5, X5)</f>
        <v>1</v>
      </c>
      <c r="Y6" s="2">
        <f t="shared" si="1"/>
        <v>-2.9557697033284036E-2</v>
      </c>
      <c r="Z6" s="2">
        <f t="shared" si="3"/>
        <v>0.875</v>
      </c>
      <c r="AA6" s="2">
        <f t="shared" si="2"/>
        <v>9.8154492466217214E-2</v>
      </c>
      <c r="AB6" s="2">
        <f t="shared" si="4"/>
        <v>2.2257159176998675E-2</v>
      </c>
      <c r="AC6" s="2">
        <f t="shared" si="5"/>
        <v>-2.9012207507722087E-3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-956.70604708734095</v>
      </c>
      <c r="AI6" s="2">
        <f>IF(AN5&gt;0,AK5,AI5)</f>
        <v>5250</v>
      </c>
      <c r="AJ6" s="2">
        <v>1116.4569836156343</v>
      </c>
      <c r="AK6" s="2">
        <f t="shared" ref="AK6:AK44" si="9">(AG6+AI6)/2</f>
        <v>2875</v>
      </c>
      <c r="AL6" s="2">
        <v>259.13072811435336</v>
      </c>
      <c r="AM6" s="2">
        <f t="shared" ref="AM6:AM44" si="10">AH6*AL6</f>
        <v>-247911.9345731475</v>
      </c>
      <c r="AN6" s="2">
        <f t="shared" ref="AN6:AN44" si="11">AJ6*AL6</f>
        <v>289308.311072674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2835.5164893492711</v>
      </c>
      <c r="H7" s="6" t="s">
        <v>21</v>
      </c>
      <c r="J7" s="6" t="s">
        <v>133</v>
      </c>
      <c r="K7" s="6">
        <f>K6/$C$28</f>
        <v>160.79213551655127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9.8154492466217214E-2</v>
      </c>
      <c r="X7" s="2">
        <f t="shared" si="8"/>
        <v>1</v>
      </c>
      <c r="Y7" s="2">
        <f t="shared" si="1"/>
        <v>-2.9557697033284036E-2</v>
      </c>
      <c r="Z7" s="2">
        <f t="shared" si="3"/>
        <v>0.9375</v>
      </c>
      <c r="AA7" s="2">
        <f t="shared" si="2"/>
        <v>3.4209054923549531E-2</v>
      </c>
      <c r="AB7" s="2">
        <f t="shared" si="4"/>
        <v>3.3577724237699533E-3</v>
      </c>
      <c r="AC7" s="2">
        <f t="shared" si="5"/>
        <v>-1.0111408812252505E-3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-956.70604708734095</v>
      </c>
      <c r="AI7" s="2">
        <f t="shared" ref="AI7:AI44" si="14">IF(AN6&gt;0,AK6,AI6)</f>
        <v>2875</v>
      </c>
      <c r="AJ7" s="2">
        <v>259.13072811435336</v>
      </c>
      <c r="AK7" s="2">
        <f t="shared" si="9"/>
        <v>1687.5</v>
      </c>
      <c r="AL7" s="2">
        <v>-313.68843697472312</v>
      </c>
      <c r="AM7" s="2">
        <f t="shared" si="10"/>
        <v>300107.62455509382</v>
      </c>
      <c r="AN7" s="2">
        <f t="shared" si="11"/>
        <v>-81286.313074313439</v>
      </c>
      <c r="AO7" s="2">
        <f t="shared" si="12"/>
        <v>2375</v>
      </c>
    </row>
    <row r="8" spans="2:41" x14ac:dyDescent="0.2">
      <c r="B8" s="6" t="s">
        <v>91</v>
      </c>
      <c r="C8" s="16">
        <v>2.319004353</v>
      </c>
      <c r="D8" s="6" t="s">
        <v>8</v>
      </c>
      <c r="F8" t="s">
        <v>93</v>
      </c>
      <c r="G8" s="6">
        <f>G10/$C$21</f>
        <v>39.104031248857495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3.4209054923549531E-2</v>
      </c>
      <c r="X8" s="2">
        <f t="shared" si="8"/>
        <v>1</v>
      </c>
      <c r="Y8" s="2">
        <f t="shared" si="1"/>
        <v>-2.9557697033284036E-2</v>
      </c>
      <c r="Z8" s="2">
        <f t="shared" si="3"/>
        <v>0.96875</v>
      </c>
      <c r="AA8" s="2">
        <f t="shared" si="2"/>
        <v>2.305472163866451E-3</v>
      </c>
      <c r="AB8" s="2">
        <f t="shared" si="4"/>
        <v>7.8868023878422004E-5</v>
      </c>
      <c r="AC8" s="2">
        <f t="shared" si="5"/>
        <v>-6.8144447738234323E-5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-313.68843697472312</v>
      </c>
      <c r="AI8" s="2">
        <f t="shared" si="14"/>
        <v>2875</v>
      </c>
      <c r="AJ8" s="2">
        <v>259.13072811435336</v>
      </c>
      <c r="AK8" s="2">
        <f t="shared" si="9"/>
        <v>2281.25</v>
      </c>
      <c r="AL8" s="2">
        <v>-15.949058249521158</v>
      </c>
      <c r="AM8" s="2">
        <f t="shared" si="10"/>
        <v>5003.0351535111058</v>
      </c>
      <c r="AN8" s="2">
        <f t="shared" si="11"/>
        <v>-4132.8910769366521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7.3980709478169491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1.9282959779462296E-2</v>
      </c>
      <c r="U9" s="2">
        <v>5</v>
      </c>
      <c r="V9" s="2">
        <f t="shared" si="7"/>
        <v>0.96875</v>
      </c>
      <c r="W9" s="2">
        <f t="shared" si="0"/>
        <v>2.305472163866451E-3</v>
      </c>
      <c r="X9" s="2">
        <f t="shared" si="8"/>
        <v>1</v>
      </c>
      <c r="Y9" s="2">
        <f t="shared" si="1"/>
        <v>-2.9557697033284036E-2</v>
      </c>
      <c r="Z9" s="2">
        <f t="shared" si="3"/>
        <v>0.984375</v>
      </c>
      <c r="AA9" s="2">
        <f t="shared" si="2"/>
        <v>-1.3630927037389884E-2</v>
      </c>
      <c r="AB9" s="2">
        <f t="shared" si="4"/>
        <v>-3.142572285239697E-5</v>
      </c>
      <c r="AC9" s="2">
        <f t="shared" si="5"/>
        <v>4.0289881165397011E-4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-15.949058249521158</v>
      </c>
      <c r="AI9" s="2">
        <f t="shared" si="14"/>
        <v>2875</v>
      </c>
      <c r="AJ9" s="2">
        <v>259.13072811435336</v>
      </c>
      <c r="AK9" s="2">
        <f t="shared" si="9"/>
        <v>2578.125</v>
      </c>
      <c r="AL9" s="2">
        <v>124.51710172022331</v>
      </c>
      <c r="AM9" s="2">
        <f t="shared" si="10"/>
        <v>-1985.9305083973927</v>
      </c>
      <c r="AN9" s="2">
        <f t="shared" si="11"/>
        <v>32266.207231450466</v>
      </c>
      <c r="AO9" s="2">
        <f t="shared" si="12"/>
        <v>593.75</v>
      </c>
    </row>
    <row r="10" spans="2:41" x14ac:dyDescent="0.2">
      <c r="B10" s="6" t="s">
        <v>134</v>
      </c>
      <c r="C10" s="16">
        <v>1.5947606963755401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312.83224999085996</v>
      </c>
      <c r="H10" s="22" t="s">
        <v>97</v>
      </c>
      <c r="J10" s="6" t="s">
        <v>92</v>
      </c>
      <c r="K10" s="6">
        <f xml:space="preserve"> $C$18 * (G10*G6 + G20*G13 + G29*G25 + G33*G32)/3600</f>
        <v>104.13272033645951</v>
      </c>
      <c r="L10" s="6" t="s">
        <v>98</v>
      </c>
      <c r="N10" s="6" t="s">
        <v>39</v>
      </c>
      <c r="O10" s="6">
        <f xml:space="preserve"> O5 * $C$12 * O9</f>
        <v>1178.0038933686412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2.305472163866451E-3</v>
      </c>
      <c r="X10" s="2">
        <f t="shared" si="8"/>
        <v>0.984375</v>
      </c>
      <c r="Y10" s="2">
        <f t="shared" si="1"/>
        <v>-1.3630927037389884E-2</v>
      </c>
      <c r="Z10" s="2">
        <f t="shared" si="3"/>
        <v>0.9765625</v>
      </c>
      <c r="AA10" s="2">
        <f t="shared" si="2"/>
        <v>-5.6639595601166715E-3</v>
      </c>
      <c r="AB10" s="2">
        <f t="shared" si="4"/>
        <v>-1.3058101103114254E-5</v>
      </c>
      <c r="AC10" s="2">
        <f t="shared" si="5"/>
        <v>7.7205019506677256E-5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-15.949058249521158</v>
      </c>
      <c r="AI10" s="2">
        <f t="shared" si="14"/>
        <v>2578.125</v>
      </c>
      <c r="AJ10" s="2">
        <v>124.51710172022331</v>
      </c>
      <c r="AK10" s="2">
        <f t="shared" si="9"/>
        <v>2429.6875</v>
      </c>
      <c r="AL10" s="2">
        <v>55.006991257776463</v>
      </c>
      <c r="AM10" s="2">
        <f t="shared" si="10"/>
        <v>-877.3097077011779</v>
      </c>
      <c r="AN10" s="2">
        <f t="shared" si="11"/>
        <v>6849.3111257679857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0.75031113868906185</v>
      </c>
      <c r="U11" s="2">
        <v>7</v>
      </c>
      <c r="V11" s="2">
        <f t="shared" si="7"/>
        <v>0.96875</v>
      </c>
      <c r="W11" s="2">
        <f t="shared" si="0"/>
        <v>2.305472163866451E-3</v>
      </c>
      <c r="X11" s="2">
        <f t="shared" si="8"/>
        <v>0.9765625</v>
      </c>
      <c r="Y11" s="2">
        <f t="shared" si="1"/>
        <v>-5.6639595601166715E-3</v>
      </c>
      <c r="Z11" s="2">
        <f t="shared" si="3"/>
        <v>0.97265625</v>
      </c>
      <c r="AA11" s="2">
        <f t="shared" si="2"/>
        <v>-1.6795553862903878E-3</v>
      </c>
      <c r="AB11" s="2">
        <f t="shared" si="4"/>
        <v>-3.8721681907644531E-6</v>
      </c>
      <c r="AC11" s="2">
        <f t="shared" si="5"/>
        <v>9.5129337869248909E-6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-15.949058249521158</v>
      </c>
      <c r="AI11" s="2">
        <f t="shared" si="14"/>
        <v>2429.6875</v>
      </c>
      <c r="AJ11" s="2">
        <v>55.006991257776463</v>
      </c>
      <c r="AK11" s="2">
        <f t="shared" si="9"/>
        <v>2355.46875</v>
      </c>
      <c r="AL11" s="2">
        <v>19.708427532339329</v>
      </c>
      <c r="AM11" s="2">
        <f t="shared" si="10"/>
        <v>-314.33085871974652</v>
      </c>
      <c r="AN11" s="2">
        <f t="shared" si="11"/>
        <v>1084.1013009759104</v>
      </c>
      <c r="AO11" s="2">
        <f t="shared" si="12"/>
        <v>148.4375</v>
      </c>
    </row>
    <row r="12" spans="2:41" x14ac:dyDescent="0.2">
      <c r="B12" s="6" t="s">
        <v>135</v>
      </c>
      <c r="C12" s="16">
        <v>26.942176127341099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0.37128515973589105</v>
      </c>
      <c r="U12" s="2">
        <v>8</v>
      </c>
      <c r="V12" s="2">
        <f t="shared" si="7"/>
        <v>0.96875</v>
      </c>
      <c r="W12" s="2">
        <f t="shared" si="0"/>
        <v>2.305472163866451E-3</v>
      </c>
      <c r="X12" s="2">
        <f t="shared" si="8"/>
        <v>0.97265625</v>
      </c>
      <c r="Y12" s="2">
        <f t="shared" si="1"/>
        <v>-1.6795553862903878E-3</v>
      </c>
      <c r="Z12" s="2">
        <f t="shared" si="3"/>
        <v>0.970703125</v>
      </c>
      <c r="AA12" s="2">
        <f t="shared" si="2"/>
        <v>3.1288000325968568E-4</v>
      </c>
      <c r="AB12" s="2">
        <f t="shared" si="4"/>
        <v>7.2133613814564985E-7</v>
      </c>
      <c r="AC12" s="2">
        <f t="shared" si="5"/>
        <v>-5.2549929473735919E-7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-15.949058249521158</v>
      </c>
      <c r="AI12" s="2">
        <f t="shared" si="14"/>
        <v>2355.46875</v>
      </c>
      <c r="AJ12" s="2">
        <v>19.708427532339329</v>
      </c>
      <c r="AK12" s="2">
        <f t="shared" si="9"/>
        <v>2318.359375</v>
      </c>
      <c r="AL12" s="2">
        <v>1.9243740523081669</v>
      </c>
      <c r="AM12" s="2">
        <f t="shared" si="10"/>
        <v>-30.691953854130031</v>
      </c>
      <c r="AN12" s="2">
        <f t="shared" si="11"/>
        <v>37.92638655502968</v>
      </c>
      <c r="AO12" s="2">
        <f t="shared" si="12"/>
        <v>74.21875</v>
      </c>
    </row>
    <row r="13" spans="2:41" x14ac:dyDescent="0.2">
      <c r="B13" s="6" t="s">
        <v>136</v>
      </c>
      <c r="C13" s="16">
        <v>10.2428265366399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2.4992538921645387E-2</v>
      </c>
      <c r="U13" s="2">
        <v>9</v>
      </c>
      <c r="V13" s="2">
        <f t="shared" si="7"/>
        <v>0.970703125</v>
      </c>
      <c r="W13" s="2">
        <f t="shared" si="0"/>
        <v>3.1288000325968568E-4</v>
      </c>
      <c r="X13" s="2">
        <f t="shared" si="8"/>
        <v>0.97265625</v>
      </c>
      <c r="Y13" s="2">
        <f t="shared" si="1"/>
        <v>-1.6795553862903878E-3</v>
      </c>
      <c r="Z13" s="2">
        <f t="shared" si="3"/>
        <v>0.9716796875</v>
      </c>
      <c r="AA13" s="2">
        <f t="shared" si="2"/>
        <v>-6.8335722967571844E-4</v>
      </c>
      <c r="AB13" s="2">
        <f t="shared" si="4"/>
        <v>-2.1380881224846855E-7</v>
      </c>
      <c r="AC13" s="2">
        <f t="shared" si="5"/>
        <v>1.1477363158623305E-6</v>
      </c>
      <c r="AD13" s="2">
        <f t="shared" si="6"/>
        <v>1.953125E-3</v>
      </c>
      <c r="AF13" s="2">
        <v>9</v>
      </c>
      <c r="AG13" s="2">
        <f t="shared" si="13"/>
        <v>2281.25</v>
      </c>
      <c r="AH13" s="2">
        <v>-15.949058249521158</v>
      </c>
      <c r="AI13" s="2">
        <f t="shared" si="14"/>
        <v>2318.359375</v>
      </c>
      <c r="AJ13" s="2">
        <v>1.9243740523081669</v>
      </c>
      <c r="AK13" s="2">
        <f t="shared" si="9"/>
        <v>2299.8046875</v>
      </c>
      <c r="AL13" s="2">
        <v>-7.0011927374484912</v>
      </c>
      <c r="AM13" s="2">
        <f t="shared" si="10"/>
        <v>111.66243078569047</v>
      </c>
      <c r="AN13" s="2">
        <f t="shared" si="11"/>
        <v>-13.472913639154262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70.220872443258799</v>
      </c>
      <c r="H14" s="6" t="s">
        <v>10</v>
      </c>
      <c r="J14" s="9" t="s">
        <v>75</v>
      </c>
      <c r="K14" s="17">
        <f>C5</f>
        <v>2314.35518019759</v>
      </c>
      <c r="L14" s="6" t="s">
        <v>7</v>
      </c>
      <c r="N14" s="6" t="s">
        <v>40</v>
      </c>
      <c r="O14" s="6">
        <f xml:space="preserve"> O5 * O13 * $C$12</f>
        <v>1526.8044165202598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3.1288000325968568E-4</v>
      </c>
      <c r="X14" s="2">
        <f t="shared" si="8"/>
        <v>0.9716796875</v>
      </c>
      <c r="Y14" s="2">
        <f t="shared" si="1"/>
        <v>-6.8335722967571844E-4</v>
      </c>
      <c r="Z14" s="2">
        <f t="shared" si="3"/>
        <v>0.97119140625</v>
      </c>
      <c r="AA14" s="2">
        <f t="shared" si="2"/>
        <v>-1.8524350500792597E-4</v>
      </c>
      <c r="AB14" s="2">
        <f t="shared" si="4"/>
        <v>-5.7958988450715475E-8</v>
      </c>
      <c r="AC14" s="2">
        <f t="shared" si="5"/>
        <v>1.2658748839763635E-7</v>
      </c>
      <c r="AD14" s="2">
        <f t="shared" si="6"/>
        <v>9.765625E-4</v>
      </c>
      <c r="AF14" s="2">
        <v>10</v>
      </c>
      <c r="AG14" s="2">
        <f t="shared" si="13"/>
        <v>2299.8046875</v>
      </c>
      <c r="AH14" s="2">
        <v>-7.0011927374484912</v>
      </c>
      <c r="AI14" s="2">
        <f t="shared" si="14"/>
        <v>2318.359375</v>
      </c>
      <c r="AJ14" s="2">
        <v>1.9243740523081669</v>
      </c>
      <c r="AK14" s="2">
        <f t="shared" si="9"/>
        <v>2309.08203125</v>
      </c>
      <c r="AL14" s="2">
        <v>-2.5356192672600173</v>
      </c>
      <c r="AM14" s="2">
        <f t="shared" si="10"/>
        <v>17.752359198875297</v>
      </c>
      <c r="AN14" s="2">
        <f t="shared" si="11"/>
        <v>-4.8794799244478249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0.21104983966303409</v>
      </c>
      <c r="H15" s="6" t="s">
        <v>120</v>
      </c>
      <c r="J15" s="10" t="s">
        <v>53</v>
      </c>
      <c r="K15" s="6">
        <f xml:space="preserve"> 1000 * K10 / ($C$60 * $C$61 * $C$62)</f>
        <v>612.54541374387952</v>
      </c>
      <c r="L15" s="6" t="s">
        <v>7</v>
      </c>
      <c r="N15" s="6" t="s">
        <v>140</v>
      </c>
      <c r="O15" s="6">
        <f>O4/O14</f>
        <v>14.855840012890035</v>
      </c>
      <c r="U15" s="2">
        <v>11</v>
      </c>
      <c r="V15" s="2">
        <f t="shared" si="7"/>
        <v>0.970703125</v>
      </c>
      <c r="W15" s="2">
        <f t="shared" si="0"/>
        <v>3.1288000325968568E-4</v>
      </c>
      <c r="X15" s="2">
        <f t="shared" si="8"/>
        <v>0.97119140625</v>
      </c>
      <c r="Y15" s="2">
        <f t="shared" si="1"/>
        <v>-1.8524350500792597E-4</v>
      </c>
      <c r="Z15" s="2">
        <f t="shared" si="3"/>
        <v>0.970947265625</v>
      </c>
      <c r="AA15" s="2">
        <f t="shared" si="2"/>
        <v>6.3817025266810212E-5</v>
      </c>
      <c r="AB15" s="2">
        <f t="shared" si="4"/>
        <v>1.9967071073503023E-8</v>
      </c>
      <c r="AC15" s="2">
        <f t="shared" si="5"/>
        <v>-1.1821689439603295E-8</v>
      </c>
      <c r="AD15" s="2">
        <f t="shared" si="6"/>
        <v>4.8828125E-4</v>
      </c>
      <c r="AF15" s="2">
        <v>11</v>
      </c>
      <c r="AG15" s="2">
        <f t="shared" si="13"/>
        <v>2309.08203125</v>
      </c>
      <c r="AH15" s="2">
        <v>-2.5356192672600173</v>
      </c>
      <c r="AI15" s="2">
        <f t="shared" si="14"/>
        <v>2318.359375</v>
      </c>
      <c r="AJ15" s="2">
        <v>1.9243740523081669</v>
      </c>
      <c r="AK15" s="2">
        <f t="shared" si="9"/>
        <v>2313.720703125</v>
      </c>
      <c r="AL15" s="2">
        <v>-0.30492479450163046</v>
      </c>
      <c r="AM15" s="2">
        <f t="shared" si="10"/>
        <v>0.77317318400363555</v>
      </c>
      <c r="AN15" s="2">
        <f t="shared" si="11"/>
        <v>-0.58678936244433766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1526.8044165202598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170.12511611798968</v>
      </c>
      <c r="L16" s="6" t="s">
        <v>7</v>
      </c>
      <c r="N16" s="6" t="s">
        <v>111</v>
      </c>
      <c r="O16" s="6">
        <f>(O13*$C$12)/(0.3048^2)/($C$5*2.20462/1000)^(2/3)</f>
        <v>2.4455166307803022</v>
      </c>
      <c r="U16" s="2">
        <v>12</v>
      </c>
      <c r="V16" s="2">
        <f t="shared" si="7"/>
        <v>0.970947265625</v>
      </c>
      <c r="W16" s="2">
        <f t="shared" si="0"/>
        <v>6.3817025266810212E-5</v>
      </c>
      <c r="X16" s="2">
        <f t="shared" si="8"/>
        <v>0.97119140625</v>
      </c>
      <c r="Y16" s="2">
        <f t="shared" si="1"/>
        <v>-1.8524350500792597E-4</v>
      </c>
      <c r="Z16" s="2">
        <f t="shared" si="3"/>
        <v>0.9710693359375</v>
      </c>
      <c r="AA16" s="2">
        <f t="shared" si="2"/>
        <v>-6.0713545721569062E-5</v>
      </c>
      <c r="AB16" s="2">
        <f t="shared" si="4"/>
        <v>-3.8745578813510101E-9</v>
      </c>
      <c r="AC16" s="2">
        <f t="shared" si="5"/>
        <v>1.1246790010922421E-8</v>
      </c>
      <c r="AD16" s="2">
        <f t="shared" si="6"/>
        <v>2.44140625E-4</v>
      </c>
      <c r="AF16" s="2">
        <v>12</v>
      </c>
      <c r="AG16" s="2">
        <f t="shared" si="13"/>
        <v>2313.720703125</v>
      </c>
      <c r="AH16" s="2">
        <v>-0.30492479450163046</v>
      </c>
      <c r="AI16" s="2">
        <f t="shared" si="14"/>
        <v>2318.359375</v>
      </c>
      <c r="AJ16" s="2">
        <v>1.9243740523081669</v>
      </c>
      <c r="AK16" s="2">
        <f t="shared" si="9"/>
        <v>2316.0400390625</v>
      </c>
      <c r="AL16" s="2">
        <v>0.80989905826550057</v>
      </c>
      <c r="AM16" s="2">
        <f t="shared" si="10"/>
        <v>-0.24695830390867179</v>
      </c>
      <c r="AN16" s="2">
        <f t="shared" si="11"/>
        <v>1.5585487327149496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107.19475701103418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6.3817025266810212E-5</v>
      </c>
      <c r="X17" s="2">
        <f t="shared" si="8"/>
        <v>0.9710693359375</v>
      </c>
      <c r="Y17" s="2">
        <f t="shared" si="1"/>
        <v>-6.0713545721569062E-5</v>
      </c>
      <c r="Z17" s="2">
        <f t="shared" si="3"/>
        <v>0.97100830078125</v>
      </c>
      <c r="AA17" s="2">
        <f t="shared" si="2"/>
        <v>1.5516632956291687E-6</v>
      </c>
      <c r="AB17" s="2">
        <f t="shared" si="4"/>
        <v>9.9022535742748666E-11</v>
      </c>
      <c r="AC17" s="2">
        <f t="shared" si="5"/>
        <v>-9.4206980443662062E-11</v>
      </c>
      <c r="AD17" s="2">
        <f t="shared" si="6"/>
        <v>1.220703125E-4</v>
      </c>
      <c r="AF17" s="2">
        <v>13</v>
      </c>
      <c r="AG17" s="2">
        <f t="shared" si="13"/>
        <v>2313.720703125</v>
      </c>
      <c r="AH17" s="2">
        <v>-0.30492479450163046</v>
      </c>
      <c r="AI17" s="2">
        <f t="shared" si="14"/>
        <v>2316.0400390625</v>
      </c>
      <c r="AJ17" s="2">
        <v>0.80989905826550057</v>
      </c>
      <c r="AK17" s="2">
        <f t="shared" si="9"/>
        <v>2314.88037109375</v>
      </c>
      <c r="AL17" s="2">
        <v>0.25253094045183389</v>
      </c>
      <c r="AM17" s="2">
        <f t="shared" si="10"/>
        <v>-7.7002945122578922E-2</v>
      </c>
      <c r="AN17" s="2">
        <f t="shared" si="11"/>
        <v>0.20452457085484146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1.4533133143775701</v>
      </c>
      <c r="H18" s="6" t="s">
        <v>172</v>
      </c>
      <c r="J18" s="12" t="s">
        <v>54</v>
      </c>
      <c r="K18" s="6">
        <f xml:space="preserve"> $C$78 * (0.2138 * K4 + 0.2138 * K6)</f>
        <v>107.76212891640597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0.97100830078125</v>
      </c>
      <c r="W18" s="2">
        <f t="shared" si="0"/>
        <v>1.5516632956291687E-6</v>
      </c>
      <c r="X18" s="2">
        <f t="shared" si="8"/>
        <v>0.9710693359375</v>
      </c>
      <c r="Y18" s="2">
        <f t="shared" si="1"/>
        <v>-6.0713545721569062E-5</v>
      </c>
      <c r="Z18" s="2">
        <f t="shared" si="3"/>
        <v>0.971038818359375</v>
      </c>
      <c r="AA18" s="2">
        <f t="shared" si="2"/>
        <v>-2.9580960330455319E-5</v>
      </c>
      <c r="AB18" s="2">
        <f t="shared" si="4"/>
        <v>-4.5899690394230002E-11</v>
      </c>
      <c r="AC18" s="2">
        <f t="shared" si="5"/>
        <v>1.7959649875110197E-9</v>
      </c>
      <c r="AD18" s="2">
        <f t="shared" si="6"/>
        <v>6.103515625E-5</v>
      </c>
      <c r="AF18" s="2">
        <v>14</v>
      </c>
      <c r="AG18" s="2">
        <f t="shared" si="13"/>
        <v>2313.720703125</v>
      </c>
      <c r="AH18" s="2">
        <v>-0.30492479450163046</v>
      </c>
      <c r="AI18" s="2">
        <f t="shared" si="14"/>
        <v>2314.88037109375</v>
      </c>
      <c r="AJ18" s="2">
        <v>0.25253094045183389</v>
      </c>
      <c r="AK18" s="2">
        <f t="shared" si="9"/>
        <v>2314.300537109375</v>
      </c>
      <c r="AL18" s="2">
        <v>-2.618618241740478E-2</v>
      </c>
      <c r="AM18" s="2">
        <f t="shared" si="10"/>
        <v>7.9848162924093611E-3</v>
      </c>
      <c r="AN18" s="2">
        <f t="shared" si="11"/>
        <v>-6.6128212727105057E-3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4.5206907003590244E-2</v>
      </c>
      <c r="J19" s="12" t="s">
        <v>73</v>
      </c>
      <c r="K19" s="6">
        <f xml:space="preserve"> $C$78 * (0.1149 * K4 + 0.1149 * K6)</f>
        <v>57.913323725421179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0.97100830078125</v>
      </c>
      <c r="W19" s="2">
        <f t="shared" si="0"/>
        <v>1.5516632956291687E-6</v>
      </c>
      <c r="X19" s="2">
        <f t="shared" si="8"/>
        <v>0.971038818359375</v>
      </c>
      <c r="Y19" s="2">
        <f t="shared" si="1"/>
        <v>-2.9580960330455319E-5</v>
      </c>
      <c r="Z19" s="2">
        <f t="shared" si="3"/>
        <v>0.9710235595703125</v>
      </c>
      <c r="AA19" s="2">
        <f t="shared" si="2"/>
        <v>-1.4014653296978707E-5</v>
      </c>
      <c r="AB19" s="2">
        <f t="shared" si="4"/>
        <v>-2.1746023121890176E-11</v>
      </c>
      <c r="AC19" s="2">
        <f t="shared" si="5"/>
        <v>4.14566903223012E-10</v>
      </c>
      <c r="AD19" s="2">
        <f t="shared" si="6"/>
        <v>3.0517578125E-5</v>
      </c>
      <c r="AF19" s="2">
        <v>15</v>
      </c>
      <c r="AG19" s="2">
        <f t="shared" si="13"/>
        <v>2314.300537109375</v>
      </c>
      <c r="AH19" s="2">
        <v>-2.618618241740478E-2</v>
      </c>
      <c r="AI19" s="2">
        <f t="shared" si="14"/>
        <v>2314.88037109375</v>
      </c>
      <c r="AJ19" s="2">
        <v>0.25253094045183389</v>
      </c>
      <c r="AK19" s="2">
        <f t="shared" si="9"/>
        <v>2314.5904541015625</v>
      </c>
      <c r="AL19" s="2">
        <v>0.11317534101726778</v>
      </c>
      <c r="AM19" s="2">
        <f t="shared" si="10"/>
        <v>-2.9636301250301677E-3</v>
      </c>
      <c r="AN19" s="2">
        <f t="shared" si="11"/>
        <v>2.8580275303047645E-2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107.19475701103418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216.48282771419801</v>
      </c>
      <c r="L20" s="6" t="s">
        <v>7</v>
      </c>
      <c r="N20" s="6" t="s">
        <v>20</v>
      </c>
      <c r="O20" s="6">
        <f xml:space="preserve"> O14 / $C$28</f>
        <v>1526.8044165202598</v>
      </c>
      <c r="P20" s="6" t="s">
        <v>21</v>
      </c>
      <c r="U20" s="2">
        <v>16</v>
      </c>
      <c r="V20" s="2">
        <f t="shared" si="7"/>
        <v>0.97100830078125</v>
      </c>
      <c r="W20" s="2">
        <f t="shared" si="0"/>
        <v>1.5516632956291687E-6</v>
      </c>
      <c r="X20" s="2">
        <f t="shared" si="8"/>
        <v>0.9710235595703125</v>
      </c>
      <c r="Y20" s="2">
        <f t="shared" si="1"/>
        <v>-1.4014653296978707E-5</v>
      </c>
      <c r="Z20" s="2">
        <f t="shared" si="3"/>
        <v>0.97101593017578125</v>
      </c>
      <c r="AA20" s="2">
        <f t="shared" si="2"/>
        <v>-6.2314961956078108E-6</v>
      </c>
      <c r="AB20" s="2">
        <f t="shared" si="4"/>
        <v>-9.6691839235774421E-12</v>
      </c>
      <c r="AC20" s="2">
        <f t="shared" si="5"/>
        <v>8.7332258702885282E-11</v>
      </c>
      <c r="AD20" s="2">
        <f t="shared" si="6"/>
        <v>1.52587890625E-5</v>
      </c>
      <c r="AF20" s="2">
        <v>16</v>
      </c>
      <c r="AG20" s="2">
        <f t="shared" si="13"/>
        <v>2314.300537109375</v>
      </c>
      <c r="AH20" s="2">
        <v>-2.618618241740478E-2</v>
      </c>
      <c r="AI20" s="2">
        <f t="shared" si="14"/>
        <v>2314.5904541015625</v>
      </c>
      <c r="AJ20" s="2">
        <v>0.11317534101726778</v>
      </c>
      <c r="AK20" s="2">
        <f t="shared" si="9"/>
        <v>2314.4454956054688</v>
      </c>
      <c r="AL20" s="2">
        <v>4.3494975084058751E-2</v>
      </c>
      <c r="AM20" s="2">
        <f t="shared" si="10"/>
        <v>-1.1389673517916382E-3</v>
      </c>
      <c r="AN20" s="2">
        <f t="shared" si="11"/>
        <v>4.9225586376759143E-3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60.173234685137345</v>
      </c>
      <c r="L21" s="6" t="s">
        <v>7</v>
      </c>
      <c r="N21" s="6" t="s">
        <v>27</v>
      </c>
      <c r="O21" s="6">
        <f>$C$6*2*PI()/60</f>
        <v>44.032231671404908</v>
      </c>
      <c r="P21" s="6" t="s">
        <v>28</v>
      </c>
      <c r="U21" s="2">
        <v>17</v>
      </c>
      <c r="V21" s="2">
        <f t="shared" si="7"/>
        <v>0.97100830078125</v>
      </c>
      <c r="W21" s="2">
        <f t="shared" si="0"/>
        <v>1.5516632956291687E-6</v>
      </c>
      <c r="X21" s="2">
        <f t="shared" si="8"/>
        <v>0.97101593017578125</v>
      </c>
      <c r="Y21" s="2">
        <f t="shared" si="1"/>
        <v>-6.2314961956078108E-6</v>
      </c>
      <c r="Z21" s="2">
        <f t="shared" si="3"/>
        <v>0.97101211547851562</v>
      </c>
      <c r="AA21" s="2">
        <f t="shared" si="2"/>
        <v>-2.3399167486948258E-6</v>
      </c>
      <c r="AB21" s="2">
        <f t="shared" si="4"/>
        <v>-3.6307629337777028E-12</v>
      </c>
      <c r="AC21" s="2">
        <f t="shared" si="5"/>
        <v>1.4581182317530804E-11</v>
      </c>
      <c r="AD21" s="2">
        <f t="shared" si="6"/>
        <v>7.62939453125E-6</v>
      </c>
      <c r="AF21" s="2">
        <v>17</v>
      </c>
      <c r="AG21" s="2">
        <f t="shared" si="13"/>
        <v>2314.300537109375</v>
      </c>
      <c r="AH21" s="2">
        <v>-2.618618241740478E-2</v>
      </c>
      <c r="AI21" s="2">
        <f t="shared" si="14"/>
        <v>2314.4454956054688</v>
      </c>
      <c r="AJ21" s="2">
        <v>4.3494975084058751E-2</v>
      </c>
      <c r="AK21" s="2">
        <f t="shared" si="9"/>
        <v>2314.3730163574219</v>
      </c>
      <c r="AL21" s="2">
        <v>8.6545642195687833E-3</v>
      </c>
      <c r="AM21" s="2">
        <f t="shared" si="10"/>
        <v>-2.266299973967726E-4</v>
      </c>
      <c r="AN21" s="2">
        <f t="shared" si="11"/>
        <v>3.7643005509353062E-4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321.47496389350954</v>
      </c>
      <c r="L22" s="6" t="s">
        <v>7</v>
      </c>
      <c r="N22" s="6" t="s">
        <v>29</v>
      </c>
      <c r="O22" s="6">
        <f xml:space="preserve"> $C$7 * COS(O19/180*PI()) / (O21 * $C$10)</f>
        <v>8.3227611425782458E-2</v>
      </c>
      <c r="U22" s="2">
        <v>18</v>
      </c>
      <c r="V22" s="2">
        <f t="shared" si="7"/>
        <v>0.97100830078125</v>
      </c>
      <c r="W22" s="2">
        <f t="shared" si="0"/>
        <v>1.5516632956291687E-6</v>
      </c>
      <c r="X22" s="2">
        <f t="shared" si="8"/>
        <v>0.97101211547851562</v>
      </c>
      <c r="Y22" s="2">
        <f t="shared" si="1"/>
        <v>-2.3399167486948258E-6</v>
      </c>
      <c r="Z22" s="2">
        <f t="shared" si="3"/>
        <v>0.97101020812988281</v>
      </c>
      <c r="AA22" s="2">
        <f t="shared" si="2"/>
        <v>-3.9412680119532695E-7</v>
      </c>
      <c r="AB22" s="2">
        <f t="shared" si="4"/>
        <v>-6.115520912385232E-13</v>
      </c>
      <c r="AC22" s="2">
        <f t="shared" si="5"/>
        <v>9.2222390322646151E-13</v>
      </c>
      <c r="AD22" s="2">
        <f t="shared" si="6"/>
        <v>3.814697265625E-6</v>
      </c>
      <c r="AF22" s="2">
        <v>18</v>
      </c>
      <c r="AG22" s="2">
        <f t="shared" si="13"/>
        <v>2314.300537109375</v>
      </c>
      <c r="AH22" s="2">
        <v>-2.618618241740478E-2</v>
      </c>
      <c r="AI22" s="2">
        <f t="shared" si="14"/>
        <v>2314.3730163574219</v>
      </c>
      <c r="AJ22" s="2">
        <v>8.6545642195687833E-3</v>
      </c>
      <c r="AK22" s="2">
        <f t="shared" si="9"/>
        <v>2314.3367767333984</v>
      </c>
      <c r="AL22" s="2">
        <v>-8.765491374560952E-3</v>
      </c>
      <c r="AM22" s="2">
        <f t="shared" si="10"/>
        <v>2.2953475611244126E-4</v>
      </c>
      <c r="AN22" s="2">
        <f t="shared" si="11"/>
        <v>-7.5861508017214E-5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25.963472601252608</v>
      </c>
      <c r="L23" s="6" t="s">
        <v>7</v>
      </c>
      <c r="N23" s="6" t="s">
        <v>30</v>
      </c>
      <c r="O23" s="6">
        <f xml:space="preserve"> O20 / ( $C$71 * PI() * $C$10^2 * O21^2 * $C$10^2)</f>
        <v>3.8425097421127742E-2</v>
      </c>
      <c r="U23" s="2">
        <v>19</v>
      </c>
      <c r="V23" s="2">
        <f t="shared" si="7"/>
        <v>0.97100830078125</v>
      </c>
      <c r="W23" s="2">
        <f t="shared" si="0"/>
        <v>1.5516632956291687E-6</v>
      </c>
      <c r="X23" s="2">
        <f t="shared" si="8"/>
        <v>0.97101020812988281</v>
      </c>
      <c r="Y23" s="2">
        <f t="shared" si="1"/>
        <v>-3.9412680119532695E-7</v>
      </c>
      <c r="Z23" s="2">
        <f t="shared" si="3"/>
        <v>0.97100925445556641</v>
      </c>
      <c r="AA23" s="2">
        <f t="shared" si="2"/>
        <v>5.7876822856517407E-7</v>
      </c>
      <c r="AB23" s="2">
        <f t="shared" si="4"/>
        <v>8.9805341694089395E-13</v>
      </c>
      <c r="AC23" s="2">
        <f t="shared" si="5"/>
        <v>-2.2810807055787792E-13</v>
      </c>
      <c r="AD23" s="2">
        <f t="shared" si="6"/>
        <v>1.9073486328125E-6</v>
      </c>
      <c r="AF23" s="2">
        <v>19</v>
      </c>
      <c r="AG23" s="2">
        <f t="shared" si="13"/>
        <v>2314.3367767333984</v>
      </c>
      <c r="AH23" s="2">
        <v>-8.765491374560952E-3</v>
      </c>
      <c r="AI23" s="2">
        <f t="shared" si="14"/>
        <v>2314.3730163574219</v>
      </c>
      <c r="AJ23" s="2">
        <v>8.6545642195687833E-3</v>
      </c>
      <c r="AK23" s="2">
        <f t="shared" si="9"/>
        <v>2314.3548965454102</v>
      </c>
      <c r="AL23" s="2">
        <v>-5.5728837423885125E-5</v>
      </c>
      <c r="AM23" s="2">
        <f t="shared" si="10"/>
        <v>4.8849064375337461E-7</v>
      </c>
      <c r="AN23" s="2">
        <f t="shared" si="11"/>
        <v>-4.8230880236692194E-7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8.9163511144145904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0.97100925445556641</v>
      </c>
      <c r="W24" s="2">
        <f t="shared" si="0"/>
        <v>5.7876822856517407E-7</v>
      </c>
      <c r="X24" s="2">
        <f t="shared" si="8"/>
        <v>0.97101020812988281</v>
      </c>
      <c r="Y24" s="2">
        <f t="shared" si="1"/>
        <v>-3.9412680119532695E-7</v>
      </c>
      <c r="Z24" s="2">
        <f t="shared" si="3"/>
        <v>0.97100973129272461</v>
      </c>
      <c r="AA24" s="2">
        <f t="shared" si="2"/>
        <v>9.2320709077498009E-8</v>
      </c>
      <c r="AB24" s="2">
        <f t="shared" si="4"/>
        <v>5.3432293252664306E-14</v>
      </c>
      <c r="AC24" s="2">
        <f t="shared" si="5"/>
        <v>-3.6386065752798677E-14</v>
      </c>
      <c r="AD24" s="2">
        <f t="shared" si="6"/>
        <v>9.5367431640625E-7</v>
      </c>
      <c r="AF24" s="2">
        <v>20</v>
      </c>
      <c r="AG24" s="2">
        <f t="shared" si="13"/>
        <v>2314.3548965454102</v>
      </c>
      <c r="AH24" s="2">
        <v>-5.5728837423885125E-5</v>
      </c>
      <c r="AI24" s="2">
        <f t="shared" si="14"/>
        <v>2314.3730163574219</v>
      </c>
      <c r="AJ24" s="2">
        <v>8.6545642195687833E-3</v>
      </c>
      <c r="AK24" s="2">
        <f t="shared" si="9"/>
        <v>2314.363956451416</v>
      </c>
      <c r="AL24" s="2">
        <v>4.2994203142825427E-3</v>
      </c>
      <c r="AM24" s="2">
        <f t="shared" si="10"/>
        <v>-2.3960169571160091E-7</v>
      </c>
      <c r="AN24" s="2">
        <f t="shared" si="11"/>
        <v>3.7209609216876865E-5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21.312322737078805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2723.4087302512407</v>
      </c>
      <c r="P25" s="6" t="s">
        <v>19</v>
      </c>
      <c r="U25" s="2">
        <v>21</v>
      </c>
      <c r="V25" s="2">
        <f t="shared" si="7"/>
        <v>0.97100973129272461</v>
      </c>
      <c r="W25" s="2">
        <f t="shared" si="0"/>
        <v>9.2320709077498009E-8</v>
      </c>
      <c r="X25" s="2">
        <f t="shared" si="8"/>
        <v>0.97101020812988281</v>
      </c>
      <c r="Y25" s="2">
        <f t="shared" si="1"/>
        <v>-3.9412680119532695E-7</v>
      </c>
      <c r="Z25" s="2">
        <f t="shared" si="3"/>
        <v>0.97100996971130371</v>
      </c>
      <c r="AA25" s="2">
        <f t="shared" si="2"/>
        <v>-1.509030472801598E-7</v>
      </c>
      <c r="AB25" s="2">
        <f t="shared" si="4"/>
        <v>-1.393147632685956E-14</v>
      </c>
      <c r="AC25" s="2">
        <f t="shared" si="5"/>
        <v>5.9474935315156557E-14</v>
      </c>
      <c r="AD25" s="2">
        <f t="shared" si="6"/>
        <v>4.76837158203125E-7</v>
      </c>
      <c r="AF25" s="2">
        <v>21</v>
      </c>
      <c r="AG25" s="2">
        <f t="shared" si="13"/>
        <v>2314.3548965454102</v>
      </c>
      <c r="AH25" s="2">
        <v>-5.5728837423885125E-5</v>
      </c>
      <c r="AI25" s="2">
        <f t="shared" si="14"/>
        <v>2314.363956451416</v>
      </c>
      <c r="AJ25" s="2">
        <v>4.2994203142825427E-3</v>
      </c>
      <c r="AK25" s="2">
        <f t="shared" si="9"/>
        <v>2314.3594264984131</v>
      </c>
      <c r="AL25" s="2">
        <v>2.1221221479663654E-3</v>
      </c>
      <c r="AM25" s="2">
        <f t="shared" si="10"/>
        <v>-1.1826340017764347E-7</v>
      </c>
      <c r="AN25" s="2">
        <f t="shared" si="11"/>
        <v>9.1238950723554963E-6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2835.5164893492711</v>
      </c>
      <c r="H26" s="6" t="s">
        <v>21</v>
      </c>
      <c r="J26" s="14" t="s">
        <v>65</v>
      </c>
      <c r="K26" s="6">
        <f xml:space="preserve"> $C$80 * (0.0268 * $C$5)</f>
        <v>49.619775063436336</v>
      </c>
      <c r="L26" s="6" t="s">
        <v>7</v>
      </c>
      <c r="N26" s="6" t="s">
        <v>32</v>
      </c>
      <c r="O26" s="17">
        <f>Z34</f>
        <v>0.97100982209667563</v>
      </c>
      <c r="U26" s="2">
        <v>22</v>
      </c>
      <c r="V26" s="2">
        <f t="shared" si="7"/>
        <v>0.97100973129272461</v>
      </c>
      <c r="W26" s="2">
        <f t="shared" si="0"/>
        <v>9.2320709077498009E-8</v>
      </c>
      <c r="X26" s="2">
        <f t="shared" si="8"/>
        <v>0.97100996971130371</v>
      </c>
      <c r="Y26" s="2">
        <f t="shared" si="1"/>
        <v>-1.509030472801598E-7</v>
      </c>
      <c r="Z26" s="2">
        <f t="shared" si="3"/>
        <v>0.97100985050201416</v>
      </c>
      <c r="AA26" s="2">
        <f t="shared" si="2"/>
        <v>-2.929116937888665E-8</v>
      </c>
      <c r="AB26" s="2">
        <f t="shared" si="4"/>
        <v>-2.7041815267679124E-15</v>
      </c>
      <c r="AC26" s="2">
        <f t="shared" si="5"/>
        <v>4.4201267176733014E-15</v>
      </c>
      <c r="AD26" s="2">
        <f t="shared" si="6"/>
        <v>2.384185791015625E-7</v>
      </c>
      <c r="AF26" s="2">
        <v>22</v>
      </c>
      <c r="AG26" s="2">
        <f t="shared" si="13"/>
        <v>2314.3548965454102</v>
      </c>
      <c r="AH26" s="2">
        <v>-5.5728837423885125E-5</v>
      </c>
      <c r="AI26" s="2">
        <f t="shared" si="14"/>
        <v>2314.3594264984131</v>
      </c>
      <c r="AJ26" s="2">
        <v>2.1221221479663654E-3</v>
      </c>
      <c r="AK26" s="2">
        <f t="shared" si="9"/>
        <v>2314.3571615219116</v>
      </c>
      <c r="AL26" s="2">
        <v>1.0331968194350338E-3</v>
      </c>
      <c r="AM26" s="2">
        <f t="shared" si="10"/>
        <v>-5.7578857577170195E-8</v>
      </c>
      <c r="AN26" s="2">
        <f t="shared" si="11"/>
        <v>2.1925698537314911E-6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33.964852939513008</v>
      </c>
      <c r="H27" t="s">
        <v>97</v>
      </c>
      <c r="J27" s="14" t="s">
        <v>66</v>
      </c>
      <c r="K27" s="6">
        <f xml:space="preserve"> $C$80 * (11.5 * ($C$5*2.20462/1000)^0.4 * 0.453592)</f>
        <v>8.0086389482466753</v>
      </c>
      <c r="L27" s="6" t="s">
        <v>7</v>
      </c>
      <c r="N27" s="6" t="s">
        <v>33</v>
      </c>
      <c r="O27" s="6">
        <f xml:space="preserve"> O21 * $C$10 * O26 - $C$7 * SIN(O19/180*PI())</f>
        <v>1.3843251833619945</v>
      </c>
      <c r="P27" s="6" t="s">
        <v>10</v>
      </c>
      <c r="U27" s="2">
        <v>23</v>
      </c>
      <c r="V27" s="2">
        <f t="shared" si="7"/>
        <v>0.97100973129272461</v>
      </c>
      <c r="W27" s="2">
        <f t="shared" si="0"/>
        <v>9.2320709077498009E-8</v>
      </c>
      <c r="X27" s="2">
        <f t="shared" si="8"/>
        <v>0.97100985050201416</v>
      </c>
      <c r="Y27" s="2">
        <f t="shared" si="1"/>
        <v>-2.929116937888665E-8</v>
      </c>
      <c r="Z27" s="2">
        <f t="shared" si="3"/>
        <v>0.97100979089736938</v>
      </c>
      <c r="AA27" s="2">
        <f t="shared" si="2"/>
        <v>3.1514769682772226E-8</v>
      </c>
      <c r="AB27" s="2">
        <f t="shared" si="4"/>
        <v>2.9094658835275689E-15</v>
      </c>
      <c r="AC27" s="2">
        <f t="shared" si="5"/>
        <v>-9.2310445671468319E-16</v>
      </c>
      <c r="AD27" s="2">
        <f t="shared" si="6"/>
        <v>1.1920928955078125E-7</v>
      </c>
      <c r="AF27" s="2">
        <v>23</v>
      </c>
      <c r="AG27" s="2">
        <f t="shared" si="13"/>
        <v>2314.3548965454102</v>
      </c>
      <c r="AH27" s="2">
        <v>-5.5728837423885125E-5</v>
      </c>
      <c r="AI27" s="2">
        <f t="shared" si="14"/>
        <v>2314.3571615219116</v>
      </c>
      <c r="AJ27" s="2">
        <v>1.0331968194350338E-3</v>
      </c>
      <c r="AK27" s="2">
        <f t="shared" si="9"/>
        <v>2314.3560290336609</v>
      </c>
      <c r="AL27" s="2">
        <v>4.8900978572419262E-4</v>
      </c>
      <c r="AM27" s="2">
        <f t="shared" si="10"/>
        <v>-2.7251946847312432E-8</v>
      </c>
      <c r="AN27" s="2">
        <f t="shared" si="11"/>
        <v>5.0524335528284324E-7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8.517463568586459</v>
      </c>
      <c r="H28" s="6" t="s">
        <v>172</v>
      </c>
      <c r="J28" s="14" t="s">
        <v>67</v>
      </c>
      <c r="K28" s="6">
        <f xml:space="preserve"> $C$80 * (8 * ($C$5/1000))</f>
        <v>14.811873153264578</v>
      </c>
      <c r="L28" s="6" t="s">
        <v>7</v>
      </c>
      <c r="N28" s="6" t="s">
        <v>34</v>
      </c>
      <c r="O28" s="6">
        <f xml:space="preserve"> 1/$C$31 - O25 * SQRT( (2*$C$71*PI()*$C$10^2) / O20^3 )</f>
        <v>1.150072057374834</v>
      </c>
      <c r="U28" s="2">
        <v>24</v>
      </c>
      <c r="V28" s="2">
        <f t="shared" si="7"/>
        <v>0.97100979089736938</v>
      </c>
      <c r="W28" s="2">
        <f t="shared" si="0"/>
        <v>3.1514769682772226E-8</v>
      </c>
      <c r="X28" s="2">
        <f t="shared" si="8"/>
        <v>0.97100985050201416</v>
      </c>
      <c r="Y28" s="2">
        <f t="shared" si="1"/>
        <v>-2.929116937888665E-8</v>
      </c>
      <c r="Z28" s="2">
        <f t="shared" si="3"/>
        <v>0.97100982069969177</v>
      </c>
      <c r="AA28" s="2">
        <f t="shared" si="2"/>
        <v>1.1118000964316366E-9</v>
      </c>
      <c r="AB28" s="2">
        <f t="shared" si="4"/>
        <v>3.5038123972326977E-17</v>
      </c>
      <c r="AC28" s="2">
        <f t="shared" si="5"/>
        <v>-3.2565924940041578E-17</v>
      </c>
      <c r="AD28" s="2">
        <f t="shared" si="6"/>
        <v>5.9604644775390625E-8</v>
      </c>
      <c r="AF28" s="2">
        <v>24</v>
      </c>
      <c r="AG28" s="2">
        <f t="shared" si="13"/>
        <v>2314.3548965454102</v>
      </c>
      <c r="AH28" s="2">
        <v>-5.5728837423885125E-5</v>
      </c>
      <c r="AI28" s="2">
        <f t="shared" si="14"/>
        <v>2314.3560290336609</v>
      </c>
      <c r="AJ28" s="2">
        <v>4.8900978572419262E-4</v>
      </c>
      <c r="AK28" s="2">
        <f t="shared" si="9"/>
        <v>2314.3554627895355</v>
      </c>
      <c r="AL28" s="2">
        <v>2.1664048449565598E-4</v>
      </c>
      <c r="AM28" s="2">
        <f t="shared" si="10"/>
        <v>-1.2073122339890118E-8</v>
      </c>
      <c r="AN28" s="2">
        <f t="shared" si="11"/>
        <v>1.0593931690240601E-7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271.71882351610407</v>
      </c>
      <c r="H29" s="22" t="s">
        <v>97</v>
      </c>
      <c r="J29" s="14" t="s">
        <v>68</v>
      </c>
      <c r="K29" s="6">
        <f xml:space="preserve"> $C$80 * (13 * ($C$5*2.20462/1000)^1.3 * 0.453592)</f>
        <v>39.245657071505008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0.97100982069969177</v>
      </c>
      <c r="W29" s="2">
        <f t="shared" si="0"/>
        <v>1.1118000964316366E-9</v>
      </c>
      <c r="X29" s="2">
        <f t="shared" si="8"/>
        <v>0.97100985050201416</v>
      </c>
      <c r="Y29" s="2">
        <f t="shared" si="1"/>
        <v>-2.929116937888665E-8</v>
      </c>
      <c r="Z29" s="2">
        <f t="shared" si="3"/>
        <v>0.97100983560085297</v>
      </c>
      <c r="AA29" s="2">
        <f t="shared" si="2"/>
        <v>-1.4089684641227507E-8</v>
      </c>
      <c r="AB29" s="2">
        <f t="shared" si="4"/>
        <v>-1.5664912742808091E-17</v>
      </c>
      <c r="AC29" s="2">
        <f t="shared" si="5"/>
        <v>4.1270333932129269E-16</v>
      </c>
      <c r="AD29" s="2">
        <f t="shared" si="6"/>
        <v>2.9802322387695312E-8</v>
      </c>
      <c r="AF29" s="2">
        <v>25</v>
      </c>
      <c r="AG29" s="2">
        <f t="shared" si="13"/>
        <v>2314.3548965454102</v>
      </c>
      <c r="AH29" s="2">
        <v>-5.5728837423885125E-5</v>
      </c>
      <c r="AI29" s="2">
        <f t="shared" si="14"/>
        <v>2314.3554627895355</v>
      </c>
      <c r="AJ29" s="2">
        <v>2.1664048449565598E-4</v>
      </c>
      <c r="AK29" s="2">
        <f t="shared" si="9"/>
        <v>2314.3551796674728</v>
      </c>
      <c r="AL29" s="2">
        <v>8.0455825809622183E-5</v>
      </c>
      <c r="AM29" s="2">
        <f t="shared" si="10"/>
        <v>-4.4837096363488555E-9</v>
      </c>
      <c r="AN29" s="2">
        <f t="shared" si="11"/>
        <v>1.7429989083894654E-8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8.0711850387160666E-5</v>
      </c>
      <c r="L30" s="9" t="s">
        <v>7</v>
      </c>
      <c r="N30" s="6" t="s">
        <v>36</v>
      </c>
      <c r="O30" s="6">
        <f xml:space="preserve"> 1/$C$77 * LN( EXP($C$77 * O28) + EXP($C$77 * O29) )</f>
        <v>1.1731409541770728</v>
      </c>
      <c r="U30" s="2">
        <v>26</v>
      </c>
      <c r="V30" s="2">
        <f>IF(AB29&gt;0, Z29, V29)</f>
        <v>0.97100982069969177</v>
      </c>
      <c r="W30" s="2">
        <f t="shared" si="0"/>
        <v>1.1118000964316366E-9</v>
      </c>
      <c r="X30" s="2">
        <f t="shared" si="8"/>
        <v>0.97100983560085297</v>
      </c>
      <c r="Y30" s="2">
        <f t="shared" si="1"/>
        <v>-1.4089684641227507E-8</v>
      </c>
      <c r="Z30" s="2">
        <f t="shared" si="3"/>
        <v>0.97100982815027237</v>
      </c>
      <c r="AA30" s="2">
        <f t="shared" si="2"/>
        <v>-6.4889422723979351E-9</v>
      </c>
      <c r="AB30" s="2">
        <f t="shared" si="4"/>
        <v>-7.2144066441913472E-18</v>
      </c>
      <c r="AC30" s="2">
        <f t="shared" si="5"/>
        <v>9.1427150273217102E-17</v>
      </c>
      <c r="AD30" s="2">
        <f t="shared" si="6"/>
        <v>1.4901161193847656E-8</v>
      </c>
      <c r="AF30" s="2">
        <v>26</v>
      </c>
      <c r="AG30" s="2">
        <f t="shared" si="13"/>
        <v>2314.3548965454102</v>
      </c>
      <c r="AH30" s="2">
        <v>-5.5728837423885125E-5</v>
      </c>
      <c r="AI30" s="2">
        <f t="shared" si="14"/>
        <v>2314.3551796674728</v>
      </c>
      <c r="AJ30" s="2">
        <v>8.0455825809622183E-5</v>
      </c>
      <c r="AK30" s="2">
        <f t="shared" si="9"/>
        <v>2314.3550381064415</v>
      </c>
      <c r="AL30" s="2">
        <v>1.263924855265941E-5</v>
      </c>
      <c r="AM30" s="2">
        <f t="shared" si="10"/>
        <v>-7.0437062775123158E-10</v>
      </c>
      <c r="AN30" s="2">
        <f t="shared" si="11"/>
        <v>1.0169011799172848E-9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0.97100982069969177</v>
      </c>
      <c r="W31" s="2">
        <f t="shared" si="0"/>
        <v>1.1118000964316366E-9</v>
      </c>
      <c r="X31" s="2">
        <f t="shared" si="8"/>
        <v>0.97100982815027237</v>
      </c>
      <c r="Y31" s="2">
        <f t="shared" si="1"/>
        <v>-6.4889422723979351E-9</v>
      </c>
      <c r="Z31" s="2">
        <f t="shared" si="3"/>
        <v>0.97100982442498207</v>
      </c>
      <c r="AA31" s="2">
        <f t="shared" si="2"/>
        <v>-2.688571032471998E-9</v>
      </c>
      <c r="AB31" s="2">
        <f t="shared" si="4"/>
        <v>-2.9891535331656721E-18</v>
      </c>
      <c r="AC31" s="2">
        <f t="shared" si="5"/>
        <v>1.7445982224952109E-17</v>
      </c>
      <c r="AD31" s="2">
        <f t="shared" si="6"/>
        <v>7.4505805969238281E-9</v>
      </c>
      <c r="AF31" s="2">
        <v>27</v>
      </c>
      <c r="AG31" s="2">
        <f t="shared" si="13"/>
        <v>2314.3548965454102</v>
      </c>
      <c r="AH31" s="2">
        <v>-5.5728837423885125E-5</v>
      </c>
      <c r="AI31" s="2">
        <f t="shared" si="14"/>
        <v>2314.3550381064415</v>
      </c>
      <c r="AJ31" s="2">
        <v>1.263924855265941E-5</v>
      </c>
      <c r="AK31" s="2">
        <f t="shared" si="9"/>
        <v>2314.3549673259258</v>
      </c>
      <c r="AL31" s="2">
        <v>-2.1544794435612857E-5</v>
      </c>
      <c r="AM31" s="2">
        <f t="shared" si="10"/>
        <v>1.2006663464332938E-9</v>
      </c>
      <c r="AN31" s="2">
        <f t="shared" si="11"/>
        <v>-2.7231001188766432E-10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0.97100982069969177</v>
      </c>
      <c r="W32" s="2">
        <f t="shared" si="0"/>
        <v>1.1118000964316366E-9</v>
      </c>
      <c r="X32" s="2">
        <f t="shared" si="8"/>
        <v>0.97100982442498207</v>
      </c>
      <c r="Y32" s="2">
        <f t="shared" si="1"/>
        <v>-2.688571032471998E-9</v>
      </c>
      <c r="Z32" s="2">
        <f t="shared" si="3"/>
        <v>0.97100982256233692</v>
      </c>
      <c r="AA32" s="2">
        <f t="shared" si="2"/>
        <v>-7.8838546802018072E-10</v>
      </c>
      <c r="AB32" s="2">
        <f t="shared" si="4"/>
        <v>-8.7652703937013786E-19</v>
      </c>
      <c r="AC32" s="2">
        <f t="shared" si="5"/>
        <v>2.1196303317409367E-18</v>
      </c>
      <c r="AD32" s="2">
        <f t="shared" si="6"/>
        <v>3.7252902984619141E-9</v>
      </c>
      <c r="AF32" s="2">
        <v>28</v>
      </c>
      <c r="AG32" s="2">
        <f t="shared" si="13"/>
        <v>2314.3549673259258</v>
      </c>
      <c r="AH32" s="2">
        <v>-2.1544794435612857E-5</v>
      </c>
      <c r="AI32" s="2">
        <f t="shared" si="14"/>
        <v>2314.3550381064415</v>
      </c>
      <c r="AJ32" s="2">
        <v>1.263924855265941E-5</v>
      </c>
      <c r="AK32" s="2">
        <f t="shared" si="9"/>
        <v>2314.3550027161837</v>
      </c>
      <c r="AL32" s="2">
        <v>-4.4527726004162105E-6</v>
      </c>
      <c r="AM32" s="2">
        <f t="shared" si="10"/>
        <v>9.5934070344496565E-11</v>
      </c>
      <c r="AN32" s="2">
        <f t="shared" si="11"/>
        <v>-5.6279699645132066E-11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107.19475701103418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0.97100982069969177</v>
      </c>
      <c r="W33" s="2">
        <f t="shared" si="0"/>
        <v>1.1118000964316366E-9</v>
      </c>
      <c r="X33" s="2">
        <f t="shared" si="8"/>
        <v>0.97100982256233692</v>
      </c>
      <c r="Y33" s="2">
        <f t="shared" si="1"/>
        <v>-7.8838546802018072E-10</v>
      </c>
      <c r="Z33" s="2">
        <f t="shared" si="3"/>
        <v>0.97100982163101435</v>
      </c>
      <c r="AA33" s="2">
        <f t="shared" si="2"/>
        <v>1.6170731420572793E-10</v>
      </c>
      <c r="AB33" s="2">
        <f t="shared" si="4"/>
        <v>1.7978620752762926E-19</v>
      </c>
      <c r="AC33" s="2">
        <f t="shared" si="5"/>
        <v>-1.2748769659236923E-19</v>
      </c>
      <c r="AD33" s="2">
        <f t="shared" si="6"/>
        <v>1.862645149230957E-9</v>
      </c>
      <c r="AF33" s="2">
        <v>29</v>
      </c>
      <c r="AG33" s="2">
        <f t="shared" si="13"/>
        <v>2314.3550027161837</v>
      </c>
      <c r="AH33" s="2">
        <v>-4.4527726004162105E-6</v>
      </c>
      <c r="AI33" s="2">
        <f t="shared" si="14"/>
        <v>2314.3550381064415</v>
      </c>
      <c r="AJ33" s="2">
        <v>1.263924855265941E-5</v>
      </c>
      <c r="AK33" s="2">
        <f t="shared" si="9"/>
        <v>2314.3550204113126</v>
      </c>
      <c r="AL33" s="2">
        <v>4.0932382034952752E-6</v>
      </c>
      <c r="AM33" s="2">
        <f t="shared" si="10"/>
        <v>-1.8226258919500634E-11</v>
      </c>
      <c r="AN33" s="2">
        <f t="shared" si="11"/>
        <v>5.1735455039217861E-11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25.93</v>
      </c>
      <c r="L34" s="6" t="s">
        <v>59</v>
      </c>
      <c r="U34" s="2">
        <v>30</v>
      </c>
      <c r="V34" s="2">
        <f t="shared" si="7"/>
        <v>0.97100982163101435</v>
      </c>
      <c r="W34" s="2">
        <f t="shared" si="0"/>
        <v>1.6170731420572793E-10</v>
      </c>
      <c r="X34" s="2">
        <f t="shared" si="8"/>
        <v>0.97100982256233692</v>
      </c>
      <c r="Y34" s="2">
        <f t="shared" si="1"/>
        <v>-7.8838546802018072E-10</v>
      </c>
      <c r="Z34" s="2">
        <f t="shared" si="3"/>
        <v>0.97100982209667563</v>
      </c>
      <c r="AA34" s="2">
        <f t="shared" si="2"/>
        <v>-3.1333902139607517E-10</v>
      </c>
      <c r="AB34" s="2">
        <f t="shared" si="4"/>
        <v>-5.0669211585810432E-20</v>
      </c>
      <c r="AC34" s="2">
        <f t="shared" si="5"/>
        <v>2.4703193103233014E-19</v>
      </c>
      <c r="AD34" s="2">
        <f t="shared" si="6"/>
        <v>9.3132257461547852E-10</v>
      </c>
      <c r="AF34" s="2">
        <v>30</v>
      </c>
      <c r="AG34" s="2">
        <f t="shared" si="13"/>
        <v>2314.3550027161837</v>
      </c>
      <c r="AH34" s="2">
        <v>-4.4527726004162105E-6</v>
      </c>
      <c r="AI34" s="2">
        <f t="shared" si="14"/>
        <v>2314.3550204113126</v>
      </c>
      <c r="AJ34" s="2">
        <v>4.0932382034952752E-6</v>
      </c>
      <c r="AK34" s="2">
        <f t="shared" si="9"/>
        <v>2314.3550115637481</v>
      </c>
      <c r="AL34" s="2">
        <v>-1.7976731214730535E-7</v>
      </c>
      <c r="AM34" s="2">
        <f t="shared" si="10"/>
        <v>8.0046296197998945E-13</v>
      </c>
      <c r="AN34" s="2">
        <f t="shared" si="11"/>
        <v>-7.3583042982101051E-13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26.47</v>
      </c>
      <c r="L35" s="6" t="s">
        <v>59</v>
      </c>
      <c r="AF35" s="2">
        <v>31</v>
      </c>
      <c r="AG35" s="2">
        <f t="shared" si="13"/>
        <v>2314.3550115637481</v>
      </c>
      <c r="AH35" s="2">
        <v>-1.7976731214730535E-7</v>
      </c>
      <c r="AI35" s="2">
        <f t="shared" si="14"/>
        <v>2314.3550204113126</v>
      </c>
      <c r="AJ35" s="2">
        <v>4.0932382034952752E-6</v>
      </c>
      <c r="AK35" s="2">
        <f t="shared" si="9"/>
        <v>2314.3550159875304</v>
      </c>
      <c r="AL35" s="2">
        <v>1.9567348772397963E-6</v>
      </c>
      <c r="AM35" s="2">
        <f t="shared" si="10"/>
        <v>-3.5175696946628568E-13</v>
      </c>
      <c r="AN35" s="2">
        <f t="shared" si="11"/>
        <v>8.0093819536295719E-12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14.51</v>
      </c>
      <c r="L36" s="6" t="s">
        <v>59</v>
      </c>
      <c r="AF36" s="2">
        <v>32</v>
      </c>
      <c r="AG36" s="2">
        <f t="shared" si="13"/>
        <v>2314.3550115637481</v>
      </c>
      <c r="AH36" s="2">
        <v>1.9567348772397963E-6</v>
      </c>
      <c r="AI36" s="2">
        <f t="shared" si="14"/>
        <v>2314.3550159875304</v>
      </c>
      <c r="AJ36" s="2">
        <v>1.9567348772397963E-6</v>
      </c>
      <c r="AK36" s="2">
        <f t="shared" si="9"/>
        <v>2314.3550137756392</v>
      </c>
      <c r="AL36" s="2">
        <v>3.0249868814280489E-6</v>
      </c>
      <c r="AM36" s="2">
        <f t="shared" si="10"/>
        <v>5.9190973340831077E-12</v>
      </c>
      <c r="AN36" s="2">
        <f t="shared" si="11"/>
        <v>5.9190973340831077E-12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28.27</v>
      </c>
      <c r="L37" s="6" t="s">
        <v>59</v>
      </c>
      <c r="AF37" s="2">
        <v>33</v>
      </c>
      <c r="AG37" s="2">
        <f t="shared" si="13"/>
        <v>2314.3550137756392</v>
      </c>
      <c r="AH37" s="2">
        <v>3.0249868814280489E-6</v>
      </c>
      <c r="AI37" s="2">
        <f t="shared" si="14"/>
        <v>2314.3550137756392</v>
      </c>
      <c r="AJ37" s="2">
        <v>8.8848355517257005E-7</v>
      </c>
      <c r="AK37" s="2">
        <f t="shared" si="9"/>
        <v>2314.3550137756392</v>
      </c>
      <c r="AL37" s="2">
        <v>3.0249868814280489E-6</v>
      </c>
      <c r="AM37" s="2">
        <f t="shared" si="10"/>
        <v>9.1505456328117931E-12</v>
      </c>
      <c r="AN37" s="2">
        <f t="shared" si="11"/>
        <v>2.6876510987615785E-12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2314.3550137756392</v>
      </c>
      <c r="AH38" s="2">
        <v>3.5591122014011489E-6</v>
      </c>
      <c r="AI38" s="2">
        <f t="shared" si="14"/>
        <v>2314.3550137756392</v>
      </c>
      <c r="AJ38" s="2">
        <v>8.8848355517257005E-7</v>
      </c>
      <c r="AK38" s="2">
        <f t="shared" si="9"/>
        <v>2314.3550137756392</v>
      </c>
      <c r="AL38" s="2">
        <v>3.0249868814280489E-6</v>
      </c>
      <c r="AM38" s="2">
        <f t="shared" si="10"/>
        <v>1.076626771876898E-11</v>
      </c>
      <c r="AN38" s="2">
        <f t="shared" si="11"/>
        <v>2.6876510987615785E-12</v>
      </c>
      <c r="AO38" s="2">
        <f t="shared" si="12"/>
        <v>0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100.00999999999999</v>
      </c>
      <c r="L39" s="9" t="s">
        <v>59</v>
      </c>
      <c r="AF39" s="2">
        <v>35</v>
      </c>
      <c r="AG39" s="2">
        <f t="shared" si="13"/>
        <v>2314.3550137756392</v>
      </c>
      <c r="AH39" s="2">
        <v>3.8261750887613744E-6</v>
      </c>
      <c r="AI39" s="2">
        <f t="shared" si="14"/>
        <v>2314.3550137756392</v>
      </c>
      <c r="AJ39" s="2">
        <v>8.8848355517257005E-7</v>
      </c>
      <c r="AK39" s="2">
        <f t="shared" si="9"/>
        <v>2314.3550137756392</v>
      </c>
      <c r="AL39" s="2">
        <v>3.0249868814280489E-6</v>
      </c>
      <c r="AM39" s="2">
        <f t="shared" si="10"/>
        <v>1.1574129449549958E-11</v>
      </c>
      <c r="AN39" s="2">
        <f t="shared" si="11"/>
        <v>2.6876510987615785E-12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2314.3550137756392</v>
      </c>
      <c r="AH40" s="2">
        <v>3.9597064187546493E-6</v>
      </c>
      <c r="AI40" s="2">
        <f t="shared" si="14"/>
        <v>2314.3550137756392</v>
      </c>
      <c r="AJ40" s="2">
        <v>8.8848355517257005E-7</v>
      </c>
      <c r="AK40" s="2">
        <f t="shared" si="9"/>
        <v>2314.3550137756392</v>
      </c>
      <c r="AL40" s="2">
        <v>3.0249868814280489E-6</v>
      </c>
      <c r="AM40" s="2">
        <f t="shared" si="10"/>
        <v>1.1978059971039255E-11</v>
      </c>
      <c r="AN40" s="2">
        <f t="shared" si="11"/>
        <v>2.6876510987615785E-12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2314.3550137756392</v>
      </c>
      <c r="AH41" s="2">
        <v>4.0264721974381246E-6</v>
      </c>
      <c r="AI41" s="2">
        <f t="shared" si="14"/>
        <v>2314.3550137756392</v>
      </c>
      <c r="AJ41" s="2">
        <v>8.8848355517257005E-7</v>
      </c>
      <c r="AK41" s="2">
        <f t="shared" si="9"/>
        <v>2314.3550137756392</v>
      </c>
      <c r="AL41" s="2">
        <v>3.0249868814280489E-6</v>
      </c>
      <c r="AM41" s="2">
        <f t="shared" si="10"/>
        <v>1.2180025575685096E-11</v>
      </c>
      <c r="AN41" s="2">
        <f t="shared" si="11"/>
        <v>2.6876510987615785E-12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2314.3550137756392</v>
      </c>
      <c r="AH42" s="2">
        <v>4.0598549730930245E-6</v>
      </c>
      <c r="AI42" s="2">
        <f t="shared" si="14"/>
        <v>2314.3550137756392</v>
      </c>
      <c r="AJ42" s="2">
        <v>8.8848355517257005E-7</v>
      </c>
      <c r="AK42" s="2">
        <f t="shared" si="9"/>
        <v>2314.3550137756392</v>
      </c>
      <c r="AL42" s="2">
        <v>3.0249868814280489E-6</v>
      </c>
      <c r="AM42" s="2">
        <f t="shared" si="10"/>
        <v>1.2281008034106824E-11</v>
      </c>
      <c r="AN42" s="2">
        <f t="shared" si="11"/>
        <v>2.6876510987615785E-12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612.54999999999995</v>
      </c>
      <c r="L43" s="6" t="s">
        <v>7</v>
      </c>
      <c r="AF43" s="2">
        <v>39</v>
      </c>
      <c r="AG43" s="2">
        <f t="shared" si="13"/>
        <v>2314.3550137756392</v>
      </c>
      <c r="AH43" s="2">
        <v>4.0765467019809876E-6</v>
      </c>
      <c r="AI43" s="2">
        <f t="shared" si="14"/>
        <v>2314.3550137756392</v>
      </c>
      <c r="AJ43" s="2">
        <v>8.8848355517257005E-7</v>
      </c>
      <c r="AK43" s="2">
        <f t="shared" si="9"/>
        <v>2314.3550137756392</v>
      </c>
      <c r="AL43" s="2">
        <v>3.0249868814280489E-6</v>
      </c>
      <c r="AM43" s="2">
        <f t="shared" si="10"/>
        <v>1.2331500295021266E-11</v>
      </c>
      <c r="AN43" s="2">
        <f t="shared" si="11"/>
        <v>2.6876510987615785E-12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335.8</v>
      </c>
      <c r="L44" s="6" t="s">
        <v>7</v>
      </c>
      <c r="AF44" s="2">
        <v>40</v>
      </c>
      <c r="AG44" s="2">
        <f t="shared" si="13"/>
        <v>2314.3550137756392</v>
      </c>
      <c r="AH44" s="2">
        <v>4.0848924527381314E-6</v>
      </c>
      <c r="AI44" s="2">
        <f t="shared" si="14"/>
        <v>2314.3550137756392</v>
      </c>
      <c r="AJ44" s="2">
        <v>8.8848355517257005E-7</v>
      </c>
      <c r="AK44" s="5">
        <f t="shared" si="9"/>
        <v>2314.3550137756392</v>
      </c>
      <c r="AL44" s="2">
        <v>3.0249868814280489E-6</v>
      </c>
      <c r="AM44" s="2">
        <f t="shared" si="10"/>
        <v>1.2356746081577294E-11</v>
      </c>
      <c r="AN44" s="2">
        <f t="shared" si="11"/>
        <v>2.6876510987615785E-12</v>
      </c>
      <c r="AO44" s="2">
        <f t="shared" si="12"/>
        <v>0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654.32000000000005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111.69</v>
      </c>
      <c r="L46" s="6" t="s">
        <v>7</v>
      </c>
    </row>
    <row r="47" spans="2:41" x14ac:dyDescent="0.2">
      <c r="J47" s="9" t="s">
        <v>60</v>
      </c>
      <c r="K47" s="9">
        <f>SUM(K42:K46)</f>
        <v>2314.36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17" priority="7" operator="containsText" text="FALSE">
      <formula>NOT(ISERROR(SEARCH("FALSE",K31)))</formula>
    </cfRule>
    <cfRule type="containsText" dxfId="16" priority="8" operator="containsText" text="TRUE">
      <formula>NOT(ISERROR(SEARCH("TRUE",K31)))</formula>
    </cfRule>
    <cfRule type="cellIs" dxfId="15" priority="9" operator="equal">
      <formula>1</formula>
    </cfRule>
    <cfRule type="cellIs" dxfId="14" priority="10" operator="equal">
      <formula>TRUE</formula>
    </cfRule>
    <cfRule type="containsText" dxfId="13" priority="11" operator="containsText" text="YES">
      <formula>NOT(ISERROR(SEARCH("YES",K31)))</formula>
    </cfRule>
    <cfRule type="cellIs" dxfId="12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314.82675654022142</v>
      </c>
      <c r="L4" s="6" t="s">
        <v>97</v>
      </c>
      <c r="N4" s="6" t="s">
        <v>131</v>
      </c>
      <c r="O4" s="6">
        <f xml:space="preserve"> $C$5 * $C$74</f>
        <v>17141.308937103604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1.1595217253768617</v>
      </c>
      <c r="X4" s="3">
        <v>1</v>
      </c>
      <c r="Y4" s="2">
        <f t="shared" ref="Y4:Y34" si="1" xml:space="preserve"> $O$22 * TAN($O$19/180*PI()) + $O$23 / (2 * SQRT($O$22^2 + X4^2)) - X4</f>
        <v>-3.143362604434019E-2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0.48548580054672485</v>
      </c>
      <c r="AB4" s="2">
        <f>W4*AA4</f>
        <v>0.56293133309590537</v>
      </c>
      <c r="AC4" s="2">
        <f>Y4*AA4</f>
        <v>-1.5260579104222877E-2</v>
      </c>
      <c r="AD4" s="2">
        <f>X4-V4</f>
        <v>1</v>
      </c>
      <c r="AF4" s="2">
        <v>0</v>
      </c>
      <c r="AH4" s="2">
        <f>K30</f>
        <v>3.9009319789329311E-4</v>
      </c>
      <c r="AJ4" s="2">
        <f>K30</f>
        <v>3.9009319789329311E-4</v>
      </c>
      <c r="AL4" s="2">
        <f>K30</f>
        <v>3.9009319789329311E-4</v>
      </c>
    </row>
    <row r="5" spans="2:41" x14ac:dyDescent="0.2">
      <c r="B5" s="9" t="s">
        <v>38</v>
      </c>
      <c r="C5" s="9">
        <v>1749.0143438294999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39.353344567527678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0.48548580054672485</v>
      </c>
      <c r="X5" s="2">
        <f>IF(AC4&gt;0, Z4, X4)</f>
        <v>1</v>
      </c>
      <c r="Y5" s="2">
        <f t="shared" si="1"/>
        <v>-3.143362604434019E-2</v>
      </c>
      <c r="Z5" s="2">
        <f t="shared" ref="Z5:Z34" si="3" xml:space="preserve"> (V5 + X5)/2</f>
        <v>0.75</v>
      </c>
      <c r="AA5" s="2">
        <f t="shared" si="2"/>
        <v>0.22426182417749196</v>
      </c>
      <c r="AB5" s="2">
        <f t="shared" ref="AB5:AB34" si="4">W5*AA5</f>
        <v>0.10887593124287855</v>
      </c>
      <c r="AC5" s="2">
        <f t="shared" ref="AC5:AC34" si="5">Y5*AA5</f>
        <v>-7.0493623172168517E-3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-750.25796633767004</v>
      </c>
      <c r="AI5" s="3">
        <v>10000</v>
      </c>
      <c r="AJ5" s="2">
        <f t="dataTable" ref="AJ5:AJ44" dt2D="0" dtr="0" r1="C5" ca="1"/>
        <v>4573.3886144130092</v>
      </c>
      <c r="AK5" s="2">
        <f>(AG5+AI5)/2</f>
        <v>5250</v>
      </c>
      <c r="AL5" s="2">
        <f t="dataTable" ref="AL5:AL44" dt2D="0" dtr="0" r1="C5" ca="1"/>
        <v>1888.1212788516405</v>
      </c>
      <c r="AM5" s="2">
        <f>AH5*AL5</f>
        <v>-1416578.0308701126</v>
      </c>
      <c r="AN5" s="2">
        <f>AJ5*AL5</f>
        <v>8635112.3593310229</v>
      </c>
      <c r="AO5" s="2">
        <f>AI5-AG5</f>
        <v>9500</v>
      </c>
    </row>
    <row r="6" spans="2:41" x14ac:dyDescent="0.2">
      <c r="B6" s="6" t="s">
        <v>168</v>
      </c>
      <c r="C6" s="16">
        <v>420.47683955229598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145.0845516634399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0.19007375853033534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0.22426182417749196</v>
      </c>
      <c r="X6" s="2">
        <f t="shared" ref="X6:X34" si="8">IF(AC5&gt;0, Z5, X5)</f>
        <v>1</v>
      </c>
      <c r="Y6" s="2">
        <f t="shared" si="1"/>
        <v>-3.143362604434019E-2</v>
      </c>
      <c r="Z6" s="2">
        <f t="shared" si="3"/>
        <v>0.875</v>
      </c>
      <c r="AA6" s="2">
        <f t="shared" si="2"/>
        <v>9.6012827447486626E-2</v>
      </c>
      <c r="AB6" s="2">
        <f t="shared" si="4"/>
        <v>2.1532011827812121E-2</v>
      </c>
      <c r="AC6" s="2">
        <f t="shared" si="5"/>
        <v>-3.0180313134440563E-3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-750.25796633767004</v>
      </c>
      <c r="AI6" s="2">
        <f>IF(AN5&gt;0,AK5,AI5)</f>
        <v>5250</v>
      </c>
      <c r="AJ6" s="2">
        <v>1888.1212788516405</v>
      </c>
      <c r="AK6" s="2">
        <f t="shared" ref="AK6:AK44" si="9">(AG6+AI6)/2</f>
        <v>2875</v>
      </c>
      <c r="AL6" s="2">
        <v>655.48791321638487</v>
      </c>
      <c r="AM6" s="2">
        <f t="shared" ref="AM6:AM44" si="10">AH6*AL6</f>
        <v>-491785.02872864803</v>
      </c>
      <c r="AN6" s="2">
        <f t="shared" ref="AN6:AN44" si="11">AJ6*AL6</f>
        <v>1237640.6769739138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2142.8685858034692</v>
      </c>
      <c r="H7" s="6" t="s">
        <v>21</v>
      </c>
      <c r="J7" s="6" t="s">
        <v>133</v>
      </c>
      <c r="K7" s="6">
        <f>K6/$C$28</f>
        <v>145.0845516634399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9.6012827447486626E-2</v>
      </c>
      <c r="X7" s="2">
        <f t="shared" si="8"/>
        <v>1</v>
      </c>
      <c r="Y7" s="2">
        <f t="shared" si="1"/>
        <v>-3.143362604434019E-2</v>
      </c>
      <c r="Z7" s="2">
        <f t="shared" si="3"/>
        <v>0.9375</v>
      </c>
      <c r="AA7" s="2">
        <f t="shared" si="2"/>
        <v>3.2209011573217095E-2</v>
      </c>
      <c r="AB7" s="2">
        <f t="shared" si="4"/>
        <v>3.0924782704333928E-3</v>
      </c>
      <c r="AC7" s="2">
        <f t="shared" si="5"/>
        <v>-1.0124460250503316E-3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-750.25796633767004</v>
      </c>
      <c r="AI7" s="2">
        <f t="shared" ref="AI7:AI44" si="14">IF(AN6&gt;0,AK6,AI6)</f>
        <v>2875</v>
      </c>
      <c r="AJ7" s="2">
        <v>655.48791321638487</v>
      </c>
      <c r="AK7" s="2">
        <f t="shared" si="9"/>
        <v>1687.5</v>
      </c>
      <c r="AL7" s="2">
        <v>-36.873157210619638</v>
      </c>
      <c r="AM7" s="2">
        <f t="shared" si="10"/>
        <v>27664.379941288684</v>
      </c>
      <c r="AN7" s="2">
        <f t="shared" si="11"/>
        <v>-24169.908873688761</v>
      </c>
      <c r="AO7" s="2">
        <f t="shared" si="12"/>
        <v>2375</v>
      </c>
    </row>
    <row r="8" spans="2:41" x14ac:dyDescent="0.2">
      <c r="B8" s="6" t="s">
        <v>91</v>
      </c>
      <c r="C8" s="16">
        <v>2.319004353</v>
      </c>
      <c r="D8" s="6" t="s">
        <v>8</v>
      </c>
      <c r="F8" t="s">
        <v>93</v>
      </c>
      <c r="G8" s="6">
        <f>G10/$C$21</f>
        <v>26.235563045018452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3.2209011573217095E-2</v>
      </c>
      <c r="X8" s="2">
        <f t="shared" si="8"/>
        <v>1</v>
      </c>
      <c r="Y8" s="2">
        <f t="shared" si="1"/>
        <v>-3.143362604434019E-2</v>
      </c>
      <c r="Z8" s="2">
        <f t="shared" si="3"/>
        <v>0.96875</v>
      </c>
      <c r="AA8" s="2">
        <f t="shared" si="2"/>
        <v>3.694658114189453E-4</v>
      </c>
      <c r="AB8" s="2">
        <f t="shared" si="4"/>
        <v>1.1900128595900855E-5</v>
      </c>
      <c r="AC8" s="2">
        <f t="shared" si="5"/>
        <v>-1.161365015231184E-5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-36.873157210619638</v>
      </c>
      <c r="AI8" s="2">
        <f t="shared" si="14"/>
        <v>2875</v>
      </c>
      <c r="AJ8" s="2">
        <v>655.48791321638487</v>
      </c>
      <c r="AK8" s="2">
        <f t="shared" si="9"/>
        <v>2281.25</v>
      </c>
      <c r="AL8" s="2">
        <v>314.81263891377625</v>
      </c>
      <c r="AM8" s="2">
        <f t="shared" si="10"/>
        <v>-11608.135926557705</v>
      </c>
      <c r="AN8" s="2">
        <f t="shared" si="11"/>
        <v>206355.87973573449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8.3332228320596258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1.9282959779462296E-2</v>
      </c>
      <c r="U9" s="2">
        <v>5</v>
      </c>
      <c r="V9" s="2">
        <f t="shared" si="7"/>
        <v>0.96875</v>
      </c>
      <c r="W9" s="2">
        <f t="shared" si="0"/>
        <v>3.694658114189453E-4</v>
      </c>
      <c r="X9" s="2">
        <f t="shared" si="8"/>
        <v>1</v>
      </c>
      <c r="Y9" s="2">
        <f t="shared" si="1"/>
        <v>-3.143362604434019E-2</v>
      </c>
      <c r="Z9" s="2">
        <f t="shared" si="3"/>
        <v>0.984375</v>
      </c>
      <c r="AA9" s="2">
        <f t="shared" si="2"/>
        <v>-1.5536422992038834E-2</v>
      </c>
      <c r="AB9" s="2">
        <f t="shared" si="4"/>
        <v>-5.7401771273015855E-6</v>
      </c>
      <c r="AC9" s="2">
        <f t="shared" si="5"/>
        <v>4.8836611039843763E-4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-36.873157210619638</v>
      </c>
      <c r="AI9" s="2">
        <f t="shared" si="14"/>
        <v>2281.25</v>
      </c>
      <c r="AJ9" s="2">
        <v>314.81263891377625</v>
      </c>
      <c r="AK9" s="2">
        <f t="shared" si="9"/>
        <v>1984.375</v>
      </c>
      <c r="AL9" s="2">
        <v>140.20432735473923</v>
      </c>
      <c r="AM9" s="2">
        <f t="shared" si="10"/>
        <v>-5169.7762041604792</v>
      </c>
      <c r="AN9" s="2">
        <f t="shared" si="11"/>
        <v>44138.094281676407</v>
      </c>
      <c r="AO9" s="2">
        <f t="shared" si="12"/>
        <v>593.75</v>
      </c>
    </row>
    <row r="10" spans="2:41" x14ac:dyDescent="0.2">
      <c r="B10" s="6" t="s">
        <v>134</v>
      </c>
      <c r="C10" s="16">
        <v>1.5947606963755401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209.88450436014762</v>
      </c>
      <c r="H10" s="22" t="s">
        <v>97</v>
      </c>
      <c r="J10" s="6" t="s">
        <v>92</v>
      </c>
      <c r="K10" s="6">
        <f xml:space="preserve"> $C$18 * (G10*G6 + G20*G13 + G29*G25 + G33*G32)/3600</f>
        <v>87.843648252122122</v>
      </c>
      <c r="L10" s="6" t="s">
        <v>98</v>
      </c>
      <c r="N10" s="6" t="s">
        <v>39</v>
      </c>
      <c r="O10" s="6">
        <f xml:space="preserve"> O5 * $C$12 * O9</f>
        <v>1178.0038933686412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3.694658114189453E-4</v>
      </c>
      <c r="X10" s="2">
        <f t="shared" si="8"/>
        <v>0.984375</v>
      </c>
      <c r="Y10" s="2">
        <f t="shared" si="1"/>
        <v>-1.5536422992038834E-2</v>
      </c>
      <c r="Z10" s="2">
        <f t="shared" si="3"/>
        <v>0.9765625</v>
      </c>
      <c r="AA10" s="2">
        <f t="shared" si="2"/>
        <v>-7.5845899921809234E-3</v>
      </c>
      <c r="AB10" s="2">
        <f t="shared" si="4"/>
        <v>-2.802246695741137E-6</v>
      </c>
      <c r="AC10" s="2">
        <f t="shared" si="5"/>
        <v>1.1783739833970735E-4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-36.873157210619638</v>
      </c>
      <c r="AI10" s="2">
        <f t="shared" si="14"/>
        <v>1984.375</v>
      </c>
      <c r="AJ10" s="2">
        <v>140.20432735473923</v>
      </c>
      <c r="AK10" s="2">
        <f t="shared" si="9"/>
        <v>1835.9375</v>
      </c>
      <c r="AL10" s="2">
        <v>51.948706510335114</v>
      </c>
      <c r="AM10" s="2">
        <f t="shared" si="10"/>
        <v>-1915.5128220439265</v>
      </c>
      <c r="AN10" s="2">
        <f t="shared" si="11"/>
        <v>7283.4334532302973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0.75031113868906185</v>
      </c>
      <c r="U11" s="2">
        <v>7</v>
      </c>
      <c r="V11" s="2">
        <f t="shared" si="7"/>
        <v>0.96875</v>
      </c>
      <c r="W11" s="2">
        <f t="shared" si="0"/>
        <v>3.694658114189453E-4</v>
      </c>
      <c r="X11" s="2">
        <f t="shared" si="8"/>
        <v>0.9765625</v>
      </c>
      <c r="Y11" s="2">
        <f t="shared" si="1"/>
        <v>-7.5845899921809234E-3</v>
      </c>
      <c r="Z11" s="2">
        <f t="shared" si="3"/>
        <v>0.97265625</v>
      </c>
      <c r="AA11" s="2">
        <f t="shared" si="2"/>
        <v>-3.6078432398362059E-3</v>
      </c>
      <c r="AB11" s="2">
        <f t="shared" si="4"/>
        <v>-1.3329747300784403E-6</v>
      </c>
      <c r="AC11" s="2">
        <f t="shared" si="5"/>
        <v>2.7364011730219285E-5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-36.873157210619638</v>
      </c>
      <c r="AI11" s="2">
        <f t="shared" si="14"/>
        <v>1835.9375</v>
      </c>
      <c r="AJ11" s="2">
        <v>51.948706510335114</v>
      </c>
      <c r="AK11" s="2">
        <f t="shared" si="9"/>
        <v>1761.71875</v>
      </c>
      <c r="AL11" s="2">
        <v>7.6046371546826776</v>
      </c>
      <c r="AM11" s="2">
        <f t="shared" si="10"/>
        <v>-280.40698133433358</v>
      </c>
      <c r="AN11" s="2">
        <f t="shared" si="11"/>
        <v>395.05106366620032</v>
      </c>
      <c r="AO11" s="2">
        <f t="shared" si="12"/>
        <v>148.4375</v>
      </c>
    </row>
    <row r="12" spans="2:41" x14ac:dyDescent="0.2">
      <c r="B12" s="6" t="s">
        <v>135</v>
      </c>
      <c r="C12" s="16">
        <v>26.942176127341099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0.28058920064882131</v>
      </c>
      <c r="U12" s="2">
        <v>8</v>
      </c>
      <c r="V12" s="2">
        <f t="shared" si="7"/>
        <v>0.96875</v>
      </c>
      <c r="W12" s="2">
        <f t="shared" si="0"/>
        <v>3.694658114189453E-4</v>
      </c>
      <c r="X12" s="2">
        <f t="shared" si="8"/>
        <v>0.97265625</v>
      </c>
      <c r="Y12" s="2">
        <f t="shared" si="1"/>
        <v>-3.6078432398362059E-3</v>
      </c>
      <c r="Z12" s="2">
        <f t="shared" si="3"/>
        <v>0.970703125</v>
      </c>
      <c r="AA12" s="2">
        <f t="shared" si="2"/>
        <v>-1.6192594196478005E-3</v>
      </c>
      <c r="AB12" s="2">
        <f t="shared" si="4"/>
        <v>-5.9826099537794506E-7</v>
      </c>
      <c r="AC12" s="2">
        <f t="shared" si="5"/>
        <v>5.8420341507174154E-6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-36.873157210619638</v>
      </c>
      <c r="AI12" s="2">
        <f t="shared" si="14"/>
        <v>1761.71875</v>
      </c>
      <c r="AJ12" s="2">
        <v>7.6046371546826776</v>
      </c>
      <c r="AK12" s="2">
        <f t="shared" si="9"/>
        <v>1724.609375</v>
      </c>
      <c r="AL12" s="2">
        <v>-14.618091073687083</v>
      </c>
      <c r="AM12" s="2">
        <f t="shared" si="10"/>
        <v>539.01517027921943</v>
      </c>
      <c r="AN12" s="2">
        <f t="shared" si="11"/>
        <v>-111.16527850949599</v>
      </c>
      <c r="AO12" s="2">
        <f t="shared" si="12"/>
        <v>74.21875</v>
      </c>
    </row>
    <row r="13" spans="2:41" x14ac:dyDescent="0.2">
      <c r="B13" s="6" t="s">
        <v>136</v>
      </c>
      <c r="C13" s="16">
        <v>10.2428265366399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2.2543809761714072E-2</v>
      </c>
      <c r="U13" s="2">
        <v>9</v>
      </c>
      <c r="V13" s="2">
        <f t="shared" si="7"/>
        <v>0.96875</v>
      </c>
      <c r="W13" s="2">
        <f t="shared" si="0"/>
        <v>3.694658114189453E-4</v>
      </c>
      <c r="X13" s="2">
        <f t="shared" si="8"/>
        <v>0.970703125</v>
      </c>
      <c r="Y13" s="2">
        <f t="shared" si="1"/>
        <v>-1.6192594196478005E-3</v>
      </c>
      <c r="Z13" s="2">
        <f t="shared" si="3"/>
        <v>0.9697265625</v>
      </c>
      <c r="AA13" s="2">
        <f t="shared" si="2"/>
        <v>-6.2491453309532208E-4</v>
      </c>
      <c r="AB13" s="2">
        <f t="shared" si="4"/>
        <v>-2.3088455503755452E-7</v>
      </c>
      <c r="AC13" s="2">
        <f t="shared" si="5"/>
        <v>1.0118987441894075E-6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-14.618091073687083</v>
      </c>
      <c r="AI13" s="2">
        <f t="shared" si="14"/>
        <v>1761.71875</v>
      </c>
      <c r="AJ13" s="2">
        <v>7.6046371546826776</v>
      </c>
      <c r="AK13" s="2">
        <f t="shared" si="9"/>
        <v>1743.1640625</v>
      </c>
      <c r="AL13" s="2">
        <v>-3.5026136386152302</v>
      </c>
      <c r="AM13" s="2">
        <f t="shared" si="10"/>
        <v>51.201525165215934</v>
      </c>
      <c r="AN13" s="2">
        <f t="shared" si="11"/>
        <v>-26.636105814711666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70.220872443258799</v>
      </c>
      <c r="H14" s="6" t="s">
        <v>10</v>
      </c>
      <c r="J14" s="9" t="s">
        <v>75</v>
      </c>
      <c r="K14" s="17">
        <f>C5</f>
        <v>1749.0143438294999</v>
      </c>
      <c r="L14" s="6" t="s">
        <v>7</v>
      </c>
      <c r="N14" s="6" t="s">
        <v>40</v>
      </c>
      <c r="O14" s="6">
        <f xml:space="preserve"> O5 * O13 * $C$12</f>
        <v>1377.2105514084981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3.694658114189453E-4</v>
      </c>
      <c r="X14" s="2">
        <f t="shared" si="8"/>
        <v>0.9697265625</v>
      </c>
      <c r="Y14" s="2">
        <f t="shared" si="1"/>
        <v>-6.2491453309532208E-4</v>
      </c>
      <c r="Z14" s="2">
        <f t="shared" si="3"/>
        <v>0.96923828125</v>
      </c>
      <c r="AA14" s="2">
        <f t="shared" si="2"/>
        <v>-1.2772879968381279E-4</v>
      </c>
      <c r="AB14" s="2">
        <f t="shared" si="4"/>
        <v>-4.7191424616747815E-8</v>
      </c>
      <c r="AC14" s="2">
        <f t="shared" si="5"/>
        <v>7.9819583217235793E-8</v>
      </c>
      <c r="AD14" s="2">
        <f t="shared" si="6"/>
        <v>9.765625E-4</v>
      </c>
      <c r="AF14" s="2">
        <v>10</v>
      </c>
      <c r="AG14" s="2">
        <f t="shared" si="13"/>
        <v>1743.1640625</v>
      </c>
      <c r="AH14" s="2">
        <v>-3.5026136386152302</v>
      </c>
      <c r="AI14" s="2">
        <f t="shared" si="14"/>
        <v>1761.71875</v>
      </c>
      <c r="AJ14" s="2">
        <v>7.6046371546826776</v>
      </c>
      <c r="AK14" s="2">
        <f t="shared" si="9"/>
        <v>1752.44140625</v>
      </c>
      <c r="AL14" s="2">
        <v>2.0520486983618866</v>
      </c>
      <c r="AM14" s="2">
        <f t="shared" si="10"/>
        <v>-7.1875337579849745</v>
      </c>
      <c r="AN14" s="2">
        <f t="shared" si="11"/>
        <v>15.605085774781029</v>
      </c>
      <c r="AO14" s="2">
        <f t="shared" si="12"/>
        <v>18.5546875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0.21104983966303409</v>
      </c>
      <c r="H15" s="6" t="s">
        <v>120</v>
      </c>
      <c r="J15" s="10" t="s">
        <v>53</v>
      </c>
      <c r="K15" s="6">
        <f xml:space="preserve"> 1000 * K10 / ($C$60 * $C$61 * $C$62)</f>
        <v>234.8760648452463</v>
      </c>
      <c r="L15" s="6" t="s">
        <v>7</v>
      </c>
      <c r="N15" s="6" t="s">
        <v>140</v>
      </c>
      <c r="O15" s="6">
        <f>O4/O14</f>
        <v>12.446396754347314</v>
      </c>
      <c r="U15" s="2">
        <v>11</v>
      </c>
      <c r="V15" s="2">
        <f t="shared" si="7"/>
        <v>0.96875</v>
      </c>
      <c r="W15" s="2">
        <f t="shared" si="0"/>
        <v>3.694658114189453E-4</v>
      </c>
      <c r="X15" s="2">
        <f t="shared" si="8"/>
        <v>0.96923828125</v>
      </c>
      <c r="Y15" s="2">
        <f t="shared" si="1"/>
        <v>-1.2772879968381279E-4</v>
      </c>
      <c r="Z15" s="2">
        <f t="shared" si="3"/>
        <v>0.968994140625</v>
      </c>
      <c r="AA15" s="2">
        <f t="shared" si="2"/>
        <v>1.2086739532968238E-4</v>
      </c>
      <c r="AB15" s="2">
        <f t="shared" si="4"/>
        <v>4.4656370289575543E-8</v>
      </c>
      <c r="AC15" s="2">
        <f t="shared" si="5"/>
        <v>-1.5438247326369211E-8</v>
      </c>
      <c r="AD15" s="2">
        <f t="shared" si="6"/>
        <v>4.8828125E-4</v>
      </c>
      <c r="AF15" s="2">
        <v>11</v>
      </c>
      <c r="AG15" s="2">
        <f t="shared" si="13"/>
        <v>1743.1640625</v>
      </c>
      <c r="AH15" s="2">
        <v>-3.5026136386152302</v>
      </c>
      <c r="AI15" s="2">
        <f t="shared" si="14"/>
        <v>1752.44140625</v>
      </c>
      <c r="AJ15" s="2">
        <v>2.0520486983618866</v>
      </c>
      <c r="AK15" s="2">
        <f t="shared" si="9"/>
        <v>1747.802734375</v>
      </c>
      <c r="AL15" s="2">
        <v>-0.72502427324843666</v>
      </c>
      <c r="AM15" s="2">
        <f t="shared" si="10"/>
        <v>2.5394799078070696</v>
      </c>
      <c r="AN15" s="2">
        <f t="shared" si="11"/>
        <v>-1.4877851162002274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1377.2105514084981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126.87521020755551</v>
      </c>
      <c r="L16" s="6" t="s">
        <v>7</v>
      </c>
      <c r="N16" s="6" t="s">
        <v>111</v>
      </c>
      <c r="O16" s="6">
        <f>(O13*$C$12)/(0.3048^2)/($C$5*2.20462/1000)^(2/3)</f>
        <v>2.6587570045901647</v>
      </c>
      <c r="U16" s="2">
        <v>12</v>
      </c>
      <c r="V16" s="2">
        <f t="shared" si="7"/>
        <v>0.968994140625</v>
      </c>
      <c r="W16" s="2">
        <f t="shared" si="0"/>
        <v>1.2086739532968238E-4</v>
      </c>
      <c r="X16" s="2">
        <f t="shared" si="8"/>
        <v>0.96923828125</v>
      </c>
      <c r="Y16" s="2">
        <f t="shared" si="1"/>
        <v>-1.2772879968381279E-4</v>
      </c>
      <c r="Z16" s="2">
        <f t="shared" si="3"/>
        <v>0.9691162109375</v>
      </c>
      <c r="AA16" s="2">
        <f t="shared" si="2"/>
        <v>-3.4309797081188975E-6</v>
      </c>
      <c r="AB16" s="2">
        <f t="shared" si="4"/>
        <v>-4.1469358074932505E-10</v>
      </c>
      <c r="AC16" s="2">
        <f t="shared" si="5"/>
        <v>4.3823491985754512E-10</v>
      </c>
      <c r="AD16" s="2">
        <f t="shared" si="6"/>
        <v>2.44140625E-4</v>
      </c>
      <c r="AF16" s="2">
        <v>12</v>
      </c>
      <c r="AG16" s="2">
        <f t="shared" si="13"/>
        <v>1747.802734375</v>
      </c>
      <c r="AH16" s="2">
        <v>-0.72502427324843666</v>
      </c>
      <c r="AI16" s="2">
        <f t="shared" si="14"/>
        <v>1752.44140625</v>
      </c>
      <c r="AJ16" s="2">
        <v>2.0520486983618866</v>
      </c>
      <c r="AK16" s="2">
        <f t="shared" si="9"/>
        <v>1750.1220703125</v>
      </c>
      <c r="AL16" s="2">
        <v>0.66357695768874692</v>
      </c>
      <c r="AM16" s="2">
        <f t="shared" si="10"/>
        <v>-0.48110940149269232</v>
      </c>
      <c r="AN16" s="2">
        <f t="shared" si="11"/>
        <v>1.3616922322881337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96.723034442293269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0.968994140625</v>
      </c>
      <c r="W17" s="2">
        <f t="shared" si="0"/>
        <v>1.2086739532968238E-4</v>
      </c>
      <c r="X17" s="2">
        <f t="shared" si="8"/>
        <v>0.9691162109375</v>
      </c>
      <c r="Y17" s="2">
        <f t="shared" si="1"/>
        <v>-3.4309797081188975E-6</v>
      </c>
      <c r="Z17" s="2">
        <f t="shared" si="3"/>
        <v>0.96905517578125</v>
      </c>
      <c r="AA17" s="2">
        <f t="shared" si="2"/>
        <v>5.8718138415070342E-5</v>
      </c>
      <c r="AB17" s="2">
        <f t="shared" si="4"/>
        <v>7.097108448837317E-9</v>
      </c>
      <c r="AC17" s="2">
        <f t="shared" si="5"/>
        <v>-2.0146074140062306E-10</v>
      </c>
      <c r="AD17" s="2">
        <f t="shared" si="6"/>
        <v>1.220703125E-4</v>
      </c>
      <c r="AF17" s="2">
        <v>13</v>
      </c>
      <c r="AG17" s="2">
        <f t="shared" si="13"/>
        <v>1747.802734375</v>
      </c>
      <c r="AH17" s="2">
        <v>-0.72502427324843666</v>
      </c>
      <c r="AI17" s="2">
        <f t="shared" si="14"/>
        <v>1750.1220703125</v>
      </c>
      <c r="AJ17" s="2">
        <v>0.66357695768874692</v>
      </c>
      <c r="AK17" s="2">
        <f t="shared" si="9"/>
        <v>1748.96240234375</v>
      </c>
      <c r="AL17" s="2">
        <v>-3.0707426672734073E-2</v>
      </c>
      <c r="AM17" s="2">
        <f t="shared" si="10"/>
        <v>2.2263629706728679E-2</v>
      </c>
      <c r="AN17" s="2">
        <f t="shared" si="11"/>
        <v>-2.0376740769943155E-2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1.452846787150641</v>
      </c>
      <c r="H18" s="6" t="s">
        <v>172</v>
      </c>
      <c r="J18" s="12" t="s">
        <v>54</v>
      </c>
      <c r="K18" s="6">
        <f xml:space="preserve"> $C$78 * (0.2138 * K4 + 0.2138 * K6)</f>
        <v>78.663230155154238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0.96905517578125</v>
      </c>
      <c r="W18" s="2">
        <f t="shared" si="0"/>
        <v>5.8718138415070342E-5</v>
      </c>
      <c r="X18" s="2">
        <f t="shared" si="8"/>
        <v>0.9691162109375</v>
      </c>
      <c r="Y18" s="2">
        <f t="shared" si="1"/>
        <v>-3.4309797081188975E-6</v>
      </c>
      <c r="Z18" s="2">
        <f t="shared" si="3"/>
        <v>0.969085693359375</v>
      </c>
      <c r="AA18" s="2">
        <f t="shared" si="2"/>
        <v>2.764356200612994E-5</v>
      </c>
      <c r="AB18" s="2">
        <f t="shared" si="4"/>
        <v>1.6231785001615175E-9</v>
      </c>
      <c r="AC18" s="2">
        <f t="shared" si="5"/>
        <v>-9.4844500303158352E-11</v>
      </c>
      <c r="AD18" s="2">
        <f t="shared" si="6"/>
        <v>6.103515625E-5</v>
      </c>
      <c r="AF18" s="2">
        <v>14</v>
      </c>
      <c r="AG18" s="2">
        <f t="shared" si="13"/>
        <v>1748.96240234375</v>
      </c>
      <c r="AH18" s="2">
        <v>-3.0707426672734073E-2</v>
      </c>
      <c r="AI18" s="2">
        <f t="shared" si="14"/>
        <v>1750.1220703125</v>
      </c>
      <c r="AJ18" s="2">
        <v>0.66357695768874692</v>
      </c>
      <c r="AK18" s="2">
        <f t="shared" si="9"/>
        <v>1749.542236328125</v>
      </c>
      <c r="AL18" s="2">
        <v>0.3164388561801843</v>
      </c>
      <c r="AM18" s="2">
        <f t="shared" si="10"/>
        <v>-9.7170229725568533E-3</v>
      </c>
      <c r="AN18" s="2">
        <f t="shared" si="11"/>
        <v>0.20998153347855364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4.0777606252792149E-2</v>
      </c>
      <c r="J19" s="12" t="s">
        <v>73</v>
      </c>
      <c r="K19" s="6">
        <f xml:space="preserve"> $C$78 * (0.1149 * K4 + 0.1149 * K6)</f>
        <v>42.275047450080557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0.969085693359375</v>
      </c>
      <c r="W19" s="2">
        <f t="shared" si="0"/>
        <v>2.764356200612994E-5</v>
      </c>
      <c r="X19" s="2">
        <f t="shared" si="8"/>
        <v>0.9691162109375</v>
      </c>
      <c r="Y19" s="2">
        <f t="shared" si="1"/>
        <v>-3.4309797081188975E-6</v>
      </c>
      <c r="Z19" s="2">
        <f t="shared" si="3"/>
        <v>0.9691009521484375</v>
      </c>
      <c r="AA19" s="2">
        <f t="shared" si="2"/>
        <v>1.2106286812363365E-5</v>
      </c>
      <c r="AB19" s="2">
        <f t="shared" si="4"/>
        <v>3.3466089016155985E-10</v>
      </c>
      <c r="AC19" s="2">
        <f t="shared" si="5"/>
        <v>-4.1536424393886118E-11</v>
      </c>
      <c r="AD19" s="2">
        <f t="shared" si="6"/>
        <v>3.0517578125E-5</v>
      </c>
      <c r="AF19" s="2">
        <v>15</v>
      </c>
      <c r="AG19" s="2">
        <f t="shared" si="13"/>
        <v>1748.96240234375</v>
      </c>
      <c r="AH19" s="2">
        <v>-3.0707426672734073E-2</v>
      </c>
      <c r="AI19" s="2">
        <f t="shared" si="14"/>
        <v>1749.542236328125</v>
      </c>
      <c r="AJ19" s="2">
        <v>0.66357695768874692</v>
      </c>
      <c r="AK19" s="2">
        <f t="shared" si="9"/>
        <v>1749.2523193359375</v>
      </c>
      <c r="AL19" s="2">
        <v>0.4900087758915106</v>
      </c>
      <c r="AM19" s="2">
        <f t="shared" si="10"/>
        <v>-1.5046908554684746E-2</v>
      </c>
      <c r="AN19" s="2">
        <f t="shared" si="11"/>
        <v>0.32515853274687562</v>
      </c>
      <c r="AO19" s="2">
        <f t="shared" si="12"/>
        <v>0.579833984375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96.723034442293269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207.92551031911617</v>
      </c>
      <c r="L20" s="6" t="s">
        <v>7</v>
      </c>
      <c r="N20" s="6" t="s">
        <v>20</v>
      </c>
      <c r="O20" s="6">
        <f xml:space="preserve"> O14 / $C$28</f>
        <v>1377.2105514084981</v>
      </c>
      <c r="P20" s="6" t="s">
        <v>21</v>
      </c>
      <c r="U20" s="2">
        <v>16</v>
      </c>
      <c r="V20" s="2">
        <f t="shared" si="7"/>
        <v>0.9691009521484375</v>
      </c>
      <c r="W20" s="2">
        <f t="shared" si="0"/>
        <v>1.2106286812363365E-5</v>
      </c>
      <c r="X20" s="2">
        <f t="shared" si="8"/>
        <v>0.9691162109375</v>
      </c>
      <c r="Y20" s="2">
        <f t="shared" si="1"/>
        <v>-3.4309797081188975E-6</v>
      </c>
      <c r="Z20" s="2">
        <f t="shared" si="3"/>
        <v>0.96910858154296875</v>
      </c>
      <c r="AA20" s="2">
        <f t="shared" si="2"/>
        <v>4.3376524679894501E-6</v>
      </c>
      <c r="AB20" s="2">
        <f t="shared" si="4"/>
        <v>5.2512864869836081E-11</v>
      </c>
      <c r="AC20" s="2">
        <f t="shared" si="5"/>
        <v>-1.488239759854366E-11</v>
      </c>
      <c r="AD20" s="2">
        <f t="shared" si="6"/>
        <v>1.52587890625E-5</v>
      </c>
      <c r="AF20" s="2">
        <v>16</v>
      </c>
      <c r="AG20" s="2">
        <f t="shared" si="13"/>
        <v>1748.96240234375</v>
      </c>
      <c r="AH20" s="2">
        <v>-3.0707426672734073E-2</v>
      </c>
      <c r="AI20" s="2">
        <f t="shared" si="14"/>
        <v>1749.2523193359375</v>
      </c>
      <c r="AJ20" s="2">
        <v>0.66357695768874692</v>
      </c>
      <c r="AK20" s="2">
        <f t="shared" si="9"/>
        <v>1749.1073608398438</v>
      </c>
      <c r="AL20" s="2">
        <v>0.57679323803813531</v>
      </c>
      <c r="AM20" s="2">
        <f t="shared" si="10"/>
        <v>-1.7711836062384891E-2</v>
      </c>
      <c r="AN20" s="2">
        <f t="shared" si="11"/>
        <v>0.38274670211278705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45.474372939567004</v>
      </c>
      <c r="L21" s="6" t="s">
        <v>7</v>
      </c>
      <c r="N21" s="6" t="s">
        <v>27</v>
      </c>
      <c r="O21" s="6">
        <f>$C$6*2*PI()/60</f>
        <v>44.032231671404908</v>
      </c>
      <c r="P21" s="6" t="s">
        <v>28</v>
      </c>
      <c r="U21" s="2">
        <v>17</v>
      </c>
      <c r="V21" s="2">
        <f t="shared" si="7"/>
        <v>0.96910858154296875</v>
      </c>
      <c r="W21" s="2">
        <f t="shared" si="0"/>
        <v>4.3376524679894501E-6</v>
      </c>
      <c r="X21" s="2">
        <f t="shared" si="8"/>
        <v>0.9691162109375</v>
      </c>
      <c r="Y21" s="2">
        <f t="shared" si="1"/>
        <v>-3.4309797081188975E-6</v>
      </c>
      <c r="Z21" s="2">
        <f t="shared" si="3"/>
        <v>0.96911239624023438</v>
      </c>
      <c r="AA21" s="2">
        <f t="shared" si="2"/>
        <v>4.5333610887432485E-7</v>
      </c>
      <c r="AB21" s="2">
        <f t="shared" si="4"/>
        <v>1.9664144914874492E-12</v>
      </c>
      <c r="AC21" s="2">
        <f t="shared" si="5"/>
        <v>-1.5553869905053879E-12</v>
      </c>
      <c r="AD21" s="2">
        <f t="shared" si="6"/>
        <v>7.62939453125E-6</v>
      </c>
      <c r="AF21" s="2">
        <v>17</v>
      </c>
      <c r="AG21" s="2">
        <f t="shared" si="13"/>
        <v>1748.96240234375</v>
      </c>
      <c r="AH21" s="2">
        <v>-3.0707426672734073E-2</v>
      </c>
      <c r="AI21" s="2">
        <f t="shared" si="14"/>
        <v>1749.1073608398438</v>
      </c>
      <c r="AJ21" s="2">
        <v>0.66357695768874692</v>
      </c>
      <c r="AK21" s="2">
        <f t="shared" si="9"/>
        <v>1749.0348815917969</v>
      </c>
      <c r="AL21" s="2">
        <v>0.62018503669946767</v>
      </c>
      <c r="AM21" s="2">
        <f t="shared" si="10"/>
        <v>-1.9044286537975793E-2</v>
      </c>
      <c r="AN21" s="2">
        <f t="shared" si="11"/>
        <v>0.4115404998571166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287.64538497627575</v>
      </c>
      <c r="L22" s="6" t="s">
        <v>7</v>
      </c>
      <c r="N22" s="6" t="s">
        <v>29</v>
      </c>
      <c r="O22" s="6">
        <f xml:space="preserve"> $C$7 * COS(O19/180*PI()) / (O21 * $C$10)</f>
        <v>8.3227611425782458E-2</v>
      </c>
      <c r="U22" s="2">
        <v>18</v>
      </c>
      <c r="V22" s="2">
        <f t="shared" si="7"/>
        <v>0.96911239624023438</v>
      </c>
      <c r="W22" s="2">
        <f t="shared" si="0"/>
        <v>4.5333610887432485E-7</v>
      </c>
      <c r="X22" s="2">
        <f t="shared" si="8"/>
        <v>0.9691162109375</v>
      </c>
      <c r="Y22" s="2">
        <f t="shared" si="1"/>
        <v>-3.4309797081188975E-6</v>
      </c>
      <c r="Z22" s="2">
        <f t="shared" si="3"/>
        <v>0.96911430358886719</v>
      </c>
      <c r="AA22" s="2">
        <f t="shared" si="2"/>
        <v>-1.4888218673458908E-6</v>
      </c>
      <c r="AB22" s="2">
        <f t="shared" si="4"/>
        <v>-6.7493671214959235E-13</v>
      </c>
      <c r="AC22" s="2">
        <f t="shared" si="5"/>
        <v>5.1081176158674362E-12</v>
      </c>
      <c r="AD22" s="2">
        <f t="shared" si="6"/>
        <v>3.814697265625E-6</v>
      </c>
      <c r="AF22" s="2">
        <v>18</v>
      </c>
      <c r="AG22" s="2">
        <f t="shared" si="13"/>
        <v>1748.96240234375</v>
      </c>
      <c r="AH22" s="2">
        <v>-3.0707426672734073E-2</v>
      </c>
      <c r="AI22" s="2">
        <f t="shared" si="14"/>
        <v>1749.0348815917969</v>
      </c>
      <c r="AJ22" s="2">
        <v>0.66357695768874692</v>
      </c>
      <c r="AK22" s="2">
        <f t="shared" si="9"/>
        <v>1748.9986419677734</v>
      </c>
      <c r="AL22" s="2">
        <v>0.64188113588534179</v>
      </c>
      <c r="AM22" s="2">
        <f t="shared" si="10"/>
        <v>-1.9710517912810387E-2</v>
      </c>
      <c r="AN22" s="2">
        <f t="shared" si="11"/>
        <v>0.42593753134859225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20.252147412479967</v>
      </c>
      <c r="L23" s="6" t="s">
        <v>7</v>
      </c>
      <c r="N23" s="6" t="s">
        <v>30</v>
      </c>
      <c r="O23" s="6">
        <f xml:space="preserve"> O20 / ( $C$71 * PI() * $C$10^2 * O21^2 * $C$10^2)</f>
        <v>3.4660267572375329E-2</v>
      </c>
      <c r="U23" s="2">
        <v>19</v>
      </c>
      <c r="V23" s="2">
        <f t="shared" si="7"/>
        <v>0.96911239624023438</v>
      </c>
      <c r="W23" s="2">
        <f t="shared" si="0"/>
        <v>4.5333610887432485E-7</v>
      </c>
      <c r="X23" s="2">
        <f t="shared" si="8"/>
        <v>0.96911430358886719</v>
      </c>
      <c r="Y23" s="2">
        <f t="shared" si="1"/>
        <v>-1.4888218673458908E-6</v>
      </c>
      <c r="Z23" s="2">
        <f t="shared" si="3"/>
        <v>0.96911334991455078</v>
      </c>
      <c r="AA23" s="2">
        <f t="shared" si="2"/>
        <v>-5.1774289622219527E-7</v>
      </c>
      <c r="AB23" s="2">
        <f t="shared" si="4"/>
        <v>-2.347115499706934E-13</v>
      </c>
      <c r="AC23" s="2">
        <f t="shared" si="5"/>
        <v>7.7082694555859851E-13</v>
      </c>
      <c r="AD23" s="2">
        <f t="shared" si="6"/>
        <v>1.9073486328125E-6</v>
      </c>
      <c r="AF23" s="2">
        <v>19</v>
      </c>
      <c r="AG23" s="2">
        <f t="shared" si="13"/>
        <v>1748.96240234375</v>
      </c>
      <c r="AH23" s="2">
        <v>-3.0707426672734073E-2</v>
      </c>
      <c r="AI23" s="2">
        <f t="shared" si="14"/>
        <v>1748.9986419677734</v>
      </c>
      <c r="AJ23" s="2">
        <v>0.66357695768874692</v>
      </c>
      <c r="AK23" s="2">
        <f t="shared" si="9"/>
        <v>1748.9805221557617</v>
      </c>
      <c r="AL23" s="2">
        <v>0.65272892747702826</v>
      </c>
      <c r="AM23" s="2">
        <f t="shared" si="10"/>
        <v>-2.0043625677673201E-2</v>
      </c>
      <c r="AN23" s="2">
        <f t="shared" si="11"/>
        <v>0.43313587589064512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7.6071010935840375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0.96911239624023438</v>
      </c>
      <c r="W24" s="2">
        <f t="shared" si="0"/>
        <v>4.5333610887432485E-7</v>
      </c>
      <c r="X24" s="2">
        <f t="shared" si="8"/>
        <v>0.96911334991455078</v>
      </c>
      <c r="Y24" s="2">
        <f t="shared" si="1"/>
        <v>-5.1774289622219527E-7</v>
      </c>
      <c r="Z24" s="2">
        <f t="shared" si="3"/>
        <v>0.96911287307739258</v>
      </c>
      <c r="AA24" s="2">
        <f t="shared" si="2"/>
        <v>-3.2203397837271552E-8</v>
      </c>
      <c r="AB24" s="2">
        <f t="shared" si="4"/>
        <v>-1.4598963068080535E-14</v>
      </c>
      <c r="AC24" s="2">
        <f t="shared" si="5"/>
        <v>1.6673080464464553E-14</v>
      </c>
      <c r="AD24" s="2">
        <f t="shared" si="6"/>
        <v>9.5367431640625E-7</v>
      </c>
      <c r="AF24" s="2">
        <v>20</v>
      </c>
      <c r="AG24" s="2">
        <f t="shared" si="13"/>
        <v>1748.96240234375</v>
      </c>
      <c r="AH24" s="2">
        <v>-3.0707426672734073E-2</v>
      </c>
      <c r="AI24" s="2">
        <f t="shared" si="14"/>
        <v>1748.9805221557617</v>
      </c>
      <c r="AJ24" s="2">
        <v>0.66357695768874692</v>
      </c>
      <c r="AK24" s="2">
        <f t="shared" si="9"/>
        <v>1748.9714622497559</v>
      </c>
      <c r="AL24" s="2">
        <v>0.65815294355206788</v>
      </c>
      <c r="AM24" s="2">
        <f t="shared" si="10"/>
        <v>-2.021018325356921E-2</v>
      </c>
      <c r="AN24" s="2">
        <f t="shared" si="11"/>
        <v>0.43673512797617481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14.298801656689749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2723.4087302512407</v>
      </c>
      <c r="P25" s="6" t="s">
        <v>19</v>
      </c>
      <c r="U25" s="2">
        <v>21</v>
      </c>
      <c r="V25" s="2">
        <f t="shared" si="7"/>
        <v>0.96911239624023438</v>
      </c>
      <c r="W25" s="2">
        <f t="shared" si="0"/>
        <v>4.5333610887432485E-7</v>
      </c>
      <c r="X25" s="2">
        <f t="shared" si="8"/>
        <v>0.96911287307739258</v>
      </c>
      <c r="Y25" s="2">
        <f t="shared" si="1"/>
        <v>-3.2203397837271552E-8</v>
      </c>
      <c r="Z25" s="2">
        <f t="shared" si="3"/>
        <v>0.96911263465881348</v>
      </c>
      <c r="AA25" s="2">
        <f t="shared" si="2"/>
        <v>2.1056635446381478E-7</v>
      </c>
      <c r="AB25" s="2">
        <f t="shared" si="4"/>
        <v>9.545733179247761E-14</v>
      </c>
      <c r="AC25" s="2">
        <f t="shared" si="5"/>
        <v>-6.7809520839421678E-15</v>
      </c>
      <c r="AD25" s="2">
        <f t="shared" si="6"/>
        <v>4.76837158203125E-7</v>
      </c>
      <c r="AF25" s="2">
        <v>21</v>
      </c>
      <c r="AG25" s="2">
        <f t="shared" si="13"/>
        <v>1748.96240234375</v>
      </c>
      <c r="AH25" s="2">
        <v>-3.0707426672734073E-2</v>
      </c>
      <c r="AI25" s="2">
        <f t="shared" si="14"/>
        <v>1748.9714622497559</v>
      </c>
      <c r="AJ25" s="2">
        <v>0.66357695768874692</v>
      </c>
      <c r="AK25" s="2">
        <f t="shared" si="9"/>
        <v>1748.9669322967529</v>
      </c>
      <c r="AL25" s="2">
        <v>0.66086495086210562</v>
      </c>
      <c r="AM25" s="2">
        <f t="shared" si="10"/>
        <v>-2.0293462019178116E-2</v>
      </c>
      <c r="AN25" s="2">
        <f t="shared" si="11"/>
        <v>0.43853475353619925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2142.8685858034692</v>
      </c>
      <c r="H26" s="6" t="s">
        <v>21</v>
      </c>
      <c r="J26" s="14" t="s">
        <v>65</v>
      </c>
      <c r="K26" s="6">
        <f xml:space="preserve"> $C$80 * (0.0268 * $C$5)</f>
        <v>37.498867531704484</v>
      </c>
      <c r="L26" s="6" t="s">
        <v>7</v>
      </c>
      <c r="N26" s="6" t="s">
        <v>32</v>
      </c>
      <c r="O26" s="17">
        <f>Z34</f>
        <v>0.96911284187808633</v>
      </c>
      <c r="U26" s="2">
        <v>22</v>
      </c>
      <c r="V26" s="2">
        <f t="shared" si="7"/>
        <v>0.96911263465881348</v>
      </c>
      <c r="W26" s="2">
        <f t="shared" si="0"/>
        <v>2.1056635446381478E-7</v>
      </c>
      <c r="X26" s="2">
        <f t="shared" si="8"/>
        <v>0.96911287307739258</v>
      </c>
      <c r="Y26" s="2">
        <f t="shared" si="1"/>
        <v>-3.2203397837271552E-8</v>
      </c>
      <c r="Z26" s="2">
        <f t="shared" si="3"/>
        <v>0.96911275386810303</v>
      </c>
      <c r="AA26" s="2">
        <f t="shared" si="2"/>
        <v>8.9181477980204704E-8</v>
      </c>
      <c r="AB26" s="2">
        <f t="shared" si="4"/>
        <v>1.8778618703986675E-14</v>
      </c>
      <c r="AC26" s="2">
        <f t="shared" si="5"/>
        <v>-2.8719466151124047E-15</v>
      </c>
      <c r="AD26" s="2">
        <f t="shared" si="6"/>
        <v>2.384185791015625E-7</v>
      </c>
      <c r="AF26" s="2">
        <v>22</v>
      </c>
      <c r="AG26" s="2">
        <f t="shared" si="13"/>
        <v>1748.96240234375</v>
      </c>
      <c r="AH26" s="2">
        <v>-3.0707426672734073E-2</v>
      </c>
      <c r="AI26" s="2">
        <f t="shared" si="14"/>
        <v>1748.9669322967529</v>
      </c>
      <c r="AJ26" s="2">
        <v>0.66357695768874692</v>
      </c>
      <c r="AK26" s="2">
        <f t="shared" si="9"/>
        <v>1748.9646673202515</v>
      </c>
      <c r="AL26" s="2">
        <v>0.66222095433613504</v>
      </c>
      <c r="AM26" s="2">
        <f t="shared" si="10"/>
        <v>-2.0335101396424846E-2</v>
      </c>
      <c r="AN26" s="2">
        <f t="shared" si="11"/>
        <v>0.4394345661961111</v>
      </c>
      <c r="AO26" s="2">
        <f t="shared" si="12"/>
        <v>4.5299530029296875E-3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22.313863910479828</v>
      </c>
      <c r="H27" t="s">
        <v>97</v>
      </c>
      <c r="J27" s="14" t="s">
        <v>66</v>
      </c>
      <c r="K27" s="6">
        <f xml:space="preserve"> $C$80 * (11.5 * ($C$5*2.20462/1000)^0.4 * 0.453592)</f>
        <v>7.1598522328567418</v>
      </c>
      <c r="L27" s="6" t="s">
        <v>7</v>
      </c>
      <c r="N27" s="6" t="s">
        <v>33</v>
      </c>
      <c r="O27" s="6">
        <f xml:space="preserve"> O21 * $C$10 * O26 - $C$7 * SIN(O19/180*PI())</f>
        <v>1.25111757740504</v>
      </c>
      <c r="P27" s="6" t="s">
        <v>10</v>
      </c>
      <c r="U27" s="2">
        <v>23</v>
      </c>
      <c r="V27" s="2">
        <f t="shared" si="7"/>
        <v>0.96911275386810303</v>
      </c>
      <c r="W27" s="2">
        <f t="shared" si="0"/>
        <v>8.9181477980204704E-8</v>
      </c>
      <c r="X27" s="2">
        <f t="shared" si="8"/>
        <v>0.96911287307739258</v>
      </c>
      <c r="Y27" s="2">
        <f t="shared" si="1"/>
        <v>-3.2203397837271552E-8</v>
      </c>
      <c r="Z27" s="2">
        <f t="shared" si="3"/>
        <v>0.9691128134727478</v>
      </c>
      <c r="AA27" s="2">
        <f t="shared" si="2"/>
        <v>2.8489040015955425E-8</v>
      </c>
      <c r="AB27" s="2">
        <f t="shared" si="4"/>
        <v>2.5406946948600993E-15</v>
      </c>
      <c r="AC27" s="2">
        <f t="shared" si="5"/>
        <v>-9.1744388963576168E-16</v>
      </c>
      <c r="AD27" s="2">
        <f t="shared" si="6"/>
        <v>1.1920928955078125E-7</v>
      </c>
      <c r="AF27" s="2">
        <v>23</v>
      </c>
      <c r="AG27" s="2">
        <f t="shared" si="13"/>
        <v>1748.96240234375</v>
      </c>
      <c r="AH27" s="2">
        <v>-3.0707426672734073E-2</v>
      </c>
      <c r="AI27" s="2">
        <f t="shared" si="14"/>
        <v>1748.9646673202515</v>
      </c>
      <c r="AJ27" s="2">
        <v>0.66357695768874692</v>
      </c>
      <c r="AK27" s="2">
        <f t="shared" si="9"/>
        <v>1748.9635348320007</v>
      </c>
      <c r="AL27" s="2">
        <v>0.66289907921418489</v>
      </c>
      <c r="AM27" s="2">
        <f t="shared" si="10"/>
        <v>-2.0355924866392518E-2</v>
      </c>
      <c r="AN27" s="2">
        <f t="shared" si="11"/>
        <v>0.43988455423962047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9.7978007688757227</v>
      </c>
      <c r="H28" s="6" t="s">
        <v>172</v>
      </c>
      <c r="J28" s="14" t="s">
        <v>67</v>
      </c>
      <c r="K28" s="6">
        <f xml:space="preserve"> $C$80 * (8 * ($C$5/1000))</f>
        <v>11.1936918005088</v>
      </c>
      <c r="L28" s="6" t="s">
        <v>7</v>
      </c>
      <c r="N28" s="6" t="s">
        <v>34</v>
      </c>
      <c r="O28" s="6">
        <f xml:space="preserve"> 1/$C$31 - O25 * SQRT( (2*$C$71*PI()*$C$10^2) / O20^3 )</f>
        <v>1.1194163304122631</v>
      </c>
      <c r="U28" s="2">
        <v>24</v>
      </c>
      <c r="V28" s="2">
        <f t="shared" si="7"/>
        <v>0.9691128134727478</v>
      </c>
      <c r="W28" s="2">
        <f t="shared" si="0"/>
        <v>2.8489040015955425E-8</v>
      </c>
      <c r="X28" s="2">
        <f t="shared" si="8"/>
        <v>0.96911287307739258</v>
      </c>
      <c r="Y28" s="2">
        <f t="shared" si="1"/>
        <v>-3.2203397837271552E-8</v>
      </c>
      <c r="Z28" s="2">
        <f t="shared" si="3"/>
        <v>0.96911284327507019</v>
      </c>
      <c r="AA28" s="2">
        <f t="shared" si="2"/>
        <v>-1.8571789661692151E-9</v>
      </c>
      <c r="AB28" s="2">
        <f t="shared" si="4"/>
        <v>-5.2909245883985494E-17</v>
      </c>
      <c r="AC28" s="2">
        <f t="shared" si="5"/>
        <v>5.9807473102559918E-17</v>
      </c>
      <c r="AD28" s="2">
        <f t="shared" si="6"/>
        <v>5.9604644775390625E-8</v>
      </c>
      <c r="AF28" s="2">
        <v>24</v>
      </c>
      <c r="AG28" s="2">
        <f t="shared" si="13"/>
        <v>1748.96240234375</v>
      </c>
      <c r="AH28" s="2">
        <v>-3.0707426672734073E-2</v>
      </c>
      <c r="AI28" s="2">
        <f t="shared" si="14"/>
        <v>1748.9635348320007</v>
      </c>
      <c r="AJ28" s="2">
        <v>0.66357695768874692</v>
      </c>
      <c r="AK28" s="2">
        <f t="shared" si="9"/>
        <v>1748.9629685878754</v>
      </c>
      <c r="AL28" s="2">
        <v>0.66323801845533126</v>
      </c>
      <c r="AM28" s="2">
        <f t="shared" si="10"/>
        <v>-2.0366332818286533E-2</v>
      </c>
      <c r="AN28" s="2">
        <f t="shared" si="11"/>
        <v>0.44010946651010169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178.51091128383862</v>
      </c>
      <c r="H29" s="22" t="s">
        <v>97</v>
      </c>
      <c r="J29" s="14" t="s">
        <v>68</v>
      </c>
      <c r="K29" s="6">
        <f xml:space="preserve"> $C$80 * (13 * ($C$5*2.20462/1000)^1.3 * 0.453592)</f>
        <v>27.268671115482604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0.9691128134727478</v>
      </c>
      <c r="W29" s="2">
        <f t="shared" si="0"/>
        <v>2.8489040015955425E-8</v>
      </c>
      <c r="X29" s="2">
        <f t="shared" si="8"/>
        <v>0.96911284327507019</v>
      </c>
      <c r="Y29" s="2">
        <f t="shared" si="1"/>
        <v>-1.8571789661692151E-9</v>
      </c>
      <c r="Z29" s="2">
        <f t="shared" si="3"/>
        <v>0.969112828373909</v>
      </c>
      <c r="AA29" s="2">
        <f t="shared" si="2"/>
        <v>1.3315930580404256E-8</v>
      </c>
      <c r="AB29" s="2">
        <f t="shared" si="4"/>
        <v>3.7935807915482139E-16</v>
      </c>
      <c r="AC29" s="2">
        <f t="shared" si="5"/>
        <v>-2.4730066188896212E-17</v>
      </c>
      <c r="AD29" s="2">
        <f t="shared" si="6"/>
        <v>2.9802322387695312E-8</v>
      </c>
      <c r="AF29" s="2">
        <v>25</v>
      </c>
      <c r="AG29" s="2">
        <f t="shared" si="13"/>
        <v>1748.96240234375</v>
      </c>
      <c r="AH29" s="2">
        <v>-3.0707426672734073E-2</v>
      </c>
      <c r="AI29" s="2">
        <f t="shared" si="14"/>
        <v>1748.9629685878754</v>
      </c>
      <c r="AJ29" s="2">
        <v>0.66357695768874692</v>
      </c>
      <c r="AK29" s="2">
        <f t="shared" si="9"/>
        <v>1748.9626854658127</v>
      </c>
      <c r="AL29" s="2">
        <v>0.66340748807306227</v>
      </c>
      <c r="AM29" s="2">
        <f t="shared" si="10"/>
        <v>-2.0371536794146265E-2</v>
      </c>
      <c r="AN29" s="2">
        <f t="shared" si="11"/>
        <v>0.44022192264345633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3.9009319789329311E-4</v>
      </c>
      <c r="L30" s="9" t="s">
        <v>7</v>
      </c>
      <c r="N30" s="6" t="s">
        <v>36</v>
      </c>
      <c r="O30" s="6">
        <f xml:space="preserve"> 1/$C$77 * LN( EXP($C$77 * O28) + EXP($C$77 * O29) )</f>
        <v>1.1612041333650851</v>
      </c>
      <c r="U30" s="2">
        <v>26</v>
      </c>
      <c r="V30" s="2">
        <f>IF(AB29&gt;0, Z29, V29)</f>
        <v>0.969112828373909</v>
      </c>
      <c r="W30" s="2">
        <f t="shared" si="0"/>
        <v>1.3315930580404256E-8</v>
      </c>
      <c r="X30" s="2">
        <f t="shared" si="8"/>
        <v>0.96911284327507019</v>
      </c>
      <c r="Y30" s="2">
        <f t="shared" si="1"/>
        <v>-1.8571789661692151E-9</v>
      </c>
      <c r="Z30" s="2">
        <f t="shared" si="3"/>
        <v>0.96911283582448959</v>
      </c>
      <c r="AA30" s="2">
        <f t="shared" si="2"/>
        <v>5.7293757516063692E-9</v>
      </c>
      <c r="AB30" s="2">
        <f t="shared" si="4"/>
        <v>7.6291969777441871E-17</v>
      </c>
      <c r="AC30" s="2">
        <f t="shared" si="5"/>
        <v>-1.0640476135163286E-17</v>
      </c>
      <c r="AD30" s="2">
        <f t="shared" si="6"/>
        <v>1.4901161193847656E-8</v>
      </c>
      <c r="AF30" s="2">
        <v>26</v>
      </c>
      <c r="AG30" s="2">
        <f t="shared" si="13"/>
        <v>1748.96240234375</v>
      </c>
      <c r="AH30" s="2">
        <v>-3.0707426672734073E-2</v>
      </c>
      <c r="AI30" s="2">
        <f t="shared" si="14"/>
        <v>1748.9626854658127</v>
      </c>
      <c r="AJ30" s="2">
        <v>0.66357695768874692</v>
      </c>
      <c r="AK30" s="2">
        <f t="shared" si="9"/>
        <v>1748.9625439047813</v>
      </c>
      <c r="AL30" s="2">
        <v>0.66349234606741447</v>
      </c>
      <c r="AM30" s="2">
        <f t="shared" si="10"/>
        <v>-2.0374142564785428E-2</v>
      </c>
      <c r="AN30" s="2">
        <f t="shared" si="11"/>
        <v>0.44027823245318409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0.96911283582448959</v>
      </c>
      <c r="W31" s="2">
        <f t="shared" si="0"/>
        <v>5.7293757516063692E-9</v>
      </c>
      <c r="X31" s="2">
        <f t="shared" si="8"/>
        <v>0.96911284327507019</v>
      </c>
      <c r="Y31" s="2">
        <f t="shared" si="1"/>
        <v>-1.8571789661692151E-9</v>
      </c>
      <c r="Z31" s="2">
        <f t="shared" si="3"/>
        <v>0.96911283954977989</v>
      </c>
      <c r="AA31" s="2">
        <f t="shared" si="2"/>
        <v>1.9360983927185771E-9</v>
      </c>
      <c r="AB31" s="2">
        <f t="shared" si="4"/>
        <v>1.1092635183965881E-17</v>
      </c>
      <c r="AC31" s="2">
        <f t="shared" si="5"/>
        <v>-3.595681211390966E-18</v>
      </c>
      <c r="AD31" s="2">
        <f t="shared" si="6"/>
        <v>7.4505805969238281E-9</v>
      </c>
      <c r="AF31" s="2">
        <v>27</v>
      </c>
      <c r="AG31" s="2">
        <f t="shared" si="13"/>
        <v>1748.96240234375</v>
      </c>
      <c r="AH31" s="2">
        <v>-3.0707426672734073E-2</v>
      </c>
      <c r="AI31" s="2">
        <f t="shared" si="14"/>
        <v>1748.9625439047813</v>
      </c>
      <c r="AJ31" s="2">
        <v>0.66357695768874692</v>
      </c>
      <c r="AK31" s="2">
        <f t="shared" si="9"/>
        <v>1748.9624731242657</v>
      </c>
      <c r="AL31" s="2">
        <v>0.66353452869202556</v>
      </c>
      <c r="AM31" s="2">
        <f t="shared" si="10"/>
        <v>-2.0375437884637537E-2</v>
      </c>
      <c r="AN31" s="2">
        <f t="shared" si="11"/>
        <v>0.44030622387089086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0.96911283954977989</v>
      </c>
      <c r="W32" s="2">
        <f t="shared" si="0"/>
        <v>1.9360983927185771E-9</v>
      </c>
      <c r="X32" s="2">
        <f t="shared" si="8"/>
        <v>0.96911284327507019</v>
      </c>
      <c r="Y32" s="2">
        <f t="shared" si="1"/>
        <v>-1.8571789661692151E-9</v>
      </c>
      <c r="Z32" s="2">
        <f t="shared" si="3"/>
        <v>0.96911284141242504</v>
      </c>
      <c r="AA32" s="2">
        <f t="shared" si="2"/>
        <v>3.9459768785832239E-11</v>
      </c>
      <c r="AB32" s="2">
        <f t="shared" si="4"/>
        <v>7.6397994923296476E-20</v>
      </c>
      <c r="AC32" s="2">
        <f t="shared" si="5"/>
        <v>-7.328385259894818E-20</v>
      </c>
      <c r="AD32" s="2">
        <f t="shared" si="6"/>
        <v>3.7252902984619141E-9</v>
      </c>
      <c r="AF32" s="2">
        <v>28</v>
      </c>
      <c r="AG32" s="2">
        <f t="shared" si="13"/>
        <v>1748.96240234375</v>
      </c>
      <c r="AH32" s="2">
        <v>-3.0707426672734073E-2</v>
      </c>
      <c r="AI32" s="2">
        <f t="shared" si="14"/>
        <v>1748.9624731242657</v>
      </c>
      <c r="AJ32" s="2">
        <v>0.66357695768874692</v>
      </c>
      <c r="AK32" s="2">
        <f t="shared" si="9"/>
        <v>1748.9624377340078</v>
      </c>
      <c r="AL32" s="2">
        <v>0.66355574319027255</v>
      </c>
      <c r="AM32" s="2">
        <f t="shared" si="10"/>
        <v>-2.0376089327286857E-2</v>
      </c>
      <c r="AN32" s="2">
        <f t="shared" si="11"/>
        <v>0.44032030132309652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96.723034442293269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0.96911284141242504</v>
      </c>
      <c r="W33" s="2">
        <f t="shared" si="0"/>
        <v>3.9459768785832239E-11</v>
      </c>
      <c r="X33" s="2">
        <f t="shared" si="8"/>
        <v>0.96911284327507019</v>
      </c>
      <c r="Y33" s="2">
        <f t="shared" si="1"/>
        <v>-1.8571789661692151E-9</v>
      </c>
      <c r="Z33" s="2">
        <f t="shared" si="3"/>
        <v>0.96911284234374762</v>
      </c>
      <c r="AA33" s="2">
        <f t="shared" si="2"/>
        <v>-9.0885965420284265E-10</v>
      </c>
      <c r="AB33" s="2">
        <f t="shared" si="4"/>
        <v>-3.5863391813615613E-20</v>
      </c>
      <c r="AC33" s="2">
        <f t="shared" si="5"/>
        <v>1.6879150329853456E-18</v>
      </c>
      <c r="AD33" s="2">
        <f t="shared" si="6"/>
        <v>1.862645149230957E-9</v>
      </c>
      <c r="AF33" s="2">
        <v>29</v>
      </c>
      <c r="AG33" s="2">
        <f t="shared" si="13"/>
        <v>1748.96240234375</v>
      </c>
      <c r="AH33" s="2">
        <v>-3.0707426672734073E-2</v>
      </c>
      <c r="AI33" s="2">
        <f t="shared" si="14"/>
        <v>1748.9624377340078</v>
      </c>
      <c r="AJ33" s="2">
        <v>0.66357695768874692</v>
      </c>
      <c r="AK33" s="2">
        <f t="shared" si="9"/>
        <v>1748.9624200388789</v>
      </c>
      <c r="AL33" s="2">
        <v>0.66356635043916867</v>
      </c>
      <c r="AM33" s="2">
        <f t="shared" si="10"/>
        <v>-2.0376415048604532E-2</v>
      </c>
      <c r="AN33" s="2">
        <f t="shared" si="11"/>
        <v>0.44032734004904844</v>
      </c>
      <c r="AO33" s="2">
        <f t="shared" si="12"/>
        <v>3.5390257835388184E-5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34.31</v>
      </c>
      <c r="L34" s="6" t="s">
        <v>59</v>
      </c>
      <c r="U34" s="2">
        <v>30</v>
      </c>
      <c r="V34" s="2">
        <f t="shared" si="7"/>
        <v>0.96911284141242504</v>
      </c>
      <c r="W34" s="2">
        <f t="shared" si="0"/>
        <v>3.9459768785832239E-11</v>
      </c>
      <c r="X34" s="2">
        <f t="shared" si="8"/>
        <v>0.96911284234374762</v>
      </c>
      <c r="Y34" s="2">
        <f t="shared" si="1"/>
        <v>-9.0885965420284265E-10</v>
      </c>
      <c r="Z34" s="2">
        <f t="shared" si="3"/>
        <v>0.96911284187808633</v>
      </c>
      <c r="AA34" s="2">
        <f t="shared" si="2"/>
        <v>-4.346999427085052E-10</v>
      </c>
      <c r="AB34" s="2">
        <f t="shared" si="4"/>
        <v>-1.7153159230492136E-20</v>
      </c>
      <c r="AC34" s="2">
        <f t="shared" si="5"/>
        <v>3.9508123961204755E-19</v>
      </c>
      <c r="AD34" s="2">
        <f t="shared" si="6"/>
        <v>9.3132257461547852E-10</v>
      </c>
      <c r="AF34" s="2">
        <v>30</v>
      </c>
      <c r="AG34" s="2">
        <f t="shared" si="13"/>
        <v>1748.96240234375</v>
      </c>
      <c r="AH34" s="2">
        <v>-3.0707426672734073E-2</v>
      </c>
      <c r="AI34" s="2">
        <f t="shared" si="14"/>
        <v>1748.9624200388789</v>
      </c>
      <c r="AJ34" s="2">
        <v>0.66357695768874692</v>
      </c>
      <c r="AK34" s="2">
        <f t="shared" si="9"/>
        <v>1748.9624111913145</v>
      </c>
      <c r="AL34" s="2">
        <v>0.66357165406407148</v>
      </c>
      <c r="AM34" s="2">
        <f t="shared" si="10"/>
        <v>-2.0376577909277337E-2</v>
      </c>
      <c r="AN34" s="2">
        <f t="shared" si="11"/>
        <v>0.44033085941232619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13.43</v>
      </c>
      <c r="L35" s="6" t="s">
        <v>59</v>
      </c>
      <c r="AF35" s="2">
        <v>31</v>
      </c>
      <c r="AG35" s="2">
        <f t="shared" si="13"/>
        <v>1748.96240234375</v>
      </c>
      <c r="AH35" s="2">
        <v>-3.0707426672734073E-2</v>
      </c>
      <c r="AI35" s="2">
        <f t="shared" si="14"/>
        <v>1748.9624111913145</v>
      </c>
      <c r="AJ35" s="2">
        <v>0.66357695768874692</v>
      </c>
      <c r="AK35" s="2">
        <f t="shared" si="9"/>
        <v>1748.9624067675322</v>
      </c>
      <c r="AL35" s="2">
        <v>0.66357430587618182</v>
      </c>
      <c r="AM35" s="2">
        <f t="shared" si="10"/>
        <v>-2.0376659339603264E-2</v>
      </c>
      <c r="AN35" s="2">
        <f t="shared" si="11"/>
        <v>0.44033261909373872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14.17</v>
      </c>
      <c r="L36" s="6" t="s">
        <v>59</v>
      </c>
      <c r="AF36" s="2">
        <v>32</v>
      </c>
      <c r="AG36" s="2">
        <f t="shared" si="13"/>
        <v>1748.96240234375</v>
      </c>
      <c r="AH36" s="2">
        <v>-3.0707426672734073E-2</v>
      </c>
      <c r="AI36" s="2">
        <f t="shared" si="14"/>
        <v>1748.9624067675322</v>
      </c>
      <c r="AJ36" s="2">
        <v>0.66357695768874692</v>
      </c>
      <c r="AK36" s="2">
        <f t="shared" si="9"/>
        <v>1748.9624045556411</v>
      </c>
      <c r="AL36" s="2">
        <v>0.66357563178235068</v>
      </c>
      <c r="AM36" s="2">
        <f t="shared" si="10"/>
        <v>-2.0376700054769718E-2</v>
      </c>
      <c r="AN36" s="2">
        <f t="shared" si="11"/>
        <v>0.4403334989345204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33.340000000000003</v>
      </c>
      <c r="L37" s="6" t="s">
        <v>59</v>
      </c>
      <c r="AF37" s="2">
        <v>33</v>
      </c>
      <c r="AG37" s="2">
        <f t="shared" si="13"/>
        <v>1748.96240234375</v>
      </c>
      <c r="AH37" s="2">
        <v>-3.0707426672734073E-2</v>
      </c>
      <c r="AI37" s="2">
        <f t="shared" si="14"/>
        <v>1748.9624045556411</v>
      </c>
      <c r="AJ37" s="2">
        <v>0.66357695768874692</v>
      </c>
      <c r="AK37" s="2">
        <f t="shared" si="9"/>
        <v>1748.9624034496956</v>
      </c>
      <c r="AL37" s="2">
        <v>0.66357629473577617</v>
      </c>
      <c r="AM37" s="2">
        <f t="shared" si="10"/>
        <v>-2.0376720412363419E-2</v>
      </c>
      <c r="AN37" s="2">
        <f t="shared" si="11"/>
        <v>0.44033393885513761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1748.96240234375</v>
      </c>
      <c r="AH38" s="2">
        <v>-3.0707426672734073E-2</v>
      </c>
      <c r="AI38" s="2">
        <f t="shared" si="14"/>
        <v>1748.9624034496956</v>
      </c>
      <c r="AJ38" s="2">
        <v>0.66357695768874692</v>
      </c>
      <c r="AK38" s="2">
        <f t="shared" si="9"/>
        <v>1748.9624028967228</v>
      </c>
      <c r="AL38" s="2">
        <v>0.66357662621248892</v>
      </c>
      <c r="AM38" s="2">
        <f t="shared" si="10"/>
        <v>-2.0376730591160269E-2</v>
      </c>
      <c r="AN38" s="2">
        <f t="shared" si="11"/>
        <v>0.44033415881544619</v>
      </c>
      <c r="AO38" s="2">
        <f t="shared" si="12"/>
        <v>1.1059455573558807E-6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1748.96240234375</v>
      </c>
      <c r="AH39" s="2">
        <v>-3.0707426672734073E-2</v>
      </c>
      <c r="AI39" s="2">
        <f t="shared" si="14"/>
        <v>1748.9624028967228</v>
      </c>
      <c r="AJ39" s="2">
        <v>0.66357695768874692</v>
      </c>
      <c r="AK39" s="2">
        <f t="shared" si="9"/>
        <v>1748.9624026202364</v>
      </c>
      <c r="AL39" s="2">
        <v>0.66357679195084529</v>
      </c>
      <c r="AM39" s="2">
        <f t="shared" si="10"/>
        <v>-2.0376735680558696E-2</v>
      </c>
      <c r="AN39" s="2">
        <f t="shared" si="11"/>
        <v>0.4403342687956005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1748.96240234375</v>
      </c>
      <c r="AH40" s="2">
        <v>-3.0707426672734073E-2</v>
      </c>
      <c r="AI40" s="2">
        <f t="shared" si="14"/>
        <v>1748.9624026202364</v>
      </c>
      <c r="AJ40" s="2">
        <v>0.66357695768874692</v>
      </c>
      <c r="AK40" s="2">
        <f t="shared" si="9"/>
        <v>1748.9624024819932</v>
      </c>
      <c r="AL40" s="2">
        <v>0.66357687481968242</v>
      </c>
      <c r="AM40" s="2">
        <f t="shared" si="10"/>
        <v>-2.0376738225247434E-2</v>
      </c>
      <c r="AN40" s="2">
        <f t="shared" si="11"/>
        <v>0.44033432378545129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1748.96240234375</v>
      </c>
      <c r="AH41" s="2">
        <v>-3.0707426672734073E-2</v>
      </c>
      <c r="AI41" s="2">
        <f t="shared" si="14"/>
        <v>1748.9624024819932</v>
      </c>
      <c r="AJ41" s="2">
        <v>0.66357695768874692</v>
      </c>
      <c r="AK41" s="2">
        <f t="shared" si="9"/>
        <v>1748.9624024128716</v>
      </c>
      <c r="AL41" s="2">
        <v>0.66357691625398729</v>
      </c>
      <c r="AM41" s="2">
        <f t="shared" si="10"/>
        <v>-2.0376739497588312E-2</v>
      </c>
      <c r="AN41" s="2">
        <f t="shared" si="11"/>
        <v>0.44033435128030129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1748.96240234375</v>
      </c>
      <c r="AH42" s="2">
        <v>-3.0707426672734073E-2</v>
      </c>
      <c r="AI42" s="2">
        <f t="shared" si="14"/>
        <v>1748.9624024128716</v>
      </c>
      <c r="AJ42" s="2">
        <v>0.66357695768874692</v>
      </c>
      <c r="AK42" s="2">
        <f t="shared" si="9"/>
        <v>1748.9624023783108</v>
      </c>
      <c r="AL42" s="2">
        <v>0.6635769369713671</v>
      </c>
      <c r="AM42" s="2">
        <f t="shared" si="10"/>
        <v>-2.0376740133765735E-2</v>
      </c>
      <c r="AN42" s="2">
        <f t="shared" si="11"/>
        <v>0.44033436502787715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234.88</v>
      </c>
      <c r="L43" s="6" t="s">
        <v>7</v>
      </c>
      <c r="AF43" s="2">
        <v>39</v>
      </c>
      <c r="AG43" s="2">
        <f t="shared" si="13"/>
        <v>1748.96240234375</v>
      </c>
      <c r="AH43" s="2">
        <v>-3.0707426672734073E-2</v>
      </c>
      <c r="AI43" s="2">
        <f t="shared" si="14"/>
        <v>1748.9624023783108</v>
      </c>
      <c r="AJ43" s="2">
        <v>0.66357695768874692</v>
      </c>
      <c r="AK43" s="2">
        <f t="shared" si="9"/>
        <v>1748.9624023610304</v>
      </c>
      <c r="AL43" s="2">
        <v>0.66357694733028438</v>
      </c>
      <c r="AM43" s="2">
        <f t="shared" si="10"/>
        <v>-2.0376740451861428E-2</v>
      </c>
      <c r="AN43" s="2">
        <f t="shared" si="11"/>
        <v>0.44033437190181596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247.81</v>
      </c>
      <c r="L44" s="6" t="s">
        <v>7</v>
      </c>
      <c r="AF44" s="2">
        <v>40</v>
      </c>
      <c r="AG44" s="2">
        <f t="shared" si="13"/>
        <v>1748.96240234375</v>
      </c>
      <c r="AH44" s="2">
        <v>-3.0707426672734073E-2</v>
      </c>
      <c r="AI44" s="2">
        <f t="shared" si="14"/>
        <v>1748.9624023610304</v>
      </c>
      <c r="AJ44" s="2">
        <v>0.66357695768874692</v>
      </c>
      <c r="AK44" s="5">
        <f t="shared" si="9"/>
        <v>1748.9624023523902</v>
      </c>
      <c r="AL44" s="2">
        <v>0.66357695250940196</v>
      </c>
      <c r="AM44" s="2">
        <f t="shared" si="10"/>
        <v>-2.0376740610898801E-2</v>
      </c>
      <c r="AN44" s="2">
        <f t="shared" si="11"/>
        <v>0.44033437533855907</v>
      </c>
      <c r="AO44" s="2">
        <f t="shared" si="12"/>
        <v>1.7280399333685637E-8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583.20000000000005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83.12</v>
      </c>
      <c r="L46" s="6" t="s">
        <v>7</v>
      </c>
    </row>
    <row r="47" spans="2:41" x14ac:dyDescent="0.2">
      <c r="J47" s="9" t="s">
        <v>60</v>
      </c>
      <c r="K47" s="9">
        <f>SUM(K42:K46)</f>
        <v>1749.0100000000002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2" t="s">
        <v>0</v>
      </c>
      <c r="C1" s="32"/>
      <c r="D1" s="32"/>
    </row>
    <row r="2" spans="2:41" x14ac:dyDescent="0.2">
      <c r="U2" s="15" t="s">
        <v>89</v>
      </c>
      <c r="AF2" s="26" t="s">
        <v>129</v>
      </c>
    </row>
    <row r="3" spans="2:41" x14ac:dyDescent="0.2">
      <c r="B3" s="27" t="s">
        <v>118</v>
      </c>
      <c r="C3" s="30"/>
      <c r="D3" s="30"/>
      <c r="F3" s="28" t="s">
        <v>76</v>
      </c>
      <c r="G3" s="29"/>
      <c r="H3" s="29"/>
      <c r="J3" s="27" t="s">
        <v>94</v>
      </c>
      <c r="K3" s="27"/>
      <c r="L3" s="27"/>
      <c r="N3" s="27" t="s">
        <v>88</v>
      </c>
      <c r="O3" s="27"/>
      <c r="P3" s="27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352.16372362310887</v>
      </c>
      <c r="L4" s="6" t="s">
        <v>97</v>
      </c>
      <c r="N4" s="6" t="s">
        <v>131</v>
      </c>
      <c r="O4" s="6">
        <f xml:space="preserve"> $C$5 * $C$74</f>
        <v>16637.405559480943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1.1929806885742089</v>
      </c>
      <c r="X4" s="3">
        <v>1</v>
      </c>
      <c r="Y4" s="2">
        <f t="shared" ref="Y4:Y34" si="1" xml:space="preserve"> $O$22 * TAN($O$19/180*PI()) + $O$23 / (2 * SQRT($O$22^2 + X4^2)) - X4</f>
        <v>-2.9280021514614174E-2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0.49039889136332093</v>
      </c>
      <c r="AB4" s="2">
        <f>W4*AA4</f>
        <v>0.58503640709464333</v>
      </c>
      <c r="AC4" s="2">
        <f>Y4*AA4</f>
        <v>-1.4358890089860975E-2</v>
      </c>
      <c r="AD4" s="2">
        <f>X4-V4</f>
        <v>1</v>
      </c>
      <c r="AF4" s="2">
        <v>0</v>
      </c>
      <c r="AH4" s="2">
        <f>K30</f>
        <v>7.9929392779831687E-3</v>
      </c>
      <c r="AJ4" s="2">
        <f>K30</f>
        <v>7.9929392779831687E-3</v>
      </c>
      <c r="AL4" s="2">
        <f>K30</f>
        <v>7.9929392779831687E-3</v>
      </c>
    </row>
    <row r="5" spans="2:41" x14ac:dyDescent="0.2">
      <c r="B5" s="9" t="s">
        <v>38</v>
      </c>
      <c r="C5" s="9">
        <v>1697.59853663531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44.020465452888608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0.49039889136332093</v>
      </c>
      <c r="X5" s="2">
        <f>IF(AC4&gt;0, Z4, X4)</f>
        <v>1</v>
      </c>
      <c r="Y5" s="2">
        <f t="shared" si="1"/>
        <v>-2.9280021514614174E-2</v>
      </c>
      <c r="Z5" s="2">
        <f t="shared" ref="Z5:Z34" si="3" xml:space="preserve"> (V5 + X5)/2</f>
        <v>0.75</v>
      </c>
      <c r="AA5" s="2">
        <f t="shared" si="2"/>
        <v>0.22734424347611759</v>
      </c>
      <c r="AB5" s="2">
        <f t="shared" ref="AB5:AB34" si="4">W5*AA5</f>
        <v>0.11148936495852098</v>
      </c>
      <c r="AC5" s="2">
        <f t="shared" ref="AC5:AC34" si="5">Y5*AA5</f>
        <v>-6.6566443402044061E-3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-705.02492184233211</v>
      </c>
      <c r="AI5" s="3">
        <v>10000</v>
      </c>
      <c r="AJ5" s="2">
        <f t="dataTable" ref="AJ5:AJ44" dt2D="0" dtr="0" r1="C5" ca="1"/>
        <v>4180.1167989055903</v>
      </c>
      <c r="AK5" s="2">
        <f>(AG5+AI5)/2</f>
        <v>5250</v>
      </c>
      <c r="AL5" s="2">
        <f t="dataTable" ref="AL5:AL44" dt2D="0" dtr="0" r1="C5"/>
        <v>2102.6027079119622</v>
      </c>
      <c r="AM5" s="2">
        <f>AH5*AL5</f>
        <v>-1482387.3098111069</v>
      </c>
      <c r="AN5" s="2">
        <f>AJ5*AL5</f>
        <v>8789124.9007671773</v>
      </c>
      <c r="AO5" s="2">
        <f>AI5-AG5</f>
        <v>9500</v>
      </c>
    </row>
    <row r="6" spans="2:41" x14ac:dyDescent="0.2">
      <c r="B6" s="6" t="s">
        <v>168</v>
      </c>
      <c r="C6" s="16">
        <v>468.28181077364599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136.39966406855223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0.1863301970460744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0.22734424347611759</v>
      </c>
      <c r="X6" s="2">
        <f t="shared" ref="X6:X34" si="8">IF(AC5&gt;0, Z5, X5)</f>
        <v>1</v>
      </c>
      <c r="Y6" s="2">
        <f t="shared" si="1"/>
        <v>-2.9280021514614174E-2</v>
      </c>
      <c r="Z6" s="2">
        <f t="shared" si="3"/>
        <v>0.875</v>
      </c>
      <c r="AA6" s="2">
        <f t="shared" si="2"/>
        <v>9.8565391033144767E-2</v>
      </c>
      <c r="AB6" s="2">
        <f t="shared" si="4"/>
        <v>2.2408274257358002E-2</v>
      </c>
      <c r="AC6" s="2">
        <f t="shared" si="5"/>
        <v>-2.885996770046838E-3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-705.02492184233211</v>
      </c>
      <c r="AI6" s="2">
        <f>IF(AN5&gt;0,AK5,AI5)</f>
        <v>5250</v>
      </c>
      <c r="AJ6" s="2">
        <v>2102.6027079119622</v>
      </c>
      <c r="AK6" s="2">
        <f t="shared" ref="AK6:AK44" si="9">(AG6+AI6)/2</f>
        <v>2875</v>
      </c>
      <c r="AL6" s="2">
        <v>644.91114377693111</v>
      </c>
      <c r="AM6" s="2">
        <f t="shared" ref="AM6:AM44" si="10">AH6*AL6</f>
        <v>-454678.42873657984</v>
      </c>
      <c r="AN6" s="2">
        <f t="shared" ref="AN6:AN44" si="11">AJ6*AL6</f>
        <v>1355991.9172679761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2079.8746381329643</v>
      </c>
      <c r="H7" s="6" t="s">
        <v>21</v>
      </c>
      <c r="J7" s="6" t="s">
        <v>133</v>
      </c>
      <c r="K7" s="6">
        <f>K6/$C$28</f>
        <v>136.39966406855223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9.8565391033144767E-2</v>
      </c>
      <c r="X7" s="2">
        <f t="shared" si="8"/>
        <v>1</v>
      </c>
      <c r="Y7" s="2">
        <f t="shared" si="1"/>
        <v>-2.9280021514614174E-2</v>
      </c>
      <c r="Z7" s="2">
        <f t="shared" si="3"/>
        <v>0.9375</v>
      </c>
      <c r="AA7" s="2">
        <f t="shared" si="2"/>
        <v>3.4548951896989588E-2</v>
      </c>
      <c r="AB7" s="2">
        <f t="shared" si="4"/>
        <v>3.4053309535120872E-3</v>
      </c>
      <c r="AC7" s="2">
        <f t="shared" si="5"/>
        <v>-1.0115940548512253E-3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-705.02492184233211</v>
      </c>
      <c r="AI7" s="2">
        <f t="shared" ref="AI7:AI44" si="14">IF(AN6&gt;0,AK6,AI6)</f>
        <v>2875</v>
      </c>
      <c r="AJ7" s="2">
        <v>644.91114377693111</v>
      </c>
      <c r="AK7" s="2">
        <f t="shared" si="9"/>
        <v>1687.5</v>
      </c>
      <c r="AL7" s="2">
        <v>-5.7988963839350163</v>
      </c>
      <c r="AM7" s="2">
        <f t="shared" si="10"/>
        <v>4088.3664698555672</v>
      </c>
      <c r="AN7" s="2">
        <f t="shared" si="11"/>
        <v>-3739.7728996074411</v>
      </c>
      <c r="AO7" s="2">
        <f t="shared" si="12"/>
        <v>2375</v>
      </c>
    </row>
    <row r="8" spans="2:41" x14ac:dyDescent="0.2">
      <c r="B8" s="6" t="s">
        <v>91</v>
      </c>
      <c r="C8" s="16">
        <v>1.9340786665538801</v>
      </c>
      <c r="D8" s="6" t="s">
        <v>8</v>
      </c>
      <c r="F8" t="s">
        <v>93</v>
      </c>
      <c r="G8" s="6">
        <f>G10/$C$21</f>
        <v>29.346976968592404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3.4548951896989588E-2</v>
      </c>
      <c r="X8" s="2">
        <f t="shared" si="8"/>
        <v>1</v>
      </c>
      <c r="Y8" s="2">
        <f t="shared" si="1"/>
        <v>-2.9280021514614174E-2</v>
      </c>
      <c r="Z8" s="2">
        <f t="shared" si="3"/>
        <v>0.96875</v>
      </c>
      <c r="AA8" s="2">
        <f t="shared" si="2"/>
        <v>2.6132655493225077E-3</v>
      </c>
      <c r="AB8" s="2">
        <f t="shared" si="4"/>
        <v>9.0285585757603386E-5</v>
      </c>
      <c r="AC8" s="2">
        <f t="shared" si="5"/>
        <v>-7.6516471507563053E-5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-5.7988963839350163</v>
      </c>
      <c r="AI8" s="2">
        <f t="shared" si="14"/>
        <v>2875</v>
      </c>
      <c r="AJ8" s="2">
        <v>644.91114377693111</v>
      </c>
      <c r="AK8" s="2">
        <f t="shared" si="9"/>
        <v>2281.25</v>
      </c>
      <c r="AL8" s="2">
        <v>327.98801365073473</v>
      </c>
      <c r="AM8" s="2">
        <f t="shared" si="10"/>
        <v>-1901.9685063332743</v>
      </c>
      <c r="AN8" s="2">
        <f t="shared" si="11"/>
        <v>211523.12502861902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7.2307214915700957</v>
      </c>
      <c r="H9" s="6" t="s">
        <v>172</v>
      </c>
      <c r="J9" s="27" t="s">
        <v>22</v>
      </c>
      <c r="K9" s="27"/>
      <c r="L9" s="27"/>
      <c r="N9" s="6" t="s">
        <v>114</v>
      </c>
      <c r="O9" s="6">
        <f xml:space="preserve"> $O$8/$C$12 + $O$7</f>
        <v>2.2584110436098832E-2</v>
      </c>
      <c r="U9" s="2">
        <v>5</v>
      </c>
      <c r="V9" s="2">
        <f t="shared" si="7"/>
        <v>0.96875</v>
      </c>
      <c r="W9" s="2">
        <f t="shared" si="0"/>
        <v>2.6132655493225077E-3</v>
      </c>
      <c r="X9" s="2">
        <f t="shared" si="8"/>
        <v>1</v>
      </c>
      <c r="Y9" s="2">
        <f t="shared" si="1"/>
        <v>-2.9280021514614174E-2</v>
      </c>
      <c r="Z9" s="2">
        <f t="shared" si="3"/>
        <v>0.984375</v>
      </c>
      <c r="AA9" s="2">
        <f t="shared" si="2"/>
        <v>-1.3338429145890895E-2</v>
      </c>
      <c r="AB9" s="2">
        <f t="shared" si="4"/>
        <v>-3.4856857369035915E-5</v>
      </c>
      <c r="AC9" s="2">
        <f t="shared" si="5"/>
        <v>3.9054949236284219E-4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327.98801365073473</v>
      </c>
      <c r="AI9" s="2">
        <f t="shared" si="14"/>
        <v>2281.25</v>
      </c>
      <c r="AJ9" s="2">
        <v>644.91114377693111</v>
      </c>
      <c r="AK9" s="2">
        <f t="shared" si="9"/>
        <v>1984.375</v>
      </c>
      <c r="AL9" s="2">
        <v>488.64749328166454</v>
      </c>
      <c r="AM9" s="2">
        <f t="shared" si="10"/>
        <v>160270.52069686388</v>
      </c>
      <c r="AN9" s="2">
        <f t="shared" si="11"/>
        <v>315134.21379600855</v>
      </c>
      <c r="AO9" s="2">
        <f t="shared" si="12"/>
        <v>593.75</v>
      </c>
    </row>
    <row r="10" spans="2:41" x14ac:dyDescent="0.2">
      <c r="B10" s="6" t="s">
        <v>134</v>
      </c>
      <c r="C10" s="16">
        <v>1.43295613922127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234.77581574873923</v>
      </c>
      <c r="H10" s="22" t="s">
        <v>97</v>
      </c>
      <c r="J10" s="6" t="s">
        <v>92</v>
      </c>
      <c r="K10" s="6">
        <f xml:space="preserve"> $C$18 * (G10*G6 + G20*G13 + G29*G25 + G33*G32)/3600</f>
        <v>85.880707766308234</v>
      </c>
      <c r="L10" s="6" t="s">
        <v>98</v>
      </c>
      <c r="N10" s="6" t="s">
        <v>39</v>
      </c>
      <c r="O10" s="6">
        <f xml:space="preserve"> O5 * $C$12 * O9</f>
        <v>1040.5609170195105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2.6132655493225077E-3</v>
      </c>
      <c r="X10" s="2">
        <f t="shared" si="8"/>
        <v>0.984375</v>
      </c>
      <c r="Y10" s="2">
        <f t="shared" si="1"/>
        <v>-1.3338429145890895E-2</v>
      </c>
      <c r="Z10" s="2">
        <f t="shared" si="3"/>
        <v>0.9765625</v>
      </c>
      <c r="AA10" s="2">
        <f t="shared" si="2"/>
        <v>-5.3638744613592193E-3</v>
      </c>
      <c r="AB10" s="2">
        <f t="shared" si="4"/>
        <v>-1.401722834076087E-5</v>
      </c>
      <c r="AC10" s="2">
        <f t="shared" si="5"/>
        <v>7.1545659450293641E-5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488.64749328166454</v>
      </c>
      <c r="AI10" s="2">
        <f t="shared" si="14"/>
        <v>1984.375</v>
      </c>
      <c r="AJ10" s="2">
        <v>644.91114377693111</v>
      </c>
      <c r="AK10" s="2">
        <f t="shared" si="9"/>
        <v>1984.375</v>
      </c>
      <c r="AL10" s="2">
        <v>488.64749328166454</v>
      </c>
      <c r="AM10" s="2">
        <f t="shared" si="10"/>
        <v>238776.37269045439</v>
      </c>
      <c r="AN10" s="2">
        <f t="shared" si="11"/>
        <v>315134.21379600855</v>
      </c>
      <c r="AO10" s="2">
        <f t="shared" si="12"/>
        <v>0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0.75931327713666874</v>
      </c>
      <c r="U11" s="2">
        <v>7</v>
      </c>
      <c r="V11" s="2">
        <f t="shared" si="7"/>
        <v>0.96875</v>
      </c>
      <c r="W11" s="2">
        <f t="shared" si="0"/>
        <v>2.6132655493225077E-3</v>
      </c>
      <c r="X11" s="2">
        <f t="shared" si="8"/>
        <v>0.9765625</v>
      </c>
      <c r="Y11" s="2">
        <f t="shared" si="1"/>
        <v>-5.3638744613592193E-3</v>
      </c>
      <c r="Z11" s="2">
        <f t="shared" si="3"/>
        <v>0.97265625</v>
      </c>
      <c r="AA11" s="2">
        <f t="shared" si="2"/>
        <v>-1.3756314588926344E-3</v>
      </c>
      <c r="AB11" s="2">
        <f t="shared" si="4"/>
        <v>-3.5948903000883829E-6</v>
      </c>
      <c r="AC11" s="2">
        <f t="shared" si="5"/>
        <v>7.3787144505965262E-6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567.33654538065161</v>
      </c>
      <c r="AI11" s="2">
        <f t="shared" si="14"/>
        <v>1984.375</v>
      </c>
      <c r="AJ11" s="2">
        <v>644.91114377693111</v>
      </c>
      <c r="AK11" s="2">
        <f t="shared" si="9"/>
        <v>1984.375</v>
      </c>
      <c r="AL11" s="2">
        <v>488.64749328166454</v>
      </c>
      <c r="AM11" s="2">
        <f t="shared" si="10"/>
        <v>277227.58074733475</v>
      </c>
      <c r="AN11" s="2">
        <f t="shared" si="11"/>
        <v>315134.21379600855</v>
      </c>
      <c r="AO11" s="2">
        <f t="shared" si="12"/>
        <v>0</v>
      </c>
    </row>
    <row r="12" spans="2:41" x14ac:dyDescent="0.2">
      <c r="B12" s="6" t="s">
        <v>135</v>
      </c>
      <c r="C12" s="16">
        <v>20.320021428630401</v>
      </c>
      <c r="D12" s="6" t="s">
        <v>11</v>
      </c>
      <c r="F12" s="28" t="s">
        <v>82</v>
      </c>
      <c r="G12" s="29"/>
      <c r="H12" s="29"/>
      <c r="N12" s="6" t="s">
        <v>138</v>
      </c>
      <c r="O12" s="6">
        <f xml:space="preserve"> O4 / (O5 * $C$12)</f>
        <v>0.36109467343989932</v>
      </c>
      <c r="U12" s="2">
        <v>8</v>
      </c>
      <c r="V12" s="2">
        <f t="shared" si="7"/>
        <v>0.96875</v>
      </c>
      <c r="W12" s="2">
        <f t="shared" si="0"/>
        <v>2.6132655493225077E-3</v>
      </c>
      <c r="X12" s="2">
        <f t="shared" si="8"/>
        <v>0.97265625</v>
      </c>
      <c r="Y12" s="2">
        <f t="shared" si="1"/>
        <v>-1.3756314588926344E-3</v>
      </c>
      <c r="Z12" s="2">
        <f t="shared" si="3"/>
        <v>0.970703125</v>
      </c>
      <c r="AA12" s="2">
        <f t="shared" si="2"/>
        <v>6.1873480822594029E-4</v>
      </c>
      <c r="AB12" s="2">
        <f t="shared" si="4"/>
        <v>1.6169183585035183E-6</v>
      </c>
      <c r="AC12" s="2">
        <f t="shared" si="5"/>
        <v>-8.5115106690750459E-7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606.26398342488869</v>
      </c>
      <c r="AI12" s="2">
        <f t="shared" si="14"/>
        <v>1984.375</v>
      </c>
      <c r="AJ12" s="2">
        <v>644.91114377693111</v>
      </c>
      <c r="AK12" s="2">
        <f t="shared" si="9"/>
        <v>1984.375</v>
      </c>
      <c r="AL12" s="2">
        <v>488.64749328166454</v>
      </c>
      <c r="AM12" s="2">
        <f t="shared" si="10"/>
        <v>296249.37576752849</v>
      </c>
      <c r="AN12" s="2">
        <f t="shared" si="11"/>
        <v>315134.21379600855</v>
      </c>
      <c r="AO12" s="2">
        <f t="shared" si="12"/>
        <v>0</v>
      </c>
    </row>
    <row r="13" spans="2:41" x14ac:dyDescent="0.2">
      <c r="B13" s="6" t="s">
        <v>136</v>
      </c>
      <c r="C13" s="16">
        <v>9.8967582555592397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2.8107152306409013E-2</v>
      </c>
      <c r="U13" s="2">
        <v>9</v>
      </c>
      <c r="V13" s="2">
        <f t="shared" si="7"/>
        <v>0.970703125</v>
      </c>
      <c r="W13" s="2">
        <f t="shared" si="0"/>
        <v>6.1873480822594029E-4</v>
      </c>
      <c r="X13" s="2">
        <f t="shared" si="8"/>
        <v>0.97265625</v>
      </c>
      <c r="Y13" s="2">
        <f t="shared" si="1"/>
        <v>-1.3756314588926344E-3</v>
      </c>
      <c r="Z13" s="2">
        <f t="shared" si="3"/>
        <v>0.9716796875</v>
      </c>
      <c r="AA13" s="2">
        <f t="shared" si="2"/>
        <v>-3.7846882349690247E-4</v>
      </c>
      <c r="AB13" s="2">
        <f t="shared" si="4"/>
        <v>-2.341718349258532E-7</v>
      </c>
      <c r="AC13" s="2">
        <f t="shared" si="5"/>
        <v>5.2063361981242289E-7</v>
      </c>
      <c r="AD13" s="2">
        <f t="shared" si="6"/>
        <v>1.953125E-3</v>
      </c>
      <c r="AF13" s="2">
        <v>9</v>
      </c>
      <c r="AG13" s="2">
        <f t="shared" si="13"/>
        <v>1984.375</v>
      </c>
      <c r="AH13" s="2">
        <v>625.62269544259402</v>
      </c>
      <c r="AI13" s="2">
        <f t="shared" si="14"/>
        <v>1984.375</v>
      </c>
      <c r="AJ13" s="2">
        <v>644.91114377693111</v>
      </c>
      <c r="AK13" s="2">
        <f t="shared" si="9"/>
        <v>1984.375</v>
      </c>
      <c r="AL13" s="2">
        <v>488.64749328166454</v>
      </c>
      <c r="AM13" s="2">
        <f t="shared" si="10"/>
        <v>305708.96186814184</v>
      </c>
      <c r="AN13" s="2">
        <f t="shared" si="11"/>
        <v>315134.21379600855</v>
      </c>
      <c r="AO13" s="2">
        <f t="shared" si="12"/>
        <v>0</v>
      </c>
    </row>
    <row r="14" spans="2:41" x14ac:dyDescent="0.2">
      <c r="F14" s="6" t="s">
        <v>142</v>
      </c>
      <c r="G14" s="6">
        <f>O21*$C$10</f>
        <v>70.269814077373738</v>
      </c>
      <c r="H14" s="6" t="s">
        <v>10</v>
      </c>
      <c r="J14" s="9" t="s">
        <v>75</v>
      </c>
      <c r="K14" s="17">
        <f>C5</f>
        <v>1697.59853663531</v>
      </c>
      <c r="L14" s="6" t="s">
        <v>7</v>
      </c>
      <c r="N14" s="6" t="s">
        <v>40</v>
      </c>
      <c r="O14" s="6">
        <f xml:space="preserve"> O5 * O13 * $C$12</f>
        <v>1295.0345890983058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6.1873480822594029E-4</v>
      </c>
      <c r="X14" s="2">
        <f t="shared" si="8"/>
        <v>0.9716796875</v>
      </c>
      <c r="Y14" s="2">
        <f t="shared" si="1"/>
        <v>-3.7846882349690247E-4</v>
      </c>
      <c r="Z14" s="2">
        <f t="shared" si="3"/>
        <v>0.97119140625</v>
      </c>
      <c r="AA14" s="2">
        <f t="shared" si="2"/>
        <v>1.2012786020698663E-4</v>
      </c>
      <c r="AB14" s="2">
        <f t="shared" si="4"/>
        <v>7.432728854776243E-8</v>
      </c>
      <c r="AC14" s="2">
        <f t="shared" si="5"/>
        <v>-4.5464649921738594E-8</v>
      </c>
      <c r="AD14" s="2">
        <f t="shared" si="6"/>
        <v>9.765625E-4</v>
      </c>
      <c r="AF14" s="2">
        <v>10</v>
      </c>
      <c r="AG14" s="2">
        <f t="shared" si="13"/>
        <v>1984.375</v>
      </c>
      <c r="AH14" s="2">
        <v>635.275714508889</v>
      </c>
      <c r="AI14" s="2">
        <f t="shared" si="14"/>
        <v>1984.375</v>
      </c>
      <c r="AJ14" s="2">
        <v>644.91114377693111</v>
      </c>
      <c r="AK14" s="2">
        <f t="shared" si="9"/>
        <v>1984.375</v>
      </c>
      <c r="AL14" s="2">
        <v>488.64749328166454</v>
      </c>
      <c r="AM14" s="2">
        <f t="shared" si="10"/>
        <v>310425.88543748698</v>
      </c>
      <c r="AN14" s="2">
        <f t="shared" si="11"/>
        <v>315134.21379600855</v>
      </c>
      <c r="AO14" s="2">
        <f t="shared" si="12"/>
        <v>0</v>
      </c>
    </row>
    <row r="15" spans="2:41" x14ac:dyDescent="0.2">
      <c r="B15" s="27" t="s">
        <v>12</v>
      </c>
      <c r="C15" s="27"/>
      <c r="D15" s="27"/>
      <c r="F15" s="6" t="s">
        <v>143</v>
      </c>
      <c r="G15" s="6">
        <f>G14/$C$73</f>
        <v>0.21119693444658511</v>
      </c>
      <c r="H15" s="6" t="s">
        <v>120</v>
      </c>
      <c r="J15" s="10" t="s">
        <v>53</v>
      </c>
      <c r="K15" s="6">
        <f xml:space="preserve"> 1000 * K10 / ($C$60 * $C$61 * $C$62)</f>
        <v>229.62756087248189</v>
      </c>
      <c r="L15" s="6" t="s">
        <v>7</v>
      </c>
      <c r="N15" s="6" t="s">
        <v>140</v>
      </c>
      <c r="O15" s="6">
        <f>O4/O14</f>
        <v>12.847074278583614</v>
      </c>
      <c r="U15" s="2">
        <v>11</v>
      </c>
      <c r="V15" s="2">
        <f t="shared" si="7"/>
        <v>0.97119140625</v>
      </c>
      <c r="W15" s="2">
        <f t="shared" si="0"/>
        <v>1.2012786020698663E-4</v>
      </c>
      <c r="X15" s="2">
        <f t="shared" si="8"/>
        <v>0.9716796875</v>
      </c>
      <c r="Y15" s="2">
        <f t="shared" si="1"/>
        <v>-3.7846882349690247E-4</v>
      </c>
      <c r="Z15" s="2">
        <f t="shared" si="3"/>
        <v>0.971435546875</v>
      </c>
      <c r="AA15" s="2">
        <f t="shared" si="2"/>
        <v>-1.2917176373106187E-4</v>
      </c>
      <c r="AB15" s="2">
        <f t="shared" si="4"/>
        <v>-1.5517127576174906E-8</v>
      </c>
      <c r="AC15" s="2">
        <f t="shared" si="5"/>
        <v>4.8887485448314844E-8</v>
      </c>
      <c r="AD15" s="2">
        <f t="shared" si="6"/>
        <v>4.8828125E-4</v>
      </c>
      <c r="AF15" s="2">
        <v>11</v>
      </c>
      <c r="AG15" s="2">
        <f t="shared" si="13"/>
        <v>1984.375</v>
      </c>
      <c r="AH15" s="2">
        <v>640.09562937425653</v>
      </c>
      <c r="AI15" s="2">
        <f t="shared" si="14"/>
        <v>1984.375</v>
      </c>
      <c r="AJ15" s="2">
        <v>644.91114377693111</v>
      </c>
      <c r="AK15" s="2">
        <f t="shared" si="9"/>
        <v>1984.375</v>
      </c>
      <c r="AL15" s="2">
        <v>488.64749328166454</v>
      </c>
      <c r="AM15" s="2">
        <f t="shared" si="10"/>
        <v>312781.12475427985</v>
      </c>
      <c r="AN15" s="2">
        <f t="shared" si="11"/>
        <v>315134.21379600855</v>
      </c>
      <c r="AO15" s="2">
        <f t="shared" si="12"/>
        <v>0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1295.0345890983058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122.42064087563138</v>
      </c>
      <c r="L16" s="6" t="s">
        <v>7</v>
      </c>
      <c r="N16" s="6" t="s">
        <v>111</v>
      </c>
      <c r="O16" s="6">
        <f>(O13*$C$12)/(0.3048^2)/($C$5*2.20462/1000)^(2/3)</f>
        <v>2.550342998955403</v>
      </c>
      <c r="U16" s="2">
        <v>12</v>
      </c>
      <c r="V16" s="2">
        <f t="shared" si="7"/>
        <v>0.97119140625</v>
      </c>
      <c r="W16" s="2">
        <f t="shared" si="0"/>
        <v>1.2012786020698663E-4</v>
      </c>
      <c r="X16" s="2">
        <f t="shared" si="8"/>
        <v>0.971435546875</v>
      </c>
      <c r="Y16" s="2">
        <f t="shared" si="1"/>
        <v>-1.2917176373106187E-4</v>
      </c>
      <c r="Z16" s="2">
        <f t="shared" si="3"/>
        <v>0.9713134765625</v>
      </c>
      <c r="AA16" s="2">
        <f t="shared" si="2"/>
        <v>-4.5222724026627859E-6</v>
      </c>
      <c r="AB16" s="2">
        <f t="shared" si="4"/>
        <v>-5.4325090700498867E-10</v>
      </c>
      <c r="AC16" s="2">
        <f t="shared" si="5"/>
        <v>5.8414990232425889E-10</v>
      </c>
      <c r="AD16" s="2">
        <f t="shared" si="6"/>
        <v>2.44140625E-4</v>
      </c>
      <c r="AF16" s="2">
        <v>12</v>
      </c>
      <c r="AG16" s="2">
        <f t="shared" si="13"/>
        <v>1984.375</v>
      </c>
      <c r="AH16" s="2">
        <v>642.50393677331363</v>
      </c>
      <c r="AI16" s="2">
        <f t="shared" si="14"/>
        <v>1984.375</v>
      </c>
      <c r="AJ16" s="2">
        <v>644.91114377693111</v>
      </c>
      <c r="AK16" s="2">
        <f t="shared" si="9"/>
        <v>1984.375</v>
      </c>
      <c r="AL16" s="2">
        <v>488.64749328166454</v>
      </c>
      <c r="AM16" s="2">
        <f t="shared" si="10"/>
        <v>313957.9381278808</v>
      </c>
      <c r="AN16" s="2">
        <f t="shared" si="11"/>
        <v>315134.21379600855</v>
      </c>
      <c r="AO16" s="2">
        <f t="shared" si="12"/>
        <v>0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90.933109379034818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0.97119140625</v>
      </c>
      <c r="W17" s="2">
        <f t="shared" si="0"/>
        <v>1.2012786020698663E-4</v>
      </c>
      <c r="X17" s="2">
        <f t="shared" si="8"/>
        <v>0.9713134765625</v>
      </c>
      <c r="Y17" s="2">
        <f t="shared" si="1"/>
        <v>-4.5222724026627859E-6</v>
      </c>
      <c r="Z17" s="2">
        <f t="shared" si="3"/>
        <v>0.97125244140625</v>
      </c>
      <c r="AA17" s="2">
        <f t="shared" si="2"/>
        <v>5.7802713727128641E-5</v>
      </c>
      <c r="AB17" s="2">
        <f t="shared" si="4"/>
        <v>6.9437163141969759E-9</v>
      </c>
      <c r="AC17" s="2">
        <f t="shared" si="5"/>
        <v>-2.6139961708721123E-10</v>
      </c>
      <c r="AD17" s="2">
        <f t="shared" si="6"/>
        <v>1.220703125E-4</v>
      </c>
      <c r="AF17" s="2">
        <v>13</v>
      </c>
      <c r="AG17" s="2">
        <f t="shared" si="13"/>
        <v>1984.375</v>
      </c>
      <c r="AH17" s="2">
        <v>643.7076776794886</v>
      </c>
      <c r="AI17" s="2">
        <f t="shared" si="14"/>
        <v>1984.375</v>
      </c>
      <c r="AJ17" s="2">
        <v>644.91114377693111</v>
      </c>
      <c r="AK17" s="2">
        <f t="shared" si="9"/>
        <v>1984.375</v>
      </c>
      <c r="AL17" s="2">
        <v>488.64749328166454</v>
      </c>
      <c r="AM17" s="2">
        <f t="shared" si="10"/>
        <v>314546.14310424379</v>
      </c>
      <c r="AN17" s="2">
        <f t="shared" si="11"/>
        <v>315134.21379600855</v>
      </c>
      <c r="AO17" s="2">
        <f t="shared" si="12"/>
        <v>0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1.4531442086539779</v>
      </c>
      <c r="H18" s="6" t="s">
        <v>172</v>
      </c>
      <c r="J18" s="12" t="s">
        <v>54</v>
      </c>
      <c r="K18" s="6">
        <f xml:space="preserve"> $C$78 * (0.2138 * K4 + 0.2138 * K6)</f>
        <v>83.563881830781725</v>
      </c>
      <c r="L18" s="6" t="s">
        <v>7</v>
      </c>
      <c r="N18" s="28" t="s">
        <v>141</v>
      </c>
      <c r="O18" s="31"/>
      <c r="P18" s="31"/>
      <c r="U18" s="2">
        <v>14</v>
      </c>
      <c r="V18" s="2">
        <f t="shared" si="7"/>
        <v>0.97125244140625</v>
      </c>
      <c r="W18" s="2">
        <f t="shared" si="0"/>
        <v>5.7802713727128641E-5</v>
      </c>
      <c r="X18" s="2">
        <f t="shared" si="8"/>
        <v>0.9713134765625</v>
      </c>
      <c r="Y18" s="2">
        <f t="shared" si="1"/>
        <v>-4.5222724026627859E-6</v>
      </c>
      <c r="Z18" s="2">
        <f t="shared" si="3"/>
        <v>0.971282958984375</v>
      </c>
      <c r="AA18" s="2">
        <f t="shared" si="2"/>
        <v>2.6640200620375865E-5</v>
      </c>
      <c r="AB18" s="2">
        <f t="shared" si="4"/>
        <v>1.5398758900928609E-9</v>
      </c>
      <c r="AC18" s="2">
        <f t="shared" si="5"/>
        <v>-1.2047424406692581E-10</v>
      </c>
      <c r="AD18" s="2">
        <f t="shared" si="6"/>
        <v>6.103515625E-5</v>
      </c>
      <c r="AF18" s="2">
        <v>14</v>
      </c>
      <c r="AG18" s="2">
        <f t="shared" si="13"/>
        <v>1984.375</v>
      </c>
      <c r="AH18" s="2">
        <v>644.30944516594604</v>
      </c>
      <c r="AI18" s="2">
        <f t="shared" si="14"/>
        <v>1984.375</v>
      </c>
      <c r="AJ18" s="2">
        <v>644.91114377693111</v>
      </c>
      <c r="AK18" s="2">
        <f t="shared" si="9"/>
        <v>1984.375</v>
      </c>
      <c r="AL18" s="2">
        <v>488.64749328166454</v>
      </c>
      <c r="AM18" s="2">
        <f t="shared" si="10"/>
        <v>314840.19527803961</v>
      </c>
      <c r="AN18" s="2">
        <f t="shared" si="11"/>
        <v>315134.21379600855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4.7426692716762274E-2</v>
      </c>
      <c r="J19" s="12" t="s">
        <v>73</v>
      </c>
      <c r="K19" s="6">
        <f xml:space="preserve"> $C$78 * (0.1149 * K4 + 0.1149 * K6)</f>
        <v>44.90874659661749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0.971282958984375</v>
      </c>
      <c r="W19" s="2">
        <f t="shared" si="0"/>
        <v>2.6640200620375865E-5</v>
      </c>
      <c r="X19" s="2">
        <f t="shared" si="8"/>
        <v>0.9713134765625</v>
      </c>
      <c r="Y19" s="2">
        <f t="shared" si="1"/>
        <v>-4.5222724026627859E-6</v>
      </c>
      <c r="Z19" s="2">
        <f t="shared" si="3"/>
        <v>0.9712982177734375</v>
      </c>
      <c r="AA19" s="2">
        <f t="shared" si="2"/>
        <v>1.1058959098586563E-5</v>
      </c>
      <c r="AB19" s="2">
        <f t="shared" si="4"/>
        <v>2.9461288903887706E-10</v>
      </c>
      <c r="AC19" s="2">
        <f t="shared" si="5"/>
        <v>-5.0011625533714533E-11</v>
      </c>
      <c r="AD19" s="2">
        <f t="shared" si="6"/>
        <v>3.0517578125E-5</v>
      </c>
      <c r="AF19" s="2">
        <v>15</v>
      </c>
      <c r="AG19" s="2">
        <f t="shared" si="13"/>
        <v>1984.375</v>
      </c>
      <c r="AH19" s="2">
        <v>644.610303081231</v>
      </c>
      <c r="AI19" s="2">
        <f t="shared" si="14"/>
        <v>1984.375</v>
      </c>
      <c r="AJ19" s="2">
        <v>644.91114377693111</v>
      </c>
      <c r="AK19" s="2">
        <f t="shared" si="9"/>
        <v>1984.375</v>
      </c>
      <c r="AL19" s="2">
        <v>488.64749328166454</v>
      </c>
      <c r="AM19" s="2">
        <f t="shared" si="10"/>
        <v>314987.20874417754</v>
      </c>
      <c r="AN19" s="2">
        <f t="shared" si="11"/>
        <v>315134.21379600855</v>
      </c>
      <c r="AO19" s="2">
        <f t="shared" si="12"/>
        <v>0</v>
      </c>
    </row>
    <row r="20" spans="2:41" x14ac:dyDescent="0.2">
      <c r="B20" s="27" t="s">
        <v>108</v>
      </c>
      <c r="C20" s="27"/>
      <c r="D20" s="27"/>
      <c r="F20" s="23" t="s">
        <v>128</v>
      </c>
      <c r="G20" s="22">
        <f xml:space="preserve"> $C$28 * G17</f>
        <v>90.933109379034818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207.03404599977921</v>
      </c>
      <c r="L20" s="6" t="s">
        <v>7</v>
      </c>
      <c r="N20" s="6" t="s">
        <v>20</v>
      </c>
      <c r="O20" s="6">
        <f xml:space="preserve"> O14 / $C$28</f>
        <v>1295.0345890983058</v>
      </c>
      <c r="P20" s="6" t="s">
        <v>21</v>
      </c>
      <c r="U20" s="2">
        <v>16</v>
      </c>
      <c r="V20" s="2">
        <f t="shared" si="7"/>
        <v>0.9712982177734375</v>
      </c>
      <c r="W20" s="2">
        <f t="shared" si="0"/>
        <v>1.1058959098586563E-5</v>
      </c>
      <c r="X20" s="2">
        <f t="shared" si="8"/>
        <v>0.9713134765625</v>
      </c>
      <c r="Y20" s="2">
        <f t="shared" si="1"/>
        <v>-4.5222724026627859E-6</v>
      </c>
      <c r="Z20" s="2">
        <f t="shared" si="3"/>
        <v>0.97130584716796875</v>
      </c>
      <c r="AA20" s="2">
        <f t="shared" si="2"/>
        <v>3.268342095408272E-6</v>
      </c>
      <c r="AB20" s="2">
        <f t="shared" si="4"/>
        <v>3.6144461553308783E-11</v>
      </c>
      <c r="AC20" s="2">
        <f t="shared" si="5"/>
        <v>-1.4780333260525889E-11</v>
      </c>
      <c r="AD20" s="2">
        <f t="shared" si="6"/>
        <v>1.52587890625E-5</v>
      </c>
      <c r="AF20" s="2">
        <v>16</v>
      </c>
      <c r="AG20" s="2">
        <f t="shared" si="13"/>
        <v>1984.375</v>
      </c>
      <c r="AH20" s="2">
        <v>644.76072553962672</v>
      </c>
      <c r="AI20" s="2">
        <f t="shared" si="14"/>
        <v>1984.375</v>
      </c>
      <c r="AJ20" s="2">
        <v>644.91114377693111</v>
      </c>
      <c r="AK20" s="2">
        <f t="shared" si="9"/>
        <v>1984.375</v>
      </c>
      <c r="AL20" s="2">
        <v>488.64749328166454</v>
      </c>
      <c r="AM20" s="2">
        <f t="shared" si="10"/>
        <v>315060.7123014059</v>
      </c>
      <c r="AN20" s="2">
        <f t="shared" si="11"/>
        <v>315134.21379600855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44.137561952518062</v>
      </c>
      <c r="L21" s="6" t="s">
        <v>7</v>
      </c>
      <c r="N21" s="6" t="s">
        <v>27</v>
      </c>
      <c r="O21" s="6">
        <f>$C$6*2*PI()/60</f>
        <v>49.038356551207059</v>
      </c>
      <c r="P21" s="6" t="s">
        <v>28</v>
      </c>
      <c r="U21" s="2">
        <v>17</v>
      </c>
      <c r="V21" s="2">
        <f t="shared" si="7"/>
        <v>0.97130584716796875</v>
      </c>
      <c r="W21" s="2">
        <f t="shared" si="0"/>
        <v>3.268342095408272E-6</v>
      </c>
      <c r="X21" s="2">
        <f t="shared" si="8"/>
        <v>0.9713134765625</v>
      </c>
      <c r="Y21" s="2">
        <f t="shared" si="1"/>
        <v>-4.5222724026627859E-6</v>
      </c>
      <c r="Z21" s="2">
        <f t="shared" si="3"/>
        <v>0.97130966186523438</v>
      </c>
      <c r="AA21" s="2">
        <f t="shared" si="2"/>
        <v>-6.2696546676566101E-7</v>
      </c>
      <c r="AB21" s="2">
        <f t="shared" si="4"/>
        <v>-2.049137627397506E-12</v>
      </c>
      <c r="AC21" s="2">
        <f t="shared" si="5"/>
        <v>2.8353086277769406E-12</v>
      </c>
      <c r="AD21" s="2">
        <f t="shared" si="6"/>
        <v>7.62939453125E-6</v>
      </c>
      <c r="AF21" s="2">
        <v>17</v>
      </c>
      <c r="AG21" s="2">
        <f t="shared" si="13"/>
        <v>1984.375</v>
      </c>
      <c r="AH21" s="2">
        <v>644.83593535371392</v>
      </c>
      <c r="AI21" s="2">
        <f t="shared" si="14"/>
        <v>1984.375</v>
      </c>
      <c r="AJ21" s="2">
        <v>644.91114377693111</v>
      </c>
      <c r="AK21" s="2">
        <f t="shared" si="9"/>
        <v>1984.375</v>
      </c>
      <c r="AL21" s="2">
        <v>488.64749328166454</v>
      </c>
      <c r="AM21" s="2">
        <f t="shared" si="10"/>
        <v>315097.46338852978</v>
      </c>
      <c r="AN21" s="2">
        <f t="shared" si="11"/>
        <v>315134.21379600855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27" t="s">
        <v>77</v>
      </c>
      <c r="G22" s="27"/>
      <c r="H22" s="27"/>
      <c r="J22" s="13" t="s">
        <v>144</v>
      </c>
      <c r="K22" s="6">
        <f xml:space="preserve"> $C$79 * (0.04674 * ($C$5*2.20462)^0.397 * ($C$12*3.28084^2)^0.36 * $C$46^0.397 * $C$13^1.712 * 0.453592)</f>
        <v>242.13361913227646</v>
      </c>
      <c r="L22" s="6" t="s">
        <v>7</v>
      </c>
      <c r="N22" s="6" t="s">
        <v>29</v>
      </c>
      <c r="O22" s="6">
        <f xml:space="preserve"> $C$7 * COS(O19/180*PI()) / (O21 * $C$10)</f>
        <v>8.3169644923947461E-2</v>
      </c>
      <c r="U22" s="2">
        <v>18</v>
      </c>
      <c r="V22" s="2">
        <f t="shared" si="7"/>
        <v>0.97130584716796875</v>
      </c>
      <c r="W22" s="2">
        <f t="shared" si="0"/>
        <v>3.268342095408272E-6</v>
      </c>
      <c r="X22" s="2">
        <f t="shared" si="8"/>
        <v>0.97130966186523438</v>
      </c>
      <c r="Y22" s="2">
        <f t="shared" si="1"/>
        <v>-6.2696546676566101E-7</v>
      </c>
      <c r="Z22" s="2">
        <f t="shared" si="3"/>
        <v>0.97130775451660156</v>
      </c>
      <c r="AA22" s="2">
        <f t="shared" si="2"/>
        <v>1.3206882361060934E-6</v>
      </c>
      <c r="AB22" s="2">
        <f t="shared" si="4"/>
        <v>4.316460956976044E-12</v>
      </c>
      <c r="AC22" s="2">
        <f t="shared" si="5"/>
        <v>-8.2802591640217438E-13</v>
      </c>
      <c r="AD22" s="2">
        <f t="shared" si="6"/>
        <v>3.814697265625E-6</v>
      </c>
      <c r="AF22" s="2">
        <v>18</v>
      </c>
      <c r="AG22" s="2">
        <f t="shared" si="13"/>
        <v>1984.375</v>
      </c>
      <c r="AH22" s="2">
        <v>644.87353969723495</v>
      </c>
      <c r="AI22" s="2">
        <f t="shared" si="14"/>
        <v>1984.375</v>
      </c>
      <c r="AJ22" s="2">
        <v>644.91114377693111</v>
      </c>
      <c r="AK22" s="2">
        <f t="shared" si="9"/>
        <v>1984.375</v>
      </c>
      <c r="AL22" s="2">
        <v>488.64749328166454</v>
      </c>
      <c r="AM22" s="2">
        <f t="shared" si="10"/>
        <v>315115.83865672786</v>
      </c>
      <c r="AN22" s="2">
        <f t="shared" si="11"/>
        <v>315134.21379600855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19.723182701076954</v>
      </c>
      <c r="L23" s="6" t="s">
        <v>7</v>
      </c>
      <c r="N23" s="6" t="s">
        <v>30</v>
      </c>
      <c r="O23" s="6">
        <f xml:space="preserve"> O20 / ( $C$71 * PI() * $C$10^2 * O21^2 * $C$10^2)</f>
        <v>4.0311877294740617E-2</v>
      </c>
      <c r="U23" s="2">
        <v>19</v>
      </c>
      <c r="V23" s="2">
        <f t="shared" si="7"/>
        <v>0.97130775451660156</v>
      </c>
      <c r="W23" s="2">
        <f t="shared" si="0"/>
        <v>1.3206882361060934E-6</v>
      </c>
      <c r="X23" s="2">
        <f t="shared" si="8"/>
        <v>0.97130966186523438</v>
      </c>
      <c r="Y23" s="2">
        <f t="shared" si="1"/>
        <v>-6.2696546676566101E-7</v>
      </c>
      <c r="Z23" s="2">
        <f t="shared" si="3"/>
        <v>0.97130870819091797</v>
      </c>
      <c r="AA23" s="2">
        <f t="shared" si="2"/>
        <v>3.4686136507477983E-7</v>
      </c>
      <c r="AB23" s="2">
        <f t="shared" si="4"/>
        <v>4.5809572441396272E-13</v>
      </c>
      <c r="AC23" s="2">
        <f t="shared" si="5"/>
        <v>-2.1747009765708368E-13</v>
      </c>
      <c r="AD23" s="2">
        <f t="shared" si="6"/>
        <v>1.9073486328125E-6</v>
      </c>
      <c r="AF23" s="2">
        <v>19</v>
      </c>
      <c r="AG23" s="2">
        <f t="shared" si="13"/>
        <v>1984.375</v>
      </c>
      <c r="AH23" s="2">
        <v>644.89234160226124</v>
      </c>
      <c r="AI23" s="2">
        <f t="shared" si="14"/>
        <v>1984.375</v>
      </c>
      <c r="AJ23" s="2">
        <v>644.91114377693111</v>
      </c>
      <c r="AK23" s="2">
        <f t="shared" si="9"/>
        <v>1984.375</v>
      </c>
      <c r="AL23" s="2">
        <v>488.64749328166454</v>
      </c>
      <c r="AM23" s="2">
        <f t="shared" si="10"/>
        <v>315125.02616048785</v>
      </c>
      <c r="AN23" s="2">
        <f t="shared" si="11"/>
        <v>315134.21379600855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7.4794865733980389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0.97130870819091797</v>
      </c>
      <c r="W24" s="2">
        <f t="shared" si="0"/>
        <v>3.4686136507477983E-7</v>
      </c>
      <c r="X24" s="2">
        <f t="shared" si="8"/>
        <v>0.97130966186523438</v>
      </c>
      <c r="Y24" s="2">
        <f t="shared" si="1"/>
        <v>-6.2696546676566101E-7</v>
      </c>
      <c r="Z24" s="2">
        <f t="shared" si="3"/>
        <v>0.97130918502807617</v>
      </c>
      <c r="AA24" s="2">
        <f t="shared" si="2"/>
        <v>-1.400520557304219E-7</v>
      </c>
      <c r="AB24" s="2">
        <f t="shared" si="4"/>
        <v>-4.8578647232183282E-14</v>
      </c>
      <c r="AC24" s="2">
        <f t="shared" si="5"/>
        <v>8.7807802492514336E-14</v>
      </c>
      <c r="AD24" s="2">
        <f t="shared" si="6"/>
        <v>9.5367431640625E-7</v>
      </c>
      <c r="AF24" s="2">
        <v>20</v>
      </c>
      <c r="AG24" s="2">
        <f t="shared" si="13"/>
        <v>1984.375</v>
      </c>
      <c r="AH24" s="2">
        <v>644.90174269784029</v>
      </c>
      <c r="AI24" s="2">
        <f t="shared" si="14"/>
        <v>1984.375</v>
      </c>
      <c r="AJ24" s="2">
        <v>644.91114377693111</v>
      </c>
      <c r="AK24" s="2">
        <f t="shared" si="9"/>
        <v>1984.375</v>
      </c>
      <c r="AL24" s="2">
        <v>488.64749328166454</v>
      </c>
      <c r="AM24" s="2">
        <f t="shared" si="10"/>
        <v>315129.61998227669</v>
      </c>
      <c r="AN24" s="2">
        <f t="shared" si="11"/>
        <v>315134.21379600855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15.994572030998304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2203.314294210908</v>
      </c>
      <c r="P25" s="6" t="s">
        <v>19</v>
      </c>
      <c r="U25" s="2">
        <v>21</v>
      </c>
      <c r="V25" s="2">
        <f t="shared" si="7"/>
        <v>0.97130870819091797</v>
      </c>
      <c r="W25" s="2">
        <f t="shared" si="0"/>
        <v>3.4686136507477983E-7</v>
      </c>
      <c r="X25" s="2">
        <f t="shared" si="8"/>
        <v>0.97130918502807617</v>
      </c>
      <c r="Y25" s="2">
        <f t="shared" si="1"/>
        <v>-1.400520557304219E-7</v>
      </c>
      <c r="Z25" s="2">
        <f t="shared" si="3"/>
        <v>0.97130894660949707</v>
      </c>
      <c r="AA25" s="2">
        <f t="shared" si="2"/>
        <v>1.0340465350644479E-7</v>
      </c>
      <c r="AB25" s="2">
        <f t="shared" si="4"/>
        <v>3.5867079270330059E-14</v>
      </c>
      <c r="AC25" s="2">
        <f t="shared" si="5"/>
        <v>-1.4482034295669572E-14</v>
      </c>
      <c r="AD25" s="2">
        <f t="shared" si="6"/>
        <v>4.76837158203125E-7</v>
      </c>
      <c r="AF25" s="2">
        <v>21</v>
      </c>
      <c r="AG25" s="2">
        <f t="shared" si="13"/>
        <v>1984.375</v>
      </c>
      <c r="AH25" s="2">
        <v>644.90644323944684</v>
      </c>
      <c r="AI25" s="2">
        <f t="shared" si="14"/>
        <v>1984.375</v>
      </c>
      <c r="AJ25" s="2">
        <v>644.91114377693111</v>
      </c>
      <c r="AK25" s="2">
        <f t="shared" si="9"/>
        <v>1984.375</v>
      </c>
      <c r="AL25" s="2">
        <v>488.64749328166454</v>
      </c>
      <c r="AM25" s="2">
        <f t="shared" si="10"/>
        <v>315131.91689014976</v>
      </c>
      <c r="AN25" s="2">
        <f t="shared" si="11"/>
        <v>315134.21379600855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2079.8746381329643</v>
      </c>
      <c r="H26" s="6" t="s">
        <v>21</v>
      </c>
      <c r="J26" s="14" t="s">
        <v>65</v>
      </c>
      <c r="K26" s="6">
        <f xml:space="preserve"> $C$80 * (0.0268 * $C$5)</f>
        <v>36.39651262546105</v>
      </c>
      <c r="L26" s="6" t="s">
        <v>7</v>
      </c>
      <c r="N26" s="6" t="s">
        <v>32</v>
      </c>
      <c r="O26" s="17">
        <f>Z34</f>
        <v>0.97130904765799642</v>
      </c>
      <c r="U26" s="2">
        <v>22</v>
      </c>
      <c r="V26" s="2">
        <f t="shared" si="7"/>
        <v>0.97130894660949707</v>
      </c>
      <c r="W26" s="2">
        <f t="shared" si="0"/>
        <v>1.0340465350644479E-7</v>
      </c>
      <c r="X26" s="2">
        <f t="shared" si="8"/>
        <v>0.97130918502807617</v>
      </c>
      <c r="Y26" s="2">
        <f t="shared" si="1"/>
        <v>-1.400520557304219E-7</v>
      </c>
      <c r="Z26" s="2">
        <f t="shared" si="3"/>
        <v>0.97130906581878662</v>
      </c>
      <c r="AA26" s="2">
        <f t="shared" si="2"/>
        <v>-1.8323701445055463E-8</v>
      </c>
      <c r="AB26" s="2">
        <f t="shared" si="4"/>
        <v>-1.8947559988815017E-15</v>
      </c>
      <c r="AC26" s="2">
        <f t="shared" si="5"/>
        <v>2.56627205597052E-15</v>
      </c>
      <c r="AD26" s="2">
        <f t="shared" si="6"/>
        <v>2.384185791015625E-7</v>
      </c>
      <c r="AF26" s="2">
        <v>22</v>
      </c>
      <c r="AG26" s="2">
        <f t="shared" si="13"/>
        <v>1984.375</v>
      </c>
      <c r="AH26" s="2">
        <v>644.90879350870409</v>
      </c>
      <c r="AI26" s="2">
        <f t="shared" si="14"/>
        <v>1984.375</v>
      </c>
      <c r="AJ26" s="2">
        <v>644.91114377693111</v>
      </c>
      <c r="AK26" s="2">
        <f t="shared" si="9"/>
        <v>1984.375</v>
      </c>
      <c r="AL26" s="2">
        <v>488.64749328166454</v>
      </c>
      <c r="AM26" s="2">
        <f t="shared" si="10"/>
        <v>315133.06534333085</v>
      </c>
      <c r="AN26" s="2">
        <f t="shared" si="11"/>
        <v>315134.21379600855</v>
      </c>
      <c r="AO26" s="2">
        <f t="shared" si="12"/>
        <v>0</v>
      </c>
    </row>
    <row r="27" spans="2:41" x14ac:dyDescent="0.2">
      <c r="B27" s="27" t="s">
        <v>146</v>
      </c>
      <c r="C27" s="27"/>
      <c r="D27" s="27"/>
      <c r="F27" t="s">
        <v>93</v>
      </c>
      <c r="G27" s="6">
        <f>G29/$C$21</f>
        <v>25.583775817630645</v>
      </c>
      <c r="H27" t="s">
        <v>97</v>
      </c>
      <c r="J27" s="14" t="s">
        <v>66</v>
      </c>
      <c r="K27" s="6">
        <f xml:space="preserve"> $C$80 * (11.5 * ($C$5*2.20462/1000)^0.4 * 0.453592)</f>
        <v>7.0749065486318869</v>
      </c>
      <c r="L27" s="6" t="s">
        <v>7</v>
      </c>
      <c r="N27" s="6" t="s">
        <v>33</v>
      </c>
      <c r="O27" s="6">
        <f xml:space="preserve"> O21 * $C$10 * O26 - $C$7 * SIN(O19/180*PI())</f>
        <v>1.4528745153582605</v>
      </c>
      <c r="P27" s="6" t="s">
        <v>10</v>
      </c>
      <c r="U27" s="2">
        <v>23</v>
      </c>
      <c r="V27" s="2">
        <f t="shared" si="7"/>
        <v>0.97130894660949707</v>
      </c>
      <c r="W27" s="2">
        <f t="shared" si="0"/>
        <v>1.0340465350644479E-7</v>
      </c>
      <c r="X27" s="2">
        <f t="shared" si="8"/>
        <v>0.97130906581878662</v>
      </c>
      <c r="Y27" s="2">
        <f t="shared" si="1"/>
        <v>-1.8323701445055463E-8</v>
      </c>
      <c r="Z27" s="2">
        <f t="shared" si="3"/>
        <v>0.97130900621414185</v>
      </c>
      <c r="AA27" s="2">
        <f t="shared" si="2"/>
        <v>4.254047591967236E-8</v>
      </c>
      <c r="AB27" s="2">
        <f t="shared" si="4"/>
        <v>4.3988831724729784E-15</v>
      </c>
      <c r="AC27" s="2">
        <f t="shared" si="5"/>
        <v>-7.7949898008264751E-16</v>
      </c>
      <c r="AD27" s="2">
        <f t="shared" si="6"/>
        <v>1.1920928955078125E-7</v>
      </c>
      <c r="AF27" s="2">
        <v>23</v>
      </c>
      <c r="AG27" s="2">
        <f t="shared" si="13"/>
        <v>1984.375</v>
      </c>
      <c r="AH27" s="2">
        <v>644.9099686429463</v>
      </c>
      <c r="AI27" s="2">
        <f t="shared" si="14"/>
        <v>1984.375</v>
      </c>
      <c r="AJ27" s="2">
        <v>644.91114377693111</v>
      </c>
      <c r="AK27" s="2">
        <f t="shared" si="9"/>
        <v>1984.375</v>
      </c>
      <c r="AL27" s="2">
        <v>488.64749328166454</v>
      </c>
      <c r="AM27" s="2">
        <f t="shared" si="10"/>
        <v>315133.63956973259</v>
      </c>
      <c r="AN27" s="2">
        <f t="shared" si="11"/>
        <v>315134.21379600855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8.2943119339397757</v>
      </c>
      <c r="H28" s="6" t="s">
        <v>172</v>
      </c>
      <c r="J28" s="14" t="s">
        <v>67</v>
      </c>
      <c r="K28" s="6">
        <f xml:space="preserve"> $C$80 * (8 * ($C$5/1000))</f>
        <v>10.864630634465984</v>
      </c>
      <c r="L28" s="6" t="s">
        <v>7</v>
      </c>
      <c r="N28" s="6" t="s">
        <v>34</v>
      </c>
      <c r="O28" s="6">
        <f xml:space="preserve"> 1/$C$31 - O25 * SQRT( (2*$C$71*PI()*$C$10^2) / O20^3 )</f>
        <v>1.1627939196642874</v>
      </c>
      <c r="U28" s="2">
        <v>24</v>
      </c>
      <c r="V28" s="2">
        <f t="shared" si="7"/>
        <v>0.97130900621414185</v>
      </c>
      <c r="W28" s="2">
        <f t="shared" si="0"/>
        <v>4.254047591967236E-8</v>
      </c>
      <c r="X28" s="2">
        <f t="shared" si="8"/>
        <v>0.97130906581878662</v>
      </c>
      <c r="Y28" s="2">
        <f t="shared" si="1"/>
        <v>-1.8323701445055463E-8</v>
      </c>
      <c r="Z28" s="2">
        <f t="shared" si="3"/>
        <v>0.97130903601646423</v>
      </c>
      <c r="AA28" s="2">
        <f t="shared" si="2"/>
        <v>1.2108387181797298E-8</v>
      </c>
      <c r="AB28" s="2">
        <f t="shared" si="4"/>
        <v>5.1509655333331742E-16</v>
      </c>
      <c r="AC28" s="2">
        <f t="shared" si="5"/>
        <v>-2.2187047170039018E-16</v>
      </c>
      <c r="AD28" s="2">
        <f t="shared" si="6"/>
        <v>5.9604644775390625E-8</v>
      </c>
      <c r="AF28" s="2">
        <v>24</v>
      </c>
      <c r="AG28" s="2">
        <f t="shared" si="13"/>
        <v>1984.375</v>
      </c>
      <c r="AH28" s="2">
        <v>644.91055604216899</v>
      </c>
      <c r="AI28" s="2">
        <f t="shared" si="14"/>
        <v>1984.375</v>
      </c>
      <c r="AJ28" s="2">
        <v>644.91114377693111</v>
      </c>
      <c r="AK28" s="2">
        <f t="shared" si="9"/>
        <v>1984.375</v>
      </c>
      <c r="AL28" s="2">
        <v>488.64749328166454</v>
      </c>
      <c r="AM28" s="2">
        <f t="shared" si="10"/>
        <v>315133.92660089029</v>
      </c>
      <c r="AN28" s="2">
        <f t="shared" si="11"/>
        <v>315134.21379600855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204.67020654104516</v>
      </c>
      <c r="H29" s="22" t="s">
        <v>97</v>
      </c>
      <c r="J29" s="14" t="s">
        <v>68</v>
      </c>
      <c r="K29" s="6">
        <f xml:space="preserve"> $C$80 * (13 * ($C$5*2.20462/1000)^1.3 * 0.453592)</f>
        <v>26.231195321913596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0.97130903601646423</v>
      </c>
      <c r="W29" s="2">
        <f t="shared" si="0"/>
        <v>1.2108387181797298E-8</v>
      </c>
      <c r="X29" s="2">
        <f t="shared" si="8"/>
        <v>0.97130906581878662</v>
      </c>
      <c r="Y29" s="2">
        <f t="shared" si="1"/>
        <v>-1.8323701445055463E-8</v>
      </c>
      <c r="Z29" s="2">
        <f t="shared" si="3"/>
        <v>0.97130905091762543</v>
      </c>
      <c r="AA29" s="2">
        <f t="shared" si="2"/>
        <v>-3.1076571316290824E-9</v>
      </c>
      <c r="AB29" s="2">
        <f t="shared" si="4"/>
        <v>-3.7628715778038539E-17</v>
      </c>
      <c r="AC29" s="2">
        <f t="shared" si="5"/>
        <v>5.6943781473568731E-17</v>
      </c>
      <c r="AD29" s="2">
        <f t="shared" si="6"/>
        <v>2.9802322387695312E-8</v>
      </c>
      <c r="AF29" s="2">
        <v>25</v>
      </c>
      <c r="AG29" s="2">
        <f t="shared" si="13"/>
        <v>1984.375</v>
      </c>
      <c r="AH29" s="2">
        <v>644.91085007736001</v>
      </c>
      <c r="AI29" s="2">
        <f t="shared" si="14"/>
        <v>1984.375</v>
      </c>
      <c r="AJ29" s="2">
        <v>644.91114377693111</v>
      </c>
      <c r="AK29" s="2">
        <f t="shared" si="9"/>
        <v>1984.375</v>
      </c>
      <c r="AL29" s="2">
        <v>488.64749328166454</v>
      </c>
      <c r="AM29" s="2">
        <f t="shared" si="10"/>
        <v>315134.07028044935</v>
      </c>
      <c r="AN29" s="2">
        <f t="shared" si="11"/>
        <v>315134.21379600855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7.9929392779831687E-3</v>
      </c>
      <c r="L30" s="9" t="s">
        <v>7</v>
      </c>
      <c r="N30" s="6" t="s">
        <v>36</v>
      </c>
      <c r="O30" s="6">
        <f xml:space="preserve"> 1/$C$77 * LN( EXP($C$77 * O28) + EXP($C$77 * O29) )</f>
        <v>1.1801119511652221</v>
      </c>
      <c r="U30" s="2">
        <v>26</v>
      </c>
      <c r="V30" s="2">
        <f>IF(AB29&gt;0, Z29, V29)</f>
        <v>0.97130903601646423</v>
      </c>
      <c r="W30" s="2">
        <f t="shared" si="0"/>
        <v>1.2108387181797298E-8</v>
      </c>
      <c r="X30" s="2">
        <f t="shared" si="8"/>
        <v>0.97130905091762543</v>
      </c>
      <c r="Y30" s="2">
        <f t="shared" si="1"/>
        <v>-3.1076571316290824E-9</v>
      </c>
      <c r="Z30" s="2">
        <f t="shared" si="3"/>
        <v>0.97130904346704483</v>
      </c>
      <c r="AA30" s="2">
        <f t="shared" si="2"/>
        <v>4.5003650805952589E-9</v>
      </c>
      <c r="AB30" s="2">
        <f t="shared" si="4"/>
        <v>5.4492162855287795E-17</v>
      </c>
      <c r="AC30" s="2">
        <f t="shared" si="5"/>
        <v>-1.3985591637646346E-17</v>
      </c>
      <c r="AD30" s="2">
        <f t="shared" si="6"/>
        <v>1.4901161193847656E-8</v>
      </c>
      <c r="AF30" s="2">
        <v>26</v>
      </c>
      <c r="AG30" s="2">
        <f t="shared" si="13"/>
        <v>1984.375</v>
      </c>
      <c r="AH30" s="2">
        <v>644.91099675934538</v>
      </c>
      <c r="AI30" s="2">
        <f t="shared" si="14"/>
        <v>1984.375</v>
      </c>
      <c r="AJ30" s="2">
        <v>644.91114377693111</v>
      </c>
      <c r="AK30" s="2">
        <f t="shared" si="9"/>
        <v>1984.375</v>
      </c>
      <c r="AL30" s="2">
        <v>488.64749328166454</v>
      </c>
      <c r="AM30" s="2">
        <f t="shared" si="10"/>
        <v>315134.14195623383</v>
      </c>
      <c r="AN30" s="2">
        <f t="shared" si="11"/>
        <v>315134.21379600855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28" t="s">
        <v>175</v>
      </c>
      <c r="G31" s="29"/>
      <c r="H31" s="29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0.97130904346704483</v>
      </c>
      <c r="W31" s="2">
        <f t="shared" si="0"/>
        <v>4.5003650805952589E-9</v>
      </c>
      <c r="X31" s="2">
        <f t="shared" si="8"/>
        <v>0.97130905091762543</v>
      </c>
      <c r="Y31" s="2">
        <f t="shared" si="1"/>
        <v>-3.1076571316290824E-9</v>
      </c>
      <c r="Z31" s="2">
        <f t="shared" si="3"/>
        <v>0.97130904719233513</v>
      </c>
      <c r="AA31" s="2">
        <f t="shared" si="2"/>
        <v>6.9635397448308822E-10</v>
      </c>
      <c r="AB31" s="2">
        <f t="shared" si="4"/>
        <v>3.1338471104974122E-18</v>
      </c>
      <c r="AC31" s="2">
        <f t="shared" si="5"/>
        <v>-2.1640293949406252E-18</v>
      </c>
      <c r="AD31" s="2">
        <f t="shared" si="6"/>
        <v>7.4505805969238281E-9</v>
      </c>
      <c r="AF31" s="2">
        <v>27</v>
      </c>
      <c r="AG31" s="2">
        <f t="shared" si="13"/>
        <v>1984.375</v>
      </c>
      <c r="AH31" s="2">
        <v>644.91107026813893</v>
      </c>
      <c r="AI31" s="2">
        <f t="shared" si="14"/>
        <v>1984.375</v>
      </c>
      <c r="AJ31" s="2">
        <v>644.91114377693111</v>
      </c>
      <c r="AK31" s="2">
        <f t="shared" si="9"/>
        <v>1984.375</v>
      </c>
      <c r="AL31" s="2">
        <v>488.64749328166454</v>
      </c>
      <c r="AM31" s="2">
        <f t="shared" si="10"/>
        <v>315134.17787612148</v>
      </c>
      <c r="AN31" s="2">
        <f t="shared" si="11"/>
        <v>315134.21379600855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0.97130904719233513</v>
      </c>
      <c r="W32" s="2">
        <f t="shared" si="0"/>
        <v>6.9635397448308822E-10</v>
      </c>
      <c r="X32" s="2">
        <f t="shared" si="8"/>
        <v>0.97130905091762543</v>
      </c>
      <c r="Y32" s="2">
        <f t="shared" si="1"/>
        <v>-3.1076571316290824E-9</v>
      </c>
      <c r="Z32" s="2">
        <f t="shared" si="3"/>
        <v>0.97130904905498028</v>
      </c>
      <c r="AA32" s="2">
        <f t="shared" si="2"/>
        <v>-1.2056515785729971E-9</v>
      </c>
      <c r="AB32" s="2">
        <f t="shared" si="4"/>
        <v>-8.3956026858111586E-19</v>
      </c>
      <c r="AC32" s="2">
        <f t="shared" si="5"/>
        <v>3.7467517264122354E-18</v>
      </c>
      <c r="AD32" s="2">
        <f t="shared" si="6"/>
        <v>3.7252902984619141E-9</v>
      </c>
      <c r="AF32" s="2">
        <v>28</v>
      </c>
      <c r="AG32" s="2">
        <f t="shared" si="13"/>
        <v>1984.375</v>
      </c>
      <c r="AH32" s="2">
        <v>644.91110719033668</v>
      </c>
      <c r="AI32" s="2">
        <f t="shared" si="14"/>
        <v>1984.375</v>
      </c>
      <c r="AJ32" s="2">
        <v>644.91114377693111</v>
      </c>
      <c r="AK32" s="2">
        <f t="shared" si="9"/>
        <v>1984.375</v>
      </c>
      <c r="AL32" s="2">
        <v>488.64749328166454</v>
      </c>
      <c r="AM32" s="2">
        <f t="shared" si="10"/>
        <v>315134.1959180609</v>
      </c>
      <c r="AN32" s="2">
        <f t="shared" si="11"/>
        <v>315134.21379600855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90.933109379034818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0.97130904719233513</v>
      </c>
      <c r="W33" s="2">
        <f t="shared" si="0"/>
        <v>6.9635397448308822E-10</v>
      </c>
      <c r="X33" s="2">
        <f t="shared" si="8"/>
        <v>0.97130904905498028</v>
      </c>
      <c r="Y33" s="2">
        <f t="shared" si="1"/>
        <v>-1.2056515785729971E-9</v>
      </c>
      <c r="Z33" s="2">
        <f t="shared" si="3"/>
        <v>0.9713090481236577</v>
      </c>
      <c r="AA33" s="2">
        <f t="shared" si="2"/>
        <v>-2.5464874653380321E-10</v>
      </c>
      <c r="AB33" s="2">
        <f t="shared" si="4"/>
        <v>-1.773256667459504E-19</v>
      </c>
      <c r="AC33" s="2">
        <f t="shared" si="5"/>
        <v>3.0701766324011486E-19</v>
      </c>
      <c r="AD33" s="2">
        <f t="shared" si="6"/>
        <v>1.862645149230957E-9</v>
      </c>
      <c r="AF33" s="2">
        <v>29</v>
      </c>
      <c r="AG33" s="2">
        <f t="shared" si="13"/>
        <v>1984.375</v>
      </c>
      <c r="AH33" s="2">
        <v>644.91112531583212</v>
      </c>
      <c r="AI33" s="2">
        <f t="shared" si="14"/>
        <v>1984.375</v>
      </c>
      <c r="AJ33" s="2">
        <v>644.91114377693111</v>
      </c>
      <c r="AK33" s="2">
        <f t="shared" si="9"/>
        <v>1984.375</v>
      </c>
      <c r="AL33" s="2">
        <v>488.64749328166454</v>
      </c>
      <c r="AM33" s="2">
        <f t="shared" si="10"/>
        <v>315134.20477503882</v>
      </c>
      <c r="AN33" s="2">
        <f t="shared" si="11"/>
        <v>315134.21379600855</v>
      </c>
      <c r="AO33" s="2">
        <f t="shared" si="12"/>
        <v>0</v>
      </c>
    </row>
    <row r="34" spans="2:41" x14ac:dyDescent="0.2">
      <c r="B34" s="27" t="s">
        <v>100</v>
      </c>
      <c r="C34" s="27"/>
      <c r="D34" s="27"/>
      <c r="J34" s="6" t="s">
        <v>58</v>
      </c>
      <c r="K34" s="6">
        <f>ROUND($C$16/$C$5 * 100, 2)</f>
        <v>35.340000000000003</v>
      </c>
      <c r="L34" s="6" t="s">
        <v>59</v>
      </c>
      <c r="U34" s="2">
        <v>30</v>
      </c>
      <c r="V34" s="2">
        <f t="shared" si="7"/>
        <v>0.97130904719233513</v>
      </c>
      <c r="W34" s="2">
        <f t="shared" si="0"/>
        <v>6.9635397448308822E-10</v>
      </c>
      <c r="X34" s="2">
        <f t="shared" si="8"/>
        <v>0.9713090481236577</v>
      </c>
      <c r="Y34" s="2">
        <f t="shared" si="1"/>
        <v>-2.5464874653380321E-10</v>
      </c>
      <c r="Z34" s="2">
        <f t="shared" si="3"/>
        <v>0.97130904765799642</v>
      </c>
      <c r="AA34" s="2">
        <f t="shared" si="2"/>
        <v>2.2085255846349128E-10</v>
      </c>
      <c r="AB34" s="2">
        <f t="shared" si="4"/>
        <v>1.5379155686081075E-19</v>
      </c>
      <c r="AC34" s="2">
        <f t="shared" si="5"/>
        <v>-5.6239827181511544E-20</v>
      </c>
      <c r="AD34" s="2">
        <f t="shared" si="6"/>
        <v>9.3132257461547852E-10</v>
      </c>
      <c r="AF34" s="2">
        <v>30</v>
      </c>
      <c r="AG34" s="2">
        <f t="shared" si="13"/>
        <v>1984.375</v>
      </c>
      <c r="AH34" s="2">
        <v>644.91113454638185</v>
      </c>
      <c r="AI34" s="2">
        <f t="shared" si="14"/>
        <v>1984.375</v>
      </c>
      <c r="AJ34" s="2">
        <v>644.91114377693111</v>
      </c>
      <c r="AK34" s="2">
        <f t="shared" si="9"/>
        <v>1984.375</v>
      </c>
      <c r="AL34" s="2">
        <v>488.64749328166454</v>
      </c>
      <c r="AM34" s="2">
        <f t="shared" si="10"/>
        <v>315134.2092855238</v>
      </c>
      <c r="AN34" s="2">
        <f t="shared" si="11"/>
        <v>315134.21379600855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13.53</v>
      </c>
      <c r="L35" s="6" t="s">
        <v>59</v>
      </c>
      <c r="AF35" s="2">
        <v>31</v>
      </c>
      <c r="AG35" s="2">
        <f t="shared" si="13"/>
        <v>1984.375</v>
      </c>
      <c r="AH35" s="2">
        <v>644.91113916165637</v>
      </c>
      <c r="AI35" s="2">
        <f t="shared" si="14"/>
        <v>1984.375</v>
      </c>
      <c r="AJ35" s="2">
        <v>644.91114377693111</v>
      </c>
      <c r="AK35" s="2">
        <f t="shared" si="9"/>
        <v>1984.375</v>
      </c>
      <c r="AL35" s="2">
        <v>488.64749328166454</v>
      </c>
      <c r="AM35" s="2">
        <f t="shared" si="10"/>
        <v>315134.21154076612</v>
      </c>
      <c r="AN35" s="2">
        <f t="shared" si="11"/>
        <v>315134.21379600855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14.78</v>
      </c>
      <c r="L36" s="6" t="s">
        <v>59</v>
      </c>
      <c r="AF36" s="2">
        <v>32</v>
      </c>
      <c r="AG36" s="2">
        <f t="shared" si="13"/>
        <v>1984.375</v>
      </c>
      <c r="AH36" s="2">
        <v>644.91114146929363</v>
      </c>
      <c r="AI36" s="2">
        <f t="shared" si="14"/>
        <v>1984.375</v>
      </c>
      <c r="AJ36" s="2">
        <v>644.91114377693111</v>
      </c>
      <c r="AK36" s="2">
        <f t="shared" si="9"/>
        <v>1984.375</v>
      </c>
      <c r="AL36" s="2">
        <v>488.64749328166454</v>
      </c>
      <c r="AM36" s="2">
        <f t="shared" si="10"/>
        <v>315134.21266838728</v>
      </c>
      <c r="AN36" s="2">
        <f t="shared" si="11"/>
        <v>315134.21379600855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31.6</v>
      </c>
      <c r="L37" s="6" t="s">
        <v>59</v>
      </c>
      <c r="AF37" s="2">
        <v>33</v>
      </c>
      <c r="AG37" s="2">
        <f t="shared" si="13"/>
        <v>1984.375</v>
      </c>
      <c r="AH37" s="2">
        <v>644.91114262311248</v>
      </c>
      <c r="AI37" s="2">
        <f t="shared" si="14"/>
        <v>1984.375</v>
      </c>
      <c r="AJ37" s="2">
        <v>644.91114377693111</v>
      </c>
      <c r="AK37" s="2">
        <f t="shared" si="9"/>
        <v>1984.375</v>
      </c>
      <c r="AL37" s="2">
        <v>488.64749328166454</v>
      </c>
      <c r="AM37" s="2">
        <f t="shared" si="10"/>
        <v>315134.21323219797</v>
      </c>
      <c r="AN37" s="2">
        <f t="shared" si="11"/>
        <v>315134.21379600855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1984.375</v>
      </c>
      <c r="AH38" s="2">
        <v>644.91114320002157</v>
      </c>
      <c r="AI38" s="2">
        <f t="shared" si="14"/>
        <v>1984.375</v>
      </c>
      <c r="AJ38" s="2">
        <v>644.91114377693111</v>
      </c>
      <c r="AK38" s="2">
        <f t="shared" si="9"/>
        <v>1984.375</v>
      </c>
      <c r="AL38" s="2">
        <v>488.64749328166454</v>
      </c>
      <c r="AM38" s="2">
        <f t="shared" si="10"/>
        <v>315134.21351410315</v>
      </c>
      <c r="AN38" s="2">
        <f t="shared" si="11"/>
        <v>315134.21379600855</v>
      </c>
      <c r="AO38" s="2">
        <f t="shared" si="12"/>
        <v>0</v>
      </c>
    </row>
    <row r="39" spans="2:41" x14ac:dyDescent="0.2">
      <c r="B39" s="27" t="s">
        <v>104</v>
      </c>
      <c r="C39" s="27"/>
      <c r="D39" s="27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1984.375</v>
      </c>
      <c r="AH39" s="2">
        <v>644.91114348847668</v>
      </c>
      <c r="AI39" s="2">
        <f t="shared" si="14"/>
        <v>1984.375</v>
      </c>
      <c r="AJ39" s="2">
        <v>644.91114377693111</v>
      </c>
      <c r="AK39" s="2">
        <f t="shared" si="9"/>
        <v>1984.375</v>
      </c>
      <c r="AL39" s="2">
        <v>488.64749328166454</v>
      </c>
      <c r="AM39" s="2">
        <f t="shared" si="10"/>
        <v>315134.21365505602</v>
      </c>
      <c r="AN39" s="2">
        <f t="shared" si="11"/>
        <v>315134.21379600855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1984.375</v>
      </c>
      <c r="AH40" s="2">
        <v>644.91114363270367</v>
      </c>
      <c r="AI40" s="2">
        <f t="shared" si="14"/>
        <v>1984.375</v>
      </c>
      <c r="AJ40" s="2">
        <v>644.91114377693111</v>
      </c>
      <c r="AK40" s="2">
        <f t="shared" si="9"/>
        <v>1984.375</v>
      </c>
      <c r="AL40" s="2">
        <v>488.64749328166454</v>
      </c>
      <c r="AM40" s="2">
        <f t="shared" si="10"/>
        <v>315134.21372553217</v>
      </c>
      <c r="AN40" s="2">
        <f t="shared" si="11"/>
        <v>315134.21379600855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27" t="s">
        <v>109</v>
      </c>
      <c r="K41" s="27"/>
      <c r="L41" s="27"/>
      <c r="AF41" s="2">
        <v>37</v>
      </c>
      <c r="AG41" s="2">
        <f t="shared" si="13"/>
        <v>1984.375</v>
      </c>
      <c r="AH41" s="2">
        <v>644.91114370481773</v>
      </c>
      <c r="AI41" s="2">
        <f t="shared" si="14"/>
        <v>1984.375</v>
      </c>
      <c r="AJ41" s="2">
        <v>644.91114377693111</v>
      </c>
      <c r="AK41" s="2">
        <f t="shared" si="9"/>
        <v>1984.375</v>
      </c>
      <c r="AL41" s="2">
        <v>488.64749328166454</v>
      </c>
      <c r="AM41" s="2">
        <f t="shared" si="10"/>
        <v>315134.21376077051</v>
      </c>
      <c r="AN41" s="2">
        <f t="shared" si="11"/>
        <v>315134.21379600855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1984.375</v>
      </c>
      <c r="AH42" s="2">
        <v>644.91114374087419</v>
      </c>
      <c r="AI42" s="2">
        <f t="shared" si="14"/>
        <v>1984.375</v>
      </c>
      <c r="AJ42" s="2">
        <v>644.91114377693111</v>
      </c>
      <c r="AK42" s="2">
        <f t="shared" si="9"/>
        <v>1984.375</v>
      </c>
      <c r="AL42" s="2">
        <v>488.64749328166454</v>
      </c>
      <c r="AM42" s="2">
        <f t="shared" si="10"/>
        <v>315134.21377838944</v>
      </c>
      <c r="AN42" s="2">
        <f t="shared" si="11"/>
        <v>315134.21379600855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229.63</v>
      </c>
      <c r="L43" s="6" t="s">
        <v>7</v>
      </c>
      <c r="AF43" s="2">
        <v>39</v>
      </c>
      <c r="AG43" s="2">
        <f t="shared" si="13"/>
        <v>1984.375</v>
      </c>
      <c r="AH43" s="2">
        <v>644.91114375890243</v>
      </c>
      <c r="AI43" s="2">
        <f t="shared" si="14"/>
        <v>1984.375</v>
      </c>
      <c r="AJ43" s="2">
        <v>644.91114377693111</v>
      </c>
      <c r="AK43" s="2">
        <f t="shared" si="9"/>
        <v>1984.375</v>
      </c>
      <c r="AL43" s="2">
        <v>488.64749328166454</v>
      </c>
      <c r="AM43" s="2">
        <f t="shared" si="10"/>
        <v>315134.21378719888</v>
      </c>
      <c r="AN43" s="2">
        <f t="shared" si="11"/>
        <v>315134.21379600855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250.89</v>
      </c>
      <c r="L44" s="6" t="s">
        <v>7</v>
      </c>
      <c r="AF44" s="2">
        <v>40</v>
      </c>
      <c r="AG44" s="2">
        <f t="shared" si="13"/>
        <v>1984.375</v>
      </c>
      <c r="AH44" s="2">
        <v>644.91114376791666</v>
      </c>
      <c r="AI44" s="2">
        <f t="shared" si="14"/>
        <v>1984.375</v>
      </c>
      <c r="AJ44" s="2">
        <v>644.91114377693111</v>
      </c>
      <c r="AK44" s="5">
        <f t="shared" si="9"/>
        <v>1984.375</v>
      </c>
      <c r="AL44" s="2">
        <v>488.64749328166454</v>
      </c>
      <c r="AM44" s="2">
        <f t="shared" si="10"/>
        <v>315134.21379160363</v>
      </c>
      <c r="AN44" s="2">
        <f t="shared" si="11"/>
        <v>315134.21379600855</v>
      </c>
      <c r="AO44" s="2">
        <f t="shared" si="12"/>
        <v>0</v>
      </c>
    </row>
    <row r="45" spans="2:41" x14ac:dyDescent="0.2">
      <c r="B45" s="27" t="s">
        <v>151</v>
      </c>
      <c r="C45" s="27"/>
      <c r="D45" s="27"/>
      <c r="J45" s="19" t="s">
        <v>70</v>
      </c>
      <c r="K45" s="6">
        <f>ROUND(SUM(K20:K25), 2)</f>
        <v>536.5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80.569999999999993</v>
      </c>
      <c r="L46" s="6" t="s">
        <v>7</v>
      </c>
    </row>
    <row r="47" spans="2:41" x14ac:dyDescent="0.2">
      <c r="J47" s="9" t="s">
        <v>60</v>
      </c>
      <c r="K47" s="9">
        <f>SUM(K42:K46)</f>
        <v>1697.59</v>
      </c>
      <c r="L47" s="6" t="s">
        <v>7</v>
      </c>
    </row>
    <row r="48" spans="2:41" x14ac:dyDescent="0.2">
      <c r="B48" s="27" t="s">
        <v>152</v>
      </c>
      <c r="C48" s="27"/>
      <c r="D48" s="27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7" t="s">
        <v>156</v>
      </c>
      <c r="C53" s="27"/>
      <c r="D53" s="27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28" t="s">
        <v>2</v>
      </c>
      <c r="C59" s="29"/>
      <c r="D59" s="29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7" t="s">
        <v>169</v>
      </c>
      <c r="C64" s="30"/>
      <c r="D64" s="30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7" t="s">
        <v>170</v>
      </c>
      <c r="C70" s="30"/>
      <c r="D70" s="30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7" t="s">
        <v>72</v>
      </c>
      <c r="C76" s="27"/>
      <c r="D76" s="27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liftcruise_opt_250_test_250</vt:lpstr>
      <vt:lpstr>liftcruise_opt_250_test_550</vt:lpstr>
      <vt:lpstr>liftcruise_opt_550_test_550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2025-05-08T10:20:55Z</dcterms:modified>
</cp:coreProperties>
</file>