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energy/multirotor/"/>
    </mc:Choice>
  </mc:AlternateContent>
  <xr:revisionPtr revIDLastSave="0" documentId="13_ncr:1_{FD3E3745-DC75-344E-86D3-D180DBD4A210}" xr6:coauthVersionLast="47" xr6:coauthVersionMax="47" xr10:uidLastSave="{00000000-0000-0000-0000-000000000000}"/>
  <bookViews>
    <workbookView xWindow="15320" yWindow="740" windowWidth="14920" windowHeight="18900" activeTab="1" xr2:uid="{843CD013-835A-1741-B375-CD508AE79BD2}"/>
  </bookViews>
  <sheets>
    <sheet name="multirotor_opt_400_test_400" sheetId="13" r:id="rId1"/>
    <sheet name="multirotor_opt_400_test_550" sheetId="19" r:id="rId2"/>
    <sheet name="multirotor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0" l="1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K19" i="19"/>
  <c r="AN18" i="19"/>
  <c r="AM18" i="19"/>
  <c r="K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O8" i="20" l="1"/>
  <c r="O9" i="20" s="1"/>
  <c r="O13" i="20" s="1"/>
  <c r="O14" i="20" s="1"/>
  <c r="O17" i="20" s="1"/>
  <c r="O20" i="20" s="1"/>
  <c r="K35" i="20"/>
  <c r="K43" i="20"/>
  <c r="O8" i="19"/>
  <c r="O9" i="19" s="1"/>
  <c r="O13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O23" i="20"/>
  <c r="O18" i="20"/>
  <c r="K47" i="20"/>
  <c r="G30" i="19"/>
  <c r="K35" i="19"/>
  <c r="K43" i="19"/>
  <c r="AO6" i="19"/>
  <c r="O14" i="19"/>
  <c r="O17" i="19" s="1"/>
  <c r="O20" i="19" s="1"/>
  <c r="O18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K34" i="19" l="1"/>
  <c r="AI7" i="19"/>
  <c r="AO7" i="19" s="1"/>
  <c r="O21" i="20"/>
  <c r="G18" i="20"/>
  <c r="K14" i="20"/>
  <c r="O26" i="20"/>
  <c r="O28" i="20" s="1"/>
  <c r="AK6" i="20"/>
  <c r="AK7" i="19"/>
  <c r="AI8" i="19" s="1"/>
  <c r="O21" i="19"/>
  <c r="G21" i="19" s="1"/>
  <c r="G18" i="19"/>
  <c r="K14" i="19"/>
  <c r="O23" i="19"/>
  <c r="AG6" i="13"/>
  <c r="AI6" i="13"/>
  <c r="G27" i="13"/>
  <c r="G15" i="13"/>
  <c r="K9" i="13" s="1"/>
  <c r="K31" i="13"/>
  <c r="AG8" i="19" l="1"/>
  <c r="AK8" i="19" s="1"/>
  <c r="AI9" i="19" s="1"/>
  <c r="AG7" i="20"/>
  <c r="AI7" i="20"/>
  <c r="AK7" i="20" s="1"/>
  <c r="AI8" i="20" s="1"/>
  <c r="W4" i="19"/>
  <c r="Y4" i="19"/>
  <c r="AG8" i="20"/>
  <c r="G21" i="20"/>
  <c r="W4" i="20"/>
  <c r="Y4" i="20"/>
  <c r="AA4" i="20"/>
  <c r="AO7" i="20"/>
  <c r="K15" i="20"/>
  <c r="K15" i="19"/>
  <c r="O26" i="19"/>
  <c r="O28" i="19" s="1"/>
  <c r="AA4" i="19"/>
  <c r="AO8" i="19"/>
  <c r="AO6" i="13"/>
  <c r="AK6" i="13"/>
  <c r="AG7" i="13" s="1"/>
  <c r="AI7" i="13" l="1"/>
  <c r="AB4" i="19"/>
  <c r="V5" i="19" s="1"/>
  <c r="W5" i="19" s="1"/>
  <c r="AG9" i="19"/>
  <c r="AK9" i="19" s="1"/>
  <c r="AI10" i="19" s="1"/>
  <c r="AC4" i="20"/>
  <c r="X5" i="20" s="1"/>
  <c r="AB4" i="20"/>
  <c r="V5" i="20" s="1"/>
  <c r="AK8" i="20"/>
  <c r="AI9" i="20" s="1"/>
  <c r="AO8" i="20"/>
  <c r="AG10" i="19"/>
  <c r="AC4" i="19"/>
  <c r="X5" i="19" s="1"/>
  <c r="AO9" i="19"/>
  <c r="AK7" i="13"/>
  <c r="AI8" i="13" s="1"/>
  <c r="AO7" i="13"/>
  <c r="AG9" i="20" l="1"/>
  <c r="AO9" i="20" s="1"/>
  <c r="AK10" i="19"/>
  <c r="AD5" i="20"/>
  <c r="Y5" i="20"/>
  <c r="AK9" i="20"/>
  <c r="AI10" i="20" s="1"/>
  <c r="Z5" i="20"/>
  <c r="AA5" i="20" s="1"/>
  <c r="W5" i="20"/>
  <c r="AG11" i="19"/>
  <c r="AI11" i="19"/>
  <c r="AD5" i="19"/>
  <c r="Y5" i="19"/>
  <c r="AO10" i="19"/>
  <c r="Z5" i="19"/>
  <c r="AA5" i="19" s="1"/>
  <c r="AB5" i="19" s="1"/>
  <c r="V6" i="19" s="1"/>
  <c r="AG8" i="13"/>
  <c r="AK8" i="13" s="1"/>
  <c r="AI9" i="13" s="1"/>
  <c r="AG10" i="20" l="1"/>
  <c r="AO11" i="19"/>
  <c r="AB5" i="20"/>
  <c r="V6" i="20" s="1"/>
  <c r="AO8" i="13"/>
  <c r="W6" i="20"/>
  <c r="AK10" i="20"/>
  <c r="AI11" i="20" s="1"/>
  <c r="AO10" i="20"/>
  <c r="AC5" i="20"/>
  <c r="X6" i="20" s="1"/>
  <c r="W6" i="19"/>
  <c r="AC5" i="19"/>
  <c r="X6" i="19" s="1"/>
  <c r="AK11" i="19"/>
  <c r="AG9" i="13"/>
  <c r="AK9" i="13" s="1"/>
  <c r="AG11" i="20" l="1"/>
  <c r="AD6" i="20"/>
  <c r="Y6" i="20"/>
  <c r="AO11" i="20"/>
  <c r="AK11" i="20"/>
  <c r="AG12" i="20" s="1"/>
  <c r="Z6" i="20"/>
  <c r="AA6" i="20" s="1"/>
  <c r="AB6" i="20" s="1"/>
  <c r="V7" i="20" s="1"/>
  <c r="AI12" i="19"/>
  <c r="AG12" i="19"/>
  <c r="AK12" i="19" s="1"/>
  <c r="AD6" i="19"/>
  <c r="Y6" i="19"/>
  <c r="Z6" i="19"/>
  <c r="AA6" i="19" s="1"/>
  <c r="AB6" i="19" s="1"/>
  <c r="V7" i="19" s="1"/>
  <c r="AO9" i="13"/>
  <c r="AG10" i="13"/>
  <c r="AI10" i="13"/>
  <c r="AI12" i="20" l="1"/>
  <c r="AK12" i="20" s="1"/>
  <c r="W7" i="20"/>
  <c r="AO12" i="20"/>
  <c r="AC6" i="20"/>
  <c r="X7" i="20" s="1"/>
  <c r="W7" i="19"/>
  <c r="AC6" i="19"/>
  <c r="X7" i="19" s="1"/>
  <c r="AI13" i="19"/>
  <c r="AG13" i="19"/>
  <c r="AO12" i="19"/>
  <c r="AO10" i="13"/>
  <c r="AK10" i="13"/>
  <c r="AG11" i="13" s="1"/>
  <c r="AG13" i="20" l="1"/>
  <c r="AI13" i="20"/>
  <c r="AO13" i="20" s="1"/>
  <c r="AK13" i="19"/>
  <c r="AK13" i="20"/>
  <c r="AD7" i="20"/>
  <c r="Y7" i="20"/>
  <c r="AI14" i="20"/>
  <c r="AG14" i="20"/>
  <c r="Z7" i="20"/>
  <c r="AA7" i="20" s="1"/>
  <c r="AB7" i="20" s="1"/>
  <c r="V8" i="20" s="1"/>
  <c r="AI14" i="19"/>
  <c r="AG14" i="19"/>
  <c r="AO13" i="19"/>
  <c r="AD7" i="19"/>
  <c r="Y7" i="19"/>
  <c r="Z7" i="19"/>
  <c r="AA7" i="19" s="1"/>
  <c r="AB7" i="19" s="1"/>
  <c r="V8" i="19" s="1"/>
  <c r="AI11" i="13"/>
  <c r="AK11" i="13" s="1"/>
  <c r="AK14" i="20" l="1"/>
  <c r="AK14" i="19"/>
  <c r="W8" i="20"/>
  <c r="AG15" i="20"/>
  <c r="AI15" i="20"/>
  <c r="AO14" i="20"/>
  <c r="AC7" i="20"/>
  <c r="X8" i="20" s="1"/>
  <c r="W8" i="19"/>
  <c r="AC7" i="19"/>
  <c r="X8" i="19" s="1"/>
  <c r="AI15" i="19"/>
  <c r="AG15" i="19"/>
  <c r="AO14" i="19"/>
  <c r="AO11" i="13"/>
  <c r="AG12" i="13"/>
  <c r="AI12" i="13"/>
  <c r="AK15" i="19" l="1"/>
  <c r="AK15" i="20"/>
  <c r="AG16" i="20"/>
  <c r="AI16" i="20"/>
  <c r="AO16" i="20" s="1"/>
  <c r="AD8" i="20"/>
  <c r="Y8" i="20"/>
  <c r="AO15" i="20"/>
  <c r="Z8" i="20"/>
  <c r="AA8" i="20" s="1"/>
  <c r="AB8" i="20" s="1"/>
  <c r="V9" i="20" s="1"/>
  <c r="AG16" i="19"/>
  <c r="AI16" i="19"/>
  <c r="AO15" i="19"/>
  <c r="AD8" i="19"/>
  <c r="Y8" i="19"/>
  <c r="Z8" i="19"/>
  <c r="AA8" i="19" s="1"/>
  <c r="AB8" i="19" s="1"/>
  <c r="V9" i="19" s="1"/>
  <c r="AO12" i="13"/>
  <c r="AK12" i="13"/>
  <c r="AI13" i="13" s="1"/>
  <c r="AO16" i="19" l="1"/>
  <c r="W9" i="20"/>
  <c r="AC8" i="20"/>
  <c r="X9" i="20" s="1"/>
  <c r="AK16" i="20"/>
  <c r="W9" i="19"/>
  <c r="AC8" i="19"/>
  <c r="X9" i="19" s="1"/>
  <c r="AK16" i="19"/>
  <c r="AG13" i="13"/>
  <c r="AK13" i="13" s="1"/>
  <c r="AI14" i="13" s="1"/>
  <c r="AI17" i="20" l="1"/>
  <c r="AG17" i="20"/>
  <c r="AK17" i="20" s="1"/>
  <c r="AD9" i="20"/>
  <c r="Y9" i="20"/>
  <c r="Z9" i="20"/>
  <c r="AA9" i="20" s="1"/>
  <c r="AB9" i="20" s="1"/>
  <c r="V10" i="20" s="1"/>
  <c r="AG17" i="19"/>
  <c r="AI17" i="19"/>
  <c r="AO17" i="19" s="1"/>
  <c r="AD9" i="19"/>
  <c r="Y9" i="19"/>
  <c r="Z9" i="19"/>
  <c r="AA9" i="19" s="1"/>
  <c r="AB9" i="19" s="1"/>
  <c r="V10" i="19" s="1"/>
  <c r="AO13" i="13"/>
  <c r="AG14" i="13"/>
  <c r="AO14" i="13" s="1"/>
  <c r="W10" i="20" l="1"/>
  <c r="AG18" i="20"/>
  <c r="AI18" i="20"/>
  <c r="AC9" i="20"/>
  <c r="X10" i="20" s="1"/>
  <c r="AO17" i="20"/>
  <c r="W10" i="19"/>
  <c r="AC9" i="19"/>
  <c r="X10" i="19" s="1"/>
  <c r="AK17" i="19"/>
  <c r="AK14" i="13"/>
  <c r="AG15" i="13" s="1"/>
  <c r="AK18" i="20" l="1"/>
  <c r="AO18" i="20"/>
  <c r="AG19" i="20"/>
  <c r="AI19" i="20"/>
  <c r="AO19" i="20" s="1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W11" i="20" l="1"/>
  <c r="AC10" i="20"/>
  <c r="X11" i="20" s="1"/>
  <c r="AK19" i="20"/>
  <c r="AO18" i="19"/>
  <c r="W11" i="19"/>
  <c r="AC10" i="19"/>
  <c r="X11" i="19" s="1"/>
  <c r="AK18" i="19"/>
  <c r="AO15" i="13"/>
  <c r="AG16" i="13"/>
  <c r="AI16" i="13"/>
  <c r="AG20" i="20" l="1"/>
  <c r="AI20" i="20"/>
  <c r="AO20" i="20" s="1"/>
  <c r="AD11" i="20"/>
  <c r="Y11" i="20"/>
  <c r="Z11" i="20"/>
  <c r="AA11" i="20" s="1"/>
  <c r="AB11" i="20" s="1"/>
  <c r="V12" i="20" s="1"/>
  <c r="AG19" i="19"/>
  <c r="AI19" i="19"/>
  <c r="AD11" i="19"/>
  <c r="Y11" i="19"/>
  <c r="Z11" i="19"/>
  <c r="AA11" i="19" s="1"/>
  <c r="AB11" i="19" s="1"/>
  <c r="V12" i="19" s="1"/>
  <c r="AO16" i="13"/>
  <c r="AK16" i="13"/>
  <c r="AO19" i="19" l="1"/>
  <c r="W12" i="20"/>
  <c r="AC11" i="20"/>
  <c r="X12" i="20" s="1"/>
  <c r="AK20" i="20"/>
  <c r="W12" i="19"/>
  <c r="AC11" i="19"/>
  <c r="X12" i="19" s="1"/>
  <c r="AK19" i="19"/>
  <c r="AG17" i="13"/>
  <c r="AI17" i="13"/>
  <c r="AI21" i="20" l="1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W13" i="20" l="1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O22" i="20" l="1"/>
  <c r="AK22" i="20"/>
  <c r="AD13" i="20"/>
  <c r="Y13" i="20"/>
  <c r="Z13" i="20"/>
  <c r="AA13" i="20" s="1"/>
  <c r="AB13" i="20" s="1"/>
  <c r="V14" i="20" s="1"/>
  <c r="AK21" i="19"/>
  <c r="AG22" i="19"/>
  <c r="AI22" i="19"/>
  <c r="AO22" i="19" s="1"/>
  <c r="AO21" i="19"/>
  <c r="AD13" i="19"/>
  <c r="Y13" i="19"/>
  <c r="Z13" i="19"/>
  <c r="AA13" i="19" s="1"/>
  <c r="AB13" i="19" s="1"/>
  <c r="V14" i="19" s="1"/>
  <c r="AK18" i="13"/>
  <c r="AG19" i="13" s="1"/>
  <c r="AO18" i="13"/>
  <c r="W14" i="20" l="1"/>
  <c r="AC13" i="20"/>
  <c r="X14" i="20" s="1"/>
  <c r="AI23" i="20"/>
  <c r="AG23" i="20"/>
  <c r="W14" i="19"/>
  <c r="AC13" i="19"/>
  <c r="X14" i="19" s="1"/>
  <c r="AK22" i="19"/>
  <c r="AI19" i="13"/>
  <c r="AO19" i="13" s="1"/>
  <c r="AO23" i="20" l="1"/>
  <c r="AD14" i="20"/>
  <c r="Y14" i="20"/>
  <c r="AK23" i="20"/>
  <c r="Z14" i="20"/>
  <c r="AA14" i="20" s="1"/>
  <c r="AB14" i="20" s="1"/>
  <c r="V15" i="20" s="1"/>
  <c r="AG23" i="19"/>
  <c r="AI23" i="19"/>
  <c r="AO23" i="19" s="1"/>
  <c r="AD14" i="19"/>
  <c r="Y14" i="19"/>
  <c r="Z14" i="19"/>
  <c r="AA14" i="19" s="1"/>
  <c r="AB14" i="19" s="1"/>
  <c r="V15" i="19" s="1"/>
  <c r="AK19" i="13"/>
  <c r="AG20" i="13" s="1"/>
  <c r="W15" i="20" l="1"/>
  <c r="AI24" i="20"/>
  <c r="AG24" i="20"/>
  <c r="AC14" i="20"/>
  <c r="X15" i="20" s="1"/>
  <c r="W15" i="19"/>
  <c r="AC14" i="19"/>
  <c r="X15" i="19" s="1"/>
  <c r="AK23" i="19"/>
  <c r="AI20" i="13"/>
  <c r="AO20" i="13" s="1"/>
  <c r="AK24" i="20" l="1"/>
  <c r="AG25" i="20"/>
  <c r="AI25" i="20"/>
  <c r="AO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K24" i="19" l="1"/>
  <c r="W16" i="20"/>
  <c r="AC15" i="20"/>
  <c r="X16" i="20" s="1"/>
  <c r="AK25" i="20"/>
  <c r="W16" i="19"/>
  <c r="AC15" i="19"/>
  <c r="X16" i="19" s="1"/>
  <c r="AI25" i="19"/>
  <c r="AG25" i="19"/>
  <c r="AO24" i="19"/>
  <c r="AI21" i="13"/>
  <c r="AO21" i="13" s="1"/>
  <c r="AI26" i="20" l="1"/>
  <c r="AG26" i="20"/>
  <c r="AD16" i="20"/>
  <c r="Y16" i="20"/>
  <c r="Z16" i="20"/>
  <c r="AA16" i="20" s="1"/>
  <c r="AB16" i="20" s="1"/>
  <c r="V17" i="20" s="1"/>
  <c r="AK25" i="19"/>
  <c r="AG26" i="19"/>
  <c r="AI26" i="19"/>
  <c r="AO26" i="19" s="1"/>
  <c r="AO25" i="19"/>
  <c r="AD16" i="19"/>
  <c r="Y16" i="19"/>
  <c r="Z16" i="19"/>
  <c r="AA16" i="19" s="1"/>
  <c r="AB16" i="19" s="1"/>
  <c r="V17" i="19" s="1"/>
  <c r="AK21" i="13"/>
  <c r="AG22" i="13" s="1"/>
  <c r="AK26" i="20" l="1"/>
  <c r="W17" i="20"/>
  <c r="AI27" i="20"/>
  <c r="AG27" i="20"/>
  <c r="AC16" i="20"/>
  <c r="X17" i="20" s="1"/>
  <c r="AO26" i="20"/>
  <c r="W17" i="19"/>
  <c r="AC16" i="19"/>
  <c r="X17" i="19" s="1"/>
  <c r="AK26" i="19"/>
  <c r="AI22" i="13"/>
  <c r="AO22" i="13" s="1"/>
  <c r="AK27" i="20" l="1"/>
  <c r="AD17" i="20"/>
  <c r="Y17" i="20"/>
  <c r="AI28" i="20"/>
  <c r="AG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K28" i="20" l="1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K29" i="20" l="1"/>
  <c r="AD18" i="20"/>
  <c r="Y18" i="20"/>
  <c r="AI30" i="20"/>
  <c r="AG30" i="20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K30" i="20" l="1"/>
  <c r="AO28" i="19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O31" i="20" l="1"/>
  <c r="AD19" i="20"/>
  <c r="Y19" i="20"/>
  <c r="AK31" i="20"/>
  <c r="Z19" i="20"/>
  <c r="AA19" i="20" s="1"/>
  <c r="AB19" i="20" s="1"/>
  <c r="V20" i="20" s="1"/>
  <c r="AG29" i="19"/>
  <c r="AI29" i="19"/>
  <c r="AO29" i="19" s="1"/>
  <c r="AD19" i="19"/>
  <c r="Y19" i="19"/>
  <c r="Z19" i="19"/>
  <c r="AA19" i="19" s="1"/>
  <c r="AB19" i="19" s="1"/>
  <c r="V20" i="19" s="1"/>
  <c r="AK24" i="13"/>
  <c r="AI25" i="13" s="1"/>
  <c r="W20" i="20" l="1"/>
  <c r="AG32" i="20"/>
  <c r="AI32" i="20"/>
  <c r="AC19" i="20"/>
  <c r="X20" i="20" s="1"/>
  <c r="W20" i="19"/>
  <c r="AC19" i="19"/>
  <c r="X20" i="19" s="1"/>
  <c r="AK29" i="19"/>
  <c r="AG25" i="13"/>
  <c r="AK25" i="13" s="1"/>
  <c r="AO32" i="20" l="1"/>
  <c r="AD20" i="20"/>
  <c r="Y20" i="20"/>
  <c r="AK32" i="20"/>
  <c r="Z20" i="20"/>
  <c r="AA20" i="20" s="1"/>
  <c r="AB20" i="20" s="1"/>
  <c r="V21" i="20" s="1"/>
  <c r="AG30" i="19"/>
  <c r="AI30" i="19"/>
  <c r="AO30" i="19" s="1"/>
  <c r="AD20" i="19"/>
  <c r="Y20" i="19"/>
  <c r="Z20" i="19"/>
  <c r="AA20" i="19" s="1"/>
  <c r="AB20" i="19" s="1"/>
  <c r="V21" i="19" s="1"/>
  <c r="AI26" i="13"/>
  <c r="AG26" i="13"/>
  <c r="AO25" i="13"/>
  <c r="W21" i="20" l="1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I27" i="13"/>
  <c r="AO33" i="20" l="1"/>
  <c r="AD21" i="20"/>
  <c r="Y21" i="20"/>
  <c r="AK33" i="20"/>
  <c r="Z21" i="20"/>
  <c r="AA21" i="20" s="1"/>
  <c r="AB21" i="20" s="1"/>
  <c r="V22" i="20" s="1"/>
  <c r="AI31" i="19"/>
  <c r="AG31" i="19"/>
  <c r="AK31" i="19" s="1"/>
  <c r="AD21" i="19"/>
  <c r="Y21" i="19"/>
  <c r="Z21" i="19"/>
  <c r="AA21" i="19" s="1"/>
  <c r="AB21" i="19" s="1"/>
  <c r="V22" i="19" s="1"/>
  <c r="AK27" i="13"/>
  <c r="AI28" i="13" s="1"/>
  <c r="AO27" i="13"/>
  <c r="W22" i="20" l="1"/>
  <c r="AI34" i="20"/>
  <c r="AG34" i="20"/>
  <c r="AC21" i="20"/>
  <c r="X22" i="20" s="1"/>
  <c r="W22" i="19"/>
  <c r="AC21" i="19"/>
  <c r="X22" i="19" s="1"/>
  <c r="AG32" i="19"/>
  <c r="AI32" i="19"/>
  <c r="AO31" i="19"/>
  <c r="AG28" i="13"/>
  <c r="AO28" i="13" s="1"/>
  <c r="AK34" i="20" l="1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K35" i="20" l="1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O33" i="19" l="1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7" i="20" l="1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O38" i="20" l="1"/>
  <c r="AK38" i="20"/>
  <c r="AD24" i="20"/>
  <c r="Y24" i="20"/>
  <c r="Z24" i="20"/>
  <c r="AA24" i="20" s="1"/>
  <c r="AB24" i="20" s="1"/>
  <c r="V25" i="20" s="1"/>
  <c r="AO34" i="19"/>
  <c r="AK34" i="19"/>
  <c r="AD24" i="19"/>
  <c r="Y24" i="19"/>
  <c r="AG35" i="19"/>
  <c r="AI35" i="19"/>
  <c r="Z24" i="19"/>
  <c r="AA24" i="19" s="1"/>
  <c r="AB24" i="19" s="1"/>
  <c r="V25" i="19" s="1"/>
  <c r="AG31" i="13"/>
  <c r="AI31" i="13"/>
  <c r="AO35" i="19" l="1"/>
  <c r="W25" i="20"/>
  <c r="AC24" i="20"/>
  <c r="X25" i="20" s="1"/>
  <c r="AI39" i="20"/>
  <c r="AG39" i="20"/>
  <c r="W25" i="19"/>
  <c r="AK35" i="19"/>
  <c r="AC24" i="19"/>
  <c r="X25" i="19" s="1"/>
  <c r="AK31" i="13"/>
  <c r="AO31" i="13"/>
  <c r="AK39" i="20" l="1"/>
  <c r="AG40" i="20"/>
  <c r="AI40" i="20"/>
  <c r="AO40" i="20" s="1"/>
  <c r="AD25" i="20"/>
  <c r="Y25" i="20"/>
  <c r="AO39" i="20"/>
  <c r="Z25" i="20"/>
  <c r="AA25" i="20" s="1"/>
  <c r="AB25" i="20" s="1"/>
  <c r="V26" i="20" s="1"/>
  <c r="AD25" i="19"/>
  <c r="Y25" i="19"/>
  <c r="AG36" i="19"/>
  <c r="AI36" i="19"/>
  <c r="AO36" i="19" s="1"/>
  <c r="Z25" i="19"/>
  <c r="AA25" i="19" s="1"/>
  <c r="AB25" i="19" s="1"/>
  <c r="V26" i="19" s="1"/>
  <c r="AG32" i="13"/>
  <c r="AI32" i="13"/>
  <c r="W26" i="20" l="1"/>
  <c r="AC25" i="20"/>
  <c r="X26" i="20" s="1"/>
  <c r="AK40" i="20"/>
  <c r="W26" i="19"/>
  <c r="AK36" i="19"/>
  <c r="AC25" i="19"/>
  <c r="X26" i="19" s="1"/>
  <c r="AO32" i="13"/>
  <c r="AK32" i="13"/>
  <c r="AI41" i="20" l="1"/>
  <c r="AG41" i="20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41" i="20" l="1"/>
  <c r="AK37" i="19"/>
  <c r="W27" i="20"/>
  <c r="AG42" i="20"/>
  <c r="AI42" i="20"/>
  <c r="AC26" i="20"/>
  <c r="X27" i="20" s="1"/>
  <c r="AO41" i="20"/>
  <c r="W27" i="19"/>
  <c r="AG38" i="19"/>
  <c r="AI38" i="19"/>
  <c r="AO37" i="19"/>
  <c r="AC26" i="19"/>
  <c r="X27" i="19" s="1"/>
  <c r="AK33" i="13"/>
  <c r="AO33" i="13"/>
  <c r="AO38" i="19" l="1"/>
  <c r="AO42" i="20"/>
  <c r="AD27" i="20"/>
  <c r="Y27" i="20"/>
  <c r="AK42" i="20"/>
  <c r="Z27" i="20"/>
  <c r="AA27" i="20" s="1"/>
  <c r="AB27" i="20" s="1"/>
  <c r="V28" i="20" s="1"/>
  <c r="AD27" i="19"/>
  <c r="Y27" i="19"/>
  <c r="AK38" i="19"/>
  <c r="Z27" i="19"/>
  <c r="AA27" i="19" s="1"/>
  <c r="AB27" i="19" s="1"/>
  <c r="V28" i="19" s="1"/>
  <c r="AG34" i="13"/>
  <c r="AI34" i="13"/>
  <c r="W28" i="20" l="1"/>
  <c r="AI43" i="20"/>
  <c r="AG43" i="20"/>
  <c r="AC27" i="20"/>
  <c r="X28" i="20" s="1"/>
  <c r="W28" i="19"/>
  <c r="AI39" i="19"/>
  <c r="AG39" i="19"/>
  <c r="AK39" i="19" s="1"/>
  <c r="AC27" i="19"/>
  <c r="X28" i="19" s="1"/>
  <c r="AO34" i="13"/>
  <c r="AK34" i="13"/>
  <c r="AK43" i="20" l="1"/>
  <c r="AI44" i="20"/>
  <c r="AG44" i="20"/>
  <c r="AD28" i="20"/>
  <c r="Y28" i="20"/>
  <c r="AO43" i="20"/>
  <c r="Z28" i="20"/>
  <c r="AA28" i="20" s="1"/>
  <c r="AB28" i="20" s="1"/>
  <c r="V29" i="20" s="1"/>
  <c r="AD28" i="19"/>
  <c r="Y28" i="19"/>
  <c r="AG40" i="19"/>
  <c r="AI40" i="19"/>
  <c r="AO39" i="19"/>
  <c r="Z28" i="19"/>
  <c r="AA28" i="19" s="1"/>
  <c r="AB28" i="19" s="1"/>
  <c r="V29" i="19" s="1"/>
  <c r="AG35" i="13"/>
  <c r="AI35" i="13"/>
  <c r="AK44" i="20" l="1"/>
  <c r="AO40" i="19"/>
  <c r="W29" i="20"/>
  <c r="AC28" i="20"/>
  <c r="X29" i="20" s="1"/>
  <c r="AO44" i="20"/>
  <c r="W29" i="19"/>
  <c r="AK40" i="19"/>
  <c r="AC28" i="19"/>
  <c r="X29" i="19" s="1"/>
  <c r="AO35" i="13"/>
  <c r="AK35" i="13"/>
  <c r="AD29" i="20" l="1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K41" i="19" l="1"/>
  <c r="W30" i="20"/>
  <c r="AC29" i="20"/>
  <c r="X30" i="20" s="1"/>
  <c r="W30" i="19"/>
  <c r="AG42" i="19"/>
  <c r="AI42" i="19"/>
  <c r="AO41" i="19"/>
  <c r="AC29" i="19"/>
  <c r="X30" i="19" s="1"/>
  <c r="AO36" i="13"/>
  <c r="AK36" i="13"/>
  <c r="AO42" i="19" l="1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W31" i="20" l="1"/>
  <c r="AC30" i="20"/>
  <c r="X31" i="20" s="1"/>
  <c r="W31" i="19"/>
  <c r="AI43" i="19"/>
  <c r="AG43" i="19"/>
  <c r="AC30" i="19"/>
  <c r="X31" i="19" s="1"/>
  <c r="AO37" i="13"/>
  <c r="AK37" i="13"/>
  <c r="AD31" i="20" l="1"/>
  <c r="Y31" i="20"/>
  <c r="Z31" i="20"/>
  <c r="AA31" i="20" s="1"/>
  <c r="AB31" i="20" s="1"/>
  <c r="V32" i="20" s="1"/>
  <c r="AK43" i="19"/>
  <c r="AD31" i="19"/>
  <c r="Y31" i="19"/>
  <c r="AI44" i="19"/>
  <c r="AG44" i="19"/>
  <c r="AK44" i="19" s="1"/>
  <c r="AO43" i="19"/>
  <c r="Z31" i="19"/>
  <c r="AA31" i="19" s="1"/>
  <c r="AB31" i="19" s="1"/>
  <c r="V32" i="19" s="1"/>
  <c r="AI38" i="13"/>
  <c r="AG38" i="13"/>
  <c r="W32" i="20" l="1"/>
  <c r="AC31" i="20"/>
  <c r="X32" i="20" s="1"/>
  <c r="W32" i="19"/>
  <c r="AO44" i="19"/>
  <c r="AC31" i="19"/>
  <c r="X32" i="19" s="1"/>
  <c r="AK38" i="13"/>
  <c r="AI39" i="13" s="1"/>
  <c r="AO38" i="13"/>
  <c r="AD32" i="20" l="1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W33" i="20" l="1"/>
  <c r="AC32" i="20"/>
  <c r="X33" i="20" s="1"/>
  <c r="W33" i="19"/>
  <c r="AC32" i="19"/>
  <c r="X33" i="19" s="1"/>
  <c r="AK39" i="13"/>
  <c r="AG40" i="13" s="1"/>
  <c r="AI40" i="13"/>
  <c r="AD33" i="20" l="1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W34" i="20" l="1"/>
  <c r="AC33" i="20"/>
  <c r="X34" i="20" s="1"/>
  <c r="W34" i="19"/>
  <c r="AC33" i="19"/>
  <c r="X34" i="19" s="1"/>
  <c r="AI41" i="13"/>
  <c r="AG41" i="13"/>
  <c r="AD34" i="20" l="1"/>
  <c r="Y34" i="20"/>
  <c r="Z34" i="20"/>
  <c r="AD34" i="19"/>
  <c r="Y34" i="19"/>
  <c r="Z34" i="19"/>
  <c r="AK41" i="13"/>
  <c r="AI42" i="13" s="1"/>
  <c r="AO41" i="13"/>
  <c r="O24" i="20" l="1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0" l="1"/>
  <c r="G22" i="20"/>
  <c r="G20" i="20"/>
  <c r="AC34" i="19"/>
  <c r="G22" i="19"/>
  <c r="G20" i="19"/>
  <c r="AK42" i="13"/>
  <c r="AG43" i="13" s="1"/>
  <c r="G35" i="20" l="1"/>
  <c r="K4" i="20"/>
  <c r="K8" i="20"/>
  <c r="K13" i="20" s="1"/>
  <c r="G35" i="19"/>
  <c r="K8" i="19"/>
  <c r="K13" i="19" s="1"/>
  <c r="K4" i="19"/>
  <c r="AI43" i="13"/>
  <c r="AK43" i="13" s="1"/>
  <c r="AG44" i="13" s="1"/>
  <c r="K48" i="20" l="1"/>
  <c r="K32" i="20"/>
  <c r="K40" i="20"/>
  <c r="K5" i="20"/>
  <c r="K17" i="20"/>
  <c r="K16" i="20"/>
  <c r="K17" i="19"/>
  <c r="K5" i="19"/>
  <c r="K16" i="19"/>
  <c r="K27" i="19" s="1"/>
  <c r="K48" i="19"/>
  <c r="K40" i="19"/>
  <c r="K32" i="19"/>
  <c r="AI44" i="13"/>
  <c r="AK44" i="13" s="1"/>
  <c r="AO43" i="13"/>
  <c r="K41" i="20" l="1"/>
  <c r="K44" i="20" s="1"/>
  <c r="K33" i="20"/>
  <c r="K36" i="20" s="1"/>
  <c r="K49" i="20"/>
  <c r="K50" i="20" s="1"/>
  <c r="K27" i="20"/>
  <c r="K28" i="19"/>
  <c r="AH4" i="19"/>
  <c r="AL4" i="19"/>
  <c r="AJ4" i="19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K28" i="20" l="1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/>
  <c r="AA29" i="13" s="1"/>
  <c r="Y29" i="13" l="1"/>
  <c r="AC29" i="13" s="1"/>
  <c r="X30" i="13" s="1"/>
  <c r="AB29" i="13"/>
  <c r="V30" i="13" s="1"/>
  <c r="W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 l="1"/>
  <c r="AA31" i="13" s="1"/>
  <c r="Y31" i="13"/>
  <c r="AC31" i="13" s="1"/>
  <c r="X32" i="13" s="1"/>
  <c r="AB31" i="13"/>
  <c r="V32" i="13" s="1"/>
  <c r="W32" i="13" s="1"/>
  <c r="AD32" i="13" l="1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/>
  <c r="Y33" i="13" l="1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<sst xmlns="http://schemas.openxmlformats.org/spreadsheetml/2006/main" count="807" uniqueCount="160">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</sst>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multirotor_opt_400_test_400!$K$39:$K$43</c:f>
              <c:numCache>
                <c:formatCode>General</c:formatCode>
                <c:ptCount val="5"/>
                <c:pt idx="0">
                  <c:v>30.41</c:v>
                </c:pt>
                <c:pt idx="1">
                  <c:v>31.88</c:v>
                </c:pt>
                <c:pt idx="2">
                  <c:v>24.48</c:v>
                </c:pt>
                <c:pt idx="3">
                  <c:v>8.44</c:v>
                </c:pt>
                <c:pt idx="4">
                  <c:v>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628.99</c:v>
                </c:pt>
                <c:pt idx="2">
                  <c:v>482.94</c:v>
                </c:pt>
                <c:pt idx="3">
                  <c:v>166.59</c:v>
                </c:pt>
                <c:pt idx="4">
                  <c:v>94.33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multirotor_opt_400_test_550!$K$39:$K$43</c:f>
              <c:numCache>
                <c:formatCode>General</c:formatCode>
                <c:ptCount val="5"/>
                <c:pt idx="0">
                  <c:v>35.119999999999997</c:v>
                </c:pt>
                <c:pt idx="1">
                  <c:v>25.24</c:v>
                </c:pt>
                <c:pt idx="2">
                  <c:v>25.63</c:v>
                </c:pt>
                <c:pt idx="3">
                  <c:v>9.26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431.13</c:v>
                </c:pt>
                <c:pt idx="2">
                  <c:v>437.87</c:v>
                </c:pt>
                <c:pt idx="3">
                  <c:v>158.26</c:v>
                </c:pt>
                <c:pt idx="4">
                  <c:v>81.099999999999994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36.619999999999997</c:v>
                </c:pt>
                <c:pt idx="1">
                  <c:v>25.43</c:v>
                </c:pt>
                <c:pt idx="2">
                  <c:v>23.63</c:v>
                </c:pt>
                <c:pt idx="3">
                  <c:v>9.57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416.7</c:v>
                </c:pt>
                <c:pt idx="2">
                  <c:v>387.12</c:v>
                </c:pt>
                <c:pt idx="3">
                  <c:v>156.87</c:v>
                </c:pt>
                <c:pt idx="4">
                  <c:v>77.63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324.66821569000456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7.6203722024790671E-2</v>
      </c>
      <c r="X4" s="3">
        <v>1</v>
      </c>
      <c r="Y4" s="2">
        <f t="shared" ref="Y4:Y34" si="1" xml:space="preserve"> $O$20 * TAN($O$17/180*PI()) + $O$21 / (2 * SQRT($O$20^2 + X4^2)) - X4</f>
        <v>-0.92715593272654395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-0.4253822684790311</v>
      </c>
      <c r="AB4" s="2">
        <f>W4*AA4</f>
        <v>-3.2415712141450961E-2</v>
      </c>
      <c r="AC4" s="2">
        <f>Y4*AA4</f>
        <v>0.39439569389700924</v>
      </c>
      <c r="AD4" s="2">
        <f>X4-V4</f>
        <v>1</v>
      </c>
      <c r="AF4" s="2">
        <v>0</v>
      </c>
      <c r="AG4" s="2"/>
      <c r="AH4" s="2">
        <f>K27</f>
        <v>4.6677924729010556E-5</v>
      </c>
      <c r="AI4" s="2"/>
      <c r="AJ4" s="2">
        <f>K27</f>
        <v>4.6677924729010556E-5</v>
      </c>
      <c r="AK4" s="2"/>
      <c r="AL4" s="2">
        <f>K27</f>
        <v>4.6677924729010556E-5</v>
      </c>
      <c r="AM4" s="2"/>
      <c r="AN4" s="2"/>
      <c r="AO4" s="2"/>
    </row>
    <row r="5" spans="2:41" x14ac:dyDescent="0.2">
      <c r="B5" s="10" t="s">
        <v>37</v>
      </c>
      <c r="C5" s="10">
        <v>1972.8432387223399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81.16705392250114</v>
      </c>
      <c r="L5" s="6" t="s">
        <v>101</v>
      </c>
      <c r="N5" s="6" t="s">
        <v>114</v>
      </c>
      <c r="O5" s="6">
        <f xml:space="preserve"> $C$18 * 0.85 * ($C$5/$C$18 *2.20462/1000)^(2/3) * 0.3048^2</f>
        <v>0.33400507213690739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7.6203722024790671E-2</v>
      </c>
      <c r="X5" s="2">
        <f>IF(AC4&gt;0, Z4, X4)</f>
        <v>0.5</v>
      </c>
      <c r="Y5" s="2">
        <f t="shared" si="1"/>
        <v>-0.4253822684790311</v>
      </c>
      <c r="Z5" s="2">
        <f t="shared" ref="Z5:Z34" si="3" xml:space="preserve"> (V5 + X5)/2</f>
        <v>0.25</v>
      </c>
      <c r="AA5" s="2">
        <f t="shared" si="2"/>
        <v>-0.1743184469065511</v>
      </c>
      <c r="AB5" s="2">
        <f t="shared" ref="AB5:AB34" si="4">W5*AA5</f>
        <v>-1.3283714471860051E-2</v>
      </c>
      <c r="AC5" s="2">
        <f t="shared" ref="AC5:AC34" si="5">Y5*AA5</f>
        <v>7.4151976382850246E-2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-900.0389948477241</v>
      </c>
      <c r="AI5" s="3">
        <v>10000</v>
      </c>
      <c r="AJ5" s="2">
        <f t="dataTable" ref="AJ5:AJ44" dt2D="0" dtr="0" r1="C5"/>
        <v>3372.3493799510297</v>
      </c>
      <c r="AK5" s="2">
        <f>(AG5+AI5)/2</f>
        <v>5250</v>
      </c>
      <c r="AL5" s="2">
        <f t="dataTable" ref="AL5:AL44" dt2D="0" dtr="0" r1="C5" ca="1"/>
        <v>1677.2548214049721</v>
      </c>
      <c r="AM5" s="2">
        <f>AH5*AL5</f>
        <v>-1509594.7435608301</v>
      </c>
      <c r="AN5" s="2">
        <f>AJ5*AL5</f>
        <v>5656289.2569849323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7.6203722024790671E-2</v>
      </c>
      <c r="X6" s="2">
        <f t="shared" ref="X6:X34" si="8">IF(AC5&gt;0, Z5, X5)</f>
        <v>0.25</v>
      </c>
      <c r="Y6" s="2">
        <f t="shared" si="1"/>
        <v>-0.1743184469065511</v>
      </c>
      <c r="Z6" s="2">
        <f t="shared" si="3"/>
        <v>0.125</v>
      </c>
      <c r="AA6" s="2">
        <f t="shared" si="2"/>
        <v>-4.8938522398029802E-2</v>
      </c>
      <c r="AB6" s="2">
        <f t="shared" si="4"/>
        <v>-3.7292975571234553E-3</v>
      </c>
      <c r="AC6" s="2">
        <f t="shared" si="5"/>
        <v>8.5308872183260196E-3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-900.0389948477241</v>
      </c>
      <c r="AI6" s="2">
        <f>IF(AN5&gt;0, AK5, AI5)</f>
        <v>5250</v>
      </c>
      <c r="AJ6" s="2">
        <v>1677.2548214049721</v>
      </c>
      <c r="AK6" s="2">
        <f t="shared" ref="AK6:AK43" si="9">(AG6+AI6)/2</f>
        <v>2875</v>
      </c>
      <c r="AL6" s="2">
        <v>503.32609602929278</v>
      </c>
      <c r="AM6" s="2">
        <f t="shared" ref="AM6:AM44" si="10">AH6*AL6</f>
        <v>-453013.11355083372</v>
      </c>
      <c r="AN6" s="2">
        <f t="shared" ref="AN6:AN44" si="11">AJ6*AL6</f>
        <v>844206.12130407325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0.96428169547200349</v>
      </c>
      <c r="P7" s="6" t="s">
        <v>115</v>
      </c>
      <c r="U7" s="2">
        <v>3</v>
      </c>
      <c r="V7" s="2">
        <f t="shared" si="7"/>
        <v>0</v>
      </c>
      <c r="W7" s="2">
        <f t="shared" si="0"/>
        <v>7.6203722024790671E-2</v>
      </c>
      <c r="X7" s="2">
        <f t="shared" si="8"/>
        <v>0.125</v>
      </c>
      <c r="Y7" s="2">
        <f t="shared" si="1"/>
        <v>-4.8938522398029802E-2</v>
      </c>
      <c r="Z7" s="2">
        <f t="shared" si="3"/>
        <v>6.25E-2</v>
      </c>
      <c r="AA7" s="2">
        <f t="shared" si="2"/>
        <v>1.3667335729958111E-2</v>
      </c>
      <c r="AB7" s="2">
        <f t="shared" si="4"/>
        <v>1.0415018527852175E-3</v>
      </c>
      <c r="AC7" s="2">
        <f t="shared" si="5"/>
        <v>-6.6885921574194802E-4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-900.0389948477241</v>
      </c>
      <c r="AI7" s="2">
        <f t="shared" ref="AI7:AI44" si="14">IF(AN6&gt;0, AK6, AI6)</f>
        <v>2875</v>
      </c>
      <c r="AJ7" s="2">
        <v>503.32609602929278</v>
      </c>
      <c r="AK7" s="2">
        <f t="shared" si="9"/>
        <v>1687.5</v>
      </c>
      <c r="AL7" s="2">
        <v>-174.67032619035626</v>
      </c>
      <c r="AM7" s="2">
        <f t="shared" si="10"/>
        <v>157210.10481409234</v>
      </c>
      <c r="AN7" s="2">
        <f t="shared" si="11"/>
        <v>-87916.133373555145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171.08414170883268</v>
      </c>
      <c r="L8" s="6" t="s">
        <v>102</v>
      </c>
      <c r="N8" s="6" t="s">
        <v>38</v>
      </c>
      <c r="O8" s="6">
        <f xml:space="preserve"> O4 *O7</f>
        <v>2186.4738235940385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1.3667335729958111E-2</v>
      </c>
      <c r="X8" s="2">
        <f t="shared" si="8"/>
        <v>0.125</v>
      </c>
      <c r="Y8" s="2">
        <f t="shared" si="1"/>
        <v>-4.8938522398029802E-2</v>
      </c>
      <c r="Z8" s="2">
        <f t="shared" si="3"/>
        <v>9.375E-2</v>
      </c>
      <c r="AA8" s="2">
        <f t="shared" si="2"/>
        <v>-1.7627362008709152E-2</v>
      </c>
      <c r="AB8" s="2">
        <f t="shared" si="4"/>
        <v>-2.4091907460653677E-4</v>
      </c>
      <c r="AC8" s="2">
        <f t="shared" si="5"/>
        <v>8.6265705048139247E-4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-174.67032619035626</v>
      </c>
      <c r="AI8" s="2">
        <f t="shared" si="14"/>
        <v>2875</v>
      </c>
      <c r="AJ8" s="2">
        <v>503.32609602929278</v>
      </c>
      <c r="AK8" s="2">
        <f t="shared" si="9"/>
        <v>2281.25</v>
      </c>
      <c r="AL8" s="2">
        <v>175.16046219590066</v>
      </c>
      <c r="AM8" s="2">
        <f t="shared" si="10"/>
        <v>-30595.335067411535</v>
      </c>
      <c r="AN8" s="2">
        <f t="shared" si="11"/>
        <v>88162.831615749208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4834.2014070811902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2186.4738235940385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1.3667335729958111E-2</v>
      </c>
      <c r="X9" s="2">
        <f t="shared" si="8"/>
        <v>9.375E-2</v>
      </c>
      <c r="Y9" s="2">
        <f t="shared" si="1"/>
        <v>-1.7627362008709152E-2</v>
      </c>
      <c r="Z9" s="2">
        <f t="shared" si="3"/>
        <v>7.8125E-2</v>
      </c>
      <c r="AA9" s="2">
        <f t="shared" si="2"/>
        <v>-1.9778847631593682E-3</v>
      </c>
      <c r="AB9" s="2">
        <f t="shared" si="4"/>
        <v>-2.703241509326777E-5</v>
      </c>
      <c r="AC9" s="2">
        <f t="shared" si="5"/>
        <v>3.4864890731720143E-5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-174.67032619035626</v>
      </c>
      <c r="AI9" s="2">
        <f t="shared" si="14"/>
        <v>2281.25</v>
      </c>
      <c r="AJ9" s="2">
        <v>175.16046219590066</v>
      </c>
      <c r="AK9" s="2">
        <f t="shared" si="9"/>
        <v>1984.375</v>
      </c>
      <c r="AL9" s="2">
        <v>6.5973370146216439</v>
      </c>
      <c r="AM9" s="2">
        <f t="shared" si="10"/>
        <v>-1152.3590083316737</v>
      </c>
      <c r="AN9" s="2">
        <f t="shared" si="11"/>
        <v>1155.5926007432506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54.111369281667422</v>
      </c>
      <c r="H10" s="6" t="s">
        <v>101</v>
      </c>
      <c r="N10" s="6" t="s">
        <v>113</v>
      </c>
      <c r="O10" s="6">
        <f>O7/(0.3048^2)/($C$5*2.20462/1000)^(2/3)</f>
        <v>3.8954393799886144</v>
      </c>
      <c r="U10" s="2">
        <v>6</v>
      </c>
      <c r="V10" s="2">
        <f t="shared" si="7"/>
        <v>6.25E-2</v>
      </c>
      <c r="W10" s="2">
        <f t="shared" si="0"/>
        <v>1.3667335729958111E-2</v>
      </c>
      <c r="X10" s="2">
        <f t="shared" si="8"/>
        <v>7.8125E-2</v>
      </c>
      <c r="Y10" s="2">
        <f t="shared" si="1"/>
        <v>-1.9778847631593682E-3</v>
      </c>
      <c r="Z10" s="2">
        <f t="shared" si="3"/>
        <v>7.03125E-2</v>
      </c>
      <c r="AA10" s="2">
        <f t="shared" si="2"/>
        <v>5.8452652612527439E-3</v>
      </c>
      <c r="AB10" s="2">
        <f t="shared" si="4"/>
        <v>7.9889202756202555E-5</v>
      </c>
      <c r="AC10" s="2">
        <f t="shared" si="5"/>
        <v>-1.1561261096856566E-5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-174.67032619035626</v>
      </c>
      <c r="AI10" s="2">
        <f t="shared" si="14"/>
        <v>1984.375</v>
      </c>
      <c r="AJ10" s="2">
        <v>6.5973370146216439</v>
      </c>
      <c r="AK10" s="2">
        <f t="shared" si="9"/>
        <v>1835.9375</v>
      </c>
      <c r="AL10" s="2">
        <v>-82.325252634889239</v>
      </c>
      <c r="AM10" s="2">
        <f t="shared" si="10"/>
        <v>14379.77873143959</v>
      </c>
      <c r="AN10" s="2">
        <f t="shared" si="11"/>
        <v>-543.12743644623276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9.1147353361778922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7.03125E-2</v>
      </c>
      <c r="W11" s="2">
        <f t="shared" si="0"/>
        <v>5.8452652612527439E-3</v>
      </c>
      <c r="X11" s="2">
        <f t="shared" si="8"/>
        <v>7.8125E-2</v>
      </c>
      <c r="Y11" s="2">
        <f t="shared" si="1"/>
        <v>-1.9778847631593682E-3</v>
      </c>
      <c r="Z11" s="2">
        <f t="shared" si="3"/>
        <v>7.421875E-2</v>
      </c>
      <c r="AA11" s="2">
        <f t="shared" si="2"/>
        <v>1.9338242868720545E-3</v>
      </c>
      <c r="AB11" s="2">
        <f t="shared" si="4"/>
        <v>1.1303715925420081E-5</v>
      </c>
      <c r="AC11" s="2">
        <f t="shared" si="5"/>
        <v>-3.8248815916317674E-6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-82.325252634889239</v>
      </c>
      <c r="AI11" s="2">
        <f t="shared" si="14"/>
        <v>1984.375</v>
      </c>
      <c r="AJ11" s="2">
        <v>6.5973370146216439</v>
      </c>
      <c r="AK11" s="2">
        <f t="shared" si="9"/>
        <v>1910.15625</v>
      </c>
      <c r="AL11" s="2">
        <v>-36.237191653615355</v>
      </c>
      <c r="AM11" s="2">
        <f t="shared" si="10"/>
        <v>2983.2359576627837</v>
      </c>
      <c r="AN11" s="2">
        <f t="shared" si="11"/>
        <v>-239.06896580233507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216.44547712666969</v>
      </c>
      <c r="H12" s="25" t="s">
        <v>101</v>
      </c>
      <c r="J12" s="10" t="s">
        <v>79</v>
      </c>
      <c r="K12" s="6">
        <f>C5</f>
        <v>1972.8432387223399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7.421875E-2</v>
      </c>
      <c r="W12" s="2">
        <f t="shared" si="0"/>
        <v>1.9338242868720545E-3</v>
      </c>
      <c r="X12" s="2">
        <f t="shared" si="8"/>
        <v>7.8125E-2</v>
      </c>
      <c r="Y12" s="2">
        <f t="shared" si="1"/>
        <v>-1.9778847631593682E-3</v>
      </c>
      <c r="Z12" s="2">
        <f t="shared" si="3"/>
        <v>7.6171875E-2</v>
      </c>
      <c r="AA12" s="2">
        <f t="shared" si="2"/>
        <v>-2.199684681805647E-5</v>
      </c>
      <c r="AB12" s="2">
        <f t="shared" si="4"/>
        <v>-4.2538036611361877E-8</v>
      </c>
      <c r="AC12" s="2">
        <f t="shared" si="5"/>
        <v>4.3507228158984524E-8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-36.237191653615355</v>
      </c>
      <c r="AI12" s="2">
        <f t="shared" si="14"/>
        <v>1984.375</v>
      </c>
      <c r="AJ12" s="2">
        <v>6.5973370146216439</v>
      </c>
      <c r="AK12" s="2">
        <f t="shared" si="9"/>
        <v>1947.265625</v>
      </c>
      <c r="AL12" s="2">
        <v>-14.645027830832305</v>
      </c>
      <c r="AM12" s="2">
        <f t="shared" si="10"/>
        <v>530.69468027840094</v>
      </c>
      <c r="AN12" s="2">
        <f t="shared" si="11"/>
        <v>-96.618184188514093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628.98581510600252</v>
      </c>
      <c r="L13" s="6" t="s">
        <v>7</v>
      </c>
      <c r="N13" s="6" t="s">
        <v>74</v>
      </c>
      <c r="O13" s="6">
        <f xml:space="preserve"> SQRT( ($C$5*$C$50)^2 + O9^2)</f>
        <v>19458.190886817767</v>
      </c>
      <c r="P13" s="6" t="s">
        <v>20</v>
      </c>
      <c r="U13" s="2">
        <v>9</v>
      </c>
      <c r="V13" s="2">
        <f t="shared" si="7"/>
        <v>7.421875E-2</v>
      </c>
      <c r="W13" s="2">
        <f t="shared" si="0"/>
        <v>1.9338242868720545E-3</v>
      </c>
      <c r="X13" s="2">
        <f t="shared" si="8"/>
        <v>7.6171875E-2</v>
      </c>
      <c r="Y13" s="2">
        <f t="shared" si="1"/>
        <v>-2.199684681805647E-5</v>
      </c>
      <c r="Z13" s="2">
        <f t="shared" si="3"/>
        <v>7.51953125E-2</v>
      </c>
      <c r="AA13" s="2">
        <f t="shared" si="2"/>
        <v>9.5592208283626356E-4</v>
      </c>
      <c r="AB13" s="2">
        <f t="shared" si="4"/>
        <v>1.8485853401460864E-6</v>
      </c>
      <c r="AC13" s="2">
        <f t="shared" si="5"/>
        <v>-2.1027271626146776E-8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-14.645027830832305</v>
      </c>
      <c r="AI13" s="2">
        <f t="shared" si="14"/>
        <v>1984.375</v>
      </c>
      <c r="AJ13" s="2">
        <v>6.5973370146216439</v>
      </c>
      <c r="AK13" s="2">
        <f t="shared" si="9"/>
        <v>1965.8203125</v>
      </c>
      <c r="AL13" s="2">
        <v>-4.0194279521699627</v>
      </c>
      <c r="AM13" s="2">
        <f t="shared" si="10"/>
        <v>58.864634223554404</v>
      </c>
      <c r="AN13" s="2">
        <f t="shared" si="11"/>
        <v>-26.517520806455771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141.71425073981501</v>
      </c>
      <c r="L14" s="6" t="s">
        <v>7</v>
      </c>
      <c r="N14" s="6" t="s">
        <v>75</v>
      </c>
      <c r="O14" s="6">
        <f>$C$5*$C$50/O13</f>
        <v>0.99366668492903965</v>
      </c>
      <c r="U14" s="2">
        <v>10</v>
      </c>
      <c r="V14" s="2">
        <f t="shared" si="7"/>
        <v>7.51953125E-2</v>
      </c>
      <c r="W14" s="2">
        <f t="shared" si="0"/>
        <v>9.5592208283626356E-4</v>
      </c>
      <c r="X14" s="2">
        <f t="shared" si="8"/>
        <v>7.6171875E-2</v>
      </c>
      <c r="Y14" s="2">
        <f t="shared" si="1"/>
        <v>-2.199684681805647E-5</v>
      </c>
      <c r="Z14" s="2">
        <f t="shared" si="3"/>
        <v>7.568359375E-2</v>
      </c>
      <c r="AA14" s="2">
        <f t="shared" si="2"/>
        <v>4.6696470685232694E-4</v>
      </c>
      <c r="AB14" s="2">
        <f t="shared" si="4"/>
        <v>4.4638187518530162E-7</v>
      </c>
      <c r="AC14" s="2">
        <f t="shared" si="5"/>
        <v>-1.027175112606928E-8</v>
      </c>
      <c r="AD14" s="2">
        <f t="shared" si="6"/>
        <v>9.765625E-4</v>
      </c>
      <c r="AF14" s="2">
        <v>10</v>
      </c>
      <c r="AG14" s="2">
        <f t="shared" si="13"/>
        <v>1965.8203125</v>
      </c>
      <c r="AH14" s="2">
        <v>-4.0194279521699627</v>
      </c>
      <c r="AI14" s="2">
        <f t="shared" si="14"/>
        <v>1984.375</v>
      </c>
      <c r="AJ14" s="2">
        <v>6.5973370146216439</v>
      </c>
      <c r="AK14" s="2">
        <f t="shared" si="9"/>
        <v>1975.09765625</v>
      </c>
      <c r="AL14" s="2">
        <v>1.2900670837429971</v>
      </c>
      <c r="AM14" s="2">
        <f t="shared" si="10"/>
        <v>-5.1853316965709908</v>
      </c>
      <c r="AN14" s="2">
        <f t="shared" si="11"/>
        <v>8.5110073229226746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255.849720378819</v>
      </c>
      <c r="L15" s="6" t="s">
        <v>7</v>
      </c>
      <c r="U15" s="2">
        <v>11</v>
      </c>
      <c r="V15" s="2">
        <f t="shared" si="7"/>
        <v>7.568359375E-2</v>
      </c>
      <c r="W15" s="2">
        <f t="shared" si="0"/>
        <v>4.6696470685232694E-4</v>
      </c>
      <c r="X15" s="2">
        <f t="shared" si="8"/>
        <v>7.6171875E-2</v>
      </c>
      <c r="Y15" s="2">
        <f t="shared" si="1"/>
        <v>-2.199684681805647E-5</v>
      </c>
      <c r="Z15" s="2">
        <f t="shared" si="3"/>
        <v>7.5927734375E-2</v>
      </c>
      <c r="AA15" s="2">
        <f t="shared" si="2"/>
        <v>2.2248445199440914E-4</v>
      </c>
      <c r="AB15" s="2">
        <f t="shared" si="4"/>
        <v>1.0389238690476987E-7</v>
      </c>
      <c r="AC15" s="2">
        <f t="shared" si="5"/>
        <v>-4.8939564099202563E-9</v>
      </c>
      <c r="AD15" s="2">
        <f t="shared" si="6"/>
        <v>4.8828125E-4</v>
      </c>
      <c r="AF15" s="2">
        <v>11</v>
      </c>
      <c r="AG15" s="2">
        <f t="shared" si="13"/>
        <v>1965.8203125</v>
      </c>
      <c r="AH15" s="2">
        <v>-4.0194279521699627</v>
      </c>
      <c r="AI15" s="2">
        <f t="shared" si="14"/>
        <v>1975.09765625</v>
      </c>
      <c r="AJ15" s="2">
        <v>1.2900670837429971</v>
      </c>
      <c r="AK15" s="2">
        <f t="shared" si="9"/>
        <v>1970.458984375</v>
      </c>
      <c r="AL15" s="2">
        <v>-1.3644023219512746</v>
      </c>
      <c r="AM15" s="2">
        <f t="shared" si="10"/>
        <v>5.4841168308565544</v>
      </c>
      <c r="AN15" s="2">
        <f t="shared" si="11"/>
        <v>-1.7601705245318546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$C$54 * 0.2138 * K4</f>
        <v>55.53125161161838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7.5927734375E-2</v>
      </c>
      <c r="W16" s="2">
        <f t="shared" si="0"/>
        <v>2.2248445199440914E-4</v>
      </c>
      <c r="X16" s="2">
        <f t="shared" si="8"/>
        <v>7.6171875E-2</v>
      </c>
      <c r="Y16" s="2">
        <f t="shared" si="1"/>
        <v>-2.199684681805647E-5</v>
      </c>
      <c r="Z16" s="2">
        <f t="shared" si="3"/>
        <v>7.60498046875E-2</v>
      </c>
      <c r="AA16" s="2">
        <f t="shared" si="2"/>
        <v>1.0024393305323176E-4</v>
      </c>
      <c r="AB16" s="2">
        <f t="shared" si="4"/>
        <v>2.2302716511112505E-8</v>
      </c>
      <c r="AC16" s="2">
        <f t="shared" si="5"/>
        <v>-2.2050504398114469E-9</v>
      </c>
      <c r="AD16" s="2">
        <f t="shared" si="6"/>
        <v>2.44140625E-4</v>
      </c>
      <c r="AF16" s="2">
        <v>12</v>
      </c>
      <c r="AG16" s="2">
        <f t="shared" si="13"/>
        <v>1970.458984375</v>
      </c>
      <c r="AH16" s="2">
        <v>-1.3644023219512746</v>
      </c>
      <c r="AI16" s="2">
        <f t="shared" si="14"/>
        <v>1975.09765625</v>
      </c>
      <c r="AJ16" s="2">
        <v>1.2900670837429971</v>
      </c>
      <c r="AK16" s="2">
        <f t="shared" si="9"/>
        <v>1972.7783203125</v>
      </c>
      <c r="AL16" s="2">
        <v>-3.710104380024859E-2</v>
      </c>
      <c r="AM16" s="2">
        <f t="shared" si="10"/>
        <v>5.062075030787512E-2</v>
      </c>
      <c r="AN16" s="2">
        <f t="shared" si="11"/>
        <v>-4.7862835379207901E-2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$C$54 * 0.1149 * K4</f>
        <v>29.843502386225218</v>
      </c>
      <c r="L17" s="6" t="s">
        <v>7</v>
      </c>
      <c r="N17" s="6" t="s">
        <v>25</v>
      </c>
      <c r="O17" s="6">
        <f xml:space="preserve"> ACOS(O14)/PI()*180</f>
        <v>6.4518261156555656</v>
      </c>
      <c r="P17" s="6" t="s">
        <v>40</v>
      </c>
      <c r="U17" s="2">
        <v>13</v>
      </c>
      <c r="V17" s="2">
        <f t="shared" si="7"/>
        <v>7.60498046875E-2</v>
      </c>
      <c r="W17" s="2">
        <f t="shared" si="0"/>
        <v>1.0024393305323176E-4</v>
      </c>
      <c r="X17" s="2">
        <f t="shared" si="8"/>
        <v>7.6171875E-2</v>
      </c>
      <c r="Y17" s="2">
        <f t="shared" si="1"/>
        <v>-2.199684681805647E-5</v>
      </c>
      <c r="Z17" s="2">
        <f t="shared" si="3"/>
        <v>7.611083984375E-2</v>
      </c>
      <c r="AA17" s="2">
        <f t="shared" si="2"/>
        <v>3.9123575730187765E-5</v>
      </c>
      <c r="AB17" s="2">
        <f t="shared" si="4"/>
        <v>3.9219011062999848E-9</v>
      </c>
      <c r="AC17" s="2">
        <f t="shared" si="5"/>
        <v>-8.605953023115721E-10</v>
      </c>
      <c r="AD17" s="2">
        <f t="shared" si="6"/>
        <v>1.220703125E-4</v>
      </c>
      <c r="AF17" s="2">
        <v>13</v>
      </c>
      <c r="AG17" s="2">
        <f t="shared" si="13"/>
        <v>1972.7783203125</v>
      </c>
      <c r="AH17" s="2">
        <v>-3.710104380024859E-2</v>
      </c>
      <c r="AI17" s="2">
        <f t="shared" si="14"/>
        <v>1975.09765625</v>
      </c>
      <c r="AJ17" s="2">
        <v>1.2900670837429971</v>
      </c>
      <c r="AK17" s="2">
        <f t="shared" si="9"/>
        <v>1973.93798828125</v>
      </c>
      <c r="AL17" s="2">
        <v>0.62650216363704203</v>
      </c>
      <c r="AM17" s="2">
        <f t="shared" si="10"/>
        <v>-2.3243884214048407E-2</v>
      </c>
      <c r="AN17" s="2">
        <f t="shared" si="11"/>
        <v>0.80822981920191672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4864.5477217044418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129.75000740535353</v>
      </c>
      <c r="L18" s="6" t="s">
        <v>7</v>
      </c>
      <c r="N18" s="6" t="s">
        <v>19</v>
      </c>
      <c r="O18" s="6">
        <f xml:space="preserve"> O13 / $C$18</f>
        <v>4864.5477217044418</v>
      </c>
      <c r="P18" s="6" t="s">
        <v>20</v>
      </c>
      <c r="U18" s="2">
        <v>14</v>
      </c>
      <c r="V18" s="2">
        <f t="shared" si="7"/>
        <v>7.611083984375E-2</v>
      </c>
      <c r="W18" s="2">
        <f t="shared" si="0"/>
        <v>3.9123575730187765E-5</v>
      </c>
      <c r="X18" s="2">
        <f t="shared" si="8"/>
        <v>7.6171875E-2</v>
      </c>
      <c r="Y18" s="2">
        <f t="shared" si="1"/>
        <v>-2.199684681805647E-5</v>
      </c>
      <c r="Z18" s="2">
        <f t="shared" si="3"/>
        <v>7.6141357421875E-2</v>
      </c>
      <c r="AA18" s="2">
        <f t="shared" si="2"/>
        <v>8.5633726087663842E-6</v>
      </c>
      <c r="AB18" s="2">
        <f t="shared" si="4"/>
        <v>3.3502975676488721E-10</v>
      </c>
      <c r="AC18" s="2">
        <f t="shared" si="5"/>
        <v>-1.8836719552097477E-10</v>
      </c>
      <c r="AD18" s="2">
        <f t="shared" si="6"/>
        <v>6.103515625E-5</v>
      </c>
      <c r="AF18" s="2">
        <v>14</v>
      </c>
      <c r="AG18" s="2">
        <f t="shared" si="13"/>
        <v>1972.7783203125</v>
      </c>
      <c r="AH18" s="2">
        <v>-3.710104380024859E-2</v>
      </c>
      <c r="AI18" s="2">
        <f t="shared" si="14"/>
        <v>1973.93798828125</v>
      </c>
      <c r="AJ18" s="2">
        <v>0.62650216363704203</v>
      </c>
      <c r="AK18" s="2">
        <f t="shared" si="9"/>
        <v>1973.358154296875</v>
      </c>
      <c r="AL18" s="2">
        <v>0.29470761631228015</v>
      </c>
      <c r="AM18" s="2">
        <f t="shared" si="10"/>
        <v>-1.0933960181068762E-2</v>
      </c>
      <c r="AN18" s="2">
        <f t="shared" si="11"/>
        <v>0.18463495925995874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52.441044904337254</v>
      </c>
      <c r="H19" s="6" t="s">
        <v>101</v>
      </c>
      <c r="J19" s="14" t="s">
        <v>61</v>
      </c>
      <c r="K19" s="6">
        <f xml:space="preserve"> $C$55 * C31 * $C$5</f>
        <v>22.095844273690211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7.6141357421875E-2</v>
      </c>
      <c r="W19" s="2">
        <f t="shared" si="0"/>
        <v>8.5633726087663842E-6</v>
      </c>
      <c r="X19" s="2">
        <f t="shared" si="8"/>
        <v>7.6171875E-2</v>
      </c>
      <c r="Y19" s="2">
        <f t="shared" si="1"/>
        <v>-2.199684681805647E-5</v>
      </c>
      <c r="Z19" s="2">
        <f t="shared" si="3"/>
        <v>7.61566162109375E-2</v>
      </c>
      <c r="AA19" s="2">
        <f t="shared" si="2"/>
        <v>-6.71673506652537E-6</v>
      </c>
      <c r="AB19" s="2">
        <f t="shared" si="4"/>
        <v>-5.7517905089024012E-11</v>
      </c>
      <c r="AC19" s="2">
        <f t="shared" si="5"/>
        <v>1.477469923758269E-10</v>
      </c>
      <c r="AD19" s="2">
        <f t="shared" si="6"/>
        <v>3.0517578125E-5</v>
      </c>
      <c r="AF19" s="2">
        <v>15</v>
      </c>
      <c r="AG19" s="2">
        <f t="shared" si="13"/>
        <v>1972.7783203125</v>
      </c>
      <c r="AH19" s="2">
        <v>-3.710104380024859E-2</v>
      </c>
      <c r="AI19" s="2">
        <f t="shared" si="14"/>
        <v>1973.358154296875</v>
      </c>
      <c r="AJ19" s="2">
        <v>0.29470761631228015</v>
      </c>
      <c r="AK19" s="2">
        <f t="shared" si="9"/>
        <v>1973.0682373046875</v>
      </c>
      <c r="AL19" s="2">
        <v>0.12880657753794367</v>
      </c>
      <c r="AM19" s="2">
        <f t="shared" si="10"/>
        <v>-4.7788584749953638E-3</v>
      </c>
      <c r="AN19" s="2">
        <f t="shared" si="11"/>
        <v>3.7960279431550267E-2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9.4649978704838045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0.61173594197561865</v>
      </c>
      <c r="U20" s="2">
        <v>16</v>
      </c>
      <c r="V20" s="2">
        <f t="shared" si="7"/>
        <v>7.6141357421875E-2</v>
      </c>
      <c r="W20" s="2">
        <f t="shared" si="0"/>
        <v>8.5633726087663842E-6</v>
      </c>
      <c r="X20" s="2">
        <f t="shared" si="8"/>
        <v>7.61566162109375E-2</v>
      </c>
      <c r="Y20" s="2">
        <f t="shared" si="1"/>
        <v>-6.71673506652537E-6</v>
      </c>
      <c r="Z20" s="2">
        <f t="shared" si="3"/>
        <v>7.614898681640625E-2</v>
      </c>
      <c r="AA20" s="2">
        <f t="shared" si="2"/>
        <v>9.2331928065736424E-7</v>
      </c>
      <c r="AB20" s="2">
        <f t="shared" si="4"/>
        <v>7.9067270371271545E-12</v>
      </c>
      <c r="AC20" s="2">
        <f t="shared" si="5"/>
        <v>-6.2016909899902985E-12</v>
      </c>
      <c r="AD20" s="2">
        <f t="shared" si="6"/>
        <v>1.52587890625E-5</v>
      </c>
      <c r="AF20" s="2">
        <v>16</v>
      </c>
      <c r="AG20" s="2">
        <f t="shared" si="13"/>
        <v>1972.7783203125</v>
      </c>
      <c r="AH20" s="2">
        <v>-3.710104380024859E-2</v>
      </c>
      <c r="AI20" s="2">
        <f t="shared" si="14"/>
        <v>1973.0682373046875</v>
      </c>
      <c r="AJ20" s="2">
        <v>0.12880657753794367</v>
      </c>
      <c r="AK20" s="2">
        <f t="shared" si="9"/>
        <v>1972.9232788085938</v>
      </c>
      <c r="AL20" s="2">
        <v>4.5851293337136667E-2</v>
      </c>
      <c r="AM20" s="2">
        <f t="shared" si="10"/>
        <v>-1.7011308423991538E-3</v>
      </c>
      <c r="AN20" s="2">
        <f t="shared" si="11"/>
        <v>5.9059481704448937E-3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0.14000103940166439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8.5963406075965868E-3</v>
      </c>
      <c r="U21" s="2">
        <v>17</v>
      </c>
      <c r="V21" s="2">
        <f t="shared" si="7"/>
        <v>7.614898681640625E-2</v>
      </c>
      <c r="W21" s="2">
        <f t="shared" si="0"/>
        <v>9.2331928065736424E-7</v>
      </c>
      <c r="X21" s="2">
        <f t="shared" si="8"/>
        <v>7.61566162109375E-2</v>
      </c>
      <c r="Y21" s="2">
        <f t="shared" si="1"/>
        <v>-6.71673506652537E-6</v>
      </c>
      <c r="Z21" s="2">
        <f t="shared" si="3"/>
        <v>7.6152801513671875E-2</v>
      </c>
      <c r="AA21" s="2">
        <f t="shared" si="2"/>
        <v>-2.8967077655567275E-6</v>
      </c>
      <c r="AB21" s="2">
        <f t="shared" si="4"/>
        <v>-2.6745861303684385E-12</v>
      </c>
      <c r="AC21" s="2">
        <f t="shared" si="5"/>
        <v>1.945641862639122E-11</v>
      </c>
      <c r="AD21" s="2">
        <f t="shared" si="6"/>
        <v>7.62939453125E-6</v>
      </c>
      <c r="AF21" s="2">
        <v>17</v>
      </c>
      <c r="AG21" s="2">
        <f t="shared" si="13"/>
        <v>1972.7783203125</v>
      </c>
      <c r="AH21" s="2">
        <v>-3.710104380024859E-2</v>
      </c>
      <c r="AI21" s="2">
        <f t="shared" si="14"/>
        <v>1972.9232788085938</v>
      </c>
      <c r="AJ21" s="2">
        <v>4.5851293337136667E-2</v>
      </c>
      <c r="AK21" s="2">
        <f t="shared" si="9"/>
        <v>1972.8507995605469</v>
      </c>
      <c r="AL21" s="2">
        <v>4.3747563836404879E-3</v>
      </c>
      <c r="AM21" s="2">
        <f t="shared" si="10"/>
        <v>-1.6230802820486288E-4</v>
      </c>
      <c r="AN21" s="2">
        <f t="shared" si="11"/>
        <v>2.0058823822481121E-4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209.76417961734901</v>
      </c>
      <c r="H22" s="25" t="s">
        <v>101</v>
      </c>
      <c r="J22" s="14" t="s">
        <v>112</v>
      </c>
      <c r="K22" s="6">
        <f>$C$55*(0.14*$G$12*1000/745.7)*0.453592</f>
        <v>14.745781049234434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7.614898681640625E-2</v>
      </c>
      <c r="W22" s="2">
        <f t="shared" si="0"/>
        <v>9.2331928065736424E-7</v>
      </c>
      <c r="X22" s="2">
        <f t="shared" si="8"/>
        <v>7.6152801513671875E-2</v>
      </c>
      <c r="Y22" s="2">
        <f t="shared" si="1"/>
        <v>-2.8967077655567275E-6</v>
      </c>
      <c r="Z22" s="2">
        <f t="shared" si="3"/>
        <v>7.6150894165039062E-2</v>
      </c>
      <c r="AA22" s="2">
        <f t="shared" si="2"/>
        <v>-9.8669421060015861E-7</v>
      </c>
      <c r="AB22" s="2">
        <f t="shared" si="4"/>
        <v>-9.1103378876012421E-13</v>
      </c>
      <c r="AC22" s="2">
        <f t="shared" si="5"/>
        <v>2.8581647820753446E-12</v>
      </c>
      <c r="AD22" s="2">
        <f t="shared" si="6"/>
        <v>3.814697265625E-6</v>
      </c>
      <c r="AF22" s="2">
        <v>18</v>
      </c>
      <c r="AG22" s="2">
        <f t="shared" si="13"/>
        <v>1972.7783203125</v>
      </c>
      <c r="AH22" s="2">
        <v>-3.710104380024859E-2</v>
      </c>
      <c r="AI22" s="2">
        <f t="shared" si="14"/>
        <v>1972.8507995605469</v>
      </c>
      <c r="AJ22" s="2">
        <v>4.3747563836404879E-3</v>
      </c>
      <c r="AK22" s="2">
        <f t="shared" si="9"/>
        <v>1972.8145599365234</v>
      </c>
      <c r="AL22" s="2">
        <v>-1.6363235805101795E-2</v>
      </c>
      <c r="AM22" s="2">
        <f t="shared" si="10"/>
        <v>6.0709312831887772E-4</v>
      </c>
      <c r="AN22" s="2">
        <f t="shared" si="11"/>
        <v>-7.158517029538367E-5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42.297759038206976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11537.090430361895</v>
      </c>
      <c r="P23" s="6" t="s">
        <v>18</v>
      </c>
      <c r="U23" s="2">
        <v>19</v>
      </c>
      <c r="V23" s="2">
        <f t="shared" si="7"/>
        <v>7.614898681640625E-2</v>
      </c>
      <c r="W23" s="2">
        <f t="shared" si="0"/>
        <v>9.2331928065736424E-7</v>
      </c>
      <c r="X23" s="2">
        <f t="shared" si="8"/>
        <v>7.6150894165039062E-2</v>
      </c>
      <c r="Y23" s="2">
        <f t="shared" si="1"/>
        <v>-9.8669421060015861E-7</v>
      </c>
      <c r="Z23" s="2">
        <f t="shared" si="3"/>
        <v>7.6149940490722656E-2</v>
      </c>
      <c r="AA23" s="2">
        <f t="shared" si="2"/>
        <v>-3.168745701942477E-8</v>
      </c>
      <c r="AB23" s="2">
        <f t="shared" si="4"/>
        <v>-2.9257640021036423E-14</v>
      </c>
      <c r="AC23" s="2">
        <f t="shared" si="5"/>
        <v>3.1265830389707778E-14</v>
      </c>
      <c r="AD23" s="2">
        <f t="shared" si="6"/>
        <v>1.9073486328125E-6</v>
      </c>
      <c r="AF23" s="2">
        <v>19</v>
      </c>
      <c r="AG23" s="2">
        <f t="shared" si="13"/>
        <v>1972.8145599365234</v>
      </c>
      <c r="AH23" s="2">
        <v>-1.6363235805101795E-2</v>
      </c>
      <c r="AI23" s="2">
        <f t="shared" si="14"/>
        <v>1972.8507995605469</v>
      </c>
      <c r="AJ23" s="2">
        <v>4.3747563836404879E-3</v>
      </c>
      <c r="AK23" s="2">
        <f t="shared" si="9"/>
        <v>1972.8326797485352</v>
      </c>
      <c r="AL23" s="2">
        <v>-5.9942627351574629E-3</v>
      </c>
      <c r="AM23" s="2">
        <f t="shared" si="10"/>
        <v>9.8085534613116018E-5</v>
      </c>
      <c r="AN23" s="2">
        <f t="shared" si="11"/>
        <v>-2.6223439165848401E-5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7.5131791037044655</v>
      </c>
      <c r="L24" s="6" t="s">
        <v>7</v>
      </c>
      <c r="N24" s="6" t="s">
        <v>31</v>
      </c>
      <c r="O24" s="18">
        <f>Z34</f>
        <v>7.6149909291416407E-2</v>
      </c>
      <c r="U24" s="2">
        <v>20</v>
      </c>
      <c r="V24" s="2">
        <f t="shared" si="7"/>
        <v>7.614898681640625E-2</v>
      </c>
      <c r="W24" s="2">
        <f t="shared" si="0"/>
        <v>9.2331928065736424E-7</v>
      </c>
      <c r="X24" s="2">
        <f t="shared" si="8"/>
        <v>7.6149940490722656E-2</v>
      </c>
      <c r="Y24" s="2">
        <f t="shared" si="1"/>
        <v>-3.168745701942477E-8</v>
      </c>
      <c r="Z24" s="2">
        <f t="shared" si="3"/>
        <v>7.6149463653564453E-2</v>
      </c>
      <c r="AA24" s="2">
        <f t="shared" si="2"/>
        <v>4.4581591381043228E-7</v>
      </c>
      <c r="AB24" s="2">
        <f t="shared" si="4"/>
        <v>4.1163042884505384E-13</v>
      </c>
      <c r="AC24" s="2">
        <f t="shared" si="5"/>
        <v>-1.412677260744365E-14</v>
      </c>
      <c r="AD24" s="2">
        <f t="shared" si="6"/>
        <v>9.5367431640625E-7</v>
      </c>
      <c r="AF24" s="2">
        <v>20</v>
      </c>
      <c r="AG24" s="2">
        <f t="shared" si="13"/>
        <v>1972.8326797485352</v>
      </c>
      <c r="AH24" s="2">
        <v>-5.9942627351574629E-3</v>
      </c>
      <c r="AI24" s="2">
        <f t="shared" si="14"/>
        <v>1972.8507995605469</v>
      </c>
      <c r="AJ24" s="2">
        <v>4.3747563836404879E-3</v>
      </c>
      <c r="AK24" s="2">
        <f t="shared" si="9"/>
        <v>1972.841739654541</v>
      </c>
      <c r="AL24" s="2">
        <v>-8.0975893183676817E-4</v>
      </c>
      <c r="AM24" s="2">
        <f t="shared" si="10"/>
        <v>4.8539077895700519E-6</v>
      </c>
      <c r="AN24" s="2">
        <f t="shared" si="11"/>
        <v>-3.5424980562628044E-6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12.626196727822977</v>
      </c>
      <c r="L25" s="6" t="s">
        <v>7</v>
      </c>
      <c r="N25" s="6" t="s">
        <v>32</v>
      </c>
      <c r="O25" s="6">
        <f xml:space="preserve"> O19 * $C$9 * O24 - $C$8 * SIN(O17/180*PI())</f>
        <v>0.75944264931666972</v>
      </c>
      <c r="P25" s="6" t="s">
        <v>10</v>
      </c>
      <c r="U25" s="2">
        <v>21</v>
      </c>
      <c r="V25" s="2">
        <f t="shared" si="7"/>
        <v>7.6149463653564453E-2</v>
      </c>
      <c r="W25" s="2">
        <f t="shared" si="0"/>
        <v>4.4581591381043228E-7</v>
      </c>
      <c r="X25" s="2">
        <f t="shared" si="8"/>
        <v>7.6149940490722656E-2</v>
      </c>
      <c r="Y25" s="2">
        <f t="shared" si="1"/>
        <v>-3.168745701942477E-8</v>
      </c>
      <c r="Z25" s="2">
        <f t="shared" si="3"/>
        <v>7.6149702072143555E-2</v>
      </c>
      <c r="AA25" s="2">
        <f t="shared" si="2"/>
        <v>2.0706422888816522E-7</v>
      </c>
      <c r="AB25" s="2">
        <f t="shared" si="4"/>
        <v>9.2312528419229891E-14</v>
      </c>
      <c r="AC25" s="2">
        <f t="shared" si="5"/>
        <v>-6.5613388531540683E-15</v>
      </c>
      <c r="AD25" s="2">
        <f t="shared" si="6"/>
        <v>4.76837158203125E-7</v>
      </c>
      <c r="AF25" s="2">
        <v>21</v>
      </c>
      <c r="AG25" s="2">
        <f t="shared" si="13"/>
        <v>1972.841739654541</v>
      </c>
      <c r="AH25" s="2">
        <v>-8.0975893183676817E-4</v>
      </c>
      <c r="AI25" s="2">
        <f t="shared" si="14"/>
        <v>1972.8507995605469</v>
      </c>
      <c r="AJ25" s="2">
        <v>4.3747563836404879E-3</v>
      </c>
      <c r="AK25" s="2">
        <f t="shared" si="9"/>
        <v>1972.8462696075439</v>
      </c>
      <c r="AL25" s="2">
        <v>1.7855582796073577E-3</v>
      </c>
      <c r="AM25" s="2">
        <f t="shared" si="10"/>
        <v>-1.4458717652271513E-6</v>
      </c>
      <c r="AN25" s="2">
        <f t="shared" si="11"/>
        <v>7.8113824820744144E-6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31.889884223922117</v>
      </c>
      <c r="L26" s="6" t="s">
        <v>7</v>
      </c>
      <c r="N26" s="6" t="s">
        <v>33</v>
      </c>
      <c r="O26" s="6">
        <f xml:space="preserve"> 1/$C$21 - O23 * SQRT( (2*$C$47*PI()*$C$9^2) / O18^3 )</f>
        <v>1.0012113338073534</v>
      </c>
      <c r="U26" s="2">
        <v>22</v>
      </c>
      <c r="V26" s="2">
        <f t="shared" si="7"/>
        <v>7.6149702072143555E-2</v>
      </c>
      <c r="W26" s="2">
        <f t="shared" si="0"/>
        <v>2.0706422888816522E-7</v>
      </c>
      <c r="X26" s="2">
        <f t="shared" si="8"/>
        <v>7.6149940490722656E-2</v>
      </c>
      <c r="Y26" s="2">
        <f t="shared" si="1"/>
        <v>-3.168745701942477E-8</v>
      </c>
      <c r="Z26" s="2">
        <f t="shared" si="3"/>
        <v>7.6149821281433105E-2</v>
      </c>
      <c r="AA26" s="2">
        <f t="shared" si="2"/>
        <v>8.7688386066209212E-8</v>
      </c>
      <c r="AB26" s="2">
        <f t="shared" si="4"/>
        <v>1.8157128043247344E-14</v>
      </c>
      <c r="AC26" s="2">
        <f t="shared" si="5"/>
        <v>-2.7786219645757303E-15</v>
      </c>
      <c r="AD26" s="2">
        <f t="shared" si="6"/>
        <v>2.384185791015625E-7</v>
      </c>
      <c r="AF26" s="2">
        <v>22</v>
      </c>
      <c r="AG26" s="2">
        <f t="shared" si="13"/>
        <v>1972.841739654541</v>
      </c>
      <c r="AH26" s="2">
        <v>-8.0975893183676817E-4</v>
      </c>
      <c r="AI26" s="2">
        <f t="shared" si="14"/>
        <v>1972.8462696075439</v>
      </c>
      <c r="AJ26" s="2">
        <v>1.7855582796073577E-3</v>
      </c>
      <c r="AK26" s="2">
        <f t="shared" si="9"/>
        <v>1972.8440046310425</v>
      </c>
      <c r="AL26" s="2">
        <v>4.8483832301826624E-4</v>
      </c>
      <c r="AM26" s="2">
        <f t="shared" si="10"/>
        <v>-3.9260216256080126E-7</v>
      </c>
      <c r="AN26" s="2">
        <f t="shared" si="11"/>
        <v>8.6570708193621185E-7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4.6677924729010556E-5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7.6149821281433105E-2</v>
      </c>
      <c r="W27" s="2">
        <f t="shared" si="0"/>
        <v>8.7688386066209212E-8</v>
      </c>
      <c r="X27" s="2">
        <f t="shared" si="8"/>
        <v>7.6149940490722656E-2</v>
      </c>
      <c r="Y27" s="2">
        <f t="shared" si="1"/>
        <v>-3.168745701942477E-8</v>
      </c>
      <c r="Z27" s="2">
        <f t="shared" si="3"/>
        <v>7.6149880886077881E-2</v>
      </c>
      <c r="AA27" s="2">
        <f t="shared" si="2"/>
        <v>2.8000464558086691E-8</v>
      </c>
      <c r="AB27" s="2">
        <f t="shared" si="4"/>
        <v>2.4553155462027137E-15</v>
      </c>
      <c r="AC27" s="2">
        <f t="shared" si="5"/>
        <v>-8.8726351720829857E-16</v>
      </c>
      <c r="AD27" s="2">
        <f t="shared" si="6"/>
        <v>1.1920928955078125E-7</v>
      </c>
      <c r="AF27" s="2">
        <v>23</v>
      </c>
      <c r="AG27" s="2">
        <f t="shared" si="13"/>
        <v>1972.841739654541</v>
      </c>
      <c r="AH27" s="2">
        <v>-8.0975893183676817E-4</v>
      </c>
      <c r="AI27" s="2">
        <f t="shared" si="14"/>
        <v>1972.8440046310425</v>
      </c>
      <c r="AJ27" s="2">
        <v>4.8483832301826624E-4</v>
      </c>
      <c r="AK27" s="2">
        <f t="shared" si="9"/>
        <v>1972.8428721427917</v>
      </c>
      <c r="AL27" s="2">
        <v>-1.6246039422185277E-4</v>
      </c>
      <c r="AM27" s="2">
        <f t="shared" si="10"/>
        <v>1.3155375529086775E-7</v>
      </c>
      <c r="AN27" s="2">
        <f t="shared" si="11"/>
        <v>-7.8767025091409524E-8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4834.2014070811902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1.1503818090399693</v>
      </c>
      <c r="U28" s="2">
        <v>24</v>
      </c>
      <c r="V28" s="2">
        <f t="shared" si="7"/>
        <v>7.6149880886077881E-2</v>
      </c>
      <c r="W28" s="2">
        <f t="shared" si="0"/>
        <v>2.8000464558086691E-8</v>
      </c>
      <c r="X28" s="2">
        <f t="shared" si="8"/>
        <v>7.6149940490722656E-2</v>
      </c>
      <c r="Y28" s="2">
        <f t="shared" si="1"/>
        <v>-3.168745701942477E-8</v>
      </c>
      <c r="Z28" s="2">
        <f t="shared" si="3"/>
        <v>7.6149910688400269E-2</v>
      </c>
      <c r="AA28" s="2">
        <f t="shared" si="2"/>
        <v>-1.8434962167912516E-9</v>
      </c>
      <c r="AB28" s="2">
        <f t="shared" si="4"/>
        <v>-5.1618750481230338E-17</v>
      </c>
      <c r="AC28" s="2">
        <f t="shared" si="5"/>
        <v>5.8415707135044957E-17</v>
      </c>
      <c r="AD28" s="2">
        <f t="shared" si="6"/>
        <v>5.9604644775390625E-8</v>
      </c>
      <c r="AF28" s="2">
        <v>24</v>
      </c>
      <c r="AG28" s="2">
        <f t="shared" si="13"/>
        <v>1972.8428721427917</v>
      </c>
      <c r="AH28" s="2">
        <v>-8.0975893183676817E-4</v>
      </c>
      <c r="AI28" s="2">
        <f t="shared" si="14"/>
        <v>1972.8440046310425</v>
      </c>
      <c r="AJ28" s="2">
        <v>4.8483832301826624E-4</v>
      </c>
      <c r="AK28" s="2">
        <f t="shared" si="9"/>
        <v>1972.8434383869171</v>
      </c>
      <c r="AL28" s="2">
        <v>-4.8610968497087015E-4</v>
      </c>
      <c r="AM28" s="2">
        <f t="shared" si="10"/>
        <v>3.9363165925751966E-7</v>
      </c>
      <c r="AN28" s="2">
        <f t="shared" si="11"/>
        <v>-2.3568460446421437E-7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45.190023383494697</v>
      </c>
      <c r="H29" t="s">
        <v>18</v>
      </c>
      <c r="U29" s="2">
        <v>25</v>
      </c>
      <c r="V29" s="2">
        <f t="shared" si="7"/>
        <v>7.6149880886077881E-2</v>
      </c>
      <c r="W29" s="2">
        <f t="shared" si="0"/>
        <v>2.8000464558086691E-8</v>
      </c>
      <c r="X29" s="2">
        <f t="shared" si="8"/>
        <v>7.6149910688400269E-2</v>
      </c>
      <c r="Y29" s="2">
        <f t="shared" si="1"/>
        <v>-1.8434962167912516E-9</v>
      </c>
      <c r="Z29" s="2">
        <f t="shared" si="3"/>
        <v>7.6149895787239075E-2</v>
      </c>
      <c r="AA29" s="2">
        <f t="shared" si="2"/>
        <v>1.307848417064772E-8</v>
      </c>
      <c r="AB29" s="2">
        <f t="shared" si="4"/>
        <v>3.6620363249371929E-16</v>
      </c>
      <c r="AC29" s="2">
        <f t="shared" si="5"/>
        <v>-2.4110136089953341E-17</v>
      </c>
      <c r="AD29" s="2">
        <f t="shared" si="6"/>
        <v>2.9802322387695312E-8</v>
      </c>
      <c r="AF29" s="2">
        <v>25</v>
      </c>
      <c r="AG29" s="2">
        <f t="shared" si="13"/>
        <v>1972.8434383869171</v>
      </c>
      <c r="AH29" s="2">
        <v>-8.0975893183676817E-4</v>
      </c>
      <c r="AI29" s="2">
        <f t="shared" si="14"/>
        <v>1972.8440046310425</v>
      </c>
      <c r="AJ29" s="2">
        <v>4.8483832301826624E-4</v>
      </c>
      <c r="AK29" s="2">
        <f t="shared" si="9"/>
        <v>1972.8437215089798</v>
      </c>
      <c r="AL29" s="2">
        <v>-6.4793431397447421E-4</v>
      </c>
      <c r="AM29" s="2">
        <f t="shared" si="10"/>
        <v>5.2467059798435943E-7</v>
      </c>
      <c r="AN29" s="2">
        <f t="shared" si="11"/>
        <v>-3.1414338621337489E-7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10.914152566265907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7.6149895787239075E-2</v>
      </c>
      <c r="W30" s="2">
        <f t="shared" si="0"/>
        <v>1.307848417064772E-8</v>
      </c>
      <c r="X30" s="2">
        <f t="shared" si="8"/>
        <v>7.6149910688400269E-2</v>
      </c>
      <c r="Y30" s="2">
        <f t="shared" si="1"/>
        <v>-1.8434962167912516E-9</v>
      </c>
      <c r="Z30" s="2">
        <f t="shared" si="3"/>
        <v>7.6149903237819672E-2</v>
      </c>
      <c r="AA30" s="2">
        <f t="shared" si="2"/>
        <v>5.61749396998934E-9</v>
      </c>
      <c r="AB30" s="2">
        <f t="shared" si="4"/>
        <v>7.3468305965214604E-17</v>
      </c>
      <c r="AC30" s="2">
        <f t="shared" si="5"/>
        <v>-1.0355828881523017E-17</v>
      </c>
      <c r="AD30" s="2">
        <f t="shared" si="6"/>
        <v>1.4901161193847656E-8</v>
      </c>
      <c r="AF30" s="2">
        <v>26</v>
      </c>
      <c r="AG30" s="2">
        <f t="shared" si="13"/>
        <v>1972.8437215089798</v>
      </c>
      <c r="AH30" s="2">
        <v>-8.0975893183676817E-4</v>
      </c>
      <c r="AI30" s="2">
        <f t="shared" si="14"/>
        <v>1972.8440046310425</v>
      </c>
      <c r="AJ30" s="2">
        <v>4.8483832301826624E-4</v>
      </c>
      <c r="AK30" s="2">
        <f t="shared" si="9"/>
        <v>1972.8438630700111</v>
      </c>
      <c r="AL30" s="2">
        <v>-7.2578563958813902E-4</v>
      </c>
      <c r="AM30" s="2">
        <f t="shared" si="10"/>
        <v>5.8771140425535701E-7</v>
      </c>
      <c r="AN30" s="2">
        <f t="shared" si="11"/>
        <v>-3.5188869236865312E-7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180.76009353397879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7.6149903237819672E-2</v>
      </c>
      <c r="W31" s="2">
        <f t="shared" si="0"/>
        <v>5.61749396998934E-9</v>
      </c>
      <c r="X31" s="2">
        <f t="shared" si="8"/>
        <v>7.6149910688400269E-2</v>
      </c>
      <c r="Y31" s="2">
        <f t="shared" si="1"/>
        <v>-1.8434962167912516E-9</v>
      </c>
      <c r="Z31" s="2">
        <f t="shared" si="3"/>
        <v>7.614990696310997E-2</v>
      </c>
      <c r="AA31" s="2">
        <f t="shared" si="2"/>
        <v>1.8869988765990442E-9</v>
      </c>
      <c r="AB31" s="2">
        <f t="shared" si="4"/>
        <v>1.0600204810671789E-17</v>
      </c>
      <c r="AC31" s="2">
        <f t="shared" si="5"/>
        <v>-3.4786752900996795E-18</v>
      </c>
      <c r="AD31" s="2">
        <f t="shared" si="6"/>
        <v>7.4505805969238281E-9</v>
      </c>
      <c r="AF31" s="2">
        <v>27</v>
      </c>
      <c r="AG31" s="2">
        <f t="shared" si="13"/>
        <v>1972.8438630700111</v>
      </c>
      <c r="AH31" s="2">
        <v>-8.0975893183676817E-4</v>
      </c>
      <c r="AI31" s="2">
        <f t="shared" si="14"/>
        <v>1972.8440046310425</v>
      </c>
      <c r="AJ31" s="2">
        <v>4.8483832301826624E-4</v>
      </c>
      <c r="AK31" s="2">
        <f t="shared" si="9"/>
        <v>1972.8439338505268</v>
      </c>
      <c r="AL31" s="2">
        <v>-7.6777228628088778E-4</v>
      </c>
      <c r="AM31" s="2">
        <f t="shared" si="10"/>
        <v>6.2171046643268505E-7</v>
      </c>
      <c r="AN31" s="2">
        <f t="shared" si="11"/>
        <v>-3.7224542774032585E-7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628.99</v>
      </c>
      <c r="L32" s="6" t="s">
        <v>7</v>
      </c>
      <c r="U32" s="2">
        <v>28</v>
      </c>
      <c r="V32" s="2">
        <f t="shared" si="7"/>
        <v>7.614990696310997E-2</v>
      </c>
      <c r="W32" s="2">
        <f t="shared" si="0"/>
        <v>1.8869988765990442E-9</v>
      </c>
      <c r="X32" s="2">
        <f t="shared" si="8"/>
        <v>7.6149910688400269E-2</v>
      </c>
      <c r="Y32" s="2">
        <f t="shared" si="1"/>
        <v>-1.8434962167912516E-9</v>
      </c>
      <c r="Z32" s="2">
        <f t="shared" si="3"/>
        <v>7.6149908825755119E-2</v>
      </c>
      <c r="AA32" s="2">
        <f t="shared" si="2"/>
        <v>2.1751322965002373E-11</v>
      </c>
      <c r="AB32" s="2">
        <f t="shared" si="4"/>
        <v>4.1044721999502469E-20</v>
      </c>
      <c r="AC32" s="2">
        <f t="shared" si="5"/>
        <v>-4.0098481596186545E-20</v>
      </c>
      <c r="AD32" s="2">
        <f t="shared" si="6"/>
        <v>3.7252902984619141E-9</v>
      </c>
      <c r="AF32" s="2">
        <v>28</v>
      </c>
      <c r="AG32" s="2">
        <f t="shared" si="13"/>
        <v>1972.8439338505268</v>
      </c>
      <c r="AH32" s="2">
        <v>-8.0975893183676817E-4</v>
      </c>
      <c r="AI32" s="2">
        <f t="shared" si="14"/>
        <v>1972.8440046310425</v>
      </c>
      <c r="AJ32" s="2">
        <v>4.8483832301826624E-4</v>
      </c>
      <c r="AK32" s="2">
        <f t="shared" si="9"/>
        <v>1972.8439692407846</v>
      </c>
      <c r="AL32" s="2">
        <v>-7.8876560860408063E-4</v>
      </c>
      <c r="AM32" s="2">
        <f t="shared" si="10"/>
        <v>6.3870999669281871E-7</v>
      </c>
      <c r="AN32" s="2">
        <f t="shared" si="11"/>
        <v>-3.8242379493008458E-7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482.94</v>
      </c>
      <c r="L33" s="6" t="s">
        <v>7</v>
      </c>
      <c r="U33" s="2">
        <v>29</v>
      </c>
      <c r="V33" s="2">
        <f t="shared" si="7"/>
        <v>7.6149908825755119E-2</v>
      </c>
      <c r="W33" s="2">
        <f t="shared" si="0"/>
        <v>2.1751322965002373E-11</v>
      </c>
      <c r="X33" s="2">
        <f t="shared" si="8"/>
        <v>7.6149910688400269E-2</v>
      </c>
      <c r="Y33" s="2">
        <f t="shared" si="1"/>
        <v>-1.8434962167912516E-9</v>
      </c>
      <c r="Z33" s="2">
        <f t="shared" si="3"/>
        <v>7.6149909757077694E-2</v>
      </c>
      <c r="AA33" s="2">
        <f t="shared" si="2"/>
        <v>-9.1087244691312463E-10</v>
      </c>
      <c r="AB33" s="2">
        <f t="shared" si="4"/>
        <v>-1.9812680772729353E-20</v>
      </c>
      <c r="AC33" s="2">
        <f t="shared" si="5"/>
        <v>1.6791899098637355E-18</v>
      </c>
      <c r="AD33" s="2">
        <f t="shared" si="6"/>
        <v>1.862645149230957E-9</v>
      </c>
      <c r="AF33" s="2">
        <v>29</v>
      </c>
      <c r="AG33" s="2">
        <f t="shared" si="13"/>
        <v>1972.8439692407846</v>
      </c>
      <c r="AH33" s="2">
        <v>-8.0975893183676817E-4</v>
      </c>
      <c r="AI33" s="2">
        <f t="shared" si="14"/>
        <v>1972.8440046310425</v>
      </c>
      <c r="AJ33" s="2">
        <v>4.8483832301826624E-4</v>
      </c>
      <c r="AK33" s="2">
        <f t="shared" si="9"/>
        <v>1972.8439869359136</v>
      </c>
      <c r="AL33" s="2">
        <v>-7.9620128576607385E-4</v>
      </c>
      <c r="AM33" s="2">
        <f t="shared" si="10"/>
        <v>6.4473110268899736E-7</v>
      </c>
      <c r="AN33" s="2">
        <f t="shared" si="11"/>
        <v>-3.8602889617581062E-7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166.59</v>
      </c>
      <c r="L34" s="6" t="s">
        <v>7</v>
      </c>
      <c r="U34" s="2">
        <v>30</v>
      </c>
      <c r="V34" s="2">
        <f t="shared" si="7"/>
        <v>7.6149908825755119E-2</v>
      </c>
      <c r="W34" s="2">
        <f t="shared" si="0"/>
        <v>2.1751322965002373E-11</v>
      </c>
      <c r="X34" s="2">
        <f t="shared" si="8"/>
        <v>7.6149909757077694E-2</v>
      </c>
      <c r="Y34" s="2">
        <f t="shared" si="1"/>
        <v>-9.1087244691312463E-10</v>
      </c>
      <c r="Z34" s="2">
        <f t="shared" si="3"/>
        <v>7.6149909291416407E-2</v>
      </c>
      <c r="AA34" s="2">
        <f t="shared" si="2"/>
        <v>-4.4456055503516723E-10</v>
      </c>
      <c r="AB34" s="2">
        <f t="shared" si="4"/>
        <v>-9.6697802100706343E-21</v>
      </c>
      <c r="AC34" s="2">
        <f t="shared" si="5"/>
        <v>4.0493796056593958E-19</v>
      </c>
      <c r="AD34" s="2">
        <f>X34-V34</f>
        <v>9.3132257461547852E-10</v>
      </c>
      <c r="AF34" s="2">
        <v>30</v>
      </c>
      <c r="AG34" s="2">
        <f t="shared" si="13"/>
        <v>1972.8439869359136</v>
      </c>
      <c r="AH34" s="2">
        <v>-8.0975893183676817E-4</v>
      </c>
      <c r="AI34" s="2">
        <f t="shared" si="14"/>
        <v>1972.8440046310425</v>
      </c>
      <c r="AJ34" s="2">
        <v>4.8483832301826624E-4</v>
      </c>
      <c r="AK34" s="2">
        <f t="shared" si="9"/>
        <v>1972.843995783478</v>
      </c>
      <c r="AL34" s="2">
        <v>-8.0604109325577156E-4</v>
      </c>
      <c r="AM34" s="2">
        <f t="shared" si="10"/>
        <v>6.5269897469133442E-7</v>
      </c>
      <c r="AN34" s="2">
        <f t="shared" si="11"/>
        <v>-3.9079961193793821E-7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209.76417961734901</v>
      </c>
      <c r="H35" s="25" t="s">
        <v>101</v>
      </c>
      <c r="J35" s="15" t="s">
        <v>70</v>
      </c>
      <c r="K35" s="6">
        <f>ROUND(SUM(K23:K26),2)</f>
        <v>94.33</v>
      </c>
      <c r="L35" s="6" t="s">
        <v>7</v>
      </c>
      <c r="AF35" s="2">
        <v>31</v>
      </c>
      <c r="AG35" s="2">
        <f t="shared" si="13"/>
        <v>1972.843995783478</v>
      </c>
      <c r="AH35" s="2">
        <v>-8.0975893183676817E-4</v>
      </c>
      <c r="AI35" s="2">
        <f t="shared" si="14"/>
        <v>1972.8440046310425</v>
      </c>
      <c r="AJ35" s="2">
        <v>4.8483832301826624E-4</v>
      </c>
      <c r="AK35" s="2">
        <f t="shared" si="9"/>
        <v>1972.8440002072603</v>
      </c>
      <c r="AL35" s="2">
        <v>-8.0790001311470405E-4</v>
      </c>
      <c r="AM35" s="2">
        <f t="shared" si="10"/>
        <v>6.5420425165067375E-7</v>
      </c>
      <c r="AN35" s="2">
        <f t="shared" si="11"/>
        <v>-3.917008875249684E-7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1972.85</v>
      </c>
      <c r="L36" s="6" t="s">
        <v>7</v>
      </c>
      <c r="AF36" s="2">
        <v>32</v>
      </c>
      <c r="AG36" s="2">
        <f t="shared" si="13"/>
        <v>1972.8440002072603</v>
      </c>
      <c r="AH36" s="2">
        <v>-8.0975893183676817E-4</v>
      </c>
      <c r="AI36" s="2">
        <f t="shared" si="14"/>
        <v>1972.8440046310425</v>
      </c>
      <c r="AJ36" s="2">
        <v>4.8483832301826624E-4</v>
      </c>
      <c r="AK36" s="2">
        <f t="shared" si="9"/>
        <v>1972.8440024191514</v>
      </c>
      <c r="AL36" s="2">
        <v>-8.0882947190730192E-4</v>
      </c>
      <c r="AM36" s="2">
        <f t="shared" si="10"/>
        <v>6.5495688920975413E-7</v>
      </c>
      <c r="AN36" s="2">
        <f t="shared" si="11"/>
        <v>-3.9215152476728617E-7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1972.8440024191514</v>
      </c>
      <c r="AH37" s="2">
        <v>-8.0975893183676817E-4</v>
      </c>
      <c r="AI37" s="2">
        <f t="shared" si="14"/>
        <v>1972.8440046310425</v>
      </c>
      <c r="AJ37" s="2">
        <v>4.8483832301826624E-4</v>
      </c>
      <c r="AK37" s="2">
        <f t="shared" si="9"/>
        <v>1972.8440035250969</v>
      </c>
      <c r="AL37" s="2">
        <v>-8.0929420164466137E-4</v>
      </c>
      <c r="AM37" s="2">
        <f t="shared" si="10"/>
        <v>6.5533320826547111E-7</v>
      </c>
      <c r="AN37" s="2">
        <f t="shared" si="11"/>
        <v>-3.9237684355380423E-7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1972.8440035250969</v>
      </c>
      <c r="AH38" s="2">
        <v>-8.0975893183676817E-4</v>
      </c>
      <c r="AI38" s="2">
        <f t="shared" si="14"/>
        <v>1972.8440046310425</v>
      </c>
      <c r="AJ38" s="2">
        <v>4.8483832301826624E-4</v>
      </c>
      <c r="AK38" s="2">
        <f t="shared" si="9"/>
        <v>1972.8440040780697</v>
      </c>
      <c r="AL38" s="2">
        <v>-8.0952656708177528E-4</v>
      </c>
      <c r="AM38" s="2">
        <f t="shared" si="10"/>
        <v>6.5552136825362424E-7</v>
      </c>
      <c r="AN38" s="2">
        <f t="shared" si="11"/>
        <v>-3.9248950322266192E-7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30.41</v>
      </c>
      <c r="L39" s="6" t="s">
        <v>58</v>
      </c>
      <c r="AF39" s="2">
        <v>35</v>
      </c>
      <c r="AG39" s="2">
        <f t="shared" si="13"/>
        <v>1972.8440040780697</v>
      </c>
      <c r="AH39" s="2">
        <v>-8.0975893183676817E-4</v>
      </c>
      <c r="AI39" s="2">
        <f t="shared" si="14"/>
        <v>1972.8440046310425</v>
      </c>
      <c r="AJ39" s="2">
        <v>4.8483832301826624E-4</v>
      </c>
      <c r="AK39" s="2">
        <f t="shared" si="9"/>
        <v>1972.8440043545561</v>
      </c>
      <c r="AL39" s="2">
        <v>-8.0964274957295856E-4</v>
      </c>
      <c r="AM39" s="2">
        <f t="shared" si="10"/>
        <v>6.5561544806358289E-7</v>
      </c>
      <c r="AN39" s="2">
        <f t="shared" si="11"/>
        <v>-3.9254583294685131E-7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31.88</v>
      </c>
      <c r="L40" s="6" t="s">
        <v>58</v>
      </c>
      <c r="AF40" s="2">
        <v>36</v>
      </c>
      <c r="AG40" s="2">
        <f t="shared" si="13"/>
        <v>1972.8440043545561</v>
      </c>
      <c r="AH40" s="2">
        <v>-8.0975893183676817E-4</v>
      </c>
      <c r="AI40" s="2">
        <f t="shared" si="14"/>
        <v>1972.8440046310425</v>
      </c>
      <c r="AJ40" s="2">
        <v>4.8483832301826624E-4</v>
      </c>
      <c r="AK40" s="2">
        <f t="shared" si="9"/>
        <v>1972.8440044927993</v>
      </c>
      <c r="AL40" s="2">
        <v>-8.0970084059117653E-4</v>
      </c>
      <c r="AM40" s="2">
        <f t="shared" si="10"/>
        <v>6.5566248778444442E-7</v>
      </c>
      <c r="AN40" s="2">
        <f t="shared" si="11"/>
        <v>-3.9257399769870654E-7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24.48</v>
      </c>
      <c r="L41" s="6" t="s">
        <v>58</v>
      </c>
      <c r="AF41" s="2">
        <v>37</v>
      </c>
      <c r="AG41" s="2">
        <f t="shared" si="13"/>
        <v>1972.8440044927993</v>
      </c>
      <c r="AH41" s="2">
        <v>-8.0975893183676817E-4</v>
      </c>
      <c r="AI41" s="2">
        <f t="shared" si="14"/>
        <v>1972.8440046310425</v>
      </c>
      <c r="AJ41" s="2">
        <v>4.8483832301826624E-4</v>
      </c>
      <c r="AK41" s="2">
        <f t="shared" si="9"/>
        <v>1972.8440045619209</v>
      </c>
      <c r="AL41" s="2">
        <v>-8.0972988598659867E-4</v>
      </c>
      <c r="AM41" s="2">
        <f t="shared" si="10"/>
        <v>6.5568600755281625E-7</v>
      </c>
      <c r="AN41" s="2">
        <f t="shared" si="11"/>
        <v>-3.9258808001951444E-7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8.44</v>
      </c>
      <c r="L42" s="6" t="s">
        <v>58</v>
      </c>
      <c r="AF42" s="2">
        <v>38</v>
      </c>
      <c r="AG42" s="2">
        <f t="shared" si="13"/>
        <v>1972.8440045619209</v>
      </c>
      <c r="AH42" s="2">
        <v>-8.0975893183676817E-4</v>
      </c>
      <c r="AI42" s="2">
        <f t="shared" si="14"/>
        <v>1972.8440046310425</v>
      </c>
      <c r="AJ42" s="2">
        <v>4.8483832301826624E-4</v>
      </c>
      <c r="AK42" s="2">
        <f t="shared" si="9"/>
        <v>1972.8440045964817</v>
      </c>
      <c r="AL42" s="2">
        <v>-8.0974440970749129E-4</v>
      </c>
      <c r="AM42" s="2">
        <f t="shared" si="10"/>
        <v>6.5569776826553253E-7</v>
      </c>
      <c r="AN42" s="2">
        <f t="shared" si="11"/>
        <v>-3.9259512167599597E-7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1972.8440045964817</v>
      </c>
      <c r="AH43" s="2">
        <v>-8.0975893183676817E-4</v>
      </c>
      <c r="AI43" s="2">
        <f t="shared" si="14"/>
        <v>1972.8440046310425</v>
      </c>
      <c r="AJ43" s="2">
        <v>4.8483832301826624E-4</v>
      </c>
      <c r="AK43" s="2">
        <f t="shared" si="9"/>
        <v>1972.8440046137621</v>
      </c>
      <c r="AL43" s="2">
        <v>-8.0975167134056392E-4</v>
      </c>
      <c r="AM43" s="2">
        <f t="shared" si="10"/>
        <v>6.5570364843777281E-7</v>
      </c>
      <c r="AN43" s="2">
        <f t="shared" si="11"/>
        <v>-3.9259864239399728E-7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1972.8440046137621</v>
      </c>
      <c r="AH44" s="2">
        <v>-8.0975893183676817E-4</v>
      </c>
      <c r="AI44" s="2">
        <f t="shared" si="14"/>
        <v>1972.8440046310425</v>
      </c>
      <c r="AJ44" s="2">
        <v>4.8483832301826624E-4</v>
      </c>
      <c r="AK44" s="5">
        <f>(AG44+AI44)/2</f>
        <v>1972.8440046224023</v>
      </c>
      <c r="AL44" s="2">
        <v>-8.0975530136129237E-4</v>
      </c>
      <c r="AM44" s="2">
        <f t="shared" si="10"/>
        <v>6.5570658787948044E-7</v>
      </c>
      <c r="AN44" s="2">
        <f t="shared" si="11"/>
        <v>-3.9260040236715981E-7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1722.4183797296625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30.41</v>
      </c>
      <c r="L47" s="6" t="s">
        <v>58</v>
      </c>
      <c r="N47" s="6" t="s">
        <v>154</v>
      </c>
      <c r="O47" s="6">
        <f>0.377*O46^0.6945</f>
        <v>66.656060649575778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31.88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37.700000000000003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abSelected="1" workbookViewId="0">
      <selection activeCell="I11" sqref="I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301.21504672345861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8.3336621083107174E-2</v>
      </c>
      <c r="X4" s="3">
        <v>1</v>
      </c>
      <c r="Y4" s="2">
        <f t="shared" ref="Y4:Y34" si="1" xml:space="preserve"> $O$20 * TAN($O$17/180*PI()) + $O$21 / (2 * SQRT($O$20^2 + X4^2)) - X4</f>
        <v>-0.91958550474354783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-0.41804408787793063</v>
      </c>
      <c r="AB4" s="2">
        <f>W4*AA4</f>
        <v>-3.4838381747516259E-2</v>
      </c>
      <c r="AC4" s="2">
        <f>Y4*AA4</f>
        <v>0.38442728355628292</v>
      </c>
      <c r="AD4" s="2">
        <f>X4-V4</f>
        <v>1</v>
      </c>
      <c r="AF4" s="2">
        <v>0</v>
      </c>
      <c r="AG4" s="2"/>
      <c r="AH4" s="2">
        <f>K27</f>
        <v>2.3138272354117362E-5</v>
      </c>
      <c r="AI4" s="2"/>
      <c r="AJ4" s="2">
        <f>K27</f>
        <v>2.3138272354117362E-5</v>
      </c>
      <c r="AK4" s="2"/>
      <c r="AL4" s="2">
        <f>K27</f>
        <v>2.3138272354117362E-5</v>
      </c>
      <c r="AM4" s="2"/>
      <c r="AN4" s="2"/>
      <c r="AO4" s="2"/>
    </row>
    <row r="5" spans="2:41" x14ac:dyDescent="0.2">
      <c r="B5" s="10" t="s">
        <v>37</v>
      </c>
      <c r="C5" s="10">
        <v>1708.3701980631799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75.303761680864653</v>
      </c>
      <c r="L5" s="6" t="s">
        <v>101</v>
      </c>
      <c r="N5" s="6" t="s">
        <v>114</v>
      </c>
      <c r="O5" s="6">
        <f xml:space="preserve"> $C$18 * 0.85 * ($C$5/$C$18 *2.20462/1000)^(2/3) * 0.3048^2</f>
        <v>0.30344454498477491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8.3336621083107174E-2</v>
      </c>
      <c r="X5" s="2">
        <f>IF(AC4&gt;0, Z4, X4)</f>
        <v>0.5</v>
      </c>
      <c r="Y5" s="2">
        <f t="shared" si="1"/>
        <v>-0.41804408787793063</v>
      </c>
      <c r="Z5" s="2">
        <f t="shared" ref="Z5:Z34" si="3" xml:space="preserve"> (V5 + X5)/2</f>
        <v>0.25</v>
      </c>
      <c r="AA5" s="2">
        <f t="shared" si="2"/>
        <v>-0.16711825491751672</v>
      </c>
      <c r="AB5" s="2">
        <f t="shared" ref="AB5:AB34" si="4">W5*AA5</f>
        <v>-1.3927070686131204E-2</v>
      </c>
      <c r="AC5" s="2">
        <f t="shared" ref="AC5:AC34" si="5">Y5*AA5</f>
        <v>6.9862798444744773E-2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-779.56329843134654</v>
      </c>
      <c r="AI5" s="3">
        <v>10000</v>
      </c>
      <c r="AJ5" s="2">
        <f t="dataTable" ref="AJ5:AJ44" dt2D="0" dtr="0" r1="C5" ca="1"/>
        <v>4135.9135751296526</v>
      </c>
      <c r="AK5" s="2">
        <f>(AG5+AI5)/2</f>
        <v>5250</v>
      </c>
      <c r="AL5" s="2">
        <f t="dataTable" ref="AL5:AL44" dt2D="0" dtr="0" r1="C5" ca="1"/>
        <v>2022.3172848936315</v>
      </c>
      <c r="AM5" s="2">
        <f>AH5*AL5</f>
        <v>-1576524.3330864045</v>
      </c>
      <c r="AN5" s="2">
        <f>AJ5*AL5</f>
        <v>8364129.5118109118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8.3336621083107174E-2</v>
      </c>
      <c r="X6" s="2">
        <f t="shared" ref="X6:X34" si="8">IF(AC5&gt;0, Z5, X5)</f>
        <v>0.25</v>
      </c>
      <c r="Y6" s="2">
        <f t="shared" si="1"/>
        <v>-0.16711825491751672</v>
      </c>
      <c r="Z6" s="2">
        <f t="shared" si="3"/>
        <v>0.125</v>
      </c>
      <c r="AA6" s="2">
        <f t="shared" si="2"/>
        <v>-4.1787322792917123E-2</v>
      </c>
      <c r="AB6" s="2">
        <f t="shared" si="4"/>
        <v>-3.4824142856708221E-3</v>
      </c>
      <c r="AC6" s="2">
        <f t="shared" si="5"/>
        <v>6.9834244628272802E-3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-779.56329843134654</v>
      </c>
      <c r="AI6" s="2">
        <f>IF(AN5&gt;0, AK5, AI5)</f>
        <v>5250</v>
      </c>
      <c r="AJ6" s="2">
        <v>2022.3172848936315</v>
      </c>
      <c r="AK6" s="2">
        <f t="shared" ref="AK6:AK43" si="9">(AG6+AI6)/2</f>
        <v>2875</v>
      </c>
      <c r="AL6" s="2">
        <v>712.73688785458899</v>
      </c>
      <c r="AM6" s="2">
        <f t="shared" ref="AM6:AM44" si="10">AH6*AL6</f>
        <v>-555623.51920961612</v>
      </c>
      <c r="AN6" s="2">
        <f t="shared" ref="AN6:AN44" si="11">AJ6*AL6</f>
        <v>1441380.1278896292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0.93372116831987095</v>
      </c>
      <c r="P7" s="6" t="s">
        <v>115</v>
      </c>
      <c r="U7" s="2">
        <v>3</v>
      </c>
      <c r="V7" s="2">
        <f t="shared" si="7"/>
        <v>0</v>
      </c>
      <c r="W7" s="2">
        <f t="shared" si="0"/>
        <v>8.3336621083107174E-2</v>
      </c>
      <c r="X7" s="2">
        <f t="shared" si="8"/>
        <v>0.125</v>
      </c>
      <c r="Y7" s="2">
        <f t="shared" si="1"/>
        <v>-4.1787322792917123E-2</v>
      </c>
      <c r="Z7" s="2">
        <f t="shared" si="3"/>
        <v>6.25E-2</v>
      </c>
      <c r="AA7" s="2">
        <f t="shared" si="2"/>
        <v>2.0804913844138115E-2</v>
      </c>
      <c r="AB7" s="2">
        <f t="shared" si="4"/>
        <v>1.7338112216956287E-3</v>
      </c>
      <c r="AC7" s="2">
        <f t="shared" si="5"/>
        <v>-8.6938165048382969E-4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-779.56329843134654</v>
      </c>
      <c r="AI7" s="2">
        <f t="shared" ref="AI7:AI44" si="14">IF(AN6&gt;0, AK6, AI6)</f>
        <v>2875</v>
      </c>
      <c r="AJ7" s="2">
        <v>712.73688785458899</v>
      </c>
      <c r="AK7" s="2">
        <f t="shared" si="9"/>
        <v>1687.5</v>
      </c>
      <c r="AL7" s="2">
        <v>-13.753012535655898</v>
      </c>
      <c r="AM7" s="2">
        <f t="shared" si="10"/>
        <v>10721.343815663569</v>
      </c>
      <c r="AN7" s="2">
        <f t="shared" si="11"/>
        <v>-9802.2793532885353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161.24441062021737</v>
      </c>
      <c r="L8" s="6" t="s">
        <v>102</v>
      </c>
      <c r="N8" s="6" t="s">
        <v>38</v>
      </c>
      <c r="O8" s="6">
        <f xml:space="preserve"> O4 *O7</f>
        <v>2117.1789350079134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2.0804913844138115E-2</v>
      </c>
      <c r="X8" s="2">
        <f t="shared" si="8"/>
        <v>0.125</v>
      </c>
      <c r="Y8" s="2">
        <f t="shared" si="1"/>
        <v>-4.1787322792917123E-2</v>
      </c>
      <c r="Z8" s="2">
        <f t="shared" si="3"/>
        <v>9.375E-2</v>
      </c>
      <c r="AA8" s="2">
        <f t="shared" si="2"/>
        <v>-1.0484033917937924E-2</v>
      </c>
      <c r="AB8" s="2">
        <f t="shared" si="4"/>
        <v>-2.1811942240172028E-4</v>
      </c>
      <c r="AC8" s="2">
        <f t="shared" si="5"/>
        <v>4.380997095007636E-4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-13.753012535655898</v>
      </c>
      <c r="AI8" s="2">
        <f t="shared" si="14"/>
        <v>2875</v>
      </c>
      <c r="AJ8" s="2">
        <v>712.73688785458899</v>
      </c>
      <c r="AK8" s="2">
        <f t="shared" si="9"/>
        <v>2281.25</v>
      </c>
      <c r="AL8" s="2">
        <v>358.85488450684966</v>
      </c>
      <c r="AM8" s="2">
        <f t="shared" si="10"/>
        <v>-4935.3357251040534</v>
      </c>
      <c r="AN8" s="2">
        <f t="shared" si="11"/>
        <v>255769.11357483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4186.1438624191269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2117.1789350079134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2.0804913844138115E-2</v>
      </c>
      <c r="X9" s="2">
        <f t="shared" si="8"/>
        <v>9.375E-2</v>
      </c>
      <c r="Y9" s="2">
        <f t="shared" si="1"/>
        <v>-1.0484033917937924E-2</v>
      </c>
      <c r="Z9" s="2">
        <f t="shared" si="3"/>
        <v>7.8125E-2</v>
      </c>
      <c r="AA9" s="2">
        <f t="shared" si="2"/>
        <v>5.1622942534908234E-3</v>
      </c>
      <c r="AB9" s="2">
        <f t="shared" si="4"/>
        <v>1.0740108718196587E-4</v>
      </c>
      <c r="AC9" s="2">
        <f t="shared" si="5"/>
        <v>-5.4121668047973825E-5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-13.753012535655898</v>
      </c>
      <c r="AI9" s="2">
        <f t="shared" si="14"/>
        <v>2281.25</v>
      </c>
      <c r="AJ9" s="2">
        <v>358.85488450684966</v>
      </c>
      <c r="AK9" s="2">
        <f t="shared" si="9"/>
        <v>1984.375</v>
      </c>
      <c r="AL9" s="2">
        <v>178.58034263233571</v>
      </c>
      <c r="AM9" s="2">
        <f t="shared" si="10"/>
        <v>-2456.0176908442386</v>
      </c>
      <c r="AN9" s="2">
        <f t="shared" si="11"/>
        <v>64084.428230520476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44.186749623676988</v>
      </c>
      <c r="H10" s="6" t="s">
        <v>101</v>
      </c>
      <c r="N10" s="6" t="s">
        <v>113</v>
      </c>
      <c r="O10" s="6">
        <f>O7/(0.3048^2)/($C$5*2.20462/1000)^(2/3)</f>
        <v>4.1518672552632676</v>
      </c>
      <c r="U10" s="2">
        <v>6</v>
      </c>
      <c r="V10" s="2">
        <f t="shared" si="7"/>
        <v>7.8125E-2</v>
      </c>
      <c r="W10" s="2">
        <f t="shared" si="0"/>
        <v>5.1622942534908234E-3</v>
      </c>
      <c r="X10" s="2">
        <f t="shared" si="8"/>
        <v>9.375E-2</v>
      </c>
      <c r="Y10" s="2">
        <f t="shared" si="1"/>
        <v>-1.0484033917937924E-2</v>
      </c>
      <c r="Z10" s="2">
        <f t="shared" si="3"/>
        <v>8.59375E-2</v>
      </c>
      <c r="AA10" s="2">
        <f t="shared" si="2"/>
        <v>-2.660413272385781E-3</v>
      </c>
      <c r="AB10" s="2">
        <f t="shared" si="4"/>
        <v>-1.3733836147947834E-5</v>
      </c>
      <c r="AC10" s="2">
        <f t="shared" si="5"/>
        <v>2.7891862983424753E-5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-13.753012535655898</v>
      </c>
      <c r="AI10" s="2">
        <f t="shared" si="14"/>
        <v>1984.375</v>
      </c>
      <c r="AJ10" s="2">
        <v>178.58034263233571</v>
      </c>
      <c r="AK10" s="2">
        <f t="shared" si="9"/>
        <v>1835.9375</v>
      </c>
      <c r="AL10" s="2">
        <v>84.048527403442222</v>
      </c>
      <c r="AM10" s="2">
        <f t="shared" si="10"/>
        <v>-1155.9204509829592</v>
      </c>
      <c r="AN10" s="2">
        <f t="shared" si="11"/>
        <v>15009.414821449969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9.6656249475961022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7.8125E-2</v>
      </c>
      <c r="W11" s="2">
        <f t="shared" si="0"/>
        <v>5.1622942534908234E-3</v>
      </c>
      <c r="X11" s="2">
        <f t="shared" si="8"/>
        <v>8.59375E-2</v>
      </c>
      <c r="Y11" s="2">
        <f t="shared" si="1"/>
        <v>-2.660413272385781E-3</v>
      </c>
      <c r="Z11" s="2">
        <f t="shared" si="3"/>
        <v>8.203125E-2</v>
      </c>
      <c r="AA11" s="2">
        <f t="shared" si="2"/>
        <v>1.2510555529073458E-3</v>
      </c>
      <c r="AB11" s="2">
        <f t="shared" si="4"/>
        <v>6.4583168915713763E-6</v>
      </c>
      <c r="AC11" s="2">
        <f t="shared" si="5"/>
        <v>-3.3283247974466346E-6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-13.753012535655898</v>
      </c>
      <c r="AI11" s="2">
        <f t="shared" si="14"/>
        <v>1835.9375</v>
      </c>
      <c r="AJ11" s="2">
        <v>84.048527403442222</v>
      </c>
      <c r="AK11" s="2">
        <f t="shared" si="9"/>
        <v>1761.71875</v>
      </c>
      <c r="AL11" s="2">
        <v>35.153616191080346</v>
      </c>
      <c r="AM11" s="2">
        <f t="shared" si="10"/>
        <v>-483.46812414956418</v>
      </c>
      <c r="AN11" s="2">
        <f t="shared" si="11"/>
        <v>2954.6096737661064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176.74699849470795</v>
      </c>
      <c r="H12" s="25" t="s">
        <v>101</v>
      </c>
      <c r="J12" s="10" t="s">
        <v>79</v>
      </c>
      <c r="K12" s="6">
        <f>C5</f>
        <v>1708.3701980631799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8.203125E-2</v>
      </c>
      <c r="W12" s="2">
        <f t="shared" si="0"/>
        <v>1.2510555529073458E-3</v>
      </c>
      <c r="X12" s="2">
        <f t="shared" si="8"/>
        <v>8.59375E-2</v>
      </c>
      <c r="Y12" s="2">
        <f t="shared" si="1"/>
        <v>-2.660413272385781E-3</v>
      </c>
      <c r="Z12" s="2">
        <f t="shared" si="3"/>
        <v>8.3984375E-2</v>
      </c>
      <c r="AA12" s="2">
        <f t="shared" si="2"/>
        <v>-7.0465020665992639E-4</v>
      </c>
      <c r="AB12" s="2">
        <f t="shared" si="4"/>
        <v>-8.8155655389920976E-7</v>
      </c>
      <c r="AC12" s="2">
        <f t="shared" si="5"/>
        <v>1.8746607621874516E-6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-13.753012535655898</v>
      </c>
      <c r="AI12" s="2">
        <f t="shared" si="14"/>
        <v>1761.71875</v>
      </c>
      <c r="AJ12" s="2">
        <v>35.153616191080346</v>
      </c>
      <c r="AK12" s="2">
        <f t="shared" si="9"/>
        <v>1724.609375</v>
      </c>
      <c r="AL12" s="2">
        <v>10.701106924324677</v>
      </c>
      <c r="AM12" s="2">
        <f t="shared" si="10"/>
        <v>-147.17245767563142</v>
      </c>
      <c r="AN12" s="2">
        <f t="shared" si="11"/>
        <v>376.18260563742194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431.13478775459185</v>
      </c>
      <c r="L13" s="6" t="s">
        <v>7</v>
      </c>
      <c r="N13" s="6" t="s">
        <v>74</v>
      </c>
      <c r="O13" s="6">
        <f xml:space="preserve"> SQRT( ($C$5*$C$50)^2 + O9^2)</f>
        <v>16876.303460471427</v>
      </c>
      <c r="P13" s="6" t="s">
        <v>20</v>
      </c>
      <c r="U13" s="2">
        <v>9</v>
      </c>
      <c r="V13" s="2">
        <f t="shared" si="7"/>
        <v>8.203125E-2</v>
      </c>
      <c r="W13" s="2">
        <f t="shared" si="0"/>
        <v>1.2510555529073458E-3</v>
      </c>
      <c r="X13" s="2">
        <f t="shared" si="8"/>
        <v>8.3984375E-2</v>
      </c>
      <c r="Y13" s="2">
        <f t="shared" si="1"/>
        <v>-7.0465020665992639E-4</v>
      </c>
      <c r="Z13" s="2">
        <f t="shared" si="3"/>
        <v>8.30078125E-2</v>
      </c>
      <c r="AA13" s="2">
        <f t="shared" si="2"/>
        <v>2.7320985063392089E-4</v>
      </c>
      <c r="AB13" s="2">
        <f t="shared" si="4"/>
        <v>3.4180070074455329E-7</v>
      </c>
      <c r="AC13" s="2">
        <f t="shared" si="5"/>
        <v>-1.9251737771071998E-7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-13.753012535655898</v>
      </c>
      <c r="AI13" s="2">
        <f t="shared" si="14"/>
        <v>1724.609375</v>
      </c>
      <c r="AJ13" s="2">
        <v>10.701106924324677</v>
      </c>
      <c r="AK13" s="2">
        <f t="shared" si="9"/>
        <v>1706.0546875</v>
      </c>
      <c r="AL13" s="2">
        <v>-1.5258401349187807</v>
      </c>
      <c r="AM13" s="2">
        <f t="shared" si="10"/>
        <v>20.984898502944876</v>
      </c>
      <c r="AN13" s="2">
        <f t="shared" si="11"/>
        <v>-16.328178433191862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122.09190629958285</v>
      </c>
      <c r="L14" s="6" t="s">
        <v>7</v>
      </c>
      <c r="N14" s="6" t="s">
        <v>75</v>
      </c>
      <c r="O14" s="6">
        <f>$C$5*$C$50/O13</f>
        <v>0.99209959364498812</v>
      </c>
      <c r="U14" s="2">
        <v>10</v>
      </c>
      <c r="V14" s="2">
        <f t="shared" si="7"/>
        <v>8.30078125E-2</v>
      </c>
      <c r="W14" s="2">
        <f t="shared" si="0"/>
        <v>2.7320985063392089E-4</v>
      </c>
      <c r="X14" s="2">
        <f t="shared" si="8"/>
        <v>8.3984375E-2</v>
      </c>
      <c r="Y14" s="2">
        <f t="shared" si="1"/>
        <v>-7.0465020665992639E-4</v>
      </c>
      <c r="Z14" s="2">
        <f t="shared" si="3"/>
        <v>8.349609375E-2</v>
      </c>
      <c r="AA14" s="2">
        <f t="shared" si="2"/>
        <v>-2.1571838540451749E-4</v>
      </c>
      <c r="AB14" s="2">
        <f t="shared" si="4"/>
        <v>-5.8936387855358805E-8</v>
      </c>
      <c r="AC14" s="2">
        <f t="shared" si="5"/>
        <v>1.5200600485563889E-7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-1.5258401349187807</v>
      </c>
      <c r="AI14" s="2">
        <f t="shared" si="14"/>
        <v>1724.609375</v>
      </c>
      <c r="AJ14" s="2">
        <v>10.701106924324677</v>
      </c>
      <c r="AK14" s="2">
        <f t="shared" si="9"/>
        <v>1715.33203125</v>
      </c>
      <c r="AL14" s="2">
        <v>4.5876746409976477</v>
      </c>
      <c r="AM14" s="2">
        <f t="shared" si="10"/>
        <v>-7.0000580931833198</v>
      </c>
      <c r="AN14" s="2">
        <f t="shared" si="11"/>
        <v>49.093196867328651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236.57096405475406</v>
      </c>
      <c r="L15" s="6" t="s">
        <v>7</v>
      </c>
      <c r="U15" s="2">
        <v>11</v>
      </c>
      <c r="V15" s="2">
        <f t="shared" si="7"/>
        <v>8.30078125E-2</v>
      </c>
      <c r="W15" s="2">
        <f t="shared" si="0"/>
        <v>2.7320985063392089E-4</v>
      </c>
      <c r="X15" s="2">
        <f t="shared" si="8"/>
        <v>8.349609375E-2</v>
      </c>
      <c r="Y15" s="2">
        <f t="shared" si="1"/>
        <v>-2.1571838540451749E-4</v>
      </c>
      <c r="Z15" s="2">
        <f t="shared" si="3"/>
        <v>8.3251953125E-2</v>
      </c>
      <c r="AA15" s="2">
        <f t="shared" si="2"/>
        <v>2.8746180988636905E-5</v>
      </c>
      <c r="AB15" s="2">
        <f t="shared" si="4"/>
        <v>7.8537398142011444E-9</v>
      </c>
      <c r="AC15" s="2">
        <f t="shared" si="5"/>
        <v>-6.2010797494147889E-9</v>
      </c>
      <c r="AD15" s="2">
        <f t="shared" si="6"/>
        <v>4.8828125E-4</v>
      </c>
      <c r="AF15" s="2">
        <v>11</v>
      </c>
      <c r="AG15" s="2">
        <f t="shared" si="13"/>
        <v>1706.0546875</v>
      </c>
      <c r="AH15" s="2">
        <v>-1.5258401349187807</v>
      </c>
      <c r="AI15" s="2">
        <f t="shared" si="14"/>
        <v>1715.33203125</v>
      </c>
      <c r="AJ15" s="2">
        <v>4.5876746409976477</v>
      </c>
      <c r="AK15" s="2">
        <f t="shared" si="9"/>
        <v>1710.693359375</v>
      </c>
      <c r="AL15" s="2">
        <v>1.5309238223062493</v>
      </c>
      <c r="AM15" s="2">
        <f t="shared" si="10"/>
        <v>-2.335945011578143</v>
      </c>
      <c r="AN15" s="2">
        <f t="shared" si="11"/>
        <v>7.0233803968935691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$C$54 * 0.2138 * K4</f>
        <v>51.51982159158036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8.3251953125E-2</v>
      </c>
      <c r="W16" s="2">
        <f t="shared" si="0"/>
        <v>2.8746180988636905E-5</v>
      </c>
      <c r="X16" s="2">
        <f t="shared" si="8"/>
        <v>8.349609375E-2</v>
      </c>
      <c r="Y16" s="2">
        <f t="shared" si="1"/>
        <v>-2.1571838540451749E-4</v>
      </c>
      <c r="Z16" s="2">
        <f t="shared" si="3"/>
        <v>8.33740234375E-2</v>
      </c>
      <c r="AA16" s="2">
        <f t="shared" si="2"/>
        <v>-9.3485990142139208E-5</v>
      </c>
      <c r="AB16" s="2">
        <f t="shared" si="4"/>
        <v>-2.6873651925278593E-9</v>
      </c>
      <c r="AC16" s="2">
        <f t="shared" si="5"/>
        <v>2.0166646851404909E-8</v>
      </c>
      <c r="AD16" s="2">
        <f t="shared" si="6"/>
        <v>2.44140625E-4</v>
      </c>
      <c r="AF16" s="2">
        <v>12</v>
      </c>
      <c r="AG16" s="2">
        <f t="shared" si="13"/>
        <v>1706.0546875</v>
      </c>
      <c r="AH16" s="2">
        <v>-1.5258401349187807</v>
      </c>
      <c r="AI16" s="2">
        <f t="shared" si="14"/>
        <v>1710.693359375</v>
      </c>
      <c r="AJ16" s="2">
        <v>1.5309238223062493</v>
      </c>
      <c r="AK16" s="2">
        <f t="shared" si="9"/>
        <v>1708.3740234375</v>
      </c>
      <c r="AL16" s="2">
        <v>2.5448135424994689E-3</v>
      </c>
      <c r="AM16" s="2">
        <f t="shared" si="10"/>
        <v>-3.8829786390305299E-3</v>
      </c>
      <c r="AN16" s="2">
        <f t="shared" si="11"/>
        <v>3.895915675539994E-3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$C$54 * 0.1149 * K4</f>
        <v>27.687687094820316</v>
      </c>
      <c r="L17" s="6" t="s">
        <v>7</v>
      </c>
      <c r="N17" s="6" t="s">
        <v>25</v>
      </c>
      <c r="O17" s="6">
        <f xml:space="preserve"> ACOS(O14)/PI()*180</f>
        <v>7.2069031421478975</v>
      </c>
      <c r="P17" s="6" t="s">
        <v>40</v>
      </c>
      <c r="U17" s="2">
        <v>13</v>
      </c>
      <c r="V17" s="2">
        <f t="shared" si="7"/>
        <v>8.3251953125E-2</v>
      </c>
      <c r="W17" s="2">
        <f t="shared" si="0"/>
        <v>2.8746180988636905E-5</v>
      </c>
      <c r="X17" s="2">
        <f t="shared" si="8"/>
        <v>8.33740234375E-2</v>
      </c>
      <c r="Y17" s="2">
        <f t="shared" si="1"/>
        <v>-9.3485990142139208E-5</v>
      </c>
      <c r="Z17" s="2">
        <f t="shared" si="3"/>
        <v>8.331298828125E-2</v>
      </c>
      <c r="AA17" s="2">
        <f t="shared" si="2"/>
        <v>-3.2369876556831434E-5</v>
      </c>
      <c r="AB17" s="2">
        <f t="shared" si="4"/>
        <v>-9.3051033008251121E-10</v>
      </c>
      <c r="AC17" s="2">
        <f t="shared" si="5"/>
        <v>3.0261299606942064E-9</v>
      </c>
      <c r="AD17" s="2">
        <f t="shared" si="6"/>
        <v>1.220703125E-4</v>
      </c>
      <c r="AF17" s="2">
        <v>13</v>
      </c>
      <c r="AG17" s="2">
        <f t="shared" si="13"/>
        <v>1706.0546875</v>
      </c>
      <c r="AH17" s="2">
        <v>-1.5258401349187807</v>
      </c>
      <c r="AI17" s="2">
        <f t="shared" si="14"/>
        <v>1708.3740234375</v>
      </c>
      <c r="AJ17" s="2">
        <v>2.5448135424994689E-3</v>
      </c>
      <c r="AK17" s="2">
        <f t="shared" si="9"/>
        <v>1707.21435546875</v>
      </c>
      <c r="AL17" s="2">
        <v>-0.76164545106780679</v>
      </c>
      <c r="AM17" s="2">
        <f t="shared" si="10"/>
        <v>1.162149197817578</v>
      </c>
      <c r="AN17" s="2">
        <f t="shared" si="11"/>
        <v>-1.9382456584604714E-3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4219.0758651178567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127.08838656261354</v>
      </c>
      <c r="L18" s="6" t="s">
        <v>7</v>
      </c>
      <c r="N18" s="6" t="s">
        <v>19</v>
      </c>
      <c r="O18" s="6">
        <f xml:space="preserve"> O13 / $C$18</f>
        <v>4219.0758651178567</v>
      </c>
      <c r="P18" s="6" t="s">
        <v>20</v>
      </c>
      <c r="U18" s="2">
        <v>14</v>
      </c>
      <c r="V18" s="2">
        <f t="shared" si="7"/>
        <v>8.3251953125E-2</v>
      </c>
      <c r="W18" s="2">
        <f t="shared" si="0"/>
        <v>2.8746180988636905E-5</v>
      </c>
      <c r="X18" s="2">
        <f t="shared" si="8"/>
        <v>8.331298828125E-2</v>
      </c>
      <c r="Y18" s="2">
        <f t="shared" si="1"/>
        <v>-3.2369876556831434E-5</v>
      </c>
      <c r="Z18" s="2">
        <f t="shared" si="3"/>
        <v>8.3282470703125E-2</v>
      </c>
      <c r="AA18" s="2">
        <f t="shared" si="2"/>
        <v>-1.8118407786871238E-6</v>
      </c>
      <c r="AB18" s="2">
        <f t="shared" si="4"/>
        <v>-5.2083502946732886E-11</v>
      </c>
      <c r="AC18" s="2">
        <f t="shared" si="5"/>
        <v>5.864906234673554E-11</v>
      </c>
      <c r="AD18" s="2">
        <f t="shared" si="6"/>
        <v>6.103515625E-5</v>
      </c>
      <c r="AF18" s="2">
        <v>14</v>
      </c>
      <c r="AG18" s="2">
        <f t="shared" si="13"/>
        <v>1707.21435546875</v>
      </c>
      <c r="AH18" s="2">
        <v>-1.5258401349187807</v>
      </c>
      <c r="AI18" s="2">
        <f t="shared" si="14"/>
        <v>1708.3740234375</v>
      </c>
      <c r="AJ18" s="2">
        <v>2.5448135424994689E-3</v>
      </c>
      <c r="AK18" s="2">
        <f t="shared" si="9"/>
        <v>1707.794189453125</v>
      </c>
      <c r="AL18" s="2">
        <v>-0.76164545106780679</v>
      </c>
      <c r="AM18" s="2">
        <f t="shared" si="10"/>
        <v>1.162149197817578</v>
      </c>
      <c r="AN18" s="2">
        <f t="shared" si="11"/>
        <v>-1.9382456584604714E-3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50.202507787243107</v>
      </c>
      <c r="H19" s="6" t="s">
        <v>101</v>
      </c>
      <c r="J19" s="14" t="s">
        <v>61</v>
      </c>
      <c r="K19" s="6">
        <f xml:space="preserve"> $C$55 * C31 * $C$5</f>
        <v>19.133746218307618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8.3251953125E-2</v>
      </c>
      <c r="W19" s="2">
        <f t="shared" si="0"/>
        <v>2.8746180988636905E-5</v>
      </c>
      <c r="X19" s="2">
        <f t="shared" si="8"/>
        <v>8.3282470703125E-2</v>
      </c>
      <c r="Y19" s="2">
        <f t="shared" si="1"/>
        <v>-1.8118407786871238E-6</v>
      </c>
      <c r="Z19" s="2">
        <f t="shared" si="3"/>
        <v>8.32672119140625E-2</v>
      </c>
      <c r="AA19" s="2">
        <f t="shared" si="2"/>
        <v>1.3467171856379467E-5</v>
      </c>
      <c r="AB19" s="2">
        <f t="shared" si="4"/>
        <v>3.871297595885614E-10</v>
      </c>
      <c r="AC19" s="2">
        <f t="shared" si="5"/>
        <v>-2.4400371142975893E-11</v>
      </c>
      <c r="AD19" s="2">
        <f t="shared" si="6"/>
        <v>3.0517578125E-5</v>
      </c>
      <c r="AF19" s="2">
        <v>15</v>
      </c>
      <c r="AG19" s="2">
        <f t="shared" si="13"/>
        <v>1707.794189453125</v>
      </c>
      <c r="AH19" s="2">
        <v>-1.5258401349187807</v>
      </c>
      <c r="AI19" s="2">
        <f t="shared" si="14"/>
        <v>1708.3740234375</v>
      </c>
      <c r="AJ19" s="2">
        <v>-0.76164545106780679</v>
      </c>
      <c r="AK19" s="2">
        <f t="shared" si="9"/>
        <v>1708.0841064453125</v>
      </c>
      <c r="AL19" s="2">
        <v>-0.76164545106780679</v>
      </c>
      <c r="AM19" s="2">
        <f t="shared" si="10"/>
        <v>1.162149197817578</v>
      </c>
      <c r="AN19" s="2">
        <f t="shared" si="11"/>
        <v>0.58010379313228289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8.5751418216732027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0.61077118580803158</v>
      </c>
      <c r="U20" s="2">
        <v>16</v>
      </c>
      <c r="V20" s="2">
        <f t="shared" si="7"/>
        <v>8.32672119140625E-2</v>
      </c>
      <c r="W20" s="2">
        <f t="shared" si="0"/>
        <v>1.3467171856379467E-5</v>
      </c>
      <c r="X20" s="2">
        <f t="shared" si="8"/>
        <v>8.3282470703125E-2</v>
      </c>
      <c r="Y20" s="2">
        <f t="shared" si="1"/>
        <v>-1.8118407786871238E-6</v>
      </c>
      <c r="Z20" s="2">
        <f t="shared" si="3"/>
        <v>8.327484130859375E-2</v>
      </c>
      <c r="AA20" s="2">
        <f t="shared" si="2"/>
        <v>5.8276659766903771E-6</v>
      </c>
      <c r="AB20" s="2">
        <f t="shared" si="4"/>
        <v>7.8482179229664805E-11</v>
      </c>
      <c r="AC20" s="2">
        <f t="shared" si="5"/>
        <v>-1.0558802861135151E-11</v>
      </c>
      <c r="AD20" s="2">
        <f t="shared" si="6"/>
        <v>1.52587890625E-5</v>
      </c>
      <c r="AF20" s="2">
        <v>16</v>
      </c>
      <c r="AG20" s="2">
        <f t="shared" si="13"/>
        <v>1708.0841064453125</v>
      </c>
      <c r="AH20" s="2">
        <v>-1.5258401349187807</v>
      </c>
      <c r="AI20" s="2">
        <f t="shared" si="14"/>
        <v>1708.0841064453125</v>
      </c>
      <c r="AJ20" s="2">
        <v>-1.1437422748454082</v>
      </c>
      <c r="AK20" s="2">
        <f t="shared" si="9"/>
        <v>1708.0841064453125</v>
      </c>
      <c r="AL20" s="2">
        <v>-0.76164545106780679</v>
      </c>
      <c r="AM20" s="2">
        <f t="shared" si="10"/>
        <v>1.162149197817578</v>
      </c>
      <c r="AN20" s="2">
        <f t="shared" si="11"/>
        <v>0.87112610082995046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0.12142444482464969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7.4557009738071851E-3</v>
      </c>
      <c r="U21" s="2">
        <v>17</v>
      </c>
      <c r="V21" s="2">
        <f t="shared" si="7"/>
        <v>8.327484130859375E-2</v>
      </c>
      <c r="W21" s="2">
        <f t="shared" si="0"/>
        <v>5.8276659766903771E-6</v>
      </c>
      <c r="X21" s="2">
        <f t="shared" si="8"/>
        <v>8.3282470703125E-2</v>
      </c>
      <c r="Y21" s="2">
        <f t="shared" si="1"/>
        <v>-1.8118407786871238E-6</v>
      </c>
      <c r="Z21" s="2">
        <f t="shared" si="3"/>
        <v>8.3278656005859375E-2</v>
      </c>
      <c r="AA21" s="2">
        <f t="shared" si="2"/>
        <v>2.007912708462678E-6</v>
      </c>
      <c r="AB21" s="2">
        <f t="shared" si="4"/>
        <v>1.1701444575272173E-11</v>
      </c>
      <c r="AC21" s="2">
        <f t="shared" si="5"/>
        <v>-3.6380181252367906E-12</v>
      </c>
      <c r="AD21" s="2">
        <f t="shared" si="6"/>
        <v>7.62939453125E-6</v>
      </c>
      <c r="AF21" s="2">
        <v>17</v>
      </c>
      <c r="AG21" s="2">
        <f t="shared" si="13"/>
        <v>1708.0841064453125</v>
      </c>
      <c r="AH21" s="2">
        <v>-1.5258401349187807</v>
      </c>
      <c r="AI21" s="2">
        <f t="shared" si="14"/>
        <v>1708.0841064453125</v>
      </c>
      <c r="AJ21" s="2">
        <v>-1.334789921739457</v>
      </c>
      <c r="AK21" s="2">
        <f t="shared" si="9"/>
        <v>1708.0841064453125</v>
      </c>
      <c r="AL21" s="2">
        <v>-0.76164545106780679</v>
      </c>
      <c r="AM21" s="2">
        <f t="shared" si="10"/>
        <v>1.162149197817578</v>
      </c>
      <c r="AN21" s="2">
        <f t="shared" si="11"/>
        <v>1.0166366720240112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200.81003114897243</v>
      </c>
      <c r="H22" s="25" t="s">
        <v>101</v>
      </c>
      <c r="J22" s="14" t="s">
        <v>112</v>
      </c>
      <c r="K22" s="6">
        <f>$C$55*(0.14*$G$12*1000/745.7)*0.453592</f>
        <v>12.041242790151129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8.3278656005859375E-2</v>
      </c>
      <c r="W22" s="2">
        <f t="shared" si="0"/>
        <v>2.007912708462678E-6</v>
      </c>
      <c r="X22" s="2">
        <f t="shared" si="8"/>
        <v>8.3282470703125E-2</v>
      </c>
      <c r="Y22" s="2">
        <f t="shared" si="1"/>
        <v>-1.8118407786871238E-6</v>
      </c>
      <c r="Z22" s="2">
        <f t="shared" si="3"/>
        <v>8.3280563354492188E-2</v>
      </c>
      <c r="AA22" s="2">
        <f t="shared" si="2"/>
        <v>9.8035992254774662E-8</v>
      </c>
      <c r="AB22" s="2">
        <f t="shared" si="4"/>
        <v>1.9684771473511071E-13</v>
      </c>
      <c r="AC22" s="2">
        <f t="shared" si="5"/>
        <v>-1.7762560854625576E-13</v>
      </c>
      <c r="AD22" s="2">
        <f t="shared" si="6"/>
        <v>3.814697265625E-6</v>
      </c>
      <c r="AF22" s="2">
        <v>18</v>
      </c>
      <c r="AG22" s="2">
        <f t="shared" si="13"/>
        <v>1708.0841064453125</v>
      </c>
      <c r="AH22" s="2">
        <v>-1.5258401349187807</v>
      </c>
      <c r="AI22" s="2">
        <f t="shared" si="14"/>
        <v>1708.0841064453125</v>
      </c>
      <c r="AJ22" s="2">
        <v>-1.4303147081518546</v>
      </c>
      <c r="AK22" s="2">
        <f t="shared" si="9"/>
        <v>1708.0841064453125</v>
      </c>
      <c r="AL22" s="2">
        <v>-0.76164545106780679</v>
      </c>
      <c r="AM22" s="2">
        <f t="shared" si="10"/>
        <v>1.162149197817578</v>
      </c>
      <c r="AN22" s="2">
        <f t="shared" si="11"/>
        <v>1.0893926910592377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36.627457046474582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11513.999176316333</v>
      </c>
      <c r="P23" s="6" t="s">
        <v>18</v>
      </c>
      <c r="U23" s="2">
        <v>19</v>
      </c>
      <c r="V23" s="2">
        <f t="shared" si="7"/>
        <v>8.3280563354492188E-2</v>
      </c>
      <c r="W23" s="2">
        <f t="shared" si="0"/>
        <v>9.8035992254774662E-8</v>
      </c>
      <c r="X23" s="2">
        <f t="shared" si="8"/>
        <v>8.3282470703125E-2</v>
      </c>
      <c r="Y23" s="2">
        <f t="shared" si="1"/>
        <v>-1.8118407786871238E-6</v>
      </c>
      <c r="Z23" s="2">
        <f t="shared" si="3"/>
        <v>8.3281517028808594E-2</v>
      </c>
      <c r="AA23" s="2">
        <f t="shared" si="2"/>
        <v>-8.5690238638136407E-7</v>
      </c>
      <c r="AB23" s="2">
        <f t="shared" si="4"/>
        <v>-8.4007275714381333E-14</v>
      </c>
      <c r="AC23" s="2">
        <f t="shared" si="5"/>
        <v>1.5525706870000654E-12</v>
      </c>
      <c r="AD23" s="2">
        <f t="shared" si="6"/>
        <v>1.9073486328125E-6</v>
      </c>
      <c r="AF23" s="2">
        <v>19</v>
      </c>
      <c r="AG23" s="2">
        <f t="shared" si="13"/>
        <v>1708.0841064453125</v>
      </c>
      <c r="AH23" s="2">
        <v>-1.5258401349187807</v>
      </c>
      <c r="AI23" s="2">
        <f t="shared" si="14"/>
        <v>1708.0841064453125</v>
      </c>
      <c r="AJ23" s="2">
        <v>-1.4780756049531192</v>
      </c>
      <c r="AK23" s="2">
        <f t="shared" si="9"/>
        <v>1708.0841064453125</v>
      </c>
      <c r="AL23" s="2">
        <v>-0.76164545106780679</v>
      </c>
      <c r="AM23" s="2">
        <f t="shared" si="10"/>
        <v>1.162149197817578</v>
      </c>
      <c r="AN23" s="2">
        <f t="shared" si="11"/>
        <v>1.1257695608468399</v>
      </c>
      <c r="AO23" s="2">
        <f t="shared" si="12"/>
        <v>0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7.0928292593322357</v>
      </c>
      <c r="L24" s="6" t="s">
        <v>7</v>
      </c>
      <c r="N24" s="6" t="s">
        <v>31</v>
      </c>
      <c r="O24" s="18">
        <f>Z34</f>
        <v>8.3280661609023809E-2</v>
      </c>
      <c r="U24" s="2">
        <v>20</v>
      </c>
      <c r="V24" s="2">
        <f t="shared" si="7"/>
        <v>8.3280563354492188E-2</v>
      </c>
      <c r="W24" s="2">
        <f t="shared" si="0"/>
        <v>9.8035992254774662E-8</v>
      </c>
      <c r="X24" s="2">
        <f t="shared" si="8"/>
        <v>8.3281517028808594E-2</v>
      </c>
      <c r="Y24" s="2">
        <f t="shared" si="1"/>
        <v>-8.5690238638136407E-7</v>
      </c>
      <c r="Z24" s="2">
        <f t="shared" si="3"/>
        <v>8.3281040191650391E-2</v>
      </c>
      <c r="AA24" s="2">
        <f t="shared" si="2"/>
        <v>-3.7943319534938791E-7</v>
      </c>
      <c r="AB24" s="2">
        <f t="shared" si="4"/>
        <v>-3.7198109800476997E-14</v>
      </c>
      <c r="AC24" s="2">
        <f t="shared" si="5"/>
        <v>3.251372105671968E-13</v>
      </c>
      <c r="AD24" s="2">
        <f t="shared" si="6"/>
        <v>9.5367431640625E-7</v>
      </c>
      <c r="AF24" s="2">
        <v>20</v>
      </c>
      <c r="AG24" s="2">
        <f t="shared" si="13"/>
        <v>1708.0841064453125</v>
      </c>
      <c r="AH24" s="2">
        <v>-1.5258401349187807</v>
      </c>
      <c r="AI24" s="2">
        <f t="shared" si="14"/>
        <v>1708.0841064453125</v>
      </c>
      <c r="AJ24" s="2">
        <v>-1.5019579946870181</v>
      </c>
      <c r="AK24" s="2">
        <f t="shared" si="9"/>
        <v>1708.0841064453125</v>
      </c>
      <c r="AL24" s="2">
        <v>-0.76164545106780679</v>
      </c>
      <c r="AM24" s="2">
        <f t="shared" si="10"/>
        <v>1.162149197817578</v>
      </c>
      <c r="AN24" s="2">
        <f t="shared" si="11"/>
        <v>1.1439594743482924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10.933569267604353</v>
      </c>
      <c r="L25" s="6" t="s">
        <v>7</v>
      </c>
      <c r="N25" s="6" t="s">
        <v>32</v>
      </c>
      <c r="O25" s="6">
        <f xml:space="preserve"> O19 * $C$9 * O24 - $C$8 * SIN(O17/180*PI())</f>
        <v>0.65870986580042334</v>
      </c>
      <c r="P25" s="6" t="s">
        <v>10</v>
      </c>
      <c r="U25" s="2">
        <v>21</v>
      </c>
      <c r="V25" s="2">
        <f t="shared" si="7"/>
        <v>8.3280563354492188E-2</v>
      </c>
      <c r="W25" s="2">
        <f t="shared" si="0"/>
        <v>9.8035992254774662E-8</v>
      </c>
      <c r="X25" s="2">
        <f t="shared" si="8"/>
        <v>8.3281040191650391E-2</v>
      </c>
      <c r="Y25" s="2">
        <f t="shared" si="1"/>
        <v>-3.7943319534938791E-7</v>
      </c>
      <c r="Z25" s="2">
        <f t="shared" si="3"/>
        <v>8.3280801773071289E-2</v>
      </c>
      <c r="AA25" s="2">
        <f t="shared" si="2"/>
        <v>-1.406986011170952E-7</v>
      </c>
      <c r="AB25" s="2">
        <f t="shared" si="4"/>
        <v>-1.3793526969373176E-14</v>
      </c>
      <c r="AC25" s="2">
        <f t="shared" si="5"/>
        <v>5.3385719803048393E-14</v>
      </c>
      <c r="AD25" s="2">
        <f t="shared" si="6"/>
        <v>4.76837158203125E-7</v>
      </c>
      <c r="AF25" s="2">
        <v>21</v>
      </c>
      <c r="AG25" s="2">
        <f t="shared" si="13"/>
        <v>1708.0841064453125</v>
      </c>
      <c r="AH25" s="2">
        <v>-1.5258401349187807</v>
      </c>
      <c r="AI25" s="2">
        <f t="shared" si="14"/>
        <v>1708.0841064453125</v>
      </c>
      <c r="AJ25" s="2">
        <v>-1.5138990959901548</v>
      </c>
      <c r="AK25" s="2">
        <f t="shared" si="9"/>
        <v>1708.0841064453125</v>
      </c>
      <c r="AL25" s="2">
        <v>-0.76164545106780679</v>
      </c>
      <c r="AM25" s="2">
        <f t="shared" si="10"/>
        <v>1.162149197817578</v>
      </c>
      <c r="AN25" s="2">
        <f t="shared" si="11"/>
        <v>1.1530543598365663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26.447776985094762</v>
      </c>
      <c r="L26" s="6" t="s">
        <v>7</v>
      </c>
      <c r="N26" s="6" t="s">
        <v>33</v>
      </c>
      <c r="O26" s="6">
        <f xml:space="preserve"> 1/$C$21 - O23 * SQRT( (2*$C$47*PI()*$C$9^2) / O18^3 )</f>
        <v>0.92297312511801366</v>
      </c>
      <c r="U26" s="2">
        <v>22</v>
      </c>
      <c r="V26" s="2">
        <f t="shared" si="7"/>
        <v>8.3280563354492188E-2</v>
      </c>
      <c r="W26" s="2">
        <f t="shared" si="0"/>
        <v>9.8035992254774662E-8</v>
      </c>
      <c r="X26" s="2">
        <f t="shared" si="8"/>
        <v>8.3280801773071289E-2</v>
      </c>
      <c r="Y26" s="2">
        <f t="shared" si="1"/>
        <v>-1.406986011170952E-7</v>
      </c>
      <c r="Z26" s="2">
        <f t="shared" si="3"/>
        <v>8.3280682563781738E-2</v>
      </c>
      <c r="AA26" s="2">
        <f t="shared" si="2"/>
        <v>-2.1331304334015755E-8</v>
      </c>
      <c r="AB26" s="2">
        <f t="shared" si="4"/>
        <v>-2.0912355864738095E-15</v>
      </c>
      <c r="AC26" s="2">
        <f t="shared" si="5"/>
        <v>3.0012846797990468E-15</v>
      </c>
      <c r="AD26" s="2">
        <f t="shared" si="6"/>
        <v>2.384185791015625E-7</v>
      </c>
      <c r="AF26" s="2">
        <v>22</v>
      </c>
      <c r="AG26" s="2">
        <f t="shared" si="13"/>
        <v>1708.0841064453125</v>
      </c>
      <c r="AH26" s="2">
        <v>-1.5258401349187807</v>
      </c>
      <c r="AI26" s="2">
        <f t="shared" si="14"/>
        <v>1708.0841064453125</v>
      </c>
      <c r="AJ26" s="2">
        <v>-1.5198696232512248</v>
      </c>
      <c r="AK26" s="2">
        <f t="shared" si="9"/>
        <v>1708.0841064453125</v>
      </c>
      <c r="AL26" s="2">
        <v>-0.76164545106780679</v>
      </c>
      <c r="AM26" s="2">
        <f t="shared" si="10"/>
        <v>1.162149197817578</v>
      </c>
      <c r="AN26" s="2">
        <f t="shared" si="11"/>
        <v>1.1576017847654367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2.3138272354117362E-5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8.3280563354492188E-2</v>
      </c>
      <c r="W27" s="2">
        <f t="shared" si="0"/>
        <v>9.8035992254774662E-8</v>
      </c>
      <c r="X27" s="2">
        <f t="shared" si="8"/>
        <v>8.3280682563781738E-2</v>
      </c>
      <c r="Y27" s="2">
        <f t="shared" si="1"/>
        <v>-2.1331304334015755E-8</v>
      </c>
      <c r="Z27" s="2">
        <f t="shared" si="3"/>
        <v>8.3280622959136963E-2</v>
      </c>
      <c r="AA27" s="2">
        <f t="shared" si="2"/>
        <v>3.8352343995073923E-8</v>
      </c>
      <c r="AB27" s="2">
        <f t="shared" si="4"/>
        <v>3.7599100988535208E-15</v>
      </c>
      <c r="AC27" s="2">
        <f t="shared" si="5"/>
        <v>-8.1810552168178352E-16</v>
      </c>
      <c r="AD27" s="2">
        <f t="shared" si="6"/>
        <v>1.1920928955078125E-7</v>
      </c>
      <c r="AF27" s="2">
        <v>23</v>
      </c>
      <c r="AG27" s="2">
        <f t="shared" si="13"/>
        <v>1708.0841064453125</v>
      </c>
      <c r="AH27" s="2">
        <v>-1.5258401349187807</v>
      </c>
      <c r="AI27" s="2">
        <f t="shared" si="14"/>
        <v>1708.0841064453125</v>
      </c>
      <c r="AJ27" s="2">
        <v>-1.5228548810348457</v>
      </c>
      <c r="AK27" s="2">
        <f t="shared" si="9"/>
        <v>1708.0841064453125</v>
      </c>
      <c r="AL27" s="2">
        <v>-0.76164545106780679</v>
      </c>
      <c r="AM27" s="2">
        <f t="shared" si="10"/>
        <v>1.162149197817578</v>
      </c>
      <c r="AN27" s="2">
        <f t="shared" si="11"/>
        <v>1.1598754927765962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4186.1438624191269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1.1500367065891741</v>
      </c>
      <c r="U28" s="2">
        <v>24</v>
      </c>
      <c r="V28" s="2">
        <f t="shared" si="7"/>
        <v>8.3280622959136963E-2</v>
      </c>
      <c r="W28" s="2">
        <f t="shared" si="0"/>
        <v>3.8352343995073923E-8</v>
      </c>
      <c r="X28" s="2">
        <f t="shared" si="8"/>
        <v>8.3280682563781738E-2</v>
      </c>
      <c r="Y28" s="2">
        <f t="shared" si="1"/>
        <v>-2.1331304334015755E-8</v>
      </c>
      <c r="Z28" s="2">
        <f t="shared" si="3"/>
        <v>8.3280652761459351E-2</v>
      </c>
      <c r="AA28" s="2">
        <f t="shared" si="2"/>
        <v>8.5105198444068719E-9</v>
      </c>
      <c r="AB28" s="2">
        <f t="shared" si="4"/>
        <v>3.2639838464959537E-16</v>
      </c>
      <c r="AC28" s="2">
        <f t="shared" si="5"/>
        <v>-1.8154048884172339E-16</v>
      </c>
      <c r="AD28" s="2">
        <f t="shared" si="6"/>
        <v>5.9604644775390625E-8</v>
      </c>
      <c r="AF28" s="2">
        <v>24</v>
      </c>
      <c r="AG28" s="2">
        <f t="shared" si="13"/>
        <v>1708.0841064453125</v>
      </c>
      <c r="AH28" s="2">
        <v>-1.5258401349187807</v>
      </c>
      <c r="AI28" s="2">
        <f t="shared" si="14"/>
        <v>1708.0841064453125</v>
      </c>
      <c r="AJ28" s="2">
        <v>-1.524345193073259</v>
      </c>
      <c r="AK28" s="2">
        <f t="shared" si="9"/>
        <v>1708.0841064453125</v>
      </c>
      <c r="AL28" s="2">
        <v>-0.76164545106780679</v>
      </c>
      <c r="AM28" s="2">
        <f t="shared" si="10"/>
        <v>1.162149197817578</v>
      </c>
      <c r="AN28" s="2">
        <f t="shared" si="11"/>
        <v>1.1610105821613255</v>
      </c>
      <c r="AO28" s="2">
        <f t="shared" si="12"/>
        <v>0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36.414695225162923</v>
      </c>
      <c r="H29" t="s">
        <v>18</v>
      </c>
      <c r="U29" s="2">
        <v>25</v>
      </c>
      <c r="V29" s="2">
        <f t="shared" si="7"/>
        <v>8.3280652761459351E-2</v>
      </c>
      <c r="W29" s="2">
        <f t="shared" si="0"/>
        <v>8.5105198444068719E-9</v>
      </c>
      <c r="X29" s="2">
        <f t="shared" si="8"/>
        <v>8.3280682563781738E-2</v>
      </c>
      <c r="Y29" s="2">
        <f t="shared" si="1"/>
        <v>-2.1331304334015755E-8</v>
      </c>
      <c r="Z29" s="2">
        <f t="shared" si="3"/>
        <v>8.3280667662620544E-2</v>
      </c>
      <c r="AA29" s="2">
        <f t="shared" si="2"/>
        <v>-6.4103922448044415E-9</v>
      </c>
      <c r="AB29" s="2">
        <f t="shared" si="4"/>
        <v>-5.4555770409840114E-17</v>
      </c>
      <c r="AC29" s="2">
        <f t="shared" si="5"/>
        <v>1.3674202787433798E-16</v>
      </c>
      <c r="AD29" s="2">
        <f t="shared" si="6"/>
        <v>2.9802322387695312E-8</v>
      </c>
      <c r="AF29" s="2">
        <v>25</v>
      </c>
      <c r="AG29" s="2">
        <f t="shared" si="13"/>
        <v>1708.0841064453125</v>
      </c>
      <c r="AH29" s="2">
        <v>-1.5258401349187807</v>
      </c>
      <c r="AI29" s="2">
        <f t="shared" si="14"/>
        <v>1708.0841064453125</v>
      </c>
      <c r="AJ29" s="2">
        <v>-1.5250903487292362</v>
      </c>
      <c r="AK29" s="2">
        <f t="shared" si="9"/>
        <v>1708.0841064453125</v>
      </c>
      <c r="AL29" s="2">
        <v>-0.76164545106780679</v>
      </c>
      <c r="AM29" s="2">
        <f t="shared" si="10"/>
        <v>1.162149197817578</v>
      </c>
      <c r="AN29" s="2">
        <f t="shared" si="11"/>
        <v>1.161578126577038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11.728576797772281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8.3280652761459351E-2</v>
      </c>
      <c r="W30" s="2">
        <f t="shared" si="0"/>
        <v>8.5105198444068719E-9</v>
      </c>
      <c r="X30" s="2">
        <f t="shared" si="8"/>
        <v>8.3280667662620544E-2</v>
      </c>
      <c r="Y30" s="2">
        <f t="shared" si="1"/>
        <v>-6.4103922448044415E-9</v>
      </c>
      <c r="Z30" s="2">
        <f t="shared" si="3"/>
        <v>8.3280660212039948E-2</v>
      </c>
      <c r="AA30" s="2">
        <f t="shared" si="2"/>
        <v>1.0500637998012152E-9</v>
      </c>
      <c r="AB30" s="2">
        <f t="shared" si="4"/>
        <v>8.9365888061015269E-18</v>
      </c>
      <c r="AC30" s="2">
        <f t="shared" si="5"/>
        <v>-6.7313208387955941E-18</v>
      </c>
      <c r="AD30" s="2">
        <f t="shared" si="6"/>
        <v>1.4901161193847656E-8</v>
      </c>
      <c r="AF30" s="2">
        <v>26</v>
      </c>
      <c r="AG30" s="2">
        <f t="shared" si="13"/>
        <v>1708.0841064453125</v>
      </c>
      <c r="AH30" s="2">
        <v>-1.5258401349187807</v>
      </c>
      <c r="AI30" s="2">
        <f t="shared" si="14"/>
        <v>1708.0841064453125</v>
      </c>
      <c r="AJ30" s="2">
        <v>-1.525462926466389</v>
      </c>
      <c r="AK30" s="2">
        <f t="shared" si="9"/>
        <v>1708.0841064453125</v>
      </c>
      <c r="AL30" s="2">
        <v>-0.76164545106780679</v>
      </c>
      <c r="AM30" s="2">
        <f t="shared" si="10"/>
        <v>1.162149197817578</v>
      </c>
      <c r="AN30" s="2">
        <f t="shared" si="11"/>
        <v>1.1618618987157094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145.65878090065169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8.3280660212039948E-2</v>
      </c>
      <c r="W31" s="2">
        <f t="shared" si="0"/>
        <v>1.0500637998012152E-9</v>
      </c>
      <c r="X31" s="2">
        <f t="shared" si="8"/>
        <v>8.3280667662620544E-2</v>
      </c>
      <c r="Y31" s="2">
        <f t="shared" si="1"/>
        <v>-6.4103922448044415E-9</v>
      </c>
      <c r="Z31" s="2">
        <f t="shared" si="3"/>
        <v>8.3280663937330246E-2</v>
      </c>
      <c r="AA31" s="2">
        <f t="shared" si="2"/>
        <v>-2.680164229440507E-9</v>
      </c>
      <c r="AB31" s="2">
        <f t="shared" si="4"/>
        <v>-2.8143434348575948E-18</v>
      </c>
      <c r="AC31" s="2">
        <f t="shared" si="5"/>
        <v>1.7180903991207697E-17</v>
      </c>
      <c r="AD31" s="2">
        <f t="shared" si="6"/>
        <v>7.4505805969238281E-9</v>
      </c>
      <c r="AF31" s="2">
        <v>27</v>
      </c>
      <c r="AG31" s="2">
        <f t="shared" si="13"/>
        <v>1708.0841064453125</v>
      </c>
      <c r="AH31" s="2">
        <v>-1.5258401349187807</v>
      </c>
      <c r="AI31" s="2">
        <f t="shared" si="14"/>
        <v>1708.0841064453125</v>
      </c>
      <c r="AJ31" s="2">
        <v>-1.5256515307005429</v>
      </c>
      <c r="AK31" s="2">
        <f t="shared" si="9"/>
        <v>1708.0841064453125</v>
      </c>
      <c r="AL31" s="2">
        <v>-0.76164545106780679</v>
      </c>
      <c r="AM31" s="2">
        <f t="shared" si="10"/>
        <v>1.162149197817578</v>
      </c>
      <c r="AN31" s="2">
        <f t="shared" si="11"/>
        <v>1.162005548272705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431.13</v>
      </c>
      <c r="L32" s="6" t="s">
        <v>7</v>
      </c>
      <c r="U32" s="2">
        <v>28</v>
      </c>
      <c r="V32" s="2">
        <f t="shared" si="7"/>
        <v>8.3280660212039948E-2</v>
      </c>
      <c r="W32" s="2">
        <f t="shared" si="0"/>
        <v>1.0500637998012152E-9</v>
      </c>
      <c r="X32" s="2">
        <f t="shared" si="8"/>
        <v>8.3280663937330246E-2</v>
      </c>
      <c r="Y32" s="2">
        <f t="shared" si="1"/>
        <v>-2.680164229440507E-9</v>
      </c>
      <c r="Z32" s="2">
        <f t="shared" si="3"/>
        <v>8.3280662074685097E-2</v>
      </c>
      <c r="AA32" s="2">
        <f t="shared" si="2"/>
        <v>-8.15050207880752E-10</v>
      </c>
      <c r="AB32" s="2">
        <f t="shared" si="4"/>
        <v>-8.5585471831603282E-19</v>
      </c>
      <c r="AC32" s="2">
        <f t="shared" si="5"/>
        <v>2.1844684123600407E-18</v>
      </c>
      <c r="AD32" s="2">
        <f t="shared" si="6"/>
        <v>3.7252902984619141E-9</v>
      </c>
      <c r="AF32" s="2">
        <v>28</v>
      </c>
      <c r="AG32" s="2">
        <f t="shared" si="13"/>
        <v>1708.0841064453125</v>
      </c>
      <c r="AH32" s="2">
        <v>-1.5258401349187807</v>
      </c>
      <c r="AI32" s="2">
        <f t="shared" si="14"/>
        <v>1708.0841064453125</v>
      </c>
      <c r="AJ32" s="2">
        <v>-1.5257458328119355</v>
      </c>
      <c r="AK32" s="2">
        <f t="shared" si="9"/>
        <v>1708.0841064453125</v>
      </c>
      <c r="AL32" s="2">
        <v>-0.76164545106780679</v>
      </c>
      <c r="AM32" s="2">
        <f t="shared" si="10"/>
        <v>1.162149197817578</v>
      </c>
      <c r="AN32" s="2">
        <f t="shared" si="11"/>
        <v>1.1620773730468732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437.87</v>
      </c>
      <c r="L33" s="6" t="s">
        <v>7</v>
      </c>
      <c r="U33" s="2">
        <v>29</v>
      </c>
      <c r="V33" s="2">
        <f t="shared" si="7"/>
        <v>8.3280660212039948E-2</v>
      </c>
      <c r="W33" s="2">
        <f t="shared" si="0"/>
        <v>1.0500637998012152E-9</v>
      </c>
      <c r="X33" s="2">
        <f t="shared" si="8"/>
        <v>8.3280662074685097E-2</v>
      </c>
      <c r="Y33" s="2">
        <f t="shared" si="1"/>
        <v>-8.15050207880752E-10</v>
      </c>
      <c r="Z33" s="2">
        <f t="shared" si="3"/>
        <v>8.3280661143362522E-2</v>
      </c>
      <c r="AA33" s="2">
        <f t="shared" si="2"/>
        <v>1.1750679596023161E-10</v>
      </c>
      <c r="AB33" s="2">
        <f t="shared" si="4"/>
        <v>1.233896326684669E-19</v>
      </c>
      <c r="AC33" s="2">
        <f t="shared" si="5"/>
        <v>-9.5773938474787886E-20</v>
      </c>
      <c r="AD33" s="2">
        <f t="shared" si="6"/>
        <v>1.862645149230957E-9</v>
      </c>
      <c r="AF33" s="2">
        <v>29</v>
      </c>
      <c r="AG33" s="2">
        <f t="shared" si="13"/>
        <v>1708.0841064453125</v>
      </c>
      <c r="AH33" s="2">
        <v>-1.5258401349187807</v>
      </c>
      <c r="AI33" s="2">
        <f t="shared" si="14"/>
        <v>1708.0841064453125</v>
      </c>
      <c r="AJ33" s="2">
        <v>-1.5257906684780664</v>
      </c>
      <c r="AK33" s="2">
        <f t="shared" si="9"/>
        <v>1708.0841064453125</v>
      </c>
      <c r="AL33" s="2">
        <v>-0.76164545106780679</v>
      </c>
      <c r="AM33" s="2">
        <f t="shared" si="10"/>
        <v>1.162149197817578</v>
      </c>
      <c r="AN33" s="2">
        <f t="shared" si="11"/>
        <v>1.1621115219280274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158.26</v>
      </c>
      <c r="L34" s="6" t="s">
        <v>7</v>
      </c>
      <c r="U34" s="2">
        <v>30</v>
      </c>
      <c r="V34" s="2">
        <f t="shared" si="7"/>
        <v>8.3280661143362522E-2</v>
      </c>
      <c r="W34" s="2">
        <f t="shared" si="0"/>
        <v>1.1750679596023161E-10</v>
      </c>
      <c r="X34" s="2">
        <f t="shared" si="8"/>
        <v>8.3280662074685097E-2</v>
      </c>
      <c r="Y34" s="2">
        <f t="shared" si="1"/>
        <v>-8.15050207880752E-10</v>
      </c>
      <c r="Z34" s="2">
        <f t="shared" si="3"/>
        <v>8.3280661609023809E-2</v>
      </c>
      <c r="AA34" s="2">
        <f t="shared" si="2"/>
        <v>-3.4877170596026019E-10</v>
      </c>
      <c r="AB34" s="2">
        <f t="shared" si="4"/>
        <v>-4.0983045688974191E-20</v>
      </c>
      <c r="AC34" s="2">
        <f t="shared" si="5"/>
        <v>2.8426645144583458E-19</v>
      </c>
      <c r="AD34" s="2">
        <f>X34-V34</f>
        <v>9.3132257461547852E-10</v>
      </c>
      <c r="AF34" s="2">
        <v>30</v>
      </c>
      <c r="AG34" s="2">
        <f t="shared" si="13"/>
        <v>1708.0841064453125</v>
      </c>
      <c r="AH34" s="2">
        <v>-1.5258401349187807</v>
      </c>
      <c r="AI34" s="2">
        <f t="shared" si="14"/>
        <v>1708.0841064453125</v>
      </c>
      <c r="AJ34" s="2">
        <v>-1.5258130863107908</v>
      </c>
      <c r="AK34" s="2">
        <f t="shared" si="9"/>
        <v>1708.0841064453125</v>
      </c>
      <c r="AL34" s="2">
        <v>-0.76164545106780679</v>
      </c>
      <c r="AM34" s="2">
        <f t="shared" si="10"/>
        <v>1.162149197817578</v>
      </c>
      <c r="AN34" s="2">
        <f t="shared" si="11"/>
        <v>1.1621285963683448</v>
      </c>
      <c r="AO34" s="2">
        <f t="shared" si="12"/>
        <v>0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200.81003114897243</v>
      </c>
      <c r="H35" s="25" t="s">
        <v>101</v>
      </c>
      <c r="J35" s="15" t="s">
        <v>70</v>
      </c>
      <c r="K35" s="6">
        <f>ROUND(SUM(K23:K26),2)</f>
        <v>81.099999999999994</v>
      </c>
      <c r="L35" s="6" t="s">
        <v>7</v>
      </c>
      <c r="AF35" s="2">
        <v>31</v>
      </c>
      <c r="AG35" s="2">
        <f t="shared" si="13"/>
        <v>1708.0841064453125</v>
      </c>
      <c r="AH35" s="2">
        <v>-1.5258401349187807</v>
      </c>
      <c r="AI35" s="2">
        <f t="shared" si="14"/>
        <v>1708.0841064453125</v>
      </c>
      <c r="AJ35" s="2">
        <v>-1.5258266106150131</v>
      </c>
      <c r="AK35" s="2">
        <f t="shared" si="9"/>
        <v>1708.0841064453125</v>
      </c>
      <c r="AL35" s="2">
        <v>-0.76164545106780679</v>
      </c>
      <c r="AM35" s="2">
        <f t="shared" si="10"/>
        <v>1.162149197817578</v>
      </c>
      <c r="AN35" s="2">
        <f t="shared" si="11"/>
        <v>1.1621388970931346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1708.36</v>
      </c>
      <c r="L36" s="6" t="s">
        <v>7</v>
      </c>
      <c r="AF36" s="2">
        <v>32</v>
      </c>
      <c r="AG36" s="2">
        <f t="shared" si="13"/>
        <v>1708.0841064453125</v>
      </c>
      <c r="AH36" s="2">
        <v>-1.5258401349187807</v>
      </c>
      <c r="AI36" s="2">
        <f t="shared" si="14"/>
        <v>1708.0841064453125</v>
      </c>
      <c r="AJ36" s="2">
        <v>-1.5258310573792642</v>
      </c>
      <c r="AK36" s="2">
        <f t="shared" si="9"/>
        <v>1708.0841064453125</v>
      </c>
      <c r="AL36" s="2">
        <v>-0.76164545106780679</v>
      </c>
      <c r="AM36" s="2">
        <f t="shared" si="10"/>
        <v>1.162149197817578</v>
      </c>
      <c r="AN36" s="2">
        <f t="shared" si="11"/>
        <v>1.1621422839508981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1708.0841064453125</v>
      </c>
      <c r="AH37" s="2">
        <v>-1.5258401349187807</v>
      </c>
      <c r="AI37" s="2">
        <f t="shared" si="14"/>
        <v>1708.0841064453125</v>
      </c>
      <c r="AJ37" s="2">
        <v>-1.5258332807609349</v>
      </c>
      <c r="AK37" s="2">
        <f t="shared" si="9"/>
        <v>1708.0841064453125</v>
      </c>
      <c r="AL37" s="2">
        <v>-0.76164545106780679</v>
      </c>
      <c r="AM37" s="2">
        <f t="shared" si="10"/>
        <v>1.162149197817578</v>
      </c>
      <c r="AN37" s="2">
        <f t="shared" si="11"/>
        <v>1.1621439773794338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1708.0841064453125</v>
      </c>
      <c r="AH38" s="2">
        <v>-1.5258401349187807</v>
      </c>
      <c r="AI38" s="2">
        <f t="shared" si="14"/>
        <v>1708.0841064453125</v>
      </c>
      <c r="AJ38" s="2">
        <v>-1.5258390232279453</v>
      </c>
      <c r="AK38" s="2">
        <f t="shared" si="9"/>
        <v>1708.0841064453125</v>
      </c>
      <c r="AL38" s="2">
        <v>-0.76164545106780679</v>
      </c>
      <c r="AM38" s="2">
        <f t="shared" si="10"/>
        <v>1.162149197817578</v>
      </c>
      <c r="AN38" s="2">
        <f t="shared" si="11"/>
        <v>1.1621483511033102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35.119999999999997</v>
      </c>
      <c r="L39" s="6" t="s">
        <v>58</v>
      </c>
      <c r="AF39" s="2">
        <v>35</v>
      </c>
      <c r="AG39" s="2">
        <f t="shared" si="13"/>
        <v>1708.0841064453125</v>
      </c>
      <c r="AH39" s="2">
        <v>-1.5258401349187807</v>
      </c>
      <c r="AI39" s="2">
        <f t="shared" si="14"/>
        <v>1708.0841064453125</v>
      </c>
      <c r="AJ39" s="2">
        <v>-1.5258395790724535</v>
      </c>
      <c r="AK39" s="2">
        <f t="shared" si="9"/>
        <v>1708.0841064453125</v>
      </c>
      <c r="AL39" s="2">
        <v>-0.76164545106780679</v>
      </c>
      <c r="AM39" s="2">
        <f t="shared" si="10"/>
        <v>1.162149197817578</v>
      </c>
      <c r="AN39" s="2">
        <f t="shared" si="11"/>
        <v>1.1621487744597512</v>
      </c>
      <c r="AO39" s="2">
        <f t="shared" si="12"/>
        <v>0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25.24</v>
      </c>
      <c r="L40" s="6" t="s">
        <v>58</v>
      </c>
      <c r="AF40" s="2">
        <v>36</v>
      </c>
      <c r="AG40" s="2">
        <f t="shared" si="13"/>
        <v>1708.0841064453125</v>
      </c>
      <c r="AH40" s="2">
        <v>-1.5258401349187807</v>
      </c>
      <c r="AI40" s="2">
        <f t="shared" si="14"/>
        <v>1708.0841064453125</v>
      </c>
      <c r="AJ40" s="2">
        <v>-1.525839856996754</v>
      </c>
      <c r="AK40" s="2">
        <f t="shared" si="9"/>
        <v>1708.0841064453125</v>
      </c>
      <c r="AL40" s="2">
        <v>-0.76164545106780679</v>
      </c>
      <c r="AM40" s="2">
        <f t="shared" si="10"/>
        <v>1.162149197817578</v>
      </c>
      <c r="AN40" s="2">
        <f t="shared" si="11"/>
        <v>1.1621489861395304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25.63</v>
      </c>
      <c r="L41" s="6" t="s">
        <v>58</v>
      </c>
      <c r="AF41" s="2">
        <v>37</v>
      </c>
      <c r="AG41" s="2">
        <f t="shared" si="13"/>
        <v>1708.0841064453125</v>
      </c>
      <c r="AH41" s="2">
        <v>-1.5258401349187807</v>
      </c>
      <c r="AI41" s="2">
        <f t="shared" si="14"/>
        <v>1708.0841064453125</v>
      </c>
      <c r="AJ41" s="2">
        <v>-1.5258399959573126</v>
      </c>
      <c r="AK41" s="2">
        <f t="shared" si="9"/>
        <v>1708.0841064453125</v>
      </c>
      <c r="AL41" s="2">
        <v>-0.76164545106780679</v>
      </c>
      <c r="AM41" s="2">
        <f t="shared" si="10"/>
        <v>1.162149197817578</v>
      </c>
      <c r="AN41" s="2">
        <f t="shared" si="11"/>
        <v>1.1621490919782078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9.26</v>
      </c>
      <c r="L42" s="6" t="s">
        <v>58</v>
      </c>
      <c r="AF42" s="2">
        <v>38</v>
      </c>
      <c r="AG42" s="2">
        <f t="shared" si="13"/>
        <v>1708.0841064453125</v>
      </c>
      <c r="AH42" s="2">
        <v>-1.5258401349187807</v>
      </c>
      <c r="AI42" s="2">
        <f t="shared" si="14"/>
        <v>1708.0841064453125</v>
      </c>
      <c r="AJ42" s="2">
        <v>-1.5258400654383877</v>
      </c>
      <c r="AK42" s="2">
        <f t="shared" si="9"/>
        <v>1708.0841064453125</v>
      </c>
      <c r="AL42" s="2">
        <v>-0.76164545106780679</v>
      </c>
      <c r="AM42" s="2">
        <f t="shared" si="10"/>
        <v>1.162149197817578</v>
      </c>
      <c r="AN42" s="2">
        <f t="shared" si="11"/>
        <v>1.1621491448981527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1708.0841064453125</v>
      </c>
      <c r="AH43" s="2">
        <v>-1.5258401349187807</v>
      </c>
      <c r="AI43" s="2">
        <f t="shared" si="14"/>
        <v>1708.0841064453125</v>
      </c>
      <c r="AJ43" s="2">
        <v>-1.5258401001785842</v>
      </c>
      <c r="AK43" s="2">
        <f t="shared" si="9"/>
        <v>1708.0841064453125</v>
      </c>
      <c r="AL43" s="2">
        <v>-0.76164545106780679</v>
      </c>
      <c r="AM43" s="2">
        <f t="shared" si="10"/>
        <v>1.162149197817578</v>
      </c>
      <c r="AN43" s="2">
        <f t="shared" si="11"/>
        <v>1.1621491713578653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1708.0841064453125</v>
      </c>
      <c r="AH44" s="2">
        <v>-1.5258401349187807</v>
      </c>
      <c r="AI44" s="2">
        <f t="shared" si="14"/>
        <v>1708.0841064453125</v>
      </c>
      <c r="AJ44" s="2">
        <v>-1.5258401175485687</v>
      </c>
      <c r="AK44" s="5">
        <f>(AG44+AI44)/2</f>
        <v>1708.0841064453125</v>
      </c>
      <c r="AL44" s="2">
        <v>-0.76164545106780679</v>
      </c>
      <c r="AM44" s="2">
        <f t="shared" si="10"/>
        <v>1.162149197817578</v>
      </c>
      <c r="AN44" s="2">
        <f t="shared" si="11"/>
        <v>1.1621491845876351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1406.5079243544278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35.119999999999997</v>
      </c>
      <c r="L47" s="6" t="s">
        <v>58</v>
      </c>
      <c r="N47" s="6" t="s">
        <v>154</v>
      </c>
      <c r="O47" s="6">
        <f>0.377*O46^0.6945</f>
        <v>57.906337406390136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25.24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39.64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8" sqref="C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289.60328551163548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8.7124937081982712E-2</v>
      </c>
      <c r="X4" s="3">
        <v>1</v>
      </c>
      <c r="Y4" s="2">
        <f t="shared" ref="Y4:Y34" si="1" xml:space="preserve"> $O$20 * TAN($O$17/180*PI()) + $O$21 / (2 * SQRT($O$20^2 + X4^2)) - X4</f>
        <v>-0.9162217390999009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-0.41445295303399143</v>
      </c>
      <c r="AB4" s="2">
        <f>W4*AA4</f>
        <v>-3.6109187456528441E-2</v>
      </c>
      <c r="AC4" s="2">
        <f>Y4*AA4</f>
        <v>0.3797308054038932</v>
      </c>
      <c r="AD4" s="2">
        <f>X4-V4</f>
        <v>1</v>
      </c>
      <c r="AF4" s="2">
        <v>0</v>
      </c>
      <c r="AG4" s="2"/>
      <c r="AH4" s="2">
        <f>K27</f>
        <v>1.0286954634466383E-3</v>
      </c>
      <c r="AI4" s="2"/>
      <c r="AJ4" s="2">
        <f>K27</f>
        <v>1.0286954634466383E-3</v>
      </c>
      <c r="AK4" s="2"/>
      <c r="AL4" s="2">
        <f>K27</f>
        <v>1.0286954634466383E-3</v>
      </c>
      <c r="AM4" s="2"/>
      <c r="AN4" s="2"/>
      <c r="AO4" s="2"/>
    </row>
    <row r="5" spans="2:41" x14ac:dyDescent="0.2">
      <c r="B5" s="10" t="s">
        <v>37</v>
      </c>
      <c r="C5" s="10">
        <v>1638.31269643115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72.400821377908869</v>
      </c>
      <c r="L5" s="6" t="s">
        <v>101</v>
      </c>
      <c r="N5" s="6" t="s">
        <v>114</v>
      </c>
      <c r="O5" s="6">
        <f xml:space="preserve"> $C$18 * 0.85 * ($C$5/$C$18 *2.20462/1000)^(2/3) * 0.3048^2</f>
        <v>0.29509093926560231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8.7124937081982712E-2</v>
      </c>
      <c r="X5" s="2">
        <f>IF(AC4&gt;0, Z4, X4)</f>
        <v>0.5</v>
      </c>
      <c r="Y5" s="2">
        <f t="shared" si="1"/>
        <v>-0.41445295303399143</v>
      </c>
      <c r="Z5" s="2">
        <f t="shared" ref="Z5:Z34" si="3" xml:space="preserve"> (V5 + X5)/2</f>
        <v>0.25</v>
      </c>
      <c r="AA5" s="2">
        <f t="shared" si="2"/>
        <v>-0.16339410760867412</v>
      </c>
      <c r="AB5" s="2">
        <f t="shared" ref="AB5:AB34" si="4">W5*AA5</f>
        <v>-1.4235701344972446E-2</v>
      </c>
      <c r="AC5" s="2">
        <f t="shared" ref="AC5:AC34" si="5">Y5*AA5</f>
        <v>6.7719170406768753E-2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-742.45037584383942</v>
      </c>
      <c r="AI5" s="3">
        <v>10000</v>
      </c>
      <c r="AJ5" s="2">
        <f t="dataTable" ref="AJ5:AJ44" dt2D="0" dtr="0" r1="C5"/>
        <v>3928.4679756595433</v>
      </c>
      <c r="AK5" s="2">
        <f>(AG5+AI5)/2</f>
        <v>5250</v>
      </c>
      <c r="AL5" s="2">
        <f t="dataTable" ref="AL5:AL44" dt2D="0" dtr="0" r1="C5" ca="1"/>
        <v>2003.134136577431</v>
      </c>
      <c r="AM5" s="2">
        <f>AH5*AL5</f>
        <v>-1487227.6925675385</v>
      </c>
      <c r="AN5" s="2">
        <f>AJ5*AL5</f>
        <v>7869248.3064948674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8.7124937081982712E-2</v>
      </c>
      <c r="X6" s="2">
        <f t="shared" ref="X6:X34" si="8">IF(AC5&gt;0, Z5, X5)</f>
        <v>0.25</v>
      </c>
      <c r="Y6" s="2">
        <f t="shared" si="1"/>
        <v>-0.16339410760867412</v>
      </c>
      <c r="Z6" s="2">
        <f t="shared" si="3"/>
        <v>0.125</v>
      </c>
      <c r="AA6" s="2">
        <f t="shared" si="2"/>
        <v>-3.8016408453936876E-2</v>
      </c>
      <c r="AB6" s="2">
        <f t="shared" si="4"/>
        <v>-3.3121771946322061E-3</v>
      </c>
      <c r="AC6" s="2">
        <f t="shared" si="5"/>
        <v>6.2116571338178706E-3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-742.45037584383942</v>
      </c>
      <c r="AI6" s="2">
        <f>IF(AN5&gt;0, AK5, AI5)</f>
        <v>5250</v>
      </c>
      <c r="AJ6" s="2">
        <v>2003.134136577431</v>
      </c>
      <c r="AK6" s="2">
        <f t="shared" ref="AK6:AK43" si="9">(AG6+AI6)/2</f>
        <v>2875</v>
      </c>
      <c r="AL6" s="2">
        <v>741.81219598333655</v>
      </c>
      <c r="AM6" s="2">
        <f t="shared" ref="AM6:AM44" si="10">AH6*AL6</f>
        <v>-550758.74371337204</v>
      </c>
      <c r="AN6" s="2">
        <f t="shared" ref="AN6:AN44" si="11">AJ6*AL6</f>
        <v>1485949.3327036889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291.36597928081801</v>
      </c>
      <c r="D7" s="6" t="s">
        <v>125</v>
      </c>
      <c r="F7" t="s">
        <v>121</v>
      </c>
      <c r="G7" s="8">
        <f>$C$6*2*PI()/60*$C$9</f>
        <v>148.89540204917338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0.9253675626006983</v>
      </c>
      <c r="P7" s="6" t="s">
        <v>115</v>
      </c>
      <c r="U7" s="2">
        <v>3</v>
      </c>
      <c r="V7" s="2">
        <f t="shared" si="7"/>
        <v>0</v>
      </c>
      <c r="W7" s="2">
        <f t="shared" si="0"/>
        <v>8.7124937081982712E-2</v>
      </c>
      <c r="X7" s="2">
        <f t="shared" si="8"/>
        <v>0.125</v>
      </c>
      <c r="Y7" s="2">
        <f t="shared" si="1"/>
        <v>-3.8016408453936876E-2</v>
      </c>
      <c r="Z7" s="2">
        <f t="shared" si="3"/>
        <v>6.25E-2</v>
      </c>
      <c r="AA7" s="2">
        <f t="shared" si="2"/>
        <v>2.458878421053276E-2</v>
      </c>
      <c r="AB7" s="2">
        <f t="shared" si="4"/>
        <v>2.1422962772651168E-3</v>
      </c>
      <c r="AC7" s="2">
        <f t="shared" si="5"/>
        <v>-9.3477726393332715E-4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-742.45037584383942</v>
      </c>
      <c r="AI7" s="2">
        <f t="shared" ref="AI7:AI44" si="14">IF(AN6&gt;0, AK6, AI6)</f>
        <v>2875</v>
      </c>
      <c r="AJ7" s="2">
        <v>741.81219598333655</v>
      </c>
      <c r="AK7" s="2">
        <f t="shared" si="9"/>
        <v>1687.5</v>
      </c>
      <c r="AL7" s="2">
        <v>32.491564061493136</v>
      </c>
      <c r="AM7" s="2">
        <f t="shared" si="10"/>
        <v>-24123.373949209767</v>
      </c>
      <c r="AN7" s="2">
        <f t="shared" si="11"/>
        <v>24102.638487389482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0.44590549975346078</v>
      </c>
      <c r="H8" s="6" t="s">
        <v>122</v>
      </c>
      <c r="J8" s="6" t="s">
        <v>96</v>
      </c>
      <c r="K8" s="6">
        <f xml:space="preserve"> $C$15 * (G12*G6 + G22*G15 + G31*G27 +G35*G34)/3600</f>
        <v>155.84421567678268</v>
      </c>
      <c r="L8" s="6" t="s">
        <v>102</v>
      </c>
      <c r="N8" s="6" t="s">
        <v>38</v>
      </c>
      <c r="O8" s="6">
        <f xml:space="preserve"> O4 *O7</f>
        <v>2098.2374365605574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2.458878421053276E-2</v>
      </c>
      <c r="X8" s="2">
        <f t="shared" si="8"/>
        <v>0.125</v>
      </c>
      <c r="Y8" s="2">
        <f t="shared" si="1"/>
        <v>-3.8016408453936876E-2</v>
      </c>
      <c r="Z8" s="2">
        <f t="shared" si="3"/>
        <v>9.375E-2</v>
      </c>
      <c r="AA8" s="2">
        <f t="shared" si="2"/>
        <v>-6.7056300760901383E-3</v>
      </c>
      <c r="AB8" s="2">
        <f t="shared" si="4"/>
        <v>-1.6488329093663879E-4</v>
      </c>
      <c r="AC8" s="2">
        <f t="shared" si="5"/>
        <v>2.5492397191364651E-4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-742.45037584383942</v>
      </c>
      <c r="AI8" s="2">
        <f t="shared" si="14"/>
        <v>1687.5</v>
      </c>
      <c r="AJ8" s="2">
        <v>32.491564061493136</v>
      </c>
      <c r="AK8" s="2">
        <f t="shared" si="9"/>
        <v>1093.75</v>
      </c>
      <c r="AL8" s="2">
        <v>-359.9325553283129</v>
      </c>
      <c r="AM8" s="2">
        <f t="shared" si="10"/>
        <v>267232.06098193943</v>
      </c>
      <c r="AN8" s="2">
        <f t="shared" si="11"/>
        <v>-11694.771679266802</v>
      </c>
      <c r="AO8" s="2">
        <f t="shared" si="12"/>
        <v>1187.5</v>
      </c>
    </row>
    <row r="9" spans="2:41" x14ac:dyDescent="0.2">
      <c r="B9" s="6" t="s">
        <v>95</v>
      </c>
      <c r="C9" s="17">
        <v>3.5546158859671602</v>
      </c>
      <c r="D9" s="6" t="s">
        <v>8</v>
      </c>
      <c r="F9" t="s">
        <v>19</v>
      </c>
      <c r="G9" s="6">
        <f xml:space="preserve"> $C$5 * $C$44 / $C$18</f>
        <v>4014.4768661171379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2098.2374365605574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2.458878421053276E-2</v>
      </c>
      <c r="X9" s="2">
        <f t="shared" si="8"/>
        <v>9.375E-2</v>
      </c>
      <c r="Y9" s="2">
        <f t="shared" si="1"/>
        <v>-6.7056300760901383E-3</v>
      </c>
      <c r="Z9" s="2">
        <f t="shared" si="3"/>
        <v>7.8125E-2</v>
      </c>
      <c r="AA9" s="2">
        <f t="shared" si="2"/>
        <v>8.9436923944440222E-3</v>
      </c>
      <c r="AB9" s="2">
        <f t="shared" si="4"/>
        <v>2.1991452233236712E-4</v>
      </c>
      <c r="AC9" s="2">
        <f t="shared" si="5"/>
        <v>-5.9973092711482463E-5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-742.45037584383942</v>
      </c>
      <c r="AI9" s="2">
        <f t="shared" si="14"/>
        <v>1687.5</v>
      </c>
      <c r="AJ9" s="2">
        <v>32.491564061493136</v>
      </c>
      <c r="AK9" s="2">
        <f t="shared" si="9"/>
        <v>1390.625</v>
      </c>
      <c r="AL9" s="2">
        <v>-163.80808355936574</v>
      </c>
      <c r="AM9" s="2">
        <f t="shared" si="10"/>
        <v>121619.37320491015</v>
      </c>
      <c r="AN9" s="2">
        <f t="shared" si="11"/>
        <v>-5322.3808407595525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44.739702909323917</v>
      </c>
      <c r="H10" s="6" t="s">
        <v>101</v>
      </c>
      <c r="N10" s="6" t="s">
        <v>113</v>
      </c>
      <c r="O10" s="6">
        <f>O7/(0.3048^2)/($C$5*2.20462/1000)^(2/3)</f>
        <v>4.2312042148347366</v>
      </c>
      <c r="U10" s="2">
        <v>6</v>
      </c>
      <c r="V10" s="2">
        <f t="shared" si="7"/>
        <v>7.8125E-2</v>
      </c>
      <c r="W10" s="2">
        <f t="shared" si="0"/>
        <v>8.9436923944440222E-3</v>
      </c>
      <c r="X10" s="2">
        <f t="shared" si="8"/>
        <v>9.375E-2</v>
      </c>
      <c r="Y10" s="2">
        <f t="shared" si="1"/>
        <v>-6.7056300760901383E-3</v>
      </c>
      <c r="Z10" s="2">
        <f t="shared" si="3"/>
        <v>8.59375E-2</v>
      </c>
      <c r="AA10" s="2">
        <f t="shared" si="2"/>
        <v>1.1195520507122497E-3</v>
      </c>
      <c r="AB10" s="2">
        <f t="shared" si="4"/>
        <v>1.0012929161139356E-5</v>
      </c>
      <c r="AC10" s="2">
        <f t="shared" si="5"/>
        <v>-7.5073019030044536E-6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-742.45037584383942</v>
      </c>
      <c r="AI10" s="2">
        <f t="shared" si="14"/>
        <v>1687.5</v>
      </c>
      <c r="AJ10" s="2">
        <v>32.491564061493136</v>
      </c>
      <c r="AK10" s="2">
        <f t="shared" si="9"/>
        <v>1539.0625</v>
      </c>
      <c r="AL10" s="2">
        <v>-65.611076926080386</v>
      </c>
      <c r="AM10" s="2">
        <f t="shared" si="10"/>
        <v>48712.968723287442</v>
      </c>
      <c r="AN10" s="2">
        <f t="shared" si="11"/>
        <v>-2131.8065090872951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9.1546914144221976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8.59375E-2</v>
      </c>
      <c r="W11" s="2">
        <f t="shared" si="0"/>
        <v>1.1195520507122497E-3</v>
      </c>
      <c r="X11" s="2">
        <f t="shared" si="8"/>
        <v>9.375E-2</v>
      </c>
      <c r="Y11" s="2">
        <f t="shared" si="1"/>
        <v>-6.7056300760901383E-3</v>
      </c>
      <c r="Z11" s="2">
        <f t="shared" si="3"/>
        <v>8.984375E-2</v>
      </c>
      <c r="AA11" s="2">
        <f t="shared" si="2"/>
        <v>-2.7929098543594266E-3</v>
      </c>
      <c r="AB11" s="2">
        <f t="shared" si="4"/>
        <v>-3.1268079549025468E-6</v>
      </c>
      <c r="AC11" s="2">
        <f t="shared" si="5"/>
        <v>1.8728220319201099E-5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-742.45037584383942</v>
      </c>
      <c r="AI11" s="2">
        <f t="shared" si="14"/>
        <v>1687.5</v>
      </c>
      <c r="AJ11" s="2">
        <v>32.491564061493136</v>
      </c>
      <c r="AK11" s="2">
        <f t="shared" si="9"/>
        <v>1613.28125</v>
      </c>
      <c r="AL11" s="2">
        <v>-16.540830416155359</v>
      </c>
      <c r="AM11" s="2">
        <f t="shared" si="10"/>
        <v>12280.745759243757</v>
      </c>
      <c r="AN11" s="2">
        <f t="shared" si="11"/>
        <v>-537.43745109680606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178.95881163729567</v>
      </c>
      <c r="H12" s="25" t="s">
        <v>101</v>
      </c>
      <c r="J12" s="10" t="s">
        <v>79</v>
      </c>
      <c r="K12" s="6">
        <f>C5</f>
        <v>1638.31269643115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8.59375E-2</v>
      </c>
      <c r="W12" s="2">
        <f t="shared" si="0"/>
        <v>1.1195520507122497E-3</v>
      </c>
      <c r="X12" s="2">
        <f t="shared" si="8"/>
        <v>8.984375E-2</v>
      </c>
      <c r="Y12" s="2">
        <f t="shared" si="1"/>
        <v>-2.7929098543594266E-3</v>
      </c>
      <c r="Z12" s="2">
        <f t="shared" si="3"/>
        <v>8.7890625E-2</v>
      </c>
      <c r="AA12" s="2">
        <f t="shared" si="2"/>
        <v>-8.3664647605469211E-4</v>
      </c>
      <c r="AB12" s="2">
        <f t="shared" si="4"/>
        <v>-9.3666927798820772E-7</v>
      </c>
      <c r="AC12" s="2">
        <f t="shared" si="5"/>
        <v>2.3366781875882375E-6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-742.45037584383942</v>
      </c>
      <c r="AI12" s="2">
        <f t="shared" si="14"/>
        <v>1687.5</v>
      </c>
      <c r="AJ12" s="2">
        <v>32.491564061493136</v>
      </c>
      <c r="AK12" s="2">
        <f t="shared" si="9"/>
        <v>1650.390625</v>
      </c>
      <c r="AL12" s="2">
        <v>7.980948761613945</v>
      </c>
      <c r="AM12" s="2">
        <f t="shared" si="10"/>
        <v>-5925.4584076506981</v>
      </c>
      <c r="AN12" s="2">
        <f t="shared" si="11"/>
        <v>259.31350795947378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416.69576384166493</v>
      </c>
      <c r="L13" s="6" t="s">
        <v>7</v>
      </c>
      <c r="N13" s="6" t="s">
        <v>74</v>
      </c>
      <c r="O13" s="6">
        <f xml:space="preserve"> SQRT( ($C$5*$C$50)^2 + O9^2)</f>
        <v>16192.889369051294</v>
      </c>
      <c r="P13" s="6" t="s">
        <v>20</v>
      </c>
      <c r="U13" s="2">
        <v>9</v>
      </c>
      <c r="V13" s="2">
        <f t="shared" si="7"/>
        <v>8.59375E-2</v>
      </c>
      <c r="W13" s="2">
        <f t="shared" si="0"/>
        <v>1.1195520507122497E-3</v>
      </c>
      <c r="X13" s="2">
        <f t="shared" si="8"/>
        <v>8.7890625E-2</v>
      </c>
      <c r="Y13" s="2">
        <f t="shared" si="1"/>
        <v>-8.3664647605469211E-4</v>
      </c>
      <c r="Z13" s="2">
        <f t="shared" si="3"/>
        <v>8.69140625E-2</v>
      </c>
      <c r="AA13" s="2">
        <f t="shared" si="2"/>
        <v>1.4146091052462395E-4</v>
      </c>
      <c r="AB13" s="2">
        <f t="shared" si="4"/>
        <v>1.5837285247346482E-7</v>
      </c>
      <c r="AC13" s="2">
        <f t="shared" si="5"/>
        <v>-1.1835277228991473E-7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-742.45037584383942</v>
      </c>
      <c r="AI13" s="2">
        <f t="shared" si="14"/>
        <v>1650.390625</v>
      </c>
      <c r="AJ13" s="2">
        <v>7.980948761613945</v>
      </c>
      <c r="AK13" s="2">
        <f t="shared" si="9"/>
        <v>1631.8359375</v>
      </c>
      <c r="AL13" s="2">
        <v>20.237755441333093</v>
      </c>
      <c r="AM13" s="2">
        <f t="shared" si="10"/>
        <v>-15025.529133653461</v>
      </c>
      <c r="AN13" s="2">
        <f t="shared" si="11"/>
        <v>161.51648922735322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116.89795920478983</v>
      </c>
      <c r="L14" s="6" t="s">
        <v>7</v>
      </c>
      <c r="N14" s="6" t="s">
        <v>75</v>
      </c>
      <c r="O14" s="6">
        <f>$C$5*$C$50/O13</f>
        <v>0.99156927062619049</v>
      </c>
      <c r="U14" s="2">
        <v>10</v>
      </c>
      <c r="V14" s="2">
        <f t="shared" si="7"/>
        <v>8.69140625E-2</v>
      </c>
      <c r="W14" s="2">
        <f t="shared" si="0"/>
        <v>1.4146091052462395E-4</v>
      </c>
      <c r="X14" s="2">
        <f t="shared" si="8"/>
        <v>8.7890625E-2</v>
      </c>
      <c r="Y14" s="2">
        <f t="shared" si="1"/>
        <v>-8.3664647605469211E-4</v>
      </c>
      <c r="Z14" s="2">
        <f t="shared" si="3"/>
        <v>8.740234375E-2</v>
      </c>
      <c r="AA14" s="2">
        <f t="shared" si="2"/>
        <v>-3.4759075404813822E-4</v>
      </c>
      <c r="AB14" s="2">
        <f t="shared" si="4"/>
        <v>-4.9170504557590253E-8</v>
      </c>
      <c r="AC14" s="2">
        <f t="shared" si="5"/>
        <v>2.9081057948356807E-7</v>
      </c>
      <c r="AD14" s="2">
        <f t="shared" si="6"/>
        <v>9.765625E-4</v>
      </c>
      <c r="AF14" s="2">
        <v>10</v>
      </c>
      <c r="AG14" s="2">
        <f t="shared" si="13"/>
        <v>1613.28125</v>
      </c>
      <c r="AH14" s="2">
        <v>-742.45037584383942</v>
      </c>
      <c r="AI14" s="2">
        <f t="shared" si="14"/>
        <v>1631.8359375</v>
      </c>
      <c r="AJ14" s="2">
        <v>-4.2786500046736364</v>
      </c>
      <c r="AK14" s="2">
        <f t="shared" si="9"/>
        <v>1622.55859375</v>
      </c>
      <c r="AL14" s="2">
        <v>26.365049873545786</v>
      </c>
      <c r="AM14" s="2">
        <f t="shared" si="10"/>
        <v>-19574.741187755641</v>
      </c>
      <c r="AN14" s="2">
        <f t="shared" si="11"/>
        <v>-112.80682076466734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194.0662240316347</v>
      </c>
      <c r="L15" s="6" t="s">
        <v>7</v>
      </c>
      <c r="U15" s="2">
        <v>11</v>
      </c>
      <c r="V15" s="2">
        <f t="shared" si="7"/>
        <v>8.69140625E-2</v>
      </c>
      <c r="W15" s="2">
        <f t="shared" si="0"/>
        <v>1.4146091052462395E-4</v>
      </c>
      <c r="X15" s="2">
        <f t="shared" si="8"/>
        <v>8.740234375E-2</v>
      </c>
      <c r="Y15" s="2">
        <f t="shared" si="1"/>
        <v>-3.4759075404813822E-4</v>
      </c>
      <c r="Z15" s="2">
        <f t="shared" si="3"/>
        <v>8.7158203125E-2</v>
      </c>
      <c r="AA15" s="2">
        <f t="shared" si="2"/>
        <v>-1.0306441432150759E-4</v>
      </c>
      <c r="AB15" s="2">
        <f t="shared" si="4"/>
        <v>-1.4579585892607557E-8</v>
      </c>
      <c r="AC15" s="2">
        <f t="shared" si="5"/>
        <v>3.5824237489542556E-8</v>
      </c>
      <c r="AD15" s="2">
        <f t="shared" si="6"/>
        <v>4.8828125E-4</v>
      </c>
      <c r="AF15" s="2">
        <v>11</v>
      </c>
      <c r="AG15" s="2">
        <f t="shared" si="13"/>
        <v>1613.28125</v>
      </c>
      <c r="AH15" s="2">
        <v>-742.45037584383942</v>
      </c>
      <c r="AI15" s="2">
        <f t="shared" si="14"/>
        <v>1631.8359375</v>
      </c>
      <c r="AJ15" s="2">
        <v>-10.40943156357207</v>
      </c>
      <c r="AK15" s="2">
        <f t="shared" si="9"/>
        <v>1622.55859375</v>
      </c>
      <c r="AL15" s="2">
        <v>29.428405252557013</v>
      </c>
      <c r="AM15" s="2">
        <f t="shared" si="10"/>
        <v>-21849.130540245773</v>
      </c>
      <c r="AN15" s="2">
        <f t="shared" si="11"/>
        <v>-306.3329705015571</v>
      </c>
      <c r="AO15" s="2">
        <f t="shared" si="12"/>
        <v>18.5546875</v>
      </c>
    </row>
    <row r="16" spans="2:41" x14ac:dyDescent="0.2">
      <c r="F16" t="s">
        <v>121</v>
      </c>
      <c r="G16" s="8">
        <f>O19*$C$9</f>
        <v>108.45763657117131</v>
      </c>
      <c r="H16" s="6" t="s">
        <v>10</v>
      </c>
      <c r="J16" s="13" t="s">
        <v>53</v>
      </c>
      <c r="K16" s="6">
        <f xml:space="preserve"> $C$54 * 0.2138 * K4</f>
        <v>49.533745953910135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8.69140625E-2</v>
      </c>
      <c r="W16" s="2">
        <f t="shared" si="0"/>
        <v>1.4146091052462395E-4</v>
      </c>
      <c r="X16" s="2">
        <f t="shared" si="8"/>
        <v>8.7158203125E-2</v>
      </c>
      <c r="Y16" s="2">
        <f t="shared" si="1"/>
        <v>-1.0306441432150759E-4</v>
      </c>
      <c r="Z16" s="2">
        <f t="shared" si="3"/>
        <v>8.70361328125E-2</v>
      </c>
      <c r="AA16" s="2">
        <f t="shared" si="2"/>
        <v>1.9198374994172651E-5</v>
      </c>
      <c r="AB16" s="2">
        <f t="shared" si="4"/>
        <v>2.7158196072688353E-9</v>
      </c>
      <c r="AC16" s="2">
        <f t="shared" si="5"/>
        <v>-1.9786692746990811E-9</v>
      </c>
      <c r="AD16" s="2">
        <f t="shared" si="6"/>
        <v>2.44140625E-4</v>
      </c>
      <c r="AF16" s="2">
        <v>12</v>
      </c>
      <c r="AG16" s="2">
        <f t="shared" si="13"/>
        <v>1613.28125</v>
      </c>
      <c r="AH16" s="2">
        <v>-742.45037584383942</v>
      </c>
      <c r="AI16" s="2">
        <f t="shared" si="14"/>
        <v>1631.8359375</v>
      </c>
      <c r="AJ16" s="2">
        <v>-13.475054227040118</v>
      </c>
      <c r="AK16" s="2">
        <f t="shared" si="9"/>
        <v>1622.55859375</v>
      </c>
      <c r="AL16" s="2">
        <v>30.960008661159009</v>
      </c>
      <c r="AM16" s="2">
        <f t="shared" si="10"/>
        <v>-22986.27006660603</v>
      </c>
      <c r="AN16" s="2">
        <f t="shared" si="11"/>
        <v>-417.18779557874939</v>
      </c>
      <c r="AO16" s="2">
        <f t="shared" si="12"/>
        <v>18.5546875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0.32597098287369347</v>
      </c>
      <c r="H17" s="6" t="s">
        <v>122</v>
      </c>
      <c r="J17" s="13" t="s">
        <v>77</v>
      </c>
      <c r="K17" s="6">
        <f xml:space="preserve"> $C$54 * 0.1149 * K4</f>
        <v>26.620334004229534</v>
      </c>
      <c r="L17" s="6" t="s">
        <v>7</v>
      </c>
      <c r="N17" s="6" t="s">
        <v>25</v>
      </c>
      <c r="O17" s="6">
        <f xml:space="preserve"> ACOS(O14)/PI()*180</f>
        <v>7.4451901748865863</v>
      </c>
      <c r="P17" s="6" t="s">
        <v>40</v>
      </c>
      <c r="U17" s="2">
        <v>13</v>
      </c>
      <c r="V17" s="2">
        <f t="shared" si="7"/>
        <v>8.70361328125E-2</v>
      </c>
      <c r="W17" s="2">
        <f t="shared" si="0"/>
        <v>1.9198374994172651E-5</v>
      </c>
      <c r="X17" s="2">
        <f t="shared" si="8"/>
        <v>8.7158203125E-2</v>
      </c>
      <c r="Y17" s="2">
        <f t="shared" si="1"/>
        <v>-1.0306441432150759E-4</v>
      </c>
      <c r="Z17" s="2">
        <f t="shared" si="3"/>
        <v>8.709716796875E-2</v>
      </c>
      <c r="AA17" s="2">
        <f t="shared" si="2"/>
        <v>-4.1932987944581779E-5</v>
      </c>
      <c r="AB17" s="2">
        <f t="shared" si="4"/>
        <v>-8.0504522718620202E-10</v>
      </c>
      <c r="AC17" s="2">
        <f t="shared" si="5"/>
        <v>4.3217988432591598E-9</v>
      </c>
      <c r="AD17" s="2">
        <f t="shared" si="6"/>
        <v>1.220703125E-4</v>
      </c>
      <c r="AF17" s="2">
        <v>13</v>
      </c>
      <c r="AG17" s="2">
        <f t="shared" si="13"/>
        <v>1613.28125</v>
      </c>
      <c r="AH17" s="2">
        <v>-742.45037584383942</v>
      </c>
      <c r="AI17" s="2">
        <f t="shared" si="14"/>
        <v>1631.8359375</v>
      </c>
      <c r="AJ17" s="2">
        <v>-15.00792347801621</v>
      </c>
      <c r="AK17" s="2">
        <f t="shared" si="9"/>
        <v>1622.55859375</v>
      </c>
      <c r="AL17" s="2">
        <v>31.725793786215945</v>
      </c>
      <c r="AM17" s="2">
        <f t="shared" si="10"/>
        <v>-23554.827520520175</v>
      </c>
      <c r="AN17" s="2">
        <f t="shared" si="11"/>
        <v>-476.13828542285108</v>
      </c>
      <c r="AO17" s="2">
        <f t="shared" si="12"/>
        <v>18.5546875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4048.2223422628235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126.32438682581076</v>
      </c>
      <c r="L18" s="6" t="s">
        <v>7</v>
      </c>
      <c r="N18" s="6" t="s">
        <v>19</v>
      </c>
      <c r="O18" s="6">
        <f xml:space="preserve"> O13 / $C$18</f>
        <v>4048.2223422628235</v>
      </c>
      <c r="P18" s="6" t="s">
        <v>20</v>
      </c>
      <c r="U18" s="2">
        <v>14</v>
      </c>
      <c r="V18" s="2">
        <f t="shared" si="7"/>
        <v>8.70361328125E-2</v>
      </c>
      <c r="W18" s="2">
        <f t="shared" si="0"/>
        <v>1.9198374994172651E-5</v>
      </c>
      <c r="X18" s="2">
        <f t="shared" si="8"/>
        <v>8.709716796875E-2</v>
      </c>
      <c r="Y18" s="2">
        <f t="shared" si="1"/>
        <v>-4.1932987944581779E-5</v>
      </c>
      <c r="Z18" s="2">
        <f t="shared" si="3"/>
        <v>8.7066650390625E-2</v>
      </c>
      <c r="AA18" s="2">
        <f t="shared" si="2"/>
        <v>-1.1367298544923132E-5</v>
      </c>
      <c r="AB18" s="2">
        <f t="shared" si="4"/>
        <v>-2.1823366013614741E-10</v>
      </c>
      <c r="AC18" s="2">
        <f t="shared" si="5"/>
        <v>4.766647928467237E-10</v>
      </c>
      <c r="AD18" s="2">
        <f t="shared" si="6"/>
        <v>6.103515625E-5</v>
      </c>
      <c r="AF18" s="2">
        <v>14</v>
      </c>
      <c r="AG18" s="2">
        <f t="shared" si="13"/>
        <v>1613.28125</v>
      </c>
      <c r="AH18" s="2">
        <v>-742.45037584383942</v>
      </c>
      <c r="AI18" s="2">
        <f t="shared" si="14"/>
        <v>1631.8359375</v>
      </c>
      <c r="AJ18" s="2">
        <v>-15.774370370112365</v>
      </c>
      <c r="AK18" s="2">
        <f t="shared" si="9"/>
        <v>1622.55859375</v>
      </c>
      <c r="AL18" s="2">
        <v>32.108679675322946</v>
      </c>
      <c r="AM18" s="2">
        <f t="shared" si="10"/>
        <v>-23839.10129279297</v>
      </c>
      <c r="AN18" s="2">
        <f t="shared" si="11"/>
        <v>-506.49420529384338</v>
      </c>
      <c r="AO18" s="2">
        <f t="shared" si="12"/>
        <v>18.5546875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48.267214251939251</v>
      </c>
      <c r="H19" s="6" t="s">
        <v>101</v>
      </c>
      <c r="J19" s="14" t="s">
        <v>61</v>
      </c>
      <c r="K19" s="6">
        <f xml:space="preserve"> $C$55 * C31 * $C$5</f>
        <v>18.349102200028884</v>
      </c>
      <c r="L19" s="6" t="s">
        <v>7</v>
      </c>
      <c r="N19" s="6" t="s">
        <v>26</v>
      </c>
      <c r="O19" s="6">
        <f>$C$7*2*PI()/60</f>
        <v>30.511774000487126</v>
      </c>
      <c r="P19" s="6" t="s">
        <v>27</v>
      </c>
      <c r="U19" s="2">
        <v>15</v>
      </c>
      <c r="V19" s="2">
        <f t="shared" si="7"/>
        <v>8.70361328125E-2</v>
      </c>
      <c r="W19" s="2">
        <f t="shared" si="0"/>
        <v>1.9198374994172651E-5</v>
      </c>
      <c r="X19" s="2">
        <f t="shared" si="8"/>
        <v>8.7066650390625E-2</v>
      </c>
      <c r="Y19" s="2">
        <f t="shared" si="1"/>
        <v>-1.1367298544923132E-5</v>
      </c>
      <c r="Z19" s="2">
        <f t="shared" si="3"/>
        <v>8.70513916015625E-2</v>
      </c>
      <c r="AA19" s="2">
        <f t="shared" si="2"/>
        <v>3.9155402072610368E-6</v>
      </c>
      <c r="AB19" s="2">
        <f t="shared" si="4"/>
        <v>7.5172009203757888E-11</v>
      </c>
      <c r="AC19" s="2">
        <f t="shared" si="5"/>
        <v>-4.4509114500586406E-11</v>
      </c>
      <c r="AD19" s="2">
        <f t="shared" si="6"/>
        <v>3.0517578125E-5</v>
      </c>
      <c r="AF19" s="2">
        <v>15</v>
      </c>
      <c r="AG19" s="2">
        <f t="shared" si="13"/>
        <v>1613.28125</v>
      </c>
      <c r="AH19" s="2">
        <v>-742.45037584383942</v>
      </c>
      <c r="AI19" s="2">
        <f t="shared" si="14"/>
        <v>1631.8359375</v>
      </c>
      <c r="AJ19" s="2">
        <v>-16.157599880684529</v>
      </c>
      <c r="AK19" s="2">
        <f t="shared" si="9"/>
        <v>1622.55859375</v>
      </c>
      <c r="AL19" s="2">
        <v>32.300123201309589</v>
      </c>
      <c r="AM19" s="2">
        <f t="shared" si="10"/>
        <v>-23981.238610614622</v>
      </c>
      <c r="AN19" s="2">
        <f t="shared" si="11"/>
        <v>-521.8924667835754</v>
      </c>
      <c r="AO19" s="2">
        <f t="shared" si="12"/>
        <v>18.5546875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8.5577877746024988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0.61305659161655979</v>
      </c>
      <c r="U20" s="2">
        <v>16</v>
      </c>
      <c r="V20" s="2">
        <f t="shared" si="7"/>
        <v>8.70513916015625E-2</v>
      </c>
      <c r="W20" s="2">
        <f t="shared" si="0"/>
        <v>3.9155402072610368E-6</v>
      </c>
      <c r="X20" s="2">
        <f t="shared" si="8"/>
        <v>8.7066650390625E-2</v>
      </c>
      <c r="Y20" s="2">
        <f t="shared" si="1"/>
        <v>-1.1367298544923132E-5</v>
      </c>
      <c r="Z20" s="2">
        <f t="shared" si="3"/>
        <v>8.705902099609375E-2</v>
      </c>
      <c r="AA20" s="2">
        <f t="shared" si="2"/>
        <v>-3.7258786731719784E-6</v>
      </c>
      <c r="AB20" s="2">
        <f t="shared" si="4"/>
        <v>-1.4588827752181287E-11</v>
      </c>
      <c r="AC20" s="2">
        <f t="shared" si="5"/>
        <v>4.2353175220107958E-11</v>
      </c>
      <c r="AD20" s="2">
        <f t="shared" si="6"/>
        <v>1.52587890625E-5</v>
      </c>
      <c r="AF20" s="2">
        <v>16</v>
      </c>
      <c r="AG20" s="2">
        <f t="shared" si="13"/>
        <v>1613.28125</v>
      </c>
      <c r="AH20" s="2">
        <v>-742.45037584383942</v>
      </c>
      <c r="AI20" s="2">
        <f t="shared" si="14"/>
        <v>1631.8359375</v>
      </c>
      <c r="AJ20" s="2">
        <v>-16.34921284258553</v>
      </c>
      <c r="AK20" s="2">
        <f t="shared" si="9"/>
        <v>1622.55859375</v>
      </c>
      <c r="AL20" s="2">
        <v>32.395843965240601</v>
      </c>
      <c r="AM20" s="2">
        <f t="shared" si="10"/>
        <v>-24052.306527771263</v>
      </c>
      <c r="AN20" s="2">
        <f t="shared" si="11"/>
        <v>-529.64654820290855</v>
      </c>
      <c r="AO20" s="2">
        <f t="shared" si="12"/>
        <v>18.5546875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0.1400010954573031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8.5963440495236271E-3</v>
      </c>
      <c r="U21" s="2">
        <v>17</v>
      </c>
      <c r="V21" s="2">
        <f t="shared" si="7"/>
        <v>8.70513916015625E-2</v>
      </c>
      <c r="W21" s="2">
        <f t="shared" si="0"/>
        <v>3.9155402072610368E-6</v>
      </c>
      <c r="X21" s="2">
        <f t="shared" si="8"/>
        <v>8.705902099609375E-2</v>
      </c>
      <c r="Y21" s="2">
        <f t="shared" si="1"/>
        <v>-3.7258786731719784E-6</v>
      </c>
      <c r="Z21" s="2">
        <f t="shared" si="3"/>
        <v>8.7055206298828125E-2</v>
      </c>
      <c r="AA21" s="2">
        <f t="shared" si="2"/>
        <v>9.4830890959296532E-8</v>
      </c>
      <c r="AB21" s="2">
        <f t="shared" si="4"/>
        <v>3.7131416644151273E-13</v>
      </c>
      <c r="AC21" s="2">
        <f t="shared" si="5"/>
        <v>-3.5332839418314033E-13</v>
      </c>
      <c r="AD21" s="2">
        <f t="shared" si="6"/>
        <v>7.62939453125E-6</v>
      </c>
      <c r="AF21" s="2">
        <v>17</v>
      </c>
      <c r="AG21" s="2">
        <f t="shared" si="13"/>
        <v>1613.28125</v>
      </c>
      <c r="AH21" s="2">
        <v>-742.45037584383942</v>
      </c>
      <c r="AI21" s="2">
        <f t="shared" si="14"/>
        <v>1631.8359375</v>
      </c>
      <c r="AJ21" s="2">
        <v>-16.445021599274014</v>
      </c>
      <c r="AK21" s="2">
        <f t="shared" si="9"/>
        <v>1622.55859375</v>
      </c>
      <c r="AL21" s="2">
        <v>32.443701244761542</v>
      </c>
      <c r="AM21" s="2">
        <f t="shared" si="10"/>
        <v>-24087.838182938449</v>
      </c>
      <c r="AN21" s="2">
        <f t="shared" si="11"/>
        <v>-533.53736773049673</v>
      </c>
      <c r="AO21" s="2">
        <f t="shared" si="12"/>
        <v>18.5546875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193.068857007757</v>
      </c>
      <c r="H22" s="25" t="s">
        <v>101</v>
      </c>
      <c r="J22" s="14" t="s">
        <v>112</v>
      </c>
      <c r="K22" s="6">
        <f>$C$55*(0.14*$G$12*1000/745.7)*0.453592</f>
        <v>12.19192698441281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8.7055206298828125E-2</v>
      </c>
      <c r="W22" s="2">
        <f t="shared" si="0"/>
        <v>9.4830890959296532E-8</v>
      </c>
      <c r="X22" s="2">
        <f t="shared" si="8"/>
        <v>8.705902099609375E-2</v>
      </c>
      <c r="Y22" s="2">
        <f t="shared" si="1"/>
        <v>-3.7258786731719784E-6</v>
      </c>
      <c r="Z22" s="2">
        <f t="shared" si="3"/>
        <v>8.7057113647460938E-2</v>
      </c>
      <c r="AA22" s="2">
        <f t="shared" si="2"/>
        <v>-1.8155238601380574E-6</v>
      </c>
      <c r="AB22" s="2">
        <f t="shared" si="4"/>
        <v>-1.7216774521475324E-13</v>
      </c>
      <c r="AC22" s="2">
        <f t="shared" si="5"/>
        <v>6.7644216311232539E-12</v>
      </c>
      <c r="AD22" s="2">
        <f t="shared" si="6"/>
        <v>3.814697265625E-6</v>
      </c>
      <c r="AF22" s="2">
        <v>18</v>
      </c>
      <c r="AG22" s="2">
        <f t="shared" si="13"/>
        <v>1613.28125</v>
      </c>
      <c r="AH22" s="2">
        <v>-742.45037584383942</v>
      </c>
      <c r="AI22" s="2">
        <f t="shared" si="14"/>
        <v>1631.8359375</v>
      </c>
      <c r="AJ22" s="2">
        <v>-16.492926545847467</v>
      </c>
      <c r="AK22" s="2">
        <f t="shared" si="9"/>
        <v>1622.55859375</v>
      </c>
      <c r="AL22" s="2">
        <v>32.467634813142013</v>
      </c>
      <c r="AM22" s="2">
        <f t="shared" si="10"/>
        <v>-24105.607669777812</v>
      </c>
      <c r="AN22" s="2">
        <f t="shared" si="11"/>
        <v>-535.48631609055133</v>
      </c>
      <c r="AO22" s="2">
        <f t="shared" si="12"/>
        <v>18.5546875</v>
      </c>
    </row>
    <row r="23" spans="2:41" x14ac:dyDescent="0.2">
      <c r="J23" s="15" t="s">
        <v>64</v>
      </c>
      <c r="K23" s="6">
        <f xml:space="preserve"> $C$56 * (0.0268 * $C$5)</f>
        <v>35.12542421148386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9586.3714165492147</v>
      </c>
      <c r="P23" s="6" t="s">
        <v>18</v>
      </c>
      <c r="U23" s="2">
        <v>19</v>
      </c>
      <c r="V23" s="2">
        <f t="shared" si="7"/>
        <v>8.7055206298828125E-2</v>
      </c>
      <c r="W23" s="2">
        <f t="shared" si="0"/>
        <v>9.4830890959296532E-8</v>
      </c>
      <c r="X23" s="2">
        <f t="shared" si="8"/>
        <v>8.7057113647460938E-2</v>
      </c>
      <c r="Y23" s="2">
        <f t="shared" si="1"/>
        <v>-1.8155238601380574E-6</v>
      </c>
      <c r="Z23" s="2">
        <f t="shared" si="3"/>
        <v>8.7056159973144531E-2</v>
      </c>
      <c r="AA23" s="2">
        <f t="shared" si="2"/>
        <v>-8.6034647683863597E-7</v>
      </c>
      <c r="AB23" s="2">
        <f t="shared" si="4"/>
        <v>-8.1587422932299628E-14</v>
      </c>
      <c r="AC23" s="2">
        <f t="shared" si="5"/>
        <v>1.5619795566862581E-12</v>
      </c>
      <c r="AD23" s="2">
        <f t="shared" si="6"/>
        <v>1.9073486328125E-6</v>
      </c>
      <c r="AF23" s="2">
        <v>19</v>
      </c>
      <c r="AG23" s="2">
        <f t="shared" si="13"/>
        <v>1613.28125</v>
      </c>
      <c r="AH23" s="2">
        <v>-742.45037584383942</v>
      </c>
      <c r="AI23" s="2">
        <f t="shared" si="14"/>
        <v>1631.8359375</v>
      </c>
      <c r="AJ23" s="2">
        <v>-16.516876433262041</v>
      </c>
      <c r="AK23" s="2">
        <f t="shared" si="9"/>
        <v>1622.55859375</v>
      </c>
      <c r="AL23" s="2">
        <v>32.479597125107375</v>
      </c>
      <c r="AM23" s="2">
        <f t="shared" si="10"/>
        <v>-24114.489092792457</v>
      </c>
      <c r="AN23" s="2">
        <f t="shared" si="11"/>
        <v>-536.46149231753157</v>
      </c>
      <c r="AO23" s="2">
        <f t="shared" si="12"/>
        <v>18.5546875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6.975019556163895</v>
      </c>
      <c r="L24" s="6" t="s">
        <v>7</v>
      </c>
      <c r="N24" s="6" t="s">
        <v>31</v>
      </c>
      <c r="O24" s="18">
        <f>Z34</f>
        <v>8.7055300828069448E-2</v>
      </c>
      <c r="U24" s="2">
        <v>20</v>
      </c>
      <c r="V24" s="2">
        <f t="shared" si="7"/>
        <v>8.7055206298828125E-2</v>
      </c>
      <c r="W24" s="2">
        <f t="shared" si="0"/>
        <v>9.4830890959296532E-8</v>
      </c>
      <c r="X24" s="2">
        <f t="shared" si="8"/>
        <v>8.7056159973144531E-2</v>
      </c>
      <c r="Y24" s="2">
        <f t="shared" si="1"/>
        <v>-8.6034647683863597E-7</v>
      </c>
      <c r="Z24" s="2">
        <f t="shared" si="3"/>
        <v>8.7055683135986328E-2</v>
      </c>
      <c r="AA24" s="2">
        <f t="shared" si="2"/>
        <v>-3.8275779100371832E-7</v>
      </c>
      <c r="AB24" s="2">
        <f t="shared" si="4"/>
        <v>-3.6297262342494824E-14</v>
      </c>
      <c r="AC24" s="2">
        <f t="shared" si="5"/>
        <v>3.2930431697258802E-13</v>
      </c>
      <c r="AD24" s="2">
        <f t="shared" si="6"/>
        <v>9.5367431640625E-7</v>
      </c>
      <c r="AF24" s="2">
        <v>20</v>
      </c>
      <c r="AG24" s="2">
        <f t="shared" si="13"/>
        <v>1613.28125</v>
      </c>
      <c r="AH24" s="2">
        <v>-742.45037584383942</v>
      </c>
      <c r="AI24" s="2">
        <f t="shared" si="14"/>
        <v>1631.8359375</v>
      </c>
      <c r="AJ24" s="2">
        <v>-16.528853458354206</v>
      </c>
      <c r="AK24" s="2">
        <f t="shared" si="9"/>
        <v>1622.55859375</v>
      </c>
      <c r="AL24" s="2">
        <v>32.485580585687785</v>
      </c>
      <c r="AM24" s="2">
        <f t="shared" si="10"/>
        <v>-24118.931515349228</v>
      </c>
      <c r="AN24" s="2">
        <f t="shared" si="11"/>
        <v>-536.94940101038981</v>
      </c>
      <c r="AO24" s="2">
        <f t="shared" si="12"/>
        <v>18.5546875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10.48520125715936</v>
      </c>
      <c r="L25" s="6" t="s">
        <v>7</v>
      </c>
      <c r="N25" s="6" t="s">
        <v>32</v>
      </c>
      <c r="O25" s="6">
        <f xml:space="preserve"> O19 * $C$9 * O24 - $C$8 * SIN(O17/180*PI())</f>
        <v>0.75284961385839644</v>
      </c>
      <c r="P25" s="6" t="s">
        <v>10</v>
      </c>
      <c r="U25" s="2">
        <v>21</v>
      </c>
      <c r="V25" s="2">
        <f t="shared" si="7"/>
        <v>8.7055206298828125E-2</v>
      </c>
      <c r="W25" s="2">
        <f t="shared" si="0"/>
        <v>9.4830890959296532E-8</v>
      </c>
      <c r="X25" s="2">
        <f t="shared" si="8"/>
        <v>8.7055683135986328E-2</v>
      </c>
      <c r="Y25" s="2">
        <f t="shared" si="1"/>
        <v>-3.8275779100371832E-7</v>
      </c>
      <c r="Z25" s="2">
        <f t="shared" si="3"/>
        <v>8.7055444717407227E-2</v>
      </c>
      <c r="AA25" s="2">
        <f t="shared" si="2"/>
        <v>-1.4396344955036611E-7</v>
      </c>
      <c r="AB25" s="2">
        <f t="shared" si="4"/>
        <v>-1.3652182186434955E-14</v>
      </c>
      <c r="AC25" s="2">
        <f t="shared" si="5"/>
        <v>5.5103131935173378E-14</v>
      </c>
      <c r="AD25" s="2">
        <f t="shared" si="6"/>
        <v>4.76837158203125E-7</v>
      </c>
      <c r="AF25" s="2">
        <v>21</v>
      </c>
      <c r="AG25" s="2">
        <f t="shared" si="13"/>
        <v>1613.28125</v>
      </c>
      <c r="AH25" s="2">
        <v>-742.45037584383942</v>
      </c>
      <c r="AI25" s="2">
        <f t="shared" si="14"/>
        <v>1631.8359375</v>
      </c>
      <c r="AJ25" s="2">
        <v>-16.534839763429545</v>
      </c>
      <c r="AK25" s="2">
        <f t="shared" si="9"/>
        <v>1622.55859375</v>
      </c>
      <c r="AL25" s="2">
        <v>32.488572321687343</v>
      </c>
      <c r="AM25" s="2">
        <f t="shared" si="10"/>
        <v>-24121.152730866528</v>
      </c>
      <c r="AN25" s="2">
        <f t="shared" si="11"/>
        <v>-537.19333748169242</v>
      </c>
      <c r="AO25" s="2">
        <f t="shared" si="12"/>
        <v>18.5546875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25.046579664397683</v>
      </c>
      <c r="L26" s="6" t="s">
        <v>7</v>
      </c>
      <c r="N26" s="6" t="s">
        <v>33</v>
      </c>
      <c r="O26" s="6">
        <f xml:space="preserve"> 1/$C$21 - O23 * SQRT( (2*$C$47*PI()*$C$9^2) / O18^3 )</f>
        <v>1.000299879805796</v>
      </c>
      <c r="U26" s="2">
        <v>22</v>
      </c>
      <c r="V26" s="2">
        <f t="shared" si="7"/>
        <v>8.7055206298828125E-2</v>
      </c>
      <c r="W26" s="2">
        <f t="shared" si="0"/>
        <v>9.4830890959296532E-8</v>
      </c>
      <c r="X26" s="2">
        <f t="shared" si="8"/>
        <v>8.7055444717407227E-2</v>
      </c>
      <c r="Y26" s="2">
        <f t="shared" si="1"/>
        <v>-1.4396344955036611E-7</v>
      </c>
      <c r="Z26" s="2">
        <f t="shared" si="3"/>
        <v>8.7055325508117676E-2</v>
      </c>
      <c r="AA26" s="2">
        <f t="shared" si="2"/>
        <v>-2.4566279177573591E-8</v>
      </c>
      <c r="AB26" s="2">
        <f t="shared" si="4"/>
        <v>-2.3296421419641182E-15</v>
      </c>
      <c r="AC26" s="2">
        <f t="shared" si="5"/>
        <v>3.5366462930208252E-15</v>
      </c>
      <c r="AD26" s="2">
        <f t="shared" si="6"/>
        <v>2.384185791015625E-7</v>
      </c>
      <c r="AF26" s="2">
        <v>22</v>
      </c>
      <c r="AG26" s="2">
        <f t="shared" si="13"/>
        <v>1613.28125</v>
      </c>
      <c r="AH26" s="2">
        <v>-742.45037584383942</v>
      </c>
      <c r="AI26" s="2">
        <f t="shared" si="14"/>
        <v>1631.8359375</v>
      </c>
      <c r="AJ26" s="2">
        <v>-16.537837274128606</v>
      </c>
      <c r="AK26" s="2">
        <f t="shared" si="9"/>
        <v>1622.55859375</v>
      </c>
      <c r="AL26" s="2">
        <v>32.49006819111446</v>
      </c>
      <c r="AM26" s="2">
        <f t="shared" si="10"/>
        <v>-24122.263339684901</v>
      </c>
      <c r="AN26" s="2">
        <f t="shared" si="11"/>
        <v>-537.31546076999291</v>
      </c>
      <c r="AO26" s="2">
        <f t="shared" si="12"/>
        <v>18.5546875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1.0286954634466383E-3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8.7055206298828125E-2</v>
      </c>
      <c r="W27" s="2">
        <f t="shared" si="0"/>
        <v>9.4830890959296532E-8</v>
      </c>
      <c r="X27" s="2">
        <f t="shared" si="8"/>
        <v>8.7055325508117676E-2</v>
      </c>
      <c r="Y27" s="2">
        <f t="shared" si="1"/>
        <v>-2.4566279177573591E-8</v>
      </c>
      <c r="Z27" s="2">
        <f t="shared" si="3"/>
        <v>8.70552659034729E-2</v>
      </c>
      <c r="AA27" s="2">
        <f t="shared" si="2"/>
        <v>3.513230592555594E-8</v>
      </c>
      <c r="AB27" s="2">
        <f t="shared" si="4"/>
        <v>3.3316278723750429E-15</v>
      </c>
      <c r="AC27" s="2">
        <f t="shared" si="5"/>
        <v>-8.6307003551913017E-16</v>
      </c>
      <c r="AD27" s="2">
        <f t="shared" si="6"/>
        <v>1.1920928955078125E-7</v>
      </c>
      <c r="AF27" s="2">
        <v>23</v>
      </c>
      <c r="AG27" s="2">
        <f t="shared" si="13"/>
        <v>1613.28125</v>
      </c>
      <c r="AH27" s="2">
        <v>-742.45037584383942</v>
      </c>
      <c r="AI27" s="2">
        <f t="shared" si="14"/>
        <v>1631.8359375</v>
      </c>
      <c r="AJ27" s="2">
        <v>-16.539331663439953</v>
      </c>
      <c r="AK27" s="2">
        <f t="shared" si="9"/>
        <v>1622.55859375</v>
      </c>
      <c r="AL27" s="2">
        <v>32.490813844375225</v>
      </c>
      <c r="AM27" s="2">
        <f t="shared" si="10"/>
        <v>-24122.816950228607</v>
      </c>
      <c r="AN27" s="2">
        <f t="shared" si="11"/>
        <v>-537.37634618720836</v>
      </c>
      <c r="AO27" s="2">
        <f t="shared" si="12"/>
        <v>18.5546875</v>
      </c>
    </row>
    <row r="28" spans="2:41" x14ac:dyDescent="0.2">
      <c r="F28" t="s">
        <v>19</v>
      </c>
      <c r="G28" s="6">
        <f xml:space="preserve"> $C$5 * $C$44 / $C$18</f>
        <v>4014.4768661171379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1.150371567624582</v>
      </c>
      <c r="U28" s="2">
        <v>24</v>
      </c>
      <c r="V28" s="2">
        <f t="shared" si="7"/>
        <v>8.70552659034729E-2</v>
      </c>
      <c r="W28" s="2">
        <f t="shared" si="0"/>
        <v>3.513230592555594E-8</v>
      </c>
      <c r="X28" s="2">
        <f t="shared" si="8"/>
        <v>8.7055325508117676E-2</v>
      </c>
      <c r="Y28" s="2">
        <f t="shared" si="1"/>
        <v>-2.4566279177573591E-8</v>
      </c>
      <c r="Z28" s="2">
        <f t="shared" si="3"/>
        <v>8.7055295705795288E-2</v>
      </c>
      <c r="AA28" s="2">
        <f t="shared" si="2"/>
        <v>5.2830133878689622E-9</v>
      </c>
      <c r="AB28" s="2">
        <f t="shared" si="4"/>
        <v>1.8560444255142011E-16</v>
      </c>
      <c r="AC28" s="2">
        <f t="shared" si="5"/>
        <v>-1.297839817852478E-16</v>
      </c>
      <c r="AD28" s="2">
        <f t="shared" si="6"/>
        <v>5.9604644775390625E-8</v>
      </c>
      <c r="AF28" s="2">
        <v>24</v>
      </c>
      <c r="AG28" s="2">
        <f t="shared" si="13"/>
        <v>1613.28125</v>
      </c>
      <c r="AH28" s="2">
        <v>-742.45037584383942</v>
      </c>
      <c r="AI28" s="2">
        <f t="shared" si="14"/>
        <v>1631.8359375</v>
      </c>
      <c r="AJ28" s="2">
        <v>-16.540083222155772</v>
      </c>
      <c r="AK28" s="2">
        <f t="shared" si="9"/>
        <v>1622.55859375</v>
      </c>
      <c r="AL28" s="2">
        <v>32.491191234714506</v>
      </c>
      <c r="AM28" s="2">
        <f t="shared" si="10"/>
        <v>-24123.097143827847</v>
      </c>
      <c r="AN28" s="2">
        <f t="shared" si="11"/>
        <v>-537.40700700915613</v>
      </c>
      <c r="AO28" s="2">
        <f t="shared" si="12"/>
        <v>18.5546875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37.327920674329583</v>
      </c>
      <c r="H29" t="s">
        <v>18</v>
      </c>
      <c r="U29" s="2">
        <v>25</v>
      </c>
      <c r="V29" s="2">
        <f t="shared" si="7"/>
        <v>8.7055295705795288E-2</v>
      </c>
      <c r="W29" s="2">
        <f t="shared" si="0"/>
        <v>5.2830133878689622E-9</v>
      </c>
      <c r="X29" s="2">
        <f t="shared" si="8"/>
        <v>8.7055325508117676E-2</v>
      </c>
      <c r="Y29" s="2">
        <f t="shared" si="1"/>
        <v>-2.4566279177573591E-8</v>
      </c>
      <c r="Z29" s="2">
        <f t="shared" si="3"/>
        <v>8.7055310606956482E-2</v>
      </c>
      <c r="AA29" s="2">
        <f t="shared" si="2"/>
        <v>-9.6416328948523145E-9</v>
      </c>
      <c r="AB29" s="2">
        <f t="shared" si="4"/>
        <v>-5.0936875664422557E-17</v>
      </c>
      <c r="AC29" s="2">
        <f t="shared" si="5"/>
        <v>2.3685904542261901E-16</v>
      </c>
      <c r="AD29" s="2">
        <f t="shared" si="6"/>
        <v>2.9802322387695312E-8</v>
      </c>
      <c r="AF29" s="2">
        <v>25</v>
      </c>
      <c r="AG29" s="2">
        <f t="shared" si="13"/>
        <v>1613.28125</v>
      </c>
      <c r="AH29" s="2">
        <v>-742.45037584383942</v>
      </c>
      <c r="AI29" s="2">
        <f t="shared" si="14"/>
        <v>1631.8359375</v>
      </c>
      <c r="AJ29" s="2">
        <v>-16.540456819188194</v>
      </c>
      <c r="AK29" s="2">
        <f t="shared" si="9"/>
        <v>1622.55859375</v>
      </c>
      <c r="AL29" s="2">
        <v>32.491375366285865</v>
      </c>
      <c r="AM29" s="2">
        <f t="shared" si="10"/>
        <v>-24123.233852382207</v>
      </c>
      <c r="AN29" s="2">
        <f t="shared" si="11"/>
        <v>-537.42219124208634</v>
      </c>
      <c r="AO29" s="2">
        <f t="shared" si="12"/>
        <v>18.5546875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10.97243475416659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8.7055295705795288E-2</v>
      </c>
      <c r="W30" s="2">
        <f t="shared" si="0"/>
        <v>5.2830133878689622E-9</v>
      </c>
      <c r="X30" s="2">
        <f t="shared" si="8"/>
        <v>8.7055310606956482E-2</v>
      </c>
      <c r="Y30" s="2">
        <f t="shared" si="1"/>
        <v>-9.6416328948523145E-9</v>
      </c>
      <c r="Z30" s="2">
        <f t="shared" si="3"/>
        <v>8.7055303156375885E-2</v>
      </c>
      <c r="AA30" s="2">
        <f t="shared" si="2"/>
        <v>-2.17930976043057E-9</v>
      </c>
      <c r="AB30" s="2">
        <f t="shared" si="4"/>
        <v>-1.1513322640668201E-17</v>
      </c>
      <c r="AC30" s="2">
        <f t="shared" si="5"/>
        <v>2.10121046742401E-17</v>
      </c>
      <c r="AD30" s="2">
        <f t="shared" si="6"/>
        <v>1.4901161193847656E-8</v>
      </c>
      <c r="AF30" s="2">
        <v>26</v>
      </c>
      <c r="AG30" s="2">
        <f t="shared" si="13"/>
        <v>1613.28125</v>
      </c>
      <c r="AH30" s="2">
        <v>-742.45037584383942</v>
      </c>
      <c r="AI30" s="2">
        <f t="shared" si="14"/>
        <v>1631.8359375</v>
      </c>
      <c r="AJ30" s="2">
        <v>-16.540641435455427</v>
      </c>
      <c r="AK30" s="2">
        <f t="shared" si="9"/>
        <v>1622.55859375</v>
      </c>
      <c r="AL30" s="2">
        <v>32.491469713887909</v>
      </c>
      <c r="AM30" s="2">
        <f t="shared" si="10"/>
        <v>-24123.303900794803</v>
      </c>
      <c r="AN30" s="2">
        <f t="shared" si="11"/>
        <v>-537.42975024837949</v>
      </c>
      <c r="AO30" s="2">
        <f t="shared" si="12"/>
        <v>18.5546875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149.31168269731833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8.7055295705795288E-2</v>
      </c>
      <c r="W31" s="2">
        <f t="shared" si="0"/>
        <v>5.2830133878689622E-9</v>
      </c>
      <c r="X31" s="2">
        <f t="shared" si="8"/>
        <v>8.7055303156375885E-2</v>
      </c>
      <c r="Y31" s="2">
        <f t="shared" si="1"/>
        <v>-2.17930976043057E-9</v>
      </c>
      <c r="Z31" s="2">
        <f t="shared" si="3"/>
        <v>8.7055299431085587E-2</v>
      </c>
      <c r="AA31" s="2">
        <f t="shared" si="2"/>
        <v>1.5518518137191961E-9</v>
      </c>
      <c r="AB31" s="2">
        <f t="shared" si="4"/>
        <v>8.198453907867244E-18</v>
      </c>
      <c r="AC31" s="2">
        <f t="shared" si="5"/>
        <v>-3.3819658043801268E-18</v>
      </c>
      <c r="AD31" s="2">
        <f t="shared" si="6"/>
        <v>7.4505805969238281E-9</v>
      </c>
      <c r="AF31" s="2">
        <v>27</v>
      </c>
      <c r="AG31" s="2">
        <f t="shared" si="13"/>
        <v>1613.28125</v>
      </c>
      <c r="AH31" s="2">
        <v>-742.45037584383942</v>
      </c>
      <c r="AI31" s="2">
        <f t="shared" si="14"/>
        <v>1631.8359375</v>
      </c>
      <c r="AJ31" s="2">
        <v>-16.540738108032428</v>
      </c>
      <c r="AK31" s="2">
        <f t="shared" si="9"/>
        <v>1622.55859375</v>
      </c>
      <c r="AL31" s="2">
        <v>32.491519169500634</v>
      </c>
      <c r="AM31" s="2">
        <f t="shared" si="10"/>
        <v>-24123.340619133058</v>
      </c>
      <c r="AN31" s="2">
        <f t="shared" si="11"/>
        <v>-537.43370931482525</v>
      </c>
      <c r="AO31" s="2">
        <f t="shared" si="12"/>
        <v>18.5546875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416.7</v>
      </c>
      <c r="L32" s="6" t="s">
        <v>7</v>
      </c>
      <c r="U32" s="2">
        <v>28</v>
      </c>
      <c r="V32" s="2">
        <f t="shared" si="7"/>
        <v>8.7055299431085587E-2</v>
      </c>
      <c r="W32" s="2">
        <f t="shared" si="0"/>
        <v>1.5518518137191961E-9</v>
      </c>
      <c r="X32" s="2">
        <f t="shared" si="8"/>
        <v>8.7055303156375885E-2</v>
      </c>
      <c r="Y32" s="2">
        <f t="shared" si="1"/>
        <v>-2.17930976043057E-9</v>
      </c>
      <c r="Z32" s="2">
        <f t="shared" si="3"/>
        <v>8.7055301293730736E-2</v>
      </c>
      <c r="AA32" s="2">
        <f t="shared" si="2"/>
        <v>-3.1372897335568695E-10</v>
      </c>
      <c r="AB32" s="2">
        <f t="shared" si="4"/>
        <v>-4.8686087631828414E-19</v>
      </c>
      <c r="AC32" s="2">
        <f t="shared" si="5"/>
        <v>6.837126137639108E-19</v>
      </c>
      <c r="AD32" s="2">
        <f t="shared" si="6"/>
        <v>3.7252902984619141E-9</v>
      </c>
      <c r="AF32" s="2">
        <v>28</v>
      </c>
      <c r="AG32" s="2">
        <f t="shared" si="13"/>
        <v>1613.28125</v>
      </c>
      <c r="AH32" s="2">
        <v>-742.45037584383942</v>
      </c>
      <c r="AI32" s="2">
        <f t="shared" si="14"/>
        <v>1631.8359375</v>
      </c>
      <c r="AJ32" s="2">
        <v>-16.540782079869359</v>
      </c>
      <c r="AK32" s="2">
        <f t="shared" si="9"/>
        <v>1622.55859375</v>
      </c>
      <c r="AL32" s="2">
        <v>32.491541615496544</v>
      </c>
      <c r="AM32" s="2">
        <f t="shared" si="10"/>
        <v>-24123.357284171158</v>
      </c>
      <c r="AN32" s="2">
        <f t="shared" si="11"/>
        <v>-537.43550930093477</v>
      </c>
      <c r="AO32" s="2">
        <f t="shared" si="12"/>
        <v>18.5546875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387.12</v>
      </c>
      <c r="L33" s="6" t="s">
        <v>7</v>
      </c>
      <c r="U33" s="2">
        <v>29</v>
      </c>
      <c r="V33" s="2">
        <f t="shared" si="7"/>
        <v>8.7055299431085587E-2</v>
      </c>
      <c r="W33" s="2">
        <f t="shared" si="0"/>
        <v>1.5518518137191961E-9</v>
      </c>
      <c r="X33" s="2">
        <f t="shared" si="8"/>
        <v>8.7055301293730736E-2</v>
      </c>
      <c r="Y33" s="2">
        <f t="shared" si="1"/>
        <v>-3.1372897335568695E-10</v>
      </c>
      <c r="Z33" s="2">
        <f t="shared" si="3"/>
        <v>8.7055300362408161E-2</v>
      </c>
      <c r="AA33" s="2">
        <f t="shared" si="2"/>
        <v>6.1906142712064849E-10</v>
      </c>
      <c r="AB33" s="2">
        <f t="shared" si="4"/>
        <v>9.606915984807723E-19</v>
      </c>
      <c r="AC33" s="2">
        <f t="shared" si="5"/>
        <v>-1.9421750597466747E-19</v>
      </c>
      <c r="AD33" s="2">
        <f t="shared" si="6"/>
        <v>1.862645149230957E-9</v>
      </c>
      <c r="AF33" s="2">
        <v>29</v>
      </c>
      <c r="AG33" s="2">
        <f t="shared" si="13"/>
        <v>1613.28125</v>
      </c>
      <c r="AH33" s="2">
        <v>-742.45037584383942</v>
      </c>
      <c r="AI33" s="2">
        <f t="shared" si="14"/>
        <v>1631.8359375</v>
      </c>
      <c r="AJ33" s="2">
        <v>-16.540808430237576</v>
      </c>
      <c r="AK33" s="2">
        <f t="shared" si="9"/>
        <v>1622.55859375</v>
      </c>
      <c r="AL33" s="2">
        <v>32.491550556684388</v>
      </c>
      <c r="AM33" s="2">
        <f t="shared" si="10"/>
        <v>-24123.363922559434</v>
      </c>
      <c r="AN33" s="2">
        <f t="shared" si="11"/>
        <v>-537.43651335949551</v>
      </c>
      <c r="AO33" s="2">
        <f t="shared" si="12"/>
        <v>18.5546875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156.87</v>
      </c>
      <c r="L34" s="6" t="s">
        <v>7</v>
      </c>
      <c r="U34" s="2">
        <v>30</v>
      </c>
      <c r="V34" s="2">
        <f t="shared" si="7"/>
        <v>8.7055300362408161E-2</v>
      </c>
      <c r="W34" s="2">
        <f t="shared" si="0"/>
        <v>6.1906142712064849E-10</v>
      </c>
      <c r="X34" s="2">
        <f t="shared" si="8"/>
        <v>8.7055301293730736E-2</v>
      </c>
      <c r="Y34" s="2">
        <f t="shared" si="1"/>
        <v>-3.1372897335568695E-10</v>
      </c>
      <c r="Z34" s="2">
        <f t="shared" si="3"/>
        <v>8.7055300828069448E-2</v>
      </c>
      <c r="AA34" s="2">
        <f t="shared" si="2"/>
        <v>1.5266622688248077E-10</v>
      </c>
      <c r="AB34" s="2">
        <f t="shared" si="4"/>
        <v>9.4509772286993257E-20</v>
      </c>
      <c r="AC34" s="2">
        <f t="shared" si="5"/>
        <v>-4.7895818625927068E-20</v>
      </c>
      <c r="AD34" s="2">
        <f>X34-V34</f>
        <v>9.3132257461547852E-10</v>
      </c>
      <c r="AF34" s="2">
        <v>30</v>
      </c>
      <c r="AG34" s="2">
        <f t="shared" si="13"/>
        <v>1613.28125</v>
      </c>
      <c r="AH34" s="2">
        <v>-742.45037584383942</v>
      </c>
      <c r="AI34" s="2">
        <f t="shared" si="14"/>
        <v>1631.8359375</v>
      </c>
      <c r="AJ34" s="2">
        <v>-16.540817240971592</v>
      </c>
      <c r="AK34" s="2">
        <f t="shared" si="9"/>
        <v>1622.55859375</v>
      </c>
      <c r="AL34" s="2">
        <v>32.491559590899215</v>
      </c>
      <c r="AM34" s="2">
        <f t="shared" si="10"/>
        <v>-24123.370630015626</v>
      </c>
      <c r="AN34" s="2">
        <f t="shared" si="11"/>
        <v>-537.43694906720157</v>
      </c>
      <c r="AO34" s="2">
        <f t="shared" si="12"/>
        <v>18.5546875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193.068857007757</v>
      </c>
      <c r="H35" s="25" t="s">
        <v>101</v>
      </c>
      <c r="J35" s="15" t="s">
        <v>70</v>
      </c>
      <c r="K35" s="6">
        <f>ROUND(SUM(K23:K26),2)</f>
        <v>77.63</v>
      </c>
      <c r="L35" s="6" t="s">
        <v>7</v>
      </c>
      <c r="AF35" s="2">
        <v>31</v>
      </c>
      <c r="AG35" s="2">
        <f t="shared" si="13"/>
        <v>1613.28125</v>
      </c>
      <c r="AH35" s="2">
        <v>-742.45037584383942</v>
      </c>
      <c r="AI35" s="2">
        <f t="shared" si="14"/>
        <v>1631.8359375</v>
      </c>
      <c r="AJ35" s="2">
        <v>-16.540826010788578</v>
      </c>
      <c r="AK35" s="2">
        <f t="shared" si="9"/>
        <v>1622.55859375</v>
      </c>
      <c r="AL35" s="2">
        <v>32.491561826196858</v>
      </c>
      <c r="AM35" s="2">
        <f t="shared" si="10"/>
        <v>-24123.372289613202</v>
      </c>
      <c r="AN35" s="2">
        <f t="shared" si="11"/>
        <v>-537.43727098590216</v>
      </c>
      <c r="AO35" s="2">
        <f t="shared" si="12"/>
        <v>18.5546875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1638.3200000000002</v>
      </c>
      <c r="L36" s="6" t="s">
        <v>7</v>
      </c>
      <c r="AF36" s="2">
        <v>32</v>
      </c>
      <c r="AG36" s="2">
        <f t="shared" si="13"/>
        <v>1613.28125</v>
      </c>
      <c r="AH36" s="2">
        <v>-742.45037584383942</v>
      </c>
      <c r="AI36" s="2">
        <f t="shared" si="14"/>
        <v>1631.8359375</v>
      </c>
      <c r="AJ36" s="2">
        <v>-16.540828213471741</v>
      </c>
      <c r="AK36" s="2">
        <f t="shared" si="9"/>
        <v>1622.55859375</v>
      </c>
      <c r="AL36" s="2">
        <v>32.491562943845111</v>
      </c>
      <c r="AM36" s="2">
        <f t="shared" si="10"/>
        <v>-24123.373119411568</v>
      </c>
      <c r="AN36" s="2">
        <f t="shared" si="11"/>
        <v>-537.43736104134609</v>
      </c>
      <c r="AO36" s="2">
        <f t="shared" si="12"/>
        <v>18.5546875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1613.28125</v>
      </c>
      <c r="AH37" s="2">
        <v>-742.45037584383942</v>
      </c>
      <c r="AI37" s="2">
        <f t="shared" si="14"/>
        <v>1631.8359375</v>
      </c>
      <c r="AJ37" s="2">
        <v>-16.540829314813891</v>
      </c>
      <c r="AK37" s="2">
        <f t="shared" si="9"/>
        <v>1622.55859375</v>
      </c>
      <c r="AL37" s="2">
        <v>32.491563502668896</v>
      </c>
      <c r="AM37" s="2">
        <f t="shared" si="10"/>
        <v>-24123.373534310496</v>
      </c>
      <c r="AN37" s="2">
        <f t="shared" si="11"/>
        <v>-537.43740606908273</v>
      </c>
      <c r="AO37" s="2">
        <f t="shared" si="12"/>
        <v>18.5546875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1613.28125</v>
      </c>
      <c r="AH38" s="2">
        <v>-742.45037584383942</v>
      </c>
      <c r="AI38" s="2">
        <f t="shared" si="14"/>
        <v>1631.8359375</v>
      </c>
      <c r="AJ38" s="2">
        <v>-16.540829865484739</v>
      </c>
      <c r="AK38" s="2">
        <f t="shared" si="9"/>
        <v>1622.55859375</v>
      </c>
      <c r="AL38" s="2">
        <v>32.491563782081357</v>
      </c>
      <c r="AM38" s="2">
        <f t="shared" si="10"/>
        <v>-24123.373741760384</v>
      </c>
      <c r="AN38" s="2">
        <f t="shared" si="11"/>
        <v>-537.43742858295354</v>
      </c>
      <c r="AO38" s="2">
        <f t="shared" si="12"/>
        <v>18.5546875</v>
      </c>
    </row>
    <row r="39" spans="2:41" x14ac:dyDescent="0.2">
      <c r="J39" s="6" t="s">
        <v>57</v>
      </c>
      <c r="K39" s="6">
        <f>ROUND($C$13/$C$5 * 100, 2)</f>
        <v>36.619999999999997</v>
      </c>
      <c r="L39" s="6" t="s">
        <v>58</v>
      </c>
      <c r="AF39" s="2">
        <v>35</v>
      </c>
      <c r="AG39" s="2">
        <f t="shared" si="13"/>
        <v>1613.28125</v>
      </c>
      <c r="AH39" s="2">
        <v>-742.45037584383942</v>
      </c>
      <c r="AI39" s="2">
        <f t="shared" si="14"/>
        <v>1631.8359375</v>
      </c>
      <c r="AJ39" s="2">
        <v>-16.540830140820162</v>
      </c>
      <c r="AK39" s="2">
        <f t="shared" si="9"/>
        <v>1622.55859375</v>
      </c>
      <c r="AL39" s="2">
        <v>32.491563921787474</v>
      </c>
      <c r="AM39" s="2">
        <f t="shared" si="10"/>
        <v>-24123.373845485243</v>
      </c>
      <c r="AN39" s="2">
        <f t="shared" si="11"/>
        <v>-537.43743983988725</v>
      </c>
      <c r="AO39" s="2">
        <f t="shared" si="12"/>
        <v>18.5546875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25.43</v>
      </c>
      <c r="L40" s="6" t="s">
        <v>58</v>
      </c>
      <c r="AF40" s="2">
        <v>36</v>
      </c>
      <c r="AG40" s="2">
        <f t="shared" si="13"/>
        <v>1613.28125</v>
      </c>
      <c r="AH40" s="2">
        <v>-742.45037584383942</v>
      </c>
      <c r="AI40" s="2">
        <f t="shared" si="14"/>
        <v>1631.8359375</v>
      </c>
      <c r="AJ40" s="2">
        <v>-16.540830278488102</v>
      </c>
      <c r="AK40" s="2">
        <f t="shared" si="9"/>
        <v>1622.55859375</v>
      </c>
      <c r="AL40" s="2">
        <v>32.491563991640533</v>
      </c>
      <c r="AM40" s="2">
        <f t="shared" si="10"/>
        <v>-24123.373897347672</v>
      </c>
      <c r="AN40" s="2">
        <f t="shared" si="11"/>
        <v>-537.43744546836149</v>
      </c>
      <c r="AO40" s="2">
        <f t="shared" si="12"/>
        <v>18.5546875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23.63</v>
      </c>
      <c r="L41" s="6" t="s">
        <v>58</v>
      </c>
      <c r="AF41" s="2">
        <v>37</v>
      </c>
      <c r="AG41" s="2">
        <f t="shared" si="13"/>
        <v>1613.28125</v>
      </c>
      <c r="AH41" s="2">
        <v>-742.45037584383942</v>
      </c>
      <c r="AI41" s="2">
        <f t="shared" si="14"/>
        <v>1631.8359375</v>
      </c>
      <c r="AJ41" s="2">
        <v>-16.540830347321844</v>
      </c>
      <c r="AK41" s="2">
        <f t="shared" si="9"/>
        <v>1622.55859375</v>
      </c>
      <c r="AL41" s="2">
        <v>32.491564026566721</v>
      </c>
      <c r="AM41" s="2">
        <f t="shared" si="10"/>
        <v>-24123.373923278636</v>
      </c>
      <c r="AN41" s="2">
        <f t="shared" si="11"/>
        <v>-537.43744828258559</v>
      </c>
      <c r="AO41" s="2">
        <f t="shared" si="12"/>
        <v>18.5546875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9.57</v>
      </c>
      <c r="L42" s="6" t="s">
        <v>58</v>
      </c>
      <c r="AF42" s="2">
        <v>38</v>
      </c>
      <c r="AG42" s="2">
        <f t="shared" si="13"/>
        <v>1613.28125</v>
      </c>
      <c r="AH42" s="2">
        <v>-742.45037584383942</v>
      </c>
      <c r="AI42" s="2">
        <f t="shared" si="14"/>
        <v>1631.8359375</v>
      </c>
      <c r="AJ42" s="2">
        <v>-16.540830381738488</v>
      </c>
      <c r="AK42" s="2">
        <f t="shared" si="9"/>
        <v>1622.55859375</v>
      </c>
      <c r="AL42" s="2">
        <v>32.491564044030156</v>
      </c>
      <c r="AM42" s="2">
        <f t="shared" si="10"/>
        <v>-24123.373936244367</v>
      </c>
      <c r="AN42" s="2">
        <f t="shared" si="11"/>
        <v>-537.43744968969588</v>
      </c>
      <c r="AO42" s="2">
        <f t="shared" si="12"/>
        <v>18.5546875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1613.28125</v>
      </c>
      <c r="AH43" s="2">
        <v>-742.45037584383942</v>
      </c>
      <c r="AI43" s="2">
        <f t="shared" si="14"/>
        <v>1631.8359375</v>
      </c>
      <c r="AJ43" s="2">
        <v>-16.540830398947492</v>
      </c>
      <c r="AK43" s="2">
        <f t="shared" si="9"/>
        <v>1622.55859375</v>
      </c>
      <c r="AL43" s="2">
        <v>32.491564052761305</v>
      </c>
      <c r="AM43" s="2">
        <f t="shared" si="10"/>
        <v>-24123.373942726812</v>
      </c>
      <c r="AN43" s="2">
        <f t="shared" si="11"/>
        <v>-537.4374503932637</v>
      </c>
      <c r="AO43" s="2">
        <f t="shared" si="12"/>
        <v>18.5546875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1613.28125</v>
      </c>
      <c r="AH44" s="2">
        <v>-742.45037584383942</v>
      </c>
      <c r="AI44" s="2">
        <f t="shared" si="14"/>
        <v>1631.8359375</v>
      </c>
      <c r="AJ44" s="2">
        <v>-16.540830407551539</v>
      </c>
      <c r="AK44" s="5">
        <f>(AG44+AI44)/2</f>
        <v>1622.55859375</v>
      </c>
      <c r="AL44" s="2">
        <v>32.491564057127334</v>
      </c>
      <c r="AM44" s="2">
        <f t="shared" si="10"/>
        <v>-24123.373945968375</v>
      </c>
      <c r="AN44" s="2">
        <f t="shared" si="11"/>
        <v>-537.43745074504045</v>
      </c>
      <c r="AO44" s="2">
        <f t="shared" si="12"/>
        <v>18.5546875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1424.1089740963505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36.619999999999997</v>
      </c>
      <c r="L47" s="6" t="s">
        <v>58</v>
      </c>
      <c r="N47" s="6" t="s">
        <v>154</v>
      </c>
      <c r="O47" s="6">
        <f>0.377*O46^0.6945</f>
        <v>58.408643302425183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25.43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37.94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multirotor_opt_400_test_400</vt:lpstr>
      <vt:lpstr>multirotor_opt_400_test_550</vt:lpstr>
      <vt:lpstr>multirotor_opt_550_test_550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2025-05-08T10:02:46Z</dcterms:modified>
</cp:coreProperties>
</file>