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4_suboptimal_performance_evaluation/selection_by_weight/liftcruise/"/>
    </mc:Choice>
  </mc:AlternateContent>
  <xr:revisionPtr revIDLastSave="0" documentId="13_ncr:1_{00D621BB-7E3B-2D48-9FCF-0268FB7F83BF}" xr6:coauthVersionLast="47" xr6:coauthVersionMax="47" xr10:uidLastSave="{00000000-0000-0000-0000-000000000000}"/>
  <bookViews>
    <workbookView xWindow="15320" yWindow="740" windowWidth="14920" windowHeight="18900" activeTab="1" xr2:uid="{843CD013-835A-1741-B375-CD508AE79BD2}"/>
  </bookViews>
  <sheets>
    <sheet name="liftcruise_opt_250_test_250" sheetId="12" r:id="rId1"/>
    <sheet name="liftcruise_opt_250_test_550" sheetId="19" r:id="rId2"/>
    <sheet name="liftcruise_opt_550_test_550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20" l="1"/>
  <c r="C55" i="20"/>
  <c r="C51" i="20"/>
  <c r="C50" i="20"/>
  <c r="AN44" i="20"/>
  <c r="AM44" i="20"/>
  <c r="AN43" i="20"/>
  <c r="AM43" i="20"/>
  <c r="AN42" i="20"/>
  <c r="AM42" i="20"/>
  <c r="AN41" i="20"/>
  <c r="AM41" i="20"/>
  <c r="C41" i="20"/>
  <c r="K21" i="20" s="1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AN33" i="20"/>
  <c r="AM33" i="20"/>
  <c r="AN32" i="20"/>
  <c r="AM32" i="20"/>
  <c r="G32" i="20"/>
  <c r="AN31" i="20"/>
  <c r="AM31" i="20"/>
  <c r="AN30" i="20"/>
  <c r="AM30" i="20"/>
  <c r="AN29" i="20"/>
  <c r="AM29" i="20"/>
  <c r="K29" i="20"/>
  <c r="G29" i="20"/>
  <c r="G27" i="20" s="1"/>
  <c r="AN28" i="20"/>
  <c r="AM28" i="20"/>
  <c r="K28" i="20"/>
  <c r="AN27" i="20"/>
  <c r="AM27" i="20"/>
  <c r="K27" i="20"/>
  <c r="AN26" i="20"/>
  <c r="AM26" i="20"/>
  <c r="K26" i="20"/>
  <c r="G26" i="20"/>
  <c r="AN25" i="20"/>
  <c r="AM25" i="20"/>
  <c r="G25" i="20"/>
  <c r="AN24" i="20"/>
  <c r="AM24" i="20"/>
  <c r="K24" i="20"/>
  <c r="G24" i="20"/>
  <c r="AN23" i="20"/>
  <c r="AM23" i="20"/>
  <c r="K23" i="20"/>
  <c r="G23" i="20"/>
  <c r="C23" i="20"/>
  <c r="AN22" i="20"/>
  <c r="AM22" i="20"/>
  <c r="O22" i="20"/>
  <c r="K22" i="20"/>
  <c r="AN21" i="20"/>
  <c r="AM21" i="20"/>
  <c r="O21" i="20"/>
  <c r="G14" i="20" s="1"/>
  <c r="G15" i="20" s="1"/>
  <c r="AN20" i="20"/>
  <c r="AM20" i="20"/>
  <c r="K20" i="20"/>
  <c r="AN19" i="20"/>
  <c r="AM19" i="20"/>
  <c r="O19" i="20"/>
  <c r="AN18" i="20"/>
  <c r="AM18" i="20"/>
  <c r="AN17" i="20"/>
  <c r="AM17" i="20"/>
  <c r="C17" i="20"/>
  <c r="AN16" i="20"/>
  <c r="AM16" i="20"/>
  <c r="C16" i="20"/>
  <c r="AN15" i="20"/>
  <c r="AM15" i="20"/>
  <c r="AN14" i="20"/>
  <c r="AM14" i="20"/>
  <c r="K14" i="20"/>
  <c r="AN13" i="20"/>
  <c r="AM13" i="20"/>
  <c r="AN12" i="20"/>
  <c r="AM12" i="20"/>
  <c r="AN11" i="20"/>
  <c r="AM11" i="20"/>
  <c r="O11" i="20"/>
  <c r="C11" i="20"/>
  <c r="C30" i="20" s="1"/>
  <c r="AN10" i="20"/>
  <c r="AM10" i="20"/>
  <c r="AN9" i="20"/>
  <c r="AM9" i="20"/>
  <c r="O9" i="20"/>
  <c r="C9" i="20"/>
  <c r="AN8" i="20"/>
  <c r="AM8" i="20"/>
  <c r="AN7" i="20"/>
  <c r="AM7" i="20"/>
  <c r="G7" i="20"/>
  <c r="C7" i="20"/>
  <c r="AN6" i="20"/>
  <c r="AM6" i="20"/>
  <c r="O6" i="20"/>
  <c r="AO5" i="20"/>
  <c r="AN5" i="20"/>
  <c r="AI6" i="20" s="1"/>
  <c r="AM5" i="20"/>
  <c r="AG6" i="20" s="1"/>
  <c r="AK5" i="20"/>
  <c r="G5" i="20"/>
  <c r="G6" i="20" s="1"/>
  <c r="AD4" i="20"/>
  <c r="Z4" i="20"/>
  <c r="O4" i="20"/>
  <c r="G4" i="20"/>
  <c r="G10" i="20" s="1"/>
  <c r="C56" i="19"/>
  <c r="C55" i="19"/>
  <c r="C51" i="19"/>
  <c r="C50" i="19"/>
  <c r="AN44" i="19"/>
  <c r="AM44" i="19"/>
  <c r="AN43" i="19"/>
  <c r="AM43" i="19"/>
  <c r="AN42" i="19"/>
  <c r="AM42" i="19"/>
  <c r="AN41" i="19"/>
  <c r="AM41" i="19"/>
  <c r="C41" i="19"/>
  <c r="K21" i="19" s="1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AN33" i="19"/>
  <c r="AM33" i="19"/>
  <c r="AN32" i="19"/>
  <c r="AM32" i="19"/>
  <c r="G32" i="19"/>
  <c r="AN31" i="19"/>
  <c r="AM31" i="19"/>
  <c r="AN30" i="19"/>
  <c r="AM30" i="19"/>
  <c r="AN29" i="19"/>
  <c r="AM29" i="19"/>
  <c r="K29" i="19"/>
  <c r="G29" i="19"/>
  <c r="G27" i="19" s="1"/>
  <c r="AN28" i="19"/>
  <c r="AM28" i="19"/>
  <c r="K28" i="19"/>
  <c r="AN27" i="19"/>
  <c r="AM27" i="19"/>
  <c r="K27" i="19"/>
  <c r="AN26" i="19"/>
  <c r="AM26" i="19"/>
  <c r="K26" i="19"/>
  <c r="G26" i="19"/>
  <c r="AN25" i="19"/>
  <c r="AM25" i="19"/>
  <c r="G25" i="19"/>
  <c r="AN24" i="19"/>
  <c r="AM24" i="19"/>
  <c r="K24" i="19"/>
  <c r="G24" i="19"/>
  <c r="AN23" i="19"/>
  <c r="AM23" i="19"/>
  <c r="K23" i="19"/>
  <c r="G23" i="19"/>
  <c r="C23" i="19"/>
  <c r="AN22" i="19"/>
  <c r="AM22" i="19"/>
  <c r="K22" i="19"/>
  <c r="AN21" i="19"/>
  <c r="AM21" i="19"/>
  <c r="O21" i="19"/>
  <c r="AN20" i="19"/>
  <c r="AM20" i="19"/>
  <c r="K20" i="19"/>
  <c r="AN19" i="19"/>
  <c r="AM19" i="19"/>
  <c r="O19" i="19"/>
  <c r="AN18" i="19"/>
  <c r="AM18" i="19"/>
  <c r="AN17" i="19"/>
  <c r="AM17" i="19"/>
  <c r="C17" i="19"/>
  <c r="AN16" i="19"/>
  <c r="AM16" i="19"/>
  <c r="C16" i="19"/>
  <c r="AN15" i="19"/>
  <c r="AM15" i="19"/>
  <c r="AN14" i="19"/>
  <c r="AM14" i="19"/>
  <c r="K14" i="19"/>
  <c r="G14" i="19"/>
  <c r="G15" i="19" s="1"/>
  <c r="AN13" i="19"/>
  <c r="AM13" i="19"/>
  <c r="AN12" i="19"/>
  <c r="AM12" i="19"/>
  <c r="AN11" i="19"/>
  <c r="AM11" i="19"/>
  <c r="O11" i="19"/>
  <c r="C11" i="19"/>
  <c r="C30" i="19" s="1"/>
  <c r="AN10" i="19"/>
  <c r="AM10" i="19"/>
  <c r="AN9" i="19"/>
  <c r="AM9" i="19"/>
  <c r="O9" i="19"/>
  <c r="C9" i="19"/>
  <c r="AN8" i="19"/>
  <c r="AM8" i="19"/>
  <c r="AN7" i="19"/>
  <c r="AM7" i="19"/>
  <c r="G7" i="19"/>
  <c r="C7" i="19"/>
  <c r="AN6" i="19"/>
  <c r="AM6" i="19"/>
  <c r="O6" i="19"/>
  <c r="AO5" i="19"/>
  <c r="AN5" i="19"/>
  <c r="AI6" i="19" s="1"/>
  <c r="AM5" i="19"/>
  <c r="AG6" i="19" s="1"/>
  <c r="AK6" i="19" s="1"/>
  <c r="AK5" i="19"/>
  <c r="G5" i="19"/>
  <c r="G6" i="19" s="1"/>
  <c r="AD4" i="19"/>
  <c r="Z4" i="19"/>
  <c r="O4" i="19"/>
  <c r="G4" i="19"/>
  <c r="G10" i="19" s="1"/>
  <c r="O9" i="12"/>
  <c r="O10" i="12" s="1"/>
  <c r="C7" i="12"/>
  <c r="C17" i="12"/>
  <c r="G32" i="12"/>
  <c r="O25" i="20" l="1"/>
  <c r="K46" i="20"/>
  <c r="AG7" i="20"/>
  <c r="K38" i="20"/>
  <c r="AO6" i="20"/>
  <c r="G28" i="20"/>
  <c r="AI7" i="19"/>
  <c r="K38" i="19"/>
  <c r="G13" i="20"/>
  <c r="K11" i="20" s="1"/>
  <c r="O5" i="20"/>
  <c r="AK6" i="20"/>
  <c r="AI7" i="20" s="1"/>
  <c r="AO7" i="20" s="1"/>
  <c r="K25" i="20"/>
  <c r="K37" i="20" s="1"/>
  <c r="G8" i="20"/>
  <c r="G9" i="20" s="1"/>
  <c r="K4" i="20"/>
  <c r="K42" i="20"/>
  <c r="O12" i="20"/>
  <c r="O13" i="20" s="1"/>
  <c r="O16" i="20" s="1"/>
  <c r="K34" i="20"/>
  <c r="G28" i="19"/>
  <c r="K46" i="19"/>
  <c r="AG7" i="19"/>
  <c r="AK7" i="19" s="1"/>
  <c r="AI8" i="19" s="1"/>
  <c r="G13" i="19"/>
  <c r="K11" i="19" s="1"/>
  <c r="O5" i="19"/>
  <c r="O22" i="19"/>
  <c r="O25" i="19" s="1"/>
  <c r="AO7" i="19"/>
  <c r="AO6" i="19"/>
  <c r="K4" i="19"/>
  <c r="G8" i="19"/>
  <c r="G9" i="19" s="1"/>
  <c r="K25" i="19"/>
  <c r="K37" i="19" s="1"/>
  <c r="K34" i="19"/>
  <c r="K42" i="19"/>
  <c r="O12" i="19"/>
  <c r="O13" i="19" s="1"/>
  <c r="O16" i="19" s="1"/>
  <c r="C9" i="12"/>
  <c r="O11" i="12"/>
  <c r="O5" i="12"/>
  <c r="O19" i="12"/>
  <c r="AG8" i="19" l="1"/>
  <c r="K45" i="20"/>
  <c r="K5" i="20"/>
  <c r="AK7" i="20"/>
  <c r="AG8" i="20" s="1"/>
  <c r="O14" i="20"/>
  <c r="O10" i="20"/>
  <c r="K45" i="19"/>
  <c r="AO8" i="19"/>
  <c r="AK8" i="19"/>
  <c r="AI9" i="19" s="1"/>
  <c r="K5" i="19"/>
  <c r="O14" i="19"/>
  <c r="O10" i="19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O22" i="12" s="1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K11" i="12" s="1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G9" i="19" l="1"/>
  <c r="AK9" i="19" s="1"/>
  <c r="AI8" i="20"/>
  <c r="AK8" i="20"/>
  <c r="AI9" i="20" s="1"/>
  <c r="AG9" i="20"/>
  <c r="AO8" i="20"/>
  <c r="O20" i="20"/>
  <c r="O15" i="20"/>
  <c r="O20" i="19"/>
  <c r="O15" i="19"/>
  <c r="AO9" i="19"/>
  <c r="AG6" i="12"/>
  <c r="G14" i="12"/>
  <c r="G15" i="12" s="1"/>
  <c r="O25" i="12"/>
  <c r="G6" i="12"/>
  <c r="AI6" i="12"/>
  <c r="G25" i="12"/>
  <c r="K42" i="12"/>
  <c r="AG10" i="19" l="1"/>
  <c r="AI10" i="19"/>
  <c r="AK9" i="20"/>
  <c r="AG10" i="20" s="1"/>
  <c r="G16" i="20"/>
  <c r="O23" i="20"/>
  <c r="K16" i="20"/>
  <c r="O28" i="20"/>
  <c r="O30" i="20" s="1"/>
  <c r="AO9" i="20"/>
  <c r="AI10" i="20"/>
  <c r="AO10" i="19"/>
  <c r="AI11" i="19"/>
  <c r="G16" i="19"/>
  <c r="O23" i="19"/>
  <c r="K16" i="19"/>
  <c r="O28" i="19"/>
  <c r="O30" i="19" s="1"/>
  <c r="AK10" i="19"/>
  <c r="AG11" i="19" s="1"/>
  <c r="AO6" i="12"/>
  <c r="AK6" i="12"/>
  <c r="AG7" i="12" s="1"/>
  <c r="AO10" i="20" l="1"/>
  <c r="AK10" i="20"/>
  <c r="AG11" i="20" s="1"/>
  <c r="G19" i="20"/>
  <c r="W4" i="20"/>
  <c r="Y4" i="20"/>
  <c r="AA4" i="20"/>
  <c r="AK11" i="19"/>
  <c r="AI12" i="19" s="1"/>
  <c r="AG12" i="19"/>
  <c r="AK12" i="19" s="1"/>
  <c r="AG13" i="19" s="1"/>
  <c r="G19" i="19"/>
  <c r="Y4" i="19"/>
  <c r="W4" i="19"/>
  <c r="AA4" i="19"/>
  <c r="AO11" i="19"/>
  <c r="AI7" i="12"/>
  <c r="AO7" i="12" s="1"/>
  <c r="AI11" i="20" l="1"/>
  <c r="AK11" i="20"/>
  <c r="AI12" i="20" s="1"/>
  <c r="AG12" i="20"/>
  <c r="AO11" i="20"/>
  <c r="AC4" i="20"/>
  <c r="X5" i="20" s="1"/>
  <c r="AB4" i="20"/>
  <c r="V5" i="20" s="1"/>
  <c r="AC4" i="19"/>
  <c r="X5" i="19" s="1"/>
  <c r="Y5" i="19" s="1"/>
  <c r="AB4" i="19"/>
  <c r="V5" i="19" s="1"/>
  <c r="AO12" i="19"/>
  <c r="AI13" i="19"/>
  <c r="AO13" i="19" s="1"/>
  <c r="AK7" i="12"/>
  <c r="AI8" i="12" s="1"/>
  <c r="AK12" i="20" l="1"/>
  <c r="AG13" i="20" s="1"/>
  <c r="Z5" i="20"/>
  <c r="AA5" i="20" s="1"/>
  <c r="W5" i="20"/>
  <c r="AD5" i="20"/>
  <c r="Y5" i="20"/>
  <c r="AC5" i="20" s="1"/>
  <c r="X6" i="20" s="1"/>
  <c r="AO12" i="20"/>
  <c r="AI13" i="20"/>
  <c r="AO13" i="20" s="1"/>
  <c r="Z5" i="19"/>
  <c r="AA5" i="19" s="1"/>
  <c r="AC5" i="19" s="1"/>
  <c r="X6" i="19" s="1"/>
  <c r="W5" i="19"/>
  <c r="AB5" i="19" s="1"/>
  <c r="V6" i="19" s="1"/>
  <c r="AK13" i="19"/>
  <c r="AD5" i="19"/>
  <c r="AG8" i="12"/>
  <c r="AO8" i="12" s="1"/>
  <c r="AI14" i="19" l="1"/>
  <c r="AG14" i="19"/>
  <c r="AB5" i="20"/>
  <c r="V6" i="20" s="1"/>
  <c r="AD6" i="20" s="1"/>
  <c r="Y6" i="20"/>
  <c r="AK13" i="20"/>
  <c r="AO14" i="19"/>
  <c r="AK14" i="19"/>
  <c r="AG15" i="19" s="1"/>
  <c r="Z6" i="19"/>
  <c r="AA6" i="19" s="1"/>
  <c r="W6" i="19"/>
  <c r="AD6" i="19"/>
  <c r="Y6" i="19"/>
  <c r="AK8" i="12"/>
  <c r="AI9" i="12" s="1"/>
  <c r="Z6" i="20" l="1"/>
  <c r="AA6" i="20" s="1"/>
  <c r="AC6" i="20" s="1"/>
  <c r="X7" i="20" s="1"/>
  <c r="W6" i="20"/>
  <c r="AB6" i="20" s="1"/>
  <c r="V7" i="20" s="1"/>
  <c r="W7" i="20" s="1"/>
  <c r="AI15" i="19"/>
  <c r="AK15" i="19" s="1"/>
  <c r="AI14" i="20"/>
  <c r="AG14" i="20"/>
  <c r="AO14" i="20" s="1"/>
  <c r="AC6" i="19"/>
  <c r="X7" i="19" s="1"/>
  <c r="AB6" i="19"/>
  <c r="V7" i="19" s="1"/>
  <c r="AG9" i="12"/>
  <c r="AO9" i="12" s="1"/>
  <c r="AK14" i="20" l="1"/>
  <c r="AG15" i="20" s="1"/>
  <c r="AG16" i="19"/>
  <c r="AI16" i="19"/>
  <c r="AO15" i="19"/>
  <c r="AI15" i="20"/>
  <c r="AK15" i="20"/>
  <c r="AI16" i="20" s="1"/>
  <c r="AG16" i="20"/>
  <c r="AD7" i="20"/>
  <c r="Y7" i="20"/>
  <c r="AO15" i="20"/>
  <c r="Z7" i="20"/>
  <c r="AA7" i="20" s="1"/>
  <c r="AB7" i="20" s="1"/>
  <c r="V8" i="20" s="1"/>
  <c r="AO16" i="19"/>
  <c r="Z7" i="19"/>
  <c r="AA7" i="19" s="1"/>
  <c r="W7" i="19"/>
  <c r="AD7" i="19"/>
  <c r="Y7" i="19"/>
  <c r="AK9" i="12"/>
  <c r="AI10" i="12" s="1"/>
  <c r="AK16" i="19" l="1"/>
  <c r="AG17" i="19" s="1"/>
  <c r="AC7" i="19"/>
  <c r="X8" i="19" s="1"/>
  <c r="AK16" i="20"/>
  <c r="AG17" i="20" s="1"/>
  <c r="W8" i="20"/>
  <c r="AC7" i="20"/>
  <c r="X8" i="20" s="1"/>
  <c r="AO16" i="20"/>
  <c r="AI17" i="20"/>
  <c r="AI17" i="19"/>
  <c r="AK17" i="19" s="1"/>
  <c r="Y8" i="19"/>
  <c r="AB7" i="19"/>
  <c r="V8" i="19" s="1"/>
  <c r="AO17" i="19"/>
  <c r="AG10" i="12"/>
  <c r="AO10" i="12" s="1"/>
  <c r="AO17" i="20" l="1"/>
  <c r="AK17" i="20"/>
  <c r="AG18" i="20" s="1"/>
  <c r="AD8" i="20"/>
  <c r="Y8" i="20"/>
  <c r="Z8" i="20"/>
  <c r="AA8" i="20" s="1"/>
  <c r="AB8" i="20" s="1"/>
  <c r="V9" i="20" s="1"/>
  <c r="AG18" i="19"/>
  <c r="AI18" i="19"/>
  <c r="AO18" i="19"/>
  <c r="Z8" i="19"/>
  <c r="AA8" i="19" s="1"/>
  <c r="AC8" i="19" s="1"/>
  <c r="X9" i="19" s="1"/>
  <c r="W8" i="19"/>
  <c r="AK18" i="19"/>
  <c r="AG19" i="19" s="1"/>
  <c r="AD8" i="19"/>
  <c r="AK10" i="12"/>
  <c r="AI18" i="20" l="1"/>
  <c r="AK18" i="20" s="1"/>
  <c r="AI19" i="20" s="1"/>
  <c r="AB8" i="19"/>
  <c r="V9" i="19" s="1"/>
  <c r="W9" i="20"/>
  <c r="AC8" i="20"/>
  <c r="X9" i="20" s="1"/>
  <c r="AG19" i="20"/>
  <c r="AO18" i="20"/>
  <c r="AI19" i="19"/>
  <c r="AK19" i="19" s="1"/>
  <c r="Z9" i="19"/>
  <c r="AA9" i="19" s="1"/>
  <c r="W9" i="19"/>
  <c r="AD9" i="19"/>
  <c r="Y9" i="19"/>
  <c r="AC9" i="19" s="1"/>
  <c r="X10" i="19" s="1"/>
  <c r="AO19" i="19"/>
  <c r="AG11" i="12"/>
  <c r="AI11" i="12"/>
  <c r="AO19" i="20" l="1"/>
  <c r="AK19" i="20"/>
  <c r="AI20" i="20" s="1"/>
  <c r="AG20" i="20"/>
  <c r="AD9" i="20"/>
  <c r="Y9" i="20"/>
  <c r="Z9" i="20"/>
  <c r="AA9" i="20" s="1"/>
  <c r="AB9" i="20" s="1"/>
  <c r="V10" i="20" s="1"/>
  <c r="AG20" i="19"/>
  <c r="AI20" i="19"/>
  <c r="AO20" i="19"/>
  <c r="Y10" i="19"/>
  <c r="AB9" i="19"/>
  <c r="V10" i="19" s="1"/>
  <c r="AK20" i="19"/>
  <c r="AG21" i="19" s="1"/>
  <c r="AO11" i="12"/>
  <c r="AK11" i="12"/>
  <c r="W10" i="20" l="1"/>
  <c r="AC9" i="20"/>
  <c r="X10" i="20" s="1"/>
  <c r="AK20" i="20"/>
  <c r="AI21" i="20" s="1"/>
  <c r="AG21" i="20"/>
  <c r="AO20" i="20"/>
  <c r="AI21" i="19"/>
  <c r="AK21" i="19" s="1"/>
  <c r="Z10" i="19"/>
  <c r="AA10" i="19" s="1"/>
  <c r="AC10" i="19" s="1"/>
  <c r="X11" i="19" s="1"/>
  <c r="W10" i="19"/>
  <c r="AD10" i="19"/>
  <c r="AO21" i="19"/>
  <c r="AI12" i="12"/>
  <c r="AG12" i="12"/>
  <c r="AK21" i="20" l="1"/>
  <c r="AI22" i="20" s="1"/>
  <c r="AO21" i="20"/>
  <c r="AD10" i="20"/>
  <c r="Y10" i="20"/>
  <c r="Z10" i="20"/>
  <c r="AA10" i="20" s="1"/>
  <c r="AB10" i="20" s="1"/>
  <c r="V11" i="20" s="1"/>
  <c r="AB10" i="19"/>
  <c r="V11" i="19" s="1"/>
  <c r="W11" i="19" s="1"/>
  <c r="AG22" i="19"/>
  <c r="AI22" i="19"/>
  <c r="Y11" i="19"/>
  <c r="AO12" i="12"/>
  <c r="AK12" i="12"/>
  <c r="AG22" i="20" l="1"/>
  <c r="AO22" i="19"/>
  <c r="Z11" i="19"/>
  <c r="AA11" i="19" s="1"/>
  <c r="AB11" i="19" s="1"/>
  <c r="V12" i="19" s="1"/>
  <c r="W12" i="19" s="1"/>
  <c r="AD11" i="19"/>
  <c r="AK22" i="19"/>
  <c r="AG23" i="19" s="1"/>
  <c r="W11" i="20"/>
  <c r="AC10" i="20"/>
  <c r="X11" i="20" s="1"/>
  <c r="AK22" i="20"/>
  <c r="AI23" i="20" s="1"/>
  <c r="AG23" i="20"/>
  <c r="AO22" i="20"/>
  <c r="AI23" i="19"/>
  <c r="AK23" i="19" s="1"/>
  <c r="AC11" i="19"/>
  <c r="X12" i="19" s="1"/>
  <c r="AG13" i="12"/>
  <c r="AI13" i="12"/>
  <c r="AO23" i="19" l="1"/>
  <c r="AG24" i="19"/>
  <c r="AI24" i="19"/>
  <c r="AK23" i="20"/>
  <c r="AI24" i="20" s="1"/>
  <c r="AG24" i="20"/>
  <c r="AO23" i="20"/>
  <c r="AD11" i="20"/>
  <c r="Y11" i="20"/>
  <c r="Z11" i="20"/>
  <c r="AA11" i="20" s="1"/>
  <c r="AB11" i="20" s="1"/>
  <c r="V12" i="20" s="1"/>
  <c r="AD12" i="19"/>
  <c r="Y12" i="19"/>
  <c r="Z12" i="19"/>
  <c r="AA12" i="19" s="1"/>
  <c r="AB12" i="19" s="1"/>
  <c r="V13" i="19" s="1"/>
  <c r="AK13" i="12"/>
  <c r="AO13" i="12"/>
  <c r="AK24" i="19" l="1"/>
  <c r="AG25" i="19" s="1"/>
  <c r="AO24" i="19"/>
  <c r="W12" i="20"/>
  <c r="AC11" i="20"/>
  <c r="X12" i="20" s="1"/>
  <c r="AK24" i="20"/>
  <c r="AI25" i="20" s="1"/>
  <c r="AO24" i="20"/>
  <c r="AI25" i="19"/>
  <c r="AK25" i="19" s="1"/>
  <c r="W13" i="19"/>
  <c r="AO25" i="19"/>
  <c r="AC12" i="19"/>
  <c r="X13" i="19" s="1"/>
  <c r="AI14" i="12"/>
  <c r="AG14" i="12"/>
  <c r="AG25" i="20" l="1"/>
  <c r="AK25" i="20"/>
  <c r="AI26" i="20" s="1"/>
  <c r="AG26" i="20"/>
  <c r="AO25" i="20"/>
  <c r="AD12" i="20"/>
  <c r="Y12" i="20"/>
  <c r="Z12" i="20"/>
  <c r="AA12" i="20" s="1"/>
  <c r="AB12" i="20" s="1"/>
  <c r="V13" i="20" s="1"/>
  <c r="AG26" i="19"/>
  <c r="AI26" i="19"/>
  <c r="AD13" i="19"/>
  <c r="Y13" i="19"/>
  <c r="AO26" i="19"/>
  <c r="Z13" i="19"/>
  <c r="AA13" i="19" s="1"/>
  <c r="AB13" i="19" s="1"/>
  <c r="V14" i="19" s="1"/>
  <c r="AK14" i="12"/>
  <c r="AG15" i="12" s="1"/>
  <c r="AI15" i="12"/>
  <c r="AO14" i="12"/>
  <c r="W13" i="20" l="1"/>
  <c r="AC12" i="20"/>
  <c r="X13" i="20" s="1"/>
  <c r="AK26" i="20"/>
  <c r="AI27" i="20" s="1"/>
  <c r="AG27" i="20"/>
  <c r="AO26" i="20"/>
  <c r="AK26" i="19"/>
  <c r="W14" i="19"/>
  <c r="AC13" i="19"/>
  <c r="X14" i="19" s="1"/>
  <c r="AO15" i="12"/>
  <c r="AK15" i="12"/>
  <c r="AK27" i="20" l="1"/>
  <c r="AI28" i="20" s="1"/>
  <c r="AG28" i="20"/>
  <c r="AO27" i="20"/>
  <c r="AD13" i="20"/>
  <c r="Y13" i="20"/>
  <c r="Z13" i="20"/>
  <c r="AA13" i="20" s="1"/>
  <c r="AB13" i="20" s="1"/>
  <c r="V14" i="20" s="1"/>
  <c r="AG27" i="19"/>
  <c r="AI27" i="19"/>
  <c r="AO27" i="19" s="1"/>
  <c r="AD14" i="19"/>
  <c r="Y14" i="19"/>
  <c r="Z14" i="19"/>
  <c r="AA14" i="19" s="1"/>
  <c r="AB14" i="19" s="1"/>
  <c r="V15" i="19" s="1"/>
  <c r="AG16" i="12"/>
  <c r="AI16" i="12"/>
  <c r="W14" i="20" l="1"/>
  <c r="AC13" i="20"/>
  <c r="X14" i="20" s="1"/>
  <c r="AK28" i="20"/>
  <c r="AI29" i="20" s="1"/>
  <c r="AG29" i="20"/>
  <c r="AO28" i="20"/>
  <c r="AK27" i="19"/>
  <c r="W15" i="19"/>
  <c r="AC14" i="19"/>
  <c r="X15" i="19" s="1"/>
  <c r="AO16" i="12"/>
  <c r="AK16" i="12"/>
  <c r="AK29" i="20" l="1"/>
  <c r="AI30" i="20" s="1"/>
  <c r="AG30" i="20"/>
  <c r="AO29" i="20"/>
  <c r="AD14" i="20"/>
  <c r="Y14" i="20"/>
  <c r="Z14" i="20"/>
  <c r="AA14" i="20" s="1"/>
  <c r="AB14" i="20" s="1"/>
  <c r="V15" i="20" s="1"/>
  <c r="AG28" i="19"/>
  <c r="AI28" i="19"/>
  <c r="AO28" i="19" s="1"/>
  <c r="AD15" i="19"/>
  <c r="Y15" i="19"/>
  <c r="Z15" i="19"/>
  <c r="AA15" i="19" s="1"/>
  <c r="AB15" i="19" s="1"/>
  <c r="V16" i="19" s="1"/>
  <c r="AG17" i="12"/>
  <c r="AI17" i="12"/>
  <c r="W15" i="20" l="1"/>
  <c r="AC14" i="20"/>
  <c r="X15" i="20" s="1"/>
  <c r="AK30" i="20"/>
  <c r="AI31" i="20" s="1"/>
  <c r="AG31" i="20"/>
  <c r="AO30" i="20"/>
  <c r="AK28" i="19"/>
  <c r="AC15" i="19"/>
  <c r="X16" i="19" s="1"/>
  <c r="Z16" i="19" s="1"/>
  <c r="AA16" i="19" s="1"/>
  <c r="W16" i="19"/>
  <c r="AD16" i="19"/>
  <c r="Y16" i="19"/>
  <c r="AK17" i="12"/>
  <c r="AO17" i="12"/>
  <c r="AK31" i="20" l="1"/>
  <c r="AI32" i="20" s="1"/>
  <c r="AG32" i="20"/>
  <c r="AO31" i="20"/>
  <c r="AD15" i="20"/>
  <c r="Y15" i="20"/>
  <c r="Z15" i="20"/>
  <c r="AA15" i="20" s="1"/>
  <c r="AB15" i="20" s="1"/>
  <c r="V16" i="20" s="1"/>
  <c r="AB16" i="19"/>
  <c r="V17" i="19" s="1"/>
  <c r="AC16" i="19"/>
  <c r="X17" i="19" s="1"/>
  <c r="AD17" i="19" s="1"/>
  <c r="AG29" i="19"/>
  <c r="AI29" i="19"/>
  <c r="W17" i="19"/>
  <c r="AI18" i="12"/>
  <c r="AG18" i="12"/>
  <c r="AO29" i="19" l="1"/>
  <c r="Z17" i="19"/>
  <c r="AA17" i="19" s="1"/>
  <c r="AB17" i="19" s="1"/>
  <c r="V18" i="19" s="1"/>
  <c r="W18" i="19" s="1"/>
  <c r="Y17" i="19"/>
  <c r="AC17" i="19" s="1"/>
  <c r="X18" i="19" s="1"/>
  <c r="W16" i="20"/>
  <c r="AC15" i="20"/>
  <c r="X16" i="20" s="1"/>
  <c r="AK32" i="20"/>
  <c r="AI33" i="20" s="1"/>
  <c r="AO32" i="20"/>
  <c r="AK29" i="19"/>
  <c r="AK18" i="12"/>
  <c r="AI19" i="12" s="1"/>
  <c r="AG19" i="12"/>
  <c r="AO18" i="12"/>
  <c r="Z18" i="19" l="1"/>
  <c r="AA18" i="19" s="1"/>
  <c r="Y18" i="19"/>
  <c r="AC18" i="19" s="1"/>
  <c r="X19" i="19" s="1"/>
  <c r="Y19" i="19" s="1"/>
  <c r="AD18" i="19"/>
  <c r="AG33" i="20"/>
  <c r="AO33" i="20" s="1"/>
  <c r="AD16" i="20"/>
  <c r="Y16" i="20"/>
  <c r="Z16" i="20"/>
  <c r="AA16" i="20" s="1"/>
  <c r="AB16" i="20" s="1"/>
  <c r="V17" i="20" s="1"/>
  <c r="AB18" i="19"/>
  <c r="V19" i="19" s="1"/>
  <c r="W19" i="19" s="1"/>
  <c r="AG30" i="19"/>
  <c r="AI30" i="19"/>
  <c r="AK19" i="12"/>
  <c r="AO19" i="12"/>
  <c r="AK33" i="20" l="1"/>
  <c r="AD19" i="19"/>
  <c r="AO30" i="19"/>
  <c r="Z19" i="19"/>
  <c r="AA19" i="19" s="1"/>
  <c r="AB19" i="19" s="1"/>
  <c r="V20" i="19" s="1"/>
  <c r="W17" i="20"/>
  <c r="AC16" i="20"/>
  <c r="X17" i="20" s="1"/>
  <c r="AK30" i="19"/>
  <c r="AI20" i="12"/>
  <c r="AG20" i="12"/>
  <c r="AI34" i="20" l="1"/>
  <c r="AG34" i="20"/>
  <c r="AK34" i="20" s="1"/>
  <c r="AC19" i="19"/>
  <c r="X20" i="19" s="1"/>
  <c r="Y20" i="19" s="1"/>
  <c r="AD17" i="20"/>
  <c r="Y17" i="20"/>
  <c r="Z17" i="20"/>
  <c r="AA17" i="20" s="1"/>
  <c r="AB17" i="20" s="1"/>
  <c r="V18" i="20" s="1"/>
  <c r="AG31" i="19"/>
  <c r="AI31" i="19"/>
  <c r="W20" i="19"/>
  <c r="AK20" i="12"/>
  <c r="AI21" i="12" s="1"/>
  <c r="AO20" i="12"/>
  <c r="AO31" i="19" l="1"/>
  <c r="AI35" i="20"/>
  <c r="AG35" i="20"/>
  <c r="AK35" i="20" s="1"/>
  <c r="AO34" i="20"/>
  <c r="Z20" i="19"/>
  <c r="AA20" i="19" s="1"/>
  <c r="AB20" i="19" s="1"/>
  <c r="V21" i="19" s="1"/>
  <c r="W21" i="19" s="1"/>
  <c r="AD20" i="19"/>
  <c r="AG21" i="12"/>
  <c r="AK21" i="12" s="1"/>
  <c r="W18" i="20"/>
  <c r="AC17" i="20"/>
  <c r="X18" i="20" s="1"/>
  <c r="AK31" i="19"/>
  <c r="AC20" i="19"/>
  <c r="X21" i="19" s="1"/>
  <c r="AI36" i="20" l="1"/>
  <c r="AG36" i="20"/>
  <c r="AK36" i="20" s="1"/>
  <c r="AO35" i="20"/>
  <c r="AG22" i="12"/>
  <c r="AI22" i="12"/>
  <c r="AK22" i="12" s="1"/>
  <c r="AO21" i="12"/>
  <c r="AD18" i="20"/>
  <c r="Y18" i="20"/>
  <c r="Z18" i="20"/>
  <c r="AA18" i="20" s="1"/>
  <c r="AB18" i="20" s="1"/>
  <c r="V19" i="20" s="1"/>
  <c r="AG32" i="19"/>
  <c r="AI32" i="19"/>
  <c r="AD21" i="19"/>
  <c r="Y21" i="19"/>
  <c r="Z21" i="19"/>
  <c r="AA21" i="19" s="1"/>
  <c r="AB21" i="19" s="1"/>
  <c r="V22" i="19" s="1"/>
  <c r="AO22" i="12" l="1"/>
  <c r="AI37" i="20"/>
  <c r="AG37" i="20"/>
  <c r="AK37" i="20" s="1"/>
  <c r="AO36" i="20"/>
  <c r="AO32" i="19"/>
  <c r="W19" i="20"/>
  <c r="AC18" i="20"/>
  <c r="X19" i="20" s="1"/>
  <c r="AK32" i="19"/>
  <c r="W22" i="19"/>
  <c r="AC21" i="19"/>
  <c r="X22" i="19" s="1"/>
  <c r="AG23" i="12"/>
  <c r="AI23" i="12"/>
  <c r="AI38" i="20" l="1"/>
  <c r="AG38" i="20"/>
  <c r="AK38" i="20" s="1"/>
  <c r="AI39" i="20" s="1"/>
  <c r="AO37" i="20"/>
  <c r="AG39" i="20"/>
  <c r="AK39" i="20" s="1"/>
  <c r="AI40" i="20" s="1"/>
  <c r="AD19" i="20"/>
  <c r="Y19" i="20"/>
  <c r="Z19" i="20"/>
  <c r="AA19" i="20" s="1"/>
  <c r="AB19" i="20" s="1"/>
  <c r="V20" i="20" s="1"/>
  <c r="AG33" i="19"/>
  <c r="AI33" i="19"/>
  <c r="AD22" i="19"/>
  <c r="Y22" i="19"/>
  <c r="Z22" i="19"/>
  <c r="AA22" i="19" s="1"/>
  <c r="AB22" i="19" s="1"/>
  <c r="V23" i="19" s="1"/>
  <c r="AK23" i="12"/>
  <c r="AO23" i="12"/>
  <c r="AO39" i="20" l="1"/>
  <c r="AG40" i="20"/>
  <c r="AO33" i="19"/>
  <c r="AO38" i="20"/>
  <c r="W20" i="20"/>
  <c r="AC19" i="20"/>
  <c r="X20" i="20" s="1"/>
  <c r="AK40" i="20"/>
  <c r="AI41" i="20" s="1"/>
  <c r="AO40" i="20"/>
  <c r="AK33" i="19"/>
  <c r="W23" i="19"/>
  <c r="AC22" i="19"/>
  <c r="X23" i="19" s="1"/>
  <c r="AI24" i="12"/>
  <c r="AG24" i="12"/>
  <c r="AG41" i="20" l="1"/>
  <c r="AO41" i="20" s="1"/>
  <c r="AK41" i="20"/>
  <c r="AI42" i="20" s="1"/>
  <c r="AD20" i="20"/>
  <c r="Y20" i="20"/>
  <c r="Z20" i="20"/>
  <c r="AA20" i="20" s="1"/>
  <c r="AB20" i="20" s="1"/>
  <c r="V21" i="20" s="1"/>
  <c r="AG34" i="19"/>
  <c r="AI34" i="19"/>
  <c r="AO34" i="19" s="1"/>
  <c r="AD23" i="19"/>
  <c r="Y23" i="19"/>
  <c r="Z23" i="19"/>
  <c r="AA23" i="19" s="1"/>
  <c r="AB23" i="19" s="1"/>
  <c r="V24" i="19" s="1"/>
  <c r="AO24" i="12"/>
  <c r="AK24" i="12"/>
  <c r="AG42" i="20" l="1"/>
  <c r="W21" i="20"/>
  <c r="AC20" i="20"/>
  <c r="X21" i="20" s="1"/>
  <c r="AK42" i="20"/>
  <c r="AI43" i="20" s="1"/>
  <c r="AG43" i="20"/>
  <c r="AO42" i="20"/>
  <c r="AK34" i="19"/>
  <c r="W24" i="19"/>
  <c r="AC23" i="19"/>
  <c r="X24" i="19" s="1"/>
  <c r="AG25" i="12"/>
  <c r="AI25" i="12"/>
  <c r="AK43" i="20" l="1"/>
  <c r="AI44" i="20" s="1"/>
  <c r="AG44" i="20"/>
  <c r="AK44" i="20" s="1"/>
  <c r="AO43" i="20"/>
  <c r="AD21" i="20"/>
  <c r="Y21" i="20"/>
  <c r="Z21" i="20"/>
  <c r="AA21" i="20" s="1"/>
  <c r="AB21" i="20" s="1"/>
  <c r="V22" i="20" s="1"/>
  <c r="AG35" i="19"/>
  <c r="AI35" i="19"/>
  <c r="AO35" i="19" s="1"/>
  <c r="AD24" i="19"/>
  <c r="Y24" i="19"/>
  <c r="Z24" i="19"/>
  <c r="AA24" i="19" s="1"/>
  <c r="AB24" i="19" s="1"/>
  <c r="V25" i="19" s="1"/>
  <c r="AK25" i="12"/>
  <c r="AO25" i="12"/>
  <c r="W22" i="20" l="1"/>
  <c r="AC21" i="20"/>
  <c r="X22" i="20" s="1"/>
  <c r="AO44" i="20"/>
  <c r="AK35" i="19"/>
  <c r="W25" i="19"/>
  <c r="AC24" i="19"/>
  <c r="X25" i="19" s="1"/>
  <c r="AG26" i="12"/>
  <c r="AI26" i="12"/>
  <c r="AD22" i="20" l="1"/>
  <c r="Y22" i="20"/>
  <c r="Z22" i="20"/>
  <c r="AA22" i="20" s="1"/>
  <c r="AB22" i="20" s="1"/>
  <c r="V23" i="20" s="1"/>
  <c r="AG36" i="19"/>
  <c r="AI36" i="19"/>
  <c r="AO36" i="19" s="1"/>
  <c r="AD25" i="19"/>
  <c r="Y25" i="19"/>
  <c r="Z25" i="19"/>
  <c r="AA25" i="19" s="1"/>
  <c r="AB25" i="19" s="1"/>
  <c r="V26" i="19" s="1"/>
  <c r="AO26" i="12"/>
  <c r="AK26" i="12"/>
  <c r="W23" i="20" l="1"/>
  <c r="AC22" i="20"/>
  <c r="X23" i="20" s="1"/>
  <c r="AK36" i="19"/>
  <c r="W26" i="19"/>
  <c r="AC25" i="19"/>
  <c r="X26" i="19" s="1"/>
  <c r="AG27" i="12"/>
  <c r="AI27" i="12"/>
  <c r="AD23" i="20" l="1"/>
  <c r="Y23" i="20"/>
  <c r="Z23" i="20"/>
  <c r="AA23" i="20" s="1"/>
  <c r="AB23" i="20" s="1"/>
  <c r="V24" i="20" s="1"/>
  <c r="AG37" i="19"/>
  <c r="AI37" i="19"/>
  <c r="AO37" i="19" s="1"/>
  <c r="AD26" i="19"/>
  <c r="Y26" i="19"/>
  <c r="Z26" i="19"/>
  <c r="AA26" i="19" s="1"/>
  <c r="AB26" i="19" s="1"/>
  <c r="V27" i="19" s="1"/>
  <c r="AO27" i="12"/>
  <c r="AK27" i="12"/>
  <c r="W24" i="20" l="1"/>
  <c r="AC23" i="20"/>
  <c r="X24" i="20" s="1"/>
  <c r="AK37" i="19"/>
  <c r="W27" i="19"/>
  <c r="AC26" i="19"/>
  <c r="X27" i="19" s="1"/>
  <c r="AI28" i="12"/>
  <c r="AG28" i="12"/>
  <c r="AD24" i="20" l="1"/>
  <c r="Y24" i="20"/>
  <c r="Z24" i="20"/>
  <c r="AA24" i="20" s="1"/>
  <c r="AB24" i="20" s="1"/>
  <c r="V25" i="20" s="1"/>
  <c r="AG38" i="19"/>
  <c r="AI38" i="19"/>
  <c r="AD27" i="19"/>
  <c r="Y27" i="19"/>
  <c r="Z27" i="19"/>
  <c r="AA27" i="19" s="1"/>
  <c r="AB27" i="19" s="1"/>
  <c r="V28" i="19" s="1"/>
  <c r="AO28" i="12"/>
  <c r="AK28" i="12"/>
  <c r="W25" i="20" l="1"/>
  <c r="AC24" i="20"/>
  <c r="X25" i="20" s="1"/>
  <c r="AK38" i="19"/>
  <c r="AO38" i="19"/>
  <c r="W28" i="19"/>
  <c r="AC27" i="19"/>
  <c r="X28" i="19" s="1"/>
  <c r="AI29" i="12"/>
  <c r="AG29" i="12"/>
  <c r="AD25" i="20" l="1"/>
  <c r="Y25" i="20"/>
  <c r="Z25" i="20"/>
  <c r="AA25" i="20" s="1"/>
  <c r="AB25" i="20" s="1"/>
  <c r="V26" i="20" s="1"/>
  <c r="AG39" i="19"/>
  <c r="AI39" i="19"/>
  <c r="AO39" i="19" s="1"/>
  <c r="AD28" i="19"/>
  <c r="Y28" i="19"/>
  <c r="Z28" i="19"/>
  <c r="AA28" i="19" s="1"/>
  <c r="AB28" i="19" s="1"/>
  <c r="V29" i="19" s="1"/>
  <c r="AK29" i="12"/>
  <c r="AI30" i="12" s="1"/>
  <c r="AO29" i="12"/>
  <c r="W26" i="20" l="1"/>
  <c r="AC25" i="20"/>
  <c r="X26" i="20" s="1"/>
  <c r="AK39" i="19"/>
  <c r="W29" i="19"/>
  <c r="AC28" i="19"/>
  <c r="X29" i="19" s="1"/>
  <c r="AG30" i="12"/>
  <c r="AO30" i="12" s="1"/>
  <c r="AD26" i="20" l="1"/>
  <c r="Y26" i="20"/>
  <c r="Z26" i="20"/>
  <c r="AA26" i="20" s="1"/>
  <c r="AB26" i="20" s="1"/>
  <c r="V27" i="20" s="1"/>
  <c r="AG40" i="19"/>
  <c r="AI40" i="19"/>
  <c r="AO40" i="19" s="1"/>
  <c r="AD29" i="19"/>
  <c r="Y29" i="19"/>
  <c r="Z29" i="19"/>
  <c r="AA29" i="19" s="1"/>
  <c r="AB29" i="19" s="1"/>
  <c r="V30" i="19" s="1"/>
  <c r="AK30" i="12"/>
  <c r="AG31" i="12"/>
  <c r="AI31" i="12"/>
  <c r="W27" i="20" l="1"/>
  <c r="AC26" i="20"/>
  <c r="X27" i="20" s="1"/>
  <c r="AK40" i="19"/>
  <c r="W30" i="19"/>
  <c r="AC29" i="19"/>
  <c r="X30" i="19" s="1"/>
  <c r="AO31" i="12"/>
  <c r="AK31" i="12"/>
  <c r="AD27" i="20" l="1"/>
  <c r="Y27" i="20"/>
  <c r="Z27" i="20"/>
  <c r="AA27" i="20" s="1"/>
  <c r="AB27" i="20" s="1"/>
  <c r="V28" i="20" s="1"/>
  <c r="AG41" i="19"/>
  <c r="AI41" i="19"/>
  <c r="AO41" i="19" s="1"/>
  <c r="AD30" i="19"/>
  <c r="Y30" i="19"/>
  <c r="Z30" i="19"/>
  <c r="AA30" i="19" s="1"/>
  <c r="AB30" i="19" s="1"/>
  <c r="V31" i="19" s="1"/>
  <c r="AG32" i="12"/>
  <c r="AI32" i="12"/>
  <c r="W28" i="20" l="1"/>
  <c r="AC27" i="20"/>
  <c r="X28" i="20" s="1"/>
  <c r="AK41" i="19"/>
  <c r="W31" i="19"/>
  <c r="AC30" i="19"/>
  <c r="X31" i="19" s="1"/>
  <c r="AO32" i="12"/>
  <c r="AK32" i="12"/>
  <c r="AD28" i="20" l="1"/>
  <c r="Y28" i="20"/>
  <c r="Z28" i="20"/>
  <c r="AA28" i="20" s="1"/>
  <c r="AB28" i="20" s="1"/>
  <c r="V29" i="20" s="1"/>
  <c r="AG42" i="19"/>
  <c r="AI42" i="19"/>
  <c r="AO42" i="19" s="1"/>
  <c r="AD31" i="19"/>
  <c r="Y31" i="19"/>
  <c r="Z31" i="19"/>
  <c r="AA31" i="19" s="1"/>
  <c r="AB31" i="19" s="1"/>
  <c r="V32" i="19" s="1"/>
  <c r="AI33" i="12"/>
  <c r="AG33" i="12"/>
  <c r="W29" i="20" l="1"/>
  <c r="AC28" i="20"/>
  <c r="X29" i="20" s="1"/>
  <c r="AK42" i="19"/>
  <c r="W32" i="19"/>
  <c r="AC31" i="19"/>
  <c r="X32" i="19" s="1"/>
  <c r="AK33" i="12"/>
  <c r="AI34" i="12" s="1"/>
  <c r="AG34" i="12"/>
  <c r="AO33" i="12"/>
  <c r="AD29" i="20" l="1"/>
  <c r="Y29" i="20"/>
  <c r="Z29" i="20"/>
  <c r="AA29" i="20" s="1"/>
  <c r="AB29" i="20" s="1"/>
  <c r="V30" i="20" s="1"/>
  <c r="AG43" i="19"/>
  <c r="AI43" i="19"/>
  <c r="AD32" i="19"/>
  <c r="Y32" i="19"/>
  <c r="Z32" i="19"/>
  <c r="AA32" i="19" s="1"/>
  <c r="AB32" i="19" s="1"/>
  <c r="V33" i="19" s="1"/>
  <c r="AK34" i="12"/>
  <c r="AG35" i="12" s="1"/>
  <c r="AI35" i="12"/>
  <c r="AO34" i="12"/>
  <c r="W30" i="20" l="1"/>
  <c r="AC29" i="20"/>
  <c r="X30" i="20" s="1"/>
  <c r="AO43" i="19"/>
  <c r="AK43" i="19"/>
  <c r="W33" i="19"/>
  <c r="AC32" i="19"/>
  <c r="X33" i="19" s="1"/>
  <c r="AO35" i="12"/>
  <c r="AK35" i="12"/>
  <c r="AD30" i="20" l="1"/>
  <c r="Y30" i="20"/>
  <c r="Z30" i="20"/>
  <c r="AA30" i="20" s="1"/>
  <c r="AB30" i="20" s="1"/>
  <c r="V31" i="20" s="1"/>
  <c r="AG44" i="19"/>
  <c r="AI44" i="19"/>
  <c r="AO44" i="19" s="1"/>
  <c r="AD33" i="19"/>
  <c r="Y33" i="19"/>
  <c r="Z33" i="19"/>
  <c r="AA33" i="19" s="1"/>
  <c r="AB33" i="19" s="1"/>
  <c r="V34" i="19" s="1"/>
  <c r="AG36" i="12"/>
  <c r="AI36" i="12"/>
  <c r="W31" i="20" l="1"/>
  <c r="AC30" i="20"/>
  <c r="X31" i="20" s="1"/>
  <c r="AK44" i="19"/>
  <c r="W34" i="19"/>
  <c r="AC33" i="19"/>
  <c r="X34" i="19" s="1"/>
  <c r="AO36" i="12"/>
  <c r="AK36" i="12"/>
  <c r="AD31" i="20" l="1"/>
  <c r="Y31" i="20"/>
  <c r="Z31" i="20"/>
  <c r="AA31" i="20" s="1"/>
  <c r="AB31" i="20" s="1"/>
  <c r="V32" i="20" s="1"/>
  <c r="AD34" i="19"/>
  <c r="Y34" i="19"/>
  <c r="Z34" i="19"/>
  <c r="AG37" i="12"/>
  <c r="AI37" i="12"/>
  <c r="W32" i="20" l="1"/>
  <c r="AC31" i="20"/>
  <c r="X32" i="20" s="1"/>
  <c r="O26" i="19"/>
  <c r="O27" i="19" s="1"/>
  <c r="G17" i="19" s="1"/>
  <c r="AA34" i="19"/>
  <c r="AB34" i="19" s="1"/>
  <c r="AO37" i="12"/>
  <c r="AK37" i="12"/>
  <c r="AD32" i="20" l="1"/>
  <c r="Y32" i="20"/>
  <c r="Z32" i="20"/>
  <c r="AA32" i="20" s="1"/>
  <c r="AB32" i="20" s="1"/>
  <c r="V33" i="20" s="1"/>
  <c r="AC34" i="19"/>
  <c r="G20" i="19"/>
  <c r="G18" i="19"/>
  <c r="AI38" i="12"/>
  <c r="AG38" i="12"/>
  <c r="W33" i="20" l="1"/>
  <c r="AC32" i="20"/>
  <c r="X33" i="20" s="1"/>
  <c r="K6" i="19"/>
  <c r="G33" i="19"/>
  <c r="K10" i="19" s="1"/>
  <c r="K15" i="19" s="1"/>
  <c r="AK38" i="12"/>
  <c r="AG39" i="12" s="1"/>
  <c r="AO38" i="12"/>
  <c r="AD33" i="20" l="1"/>
  <c r="Y33" i="20"/>
  <c r="Z33" i="20"/>
  <c r="AA33" i="20" s="1"/>
  <c r="AB33" i="20" s="1"/>
  <c r="V34" i="20" s="1"/>
  <c r="K43" i="19"/>
  <c r="K35" i="19"/>
  <c r="K7" i="19"/>
  <c r="K18" i="19"/>
  <c r="K19" i="19"/>
  <c r="AI39" i="12"/>
  <c r="AO39" i="12" s="1"/>
  <c r="W34" i="20" l="1"/>
  <c r="AC33" i="20"/>
  <c r="X34" i="20" s="1"/>
  <c r="K30" i="19"/>
  <c r="K31" i="19" s="1"/>
  <c r="K44" i="19"/>
  <c r="K47" i="19" s="1"/>
  <c r="K36" i="19"/>
  <c r="K39" i="19" s="1"/>
  <c r="AK39" i="12"/>
  <c r="AG40" i="12" s="1"/>
  <c r="AI40" i="12"/>
  <c r="AJ4" i="19" l="1"/>
  <c r="AL4" i="19"/>
  <c r="AH4" i="19"/>
  <c r="AD34" i="20"/>
  <c r="Y34" i="20"/>
  <c r="Z34" i="20"/>
  <c r="AO40" i="12"/>
  <c r="AK40" i="12"/>
  <c r="O26" i="20" l="1"/>
  <c r="O27" i="20" s="1"/>
  <c r="G17" i="20" s="1"/>
  <c r="AA34" i="20"/>
  <c r="AB34" i="20" s="1"/>
  <c r="AI41" i="12"/>
  <c r="AG41" i="12"/>
  <c r="AC34" i="20" l="1"/>
  <c r="G20" i="20"/>
  <c r="G18" i="20"/>
  <c r="AK41" i="12"/>
  <c r="AG42" i="12" s="1"/>
  <c r="AI42" i="12"/>
  <c r="AO41" i="12"/>
  <c r="K6" i="20" l="1"/>
  <c r="G33" i="20"/>
  <c r="K10" i="20" s="1"/>
  <c r="K15" i="20" s="1"/>
  <c r="AO42" i="12"/>
  <c r="AK42" i="12"/>
  <c r="K43" i="20" l="1"/>
  <c r="K35" i="20"/>
  <c r="K7" i="20"/>
  <c r="K19" i="20"/>
  <c r="K18" i="20"/>
  <c r="AG43" i="12"/>
  <c r="AI43" i="12"/>
  <c r="K36" i="20" l="1"/>
  <c r="K39" i="20" s="1"/>
  <c r="K44" i="20"/>
  <c r="K47" i="20" s="1"/>
  <c r="K30" i="20"/>
  <c r="AO43" i="12"/>
  <c r="AK43" i="12"/>
  <c r="K31" i="20" l="1"/>
  <c r="AH4" i="20"/>
  <c r="AL4" i="20"/>
  <c r="AJ4" i="20"/>
  <c r="AG44" i="12"/>
  <c r="AI44" i="12"/>
  <c r="AO44" i="12" l="1"/>
  <c r="AK44" i="12"/>
  <c r="G29" i="12" l="1"/>
  <c r="G27" i="12" s="1"/>
  <c r="K29" i="12"/>
  <c r="K24" i="12"/>
  <c r="K27" i="12"/>
  <c r="O4" i="12"/>
  <c r="G7" i="12"/>
  <c r="G26" i="12"/>
  <c r="G10" i="12"/>
  <c r="K14" i="12"/>
  <c r="K34" i="12"/>
  <c r="K20" i="12"/>
  <c r="K23" i="12"/>
  <c r="K26" i="12"/>
  <c r="K21" i="12"/>
  <c r="O6" i="12"/>
  <c r="K22" i="12"/>
  <c r="K28" i="12"/>
  <c r="G28" i="12" l="1"/>
  <c r="K25" i="12"/>
  <c r="K45" i="12" s="1"/>
  <c r="G8" i="12"/>
  <c r="G9" i="12" s="1"/>
  <c r="K4" i="12"/>
  <c r="K5" i="12" s="1"/>
  <c r="O12" i="12"/>
  <c r="O13" i="12" s="1"/>
  <c r="K38" i="12"/>
  <c r="K46" i="12"/>
  <c r="O16" i="12" l="1"/>
  <c r="O14" i="12"/>
  <c r="K37" i="12"/>
  <c r="O20" i="12" l="1"/>
  <c r="O15" i="12"/>
  <c r="O23" i="12" l="1"/>
  <c r="O28" i="12"/>
  <c r="O30" i="12" s="1"/>
  <c r="G16" i="12"/>
  <c r="K16" i="12"/>
  <c r="G19" i="12" l="1"/>
  <c r="AA4" i="12"/>
  <c r="Y4" i="12"/>
  <c r="W4" i="12"/>
  <c r="AB4" i="12" l="1"/>
  <c r="V5" i="12" s="1"/>
  <c r="W5" i="12" s="1"/>
  <c r="AC4" i="12"/>
  <c r="X5" i="12" s="1"/>
  <c r="Y5" i="12" s="1"/>
  <c r="Z5" i="12" l="1"/>
  <c r="AA5" i="12" s="1"/>
  <c r="AC5" i="12" s="1"/>
  <c r="X6" i="12" s="1"/>
  <c r="Y6" i="12" s="1"/>
  <c r="AD5" i="12"/>
  <c r="AB5" i="12" l="1"/>
  <c r="V6" i="12" s="1"/>
  <c r="W6" i="12" s="1"/>
  <c r="AD6" i="12" l="1"/>
  <c r="Z6" i="12"/>
  <c r="AA6" i="12" s="1"/>
  <c r="AC6" i="12" s="1"/>
  <c r="X7" i="12" s="1"/>
  <c r="Y7" i="12" s="1"/>
  <c r="AB6" i="12" l="1"/>
  <c r="V7" i="12" s="1"/>
  <c r="Z7" i="12" s="1"/>
  <c r="AA7" i="12" s="1"/>
  <c r="AC7" i="12" s="1"/>
  <c r="X8" i="12" s="1"/>
  <c r="AD7" i="12" l="1"/>
  <c r="W7" i="12"/>
  <c r="AB7" i="12" s="1"/>
  <c r="V8" i="12" s="1"/>
  <c r="Z8" i="12" s="1"/>
  <c r="AA8" i="12" s="1"/>
  <c r="Y8" i="12"/>
  <c r="AD8" i="12" l="1"/>
  <c r="W8" i="12"/>
  <c r="AB8" i="12" s="1"/>
  <c r="V9" i="12" s="1"/>
  <c r="W9" i="12" s="1"/>
  <c r="AC8" i="12"/>
  <c r="X9" i="12" s="1"/>
  <c r="Y9" i="12" s="1"/>
  <c r="AD9" i="12" l="1"/>
  <c r="Z9" i="12"/>
  <c r="AA9" i="12" s="1"/>
  <c r="AB9" i="12" s="1"/>
  <c r="V10" i="12" s="1"/>
  <c r="W10" i="12" s="1"/>
  <c r="AC9" i="12" l="1"/>
  <c r="X10" i="12" s="1"/>
  <c r="Z10" i="12" s="1"/>
  <c r="AA10" i="12" s="1"/>
  <c r="AB10" i="12" s="1"/>
  <c r="V11" i="12" s="1"/>
  <c r="W11" i="12" s="1"/>
  <c r="AD10" i="12" l="1"/>
  <c r="Y10" i="12"/>
  <c r="AC10" i="12" s="1"/>
  <c r="X11" i="12" s="1"/>
  <c r="Y11" i="12" s="1"/>
  <c r="Z11" i="12" l="1"/>
  <c r="AA11" i="12" s="1"/>
  <c r="AB11" i="12" s="1"/>
  <c r="V12" i="12" s="1"/>
  <c r="W12" i="12" s="1"/>
  <c r="AD11" i="12"/>
  <c r="AC11" i="12" l="1"/>
  <c r="X12" i="12" s="1"/>
  <c r="AD12" i="12" s="1"/>
  <c r="Z12" i="12" l="1"/>
  <c r="AA12" i="12" s="1"/>
  <c r="AB12" i="12" s="1"/>
  <c r="V13" i="12" s="1"/>
  <c r="W13" i="12" s="1"/>
  <c r="Y12" i="12"/>
  <c r="AC12" i="12" l="1"/>
  <c r="X13" i="12" s="1"/>
  <c r="Z13" i="12" s="1"/>
  <c r="AA13" i="12" s="1"/>
  <c r="AB13" i="12" s="1"/>
  <c r="V14" i="12" s="1"/>
  <c r="W14" i="12" s="1"/>
  <c r="AD13" i="12" l="1"/>
  <c r="Y13" i="12"/>
  <c r="AC13" i="12" s="1"/>
  <c r="X14" i="12" s="1"/>
  <c r="AD14" i="12" s="1"/>
  <c r="Z14" i="12" l="1"/>
  <c r="AA14" i="12" s="1"/>
  <c r="AB14" i="12" s="1"/>
  <c r="V15" i="12" s="1"/>
  <c r="W15" i="12" s="1"/>
  <c r="Y14" i="12"/>
  <c r="AC14" i="12" l="1"/>
  <c r="X15" i="12" s="1"/>
  <c r="Z15" i="12" s="1"/>
  <c r="AA15" i="12" s="1"/>
  <c r="AB15" i="12" s="1"/>
  <c r="V16" i="12" s="1"/>
  <c r="Y15" i="12" l="1"/>
  <c r="AC15" i="12" s="1"/>
  <c r="X16" i="12" s="1"/>
  <c r="Z16" i="12" s="1"/>
  <c r="AA16" i="12" s="1"/>
  <c r="AD15" i="12"/>
  <c r="W16" i="12"/>
  <c r="AB16" i="12" l="1"/>
  <c r="V17" i="12" s="1"/>
  <c r="W17" i="12" s="1"/>
  <c r="AD16" i="12"/>
  <c r="Y16" i="12"/>
  <c r="AC16" i="12" s="1"/>
  <c r="X17" i="12" s="1"/>
  <c r="Y17" i="12" l="1"/>
  <c r="AD17" i="12"/>
  <c r="Z17" i="12"/>
  <c r="AA17" i="12" s="1"/>
  <c r="AB17" i="12" s="1"/>
  <c r="V18" i="12" s="1"/>
  <c r="W18" i="12" s="1"/>
  <c r="AC17" i="12" l="1"/>
  <c r="X18" i="12" s="1"/>
  <c r="Y18" i="12" l="1"/>
  <c r="AD18" i="12"/>
  <c r="Z18" i="12"/>
  <c r="AA18" i="12" s="1"/>
  <c r="AB18" i="12" s="1"/>
  <c r="V19" i="12" s="1"/>
  <c r="W19" i="12" s="1"/>
  <c r="AC18" i="12" l="1"/>
  <c r="X19" i="12" s="1"/>
  <c r="Z19" i="12" l="1"/>
  <c r="AA19" i="12" s="1"/>
  <c r="AB19" i="12" s="1"/>
  <c r="V20" i="12" s="1"/>
  <c r="AD19" i="12"/>
  <c r="Y19" i="12"/>
  <c r="AC19" i="12" l="1"/>
  <c r="X20" i="12" s="1"/>
  <c r="Y20" i="12" s="1"/>
  <c r="W20" i="12"/>
  <c r="Z20" i="12" l="1"/>
  <c r="AA20" i="12" s="1"/>
  <c r="AB20" i="12" s="1"/>
  <c r="V21" i="12" s="1"/>
  <c r="W21" i="12" s="1"/>
  <c r="AD20" i="12"/>
  <c r="AC20" i="12" l="1"/>
  <c r="X21" i="12" s="1"/>
  <c r="Z21" i="12" s="1"/>
  <c r="AA21" i="12" s="1"/>
  <c r="AB21" i="12" s="1"/>
  <c r="V22" i="12" s="1"/>
  <c r="Y21" i="12" l="1"/>
  <c r="AC21" i="12" s="1"/>
  <c r="X22" i="12" s="1"/>
  <c r="Z22" i="12" s="1"/>
  <c r="AA22" i="12" s="1"/>
  <c r="AD21" i="12"/>
  <c r="W22" i="12"/>
  <c r="Y22" i="12" l="1"/>
  <c r="AC22" i="12" s="1"/>
  <c r="X23" i="12" s="1"/>
  <c r="Y23" i="12" s="1"/>
  <c r="AD22" i="12"/>
  <c r="AB22" i="12"/>
  <c r="V23" i="12" s="1"/>
  <c r="W23" i="12" s="1"/>
  <c r="Z23" i="12" l="1"/>
  <c r="AA23" i="12" s="1"/>
  <c r="AB23" i="12" s="1"/>
  <c r="V24" i="12" s="1"/>
  <c r="AD23" i="12"/>
  <c r="W24" i="12" l="1"/>
  <c r="AC23" i="12"/>
  <c r="X24" i="12" s="1"/>
  <c r="Y24" i="12" l="1"/>
  <c r="AD24" i="12"/>
  <c r="Z24" i="12"/>
  <c r="AA24" i="12" s="1"/>
  <c r="AB24" i="12" s="1"/>
  <c r="V25" i="12" s="1"/>
  <c r="W25" i="12" l="1"/>
  <c r="AC24" i="12"/>
  <c r="X25" i="12" s="1"/>
  <c r="AD25" i="12" l="1"/>
  <c r="Y25" i="12"/>
  <c r="Z25" i="12"/>
  <c r="AA25" i="12" s="1"/>
  <c r="AB25" i="12" s="1"/>
  <c r="V26" i="12" s="1"/>
  <c r="W26" i="12" l="1"/>
  <c r="AC25" i="12"/>
  <c r="X26" i="12" s="1"/>
  <c r="Z26" i="12" s="1"/>
  <c r="AA26" i="12" s="1"/>
  <c r="Y26" i="12" l="1"/>
  <c r="AC26" i="12" s="1"/>
  <c r="X27" i="12" s="1"/>
  <c r="AD26" i="12"/>
  <c r="AB26" i="12"/>
  <c r="V27" i="12" s="1"/>
  <c r="W27" i="12" l="1"/>
  <c r="Z27" i="12"/>
  <c r="AA27" i="12" s="1"/>
  <c r="Y27" i="12"/>
  <c r="AD27" i="12"/>
  <c r="AB27" i="12" l="1"/>
  <c r="V28" i="12" s="1"/>
  <c r="W28" i="12" s="1"/>
  <c r="AC27" i="12"/>
  <c r="X28" i="12" s="1"/>
  <c r="Z28" i="12" l="1"/>
  <c r="AA28" i="12" s="1"/>
  <c r="AB28" i="12" s="1"/>
  <c r="V29" i="12" s="1"/>
  <c r="AD28" i="12"/>
  <c r="Y28" i="12"/>
  <c r="AC28" i="12" l="1"/>
  <c r="X29" i="12" s="1"/>
  <c r="Y29" i="12" s="1"/>
  <c r="W29" i="12"/>
  <c r="Z29" i="12" l="1"/>
  <c r="AA29" i="12" s="1"/>
  <c r="AB29" i="12" s="1"/>
  <c r="V30" i="12" s="1"/>
  <c r="W30" i="12" s="1"/>
  <c r="AD29" i="12"/>
  <c r="AC29" i="12" l="1"/>
  <c r="X30" i="12" s="1"/>
  <c r="Z30" i="12" s="1"/>
  <c r="AA30" i="12" s="1"/>
  <c r="AB30" i="12" s="1"/>
  <c r="V31" i="12" s="1"/>
  <c r="AD30" i="12" l="1"/>
  <c r="Y30" i="12"/>
  <c r="AC30" i="12" s="1"/>
  <c r="X31" i="12" s="1"/>
  <c r="Y31" i="12" s="1"/>
  <c r="W31" i="12"/>
  <c r="Z31" i="12" l="1"/>
  <c r="AA31" i="12" s="1"/>
  <c r="AB31" i="12" s="1"/>
  <c r="V32" i="12" s="1"/>
  <c r="W32" i="12" s="1"/>
  <c r="AD31" i="12"/>
  <c r="AC31" i="12" l="1"/>
  <c r="X32" i="12" s="1"/>
  <c r="Y32" i="12" s="1"/>
  <c r="Z32" i="12" l="1"/>
  <c r="AA32" i="12" s="1"/>
  <c r="AB32" i="12" s="1"/>
  <c r="V33" i="12" s="1"/>
  <c r="W33" i="12" s="1"/>
  <c r="AD32" i="12"/>
  <c r="AC32" i="12" l="1"/>
  <c r="X33" i="12" s="1"/>
  <c r="AD33" i="12" s="1"/>
  <c r="Z33" i="12" l="1"/>
  <c r="AA33" i="12" s="1"/>
  <c r="AB33" i="12" s="1"/>
  <c r="V34" i="12" s="1"/>
  <c r="W34" i="12" s="1"/>
  <c r="Y33" i="12"/>
  <c r="AC33" i="12" l="1"/>
  <c r="X34" i="12" s="1"/>
  <c r="Z34" i="12" s="1"/>
  <c r="O26" i="12" s="1"/>
  <c r="O27" i="12" s="1"/>
  <c r="G17" i="12" s="1"/>
  <c r="Y34" i="12" l="1"/>
  <c r="AD34" i="12"/>
  <c r="AA34" i="12"/>
  <c r="AB34" i="12" s="1"/>
  <c r="G18" i="12"/>
  <c r="G20" i="12"/>
  <c r="AC34" i="12" l="1"/>
  <c r="G33" i="12"/>
  <c r="K10" i="12" s="1"/>
  <c r="K15" i="12" s="1"/>
  <c r="K6" i="12"/>
  <c r="K7" i="12" l="1"/>
  <c r="K18" i="12"/>
  <c r="K19" i="12"/>
  <c r="K43" i="12"/>
  <c r="K35" i="12"/>
  <c r="K30" i="12" l="1"/>
  <c r="K31" i="12" s="1"/>
  <c r="K36" i="12"/>
  <c r="K39" i="12" s="1"/>
  <c r="K44" i="12"/>
  <c r="K47" i="12" s="1"/>
  <c r="AL4" i="12" l="1"/>
  <c r="AH4" i="12"/>
  <c r="AJ4" i="12"/>
</calcChain>
</file>

<file path=xl/sharedStrings.xml><?xml version="1.0" encoding="utf-8"?>
<sst xmlns="http://schemas.openxmlformats.org/spreadsheetml/2006/main" count="858" uniqueCount="179">
  <si>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</si>
  <si>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</si>
  <si>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</si>
  <si>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</si>
  <si>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</si>
  <si>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</si>
  <si>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</si>
  <si>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</si>
  <si>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</si>
  <si>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</si>
  <si>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</si>
  <si>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</si>
  <si>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</si>
  <si>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</si>
  <si>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</si>
  <si>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</si>
  <si>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</si>
  <si>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</si>
  <si>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</si>
  <si>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</si>
  <si>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</si>
  <si>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</si>
  <si>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</si>
  <si>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flight_time</t>
  </si>
  <si>
    <t>dyn_pressure</t>
  </si>
  <si>
    <t>N/m^2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</si>
  <si>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</si>
  <si>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</si>
  <si>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</si>
  <si>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</si>
  <si>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</si>
  <si>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</si>
  <si>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</si>
  <si>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</si>
  <si>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</si>
  <si>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</si>
  <si>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</si>
  <si>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</si>
  <si>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</si>
  <si>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</si>
  <si>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</si>
  <si>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</si>
  <si>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</si>
  <si>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</si>
  <si>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</si>
  <si>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</si>
  <si>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</si>
  <si>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</si>
  <si>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</si>
  <si>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</si>
  <si>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</si>
  <si>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</si>
  <si>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</si>
  <si>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</si>
  <si>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</si>
  <si>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</si>
  <si>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</si>
  <si>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</si>
  <si>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</si>
  <si>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</si>
  <si>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</si>
  <si>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</si>
  <si>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</si>
  <si>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</si>
  <si>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</si>
  <si>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</si>
  <si>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</si>
  <si>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</si>
  <si>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</si>
  <si>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</si>
  <si>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</si>
  <si>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</si>
  <si>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</si>
  <si>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</si>
  <si>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</si>
  <si>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</si>
  <si>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</si>
  <si>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</si>
  <si>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</si>
  <si>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</si>
  <si>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</si>
  <si>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</si>
  <si>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</si>
  <si>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</si>
  <si>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</si>
  <si>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</si>
  <si>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</si>
  <si>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</si>
  <si>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</si>
  <si>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</si>
  <si>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</si>
  <si>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</si>
  <si>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</si>
  <si>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</si>
  <si>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</si>
  <si>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</si>
  <si>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</si>
  <si>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</si>
  <si>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</si>
  <si>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</si>
  <si>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</si>
  <si>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</si>
  <si>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</si>
  <si>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</si>
  <si>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</si>
  <si>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</si>
  <si>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</si>
  <si>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</si>
  <si>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</si>
  <si>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</si>
  <si>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</si>
  <si>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</si>
  <si>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</si>
  <si>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</si>
  <si>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CD0_total</t>
  </si>
  <si>
    <t>type</t>
  </si>
  <si>
    <t>wheeled</t>
  </si>
  <si>
    <t>f_LG</t>
  </si>
  <si>
    <t>eVTOL design parameters</t>
  </si>
  <si>
    <t>lift_rotor_solidity</t>
  </si>
  <si>
    <t>M</t>
  </si>
  <si>
    <t>sound_speed</t>
  </si>
  <si>
    <t>RPM</t>
  </si>
  <si>
    <t>W_rotors_and_hubs</t>
  </si>
  <si>
    <t>W_extra_hubs</t>
  </si>
  <si>
    <t>Pa s</t>
  </si>
  <si>
    <t>mu_air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</si>
  <si>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</si>
  <si>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</si>
  <si>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</si>
  <si>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</si>
  <si>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</si>
  <si>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</si>
  <si>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</si>
  <si>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</si>
  <si>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</si>
  <si>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</si>
  <si>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</si>
  <si>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</si>
  <si>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</si>
  <si>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</si>
  <si>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</si>
  <si>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</si>
  <si>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</si>
  <si>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</si>
  <si>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</si>
  <si>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</si>
  <si>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</si>
  <si>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</si>
  <si>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</si>
  <si>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</si>
  <si>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</si>
  <si>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</si>
  <si>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</si>
  <si>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</si>
  <si>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</si>
  <si>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</si>
  <si>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</si>
  <si>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</si>
  <si>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</si>
  <si>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</si>
  <si>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</si>
  <si>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</si>
  <si>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mission_repetition</t>
  </si>
  <si>
    <t>rho_softmax</t>
  </si>
  <si>
    <t>tf_propulsion</t>
  </si>
  <si>
    <t>tf_structure</t>
  </si>
  <si>
    <t>tf_equipments</t>
  </si>
  <si>
    <t>Propeller|RPM_cruise</t>
  </si>
  <si>
    <t>Environment at 5500 ft</t>
  </si>
  <si>
    <t>Environment at 6500 ft</t>
  </si>
  <si>
    <t>efficiency T/P</t>
  </si>
  <si>
    <t>g/W</t>
  </si>
  <si>
    <t>CT/sigma</t>
  </si>
  <si>
    <t>motor_power_margin</t>
  </si>
  <si>
    <t>Reserve cruise segment</t>
  </si>
  <si>
    <t>reserve cruise duration</t>
  </si>
  <si>
    <t>CD0_wing</t>
  </si>
  <si>
    <t>f_e_non_hub_non_wing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</si>
</sst>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liftcruise_opt_250_test_250!$J$42:$J$46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liftcruise_opt_250_test_250!$K$42:$K$46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654.52</c:v>
                </c:pt>
                <c:pt idx="2">
                  <c:v>339.1</c:v>
                </c:pt>
                <c:pt idx="3">
                  <c:v>484.54</c:v>
                </c:pt>
                <c:pt idx="4">
                  <c:v>104.98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liftcruise_opt_250_test_250!$J$34:$J$38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liftcruise_opt_250_test_250!$K$34:$K$38</c:f>
              <c:numCache>
                <c:formatCode>General</c:formatCode>
                <c:ptCount val="5"/>
                <c:pt idx="0">
                  <c:v>27.48</c:v>
                </c:pt>
                <c:pt idx="1">
                  <c:v>29.98</c:v>
                </c:pt>
                <c:pt idx="2">
                  <c:v>15.53</c:v>
                </c:pt>
                <c:pt idx="3">
                  <c:v>22.19</c:v>
                </c:pt>
                <c:pt idx="4">
                  <c:v>4.8099999999999996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07-E94B-B13B-C211704CAF6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07-E94B-B13B-C211704CAF6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07-E94B-B13B-C211704CAF6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07-E94B-B13B-C211704CAF6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07-E94B-B13B-C211704CAF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liftcruise_opt_250_test_550!$J$42:$J$46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liftcruise_opt_250_test_550!$K$42:$K$46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244.77</c:v>
                </c:pt>
                <c:pt idx="2">
                  <c:v>238.85</c:v>
                </c:pt>
                <c:pt idx="3">
                  <c:v>424.38</c:v>
                </c:pt>
                <c:pt idx="4">
                  <c:v>74.900000000000006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307-E94B-B13B-C211704CAF6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9E-DA4A-A8F0-5E5709DF7EE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9E-DA4A-A8F0-5E5709DF7EE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9E-DA4A-A8F0-5E5709DF7EE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9E-DA4A-A8F0-5E5709DF7EE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9E-DA4A-A8F0-5E5709DF7E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liftcruise_opt_250_test_550!$J$34:$J$38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liftcruise_opt_250_test_550!$K$34:$K$38</c:f>
              <c:numCache>
                <c:formatCode>General</c:formatCode>
                <c:ptCount val="5"/>
                <c:pt idx="0">
                  <c:v>37.9</c:v>
                </c:pt>
                <c:pt idx="1">
                  <c:v>15.46</c:v>
                </c:pt>
                <c:pt idx="2">
                  <c:v>15.09</c:v>
                </c:pt>
                <c:pt idx="3">
                  <c:v>26.81</c:v>
                </c:pt>
                <c:pt idx="4">
                  <c:v>4.7300000000000004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9E-DA4A-A8F0-5E5709DF7E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4DE-2242-ABB2-61C77477FC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DE-2242-ABB2-61C77477FC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4DE-2242-ABB2-61C77477FC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4DE-2242-ABB2-61C77477FC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4DE-2242-ABB2-61C77477FC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liftcruise_opt_550_test_550!$J$42:$J$46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liftcruise_opt_550_test_550!$K$42:$K$46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260.14</c:v>
                </c:pt>
                <c:pt idx="2">
                  <c:v>251.27</c:v>
                </c:pt>
                <c:pt idx="3">
                  <c:v>361.12</c:v>
                </c:pt>
                <c:pt idx="4">
                  <c:v>73.06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DE-2242-ABB2-61C77477FCA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41-3E40-BF25-7077355B37E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41-3E40-BF25-7077355B37E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41-3E40-BF25-7077355B37E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41-3E40-BF25-7077355B37E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41-3E40-BF25-7077355B37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liftcruise_opt_550_test_550!$J$34:$J$38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liftcruise_opt_550_test_550!$K$34:$K$38</c:f>
              <c:numCache>
                <c:formatCode>General</c:formatCode>
                <c:ptCount val="5"/>
                <c:pt idx="0">
                  <c:v>38.82</c:v>
                </c:pt>
                <c:pt idx="1">
                  <c:v>16.829999999999998</c:v>
                </c:pt>
                <c:pt idx="2">
                  <c:v>16.260000000000002</c:v>
                </c:pt>
                <c:pt idx="3">
                  <c:v>23.36</c:v>
                </c:pt>
                <c:pt idx="4">
                  <c:v>4.7300000000000004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41-3E40-BF25-7077355B37E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BDA40-F24D-9343-A762-7E559C61E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6A4612-758F-064D-8F06-F700304E5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58BBB3-E1AB-9E43-84F5-083CA8E5D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8A2940-D8F7-A74F-9578-E629963B0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zoomScale="88" workbookViewId="0">
      <selection activeCell="G48" sqref="G4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7" t="s">
        <v>0</v>
      </c>
      <c r="C1" s="27"/>
      <c r="D1" s="27"/>
    </row>
    <row r="2" spans="2:41" x14ac:dyDescent="0.2">
      <c r="U2" s="15" t="s">
        <v>89</v>
      </c>
      <c r="AF2" s="26" t="s">
        <v>129</v>
      </c>
    </row>
    <row r="3" spans="2:41" x14ac:dyDescent="0.2">
      <c r="B3" s="28" t="s">
        <v>118</v>
      </c>
      <c r="C3" s="29"/>
      <c r="D3" s="29"/>
      <c r="F3" s="30" t="s">
        <v>76</v>
      </c>
      <c r="G3" s="31"/>
      <c r="H3" s="31"/>
      <c r="J3" s="28" t="s">
        <v>94</v>
      </c>
      <c r="K3" s="28"/>
      <c r="L3" s="28"/>
      <c r="N3" s="28" t="s">
        <v>88</v>
      </c>
      <c r="O3" s="28"/>
      <c r="P3" s="28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506.50285656608258</v>
      </c>
      <c r="L4" s="6" t="s">
        <v>97</v>
      </c>
      <c r="N4" s="6" t="s">
        <v>131</v>
      </c>
      <c r="O4" s="6">
        <f xml:space="preserve"> $C$5 * $C$74</f>
        <v>21396.13044230864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1.1823323078486498</v>
      </c>
      <c r="X4" s="3">
        <v>1</v>
      </c>
      <c r="Y4" s="2">
        <f t="shared" ref="Y4:Y34" si="1" xml:space="preserve"> $O$22 * TAN($O$19/180*PI()) + $O$23 / (2 * SQRT($O$22^2 + X4^2)) - X4</f>
        <v>-2.9541779654834621E-2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0.48923113085456449</v>
      </c>
      <c r="AB4" s="2">
        <f>W4*AA4</f>
        <v>0.57843377201468205</v>
      </c>
      <c r="AC4" s="2">
        <f>Y4*AA4</f>
        <v>-1.4452758267991108E-2</v>
      </c>
      <c r="AD4" s="2">
        <f>X4-V4</f>
        <v>1</v>
      </c>
      <c r="AF4" s="2">
        <v>0</v>
      </c>
      <c r="AH4" s="2">
        <f>K30</f>
        <v>7.5240505530018709E-3</v>
      </c>
      <c r="AJ4" s="2">
        <f>K30</f>
        <v>7.5240505530018709E-3</v>
      </c>
      <c r="AL4" s="2">
        <f>K30</f>
        <v>7.5240505530018709E-3</v>
      </c>
    </row>
    <row r="5" spans="2:41" x14ac:dyDescent="0.2">
      <c r="B5" s="9" t="s">
        <v>38</v>
      </c>
      <c r="C5" s="9">
        <v>2183.1552761435801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63.312857070760323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0.48923113085456449</v>
      </c>
      <c r="X5" s="2">
        <f>IF(AC4&gt;0, Z4, X4)</f>
        <v>1</v>
      </c>
      <c r="Y5" s="2">
        <f t="shared" si="1"/>
        <v>-2.9541779654834621E-2</v>
      </c>
      <c r="Z5" s="2">
        <f t="shared" ref="Z5:Z34" si="3" xml:space="preserve"> (V5 + X5)/2</f>
        <v>0.75</v>
      </c>
      <c r="AA5" s="2">
        <f t="shared" si="2"/>
        <v>0.22677759391014229</v>
      </c>
      <c r="AB5" s="2">
        <f t="shared" ref="AB5:AB34" si="4">W5*AA5</f>
        <v>0.11094665872113611</v>
      </c>
      <c r="AC5" s="2">
        <f t="shared" ref="AC5:AC34" si="5">Y5*AA5</f>
        <v>-6.6994137099469896E-3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-897.12001879946001</v>
      </c>
      <c r="AI5" s="3">
        <v>10000</v>
      </c>
      <c r="AJ5" s="2">
        <f t="dataTable" ref="AJ5:AJ44" dt2D="0" dtr="0" r1="C5"/>
        <v>3018.0004128594146</v>
      </c>
      <c r="AK5" s="2">
        <f>(AG5+AI5)/2</f>
        <v>5250</v>
      </c>
      <c r="AL5" s="2">
        <f t="dataTable" ref="AL5:AL44" dt2D="0" dtr="0" r1="C5" ca="1"/>
        <v>995.28200150962903</v>
      </c>
      <c r="AM5" s="2">
        <f>AH5*AL5</f>
        <v>-892887.40790508257</v>
      </c>
      <c r="AN5" s="2">
        <f>AJ5*AL5</f>
        <v>3003761.4914676049</v>
      </c>
      <c r="AO5" s="2">
        <f>AI5-AG5</f>
        <v>9500</v>
      </c>
    </row>
    <row r="6" spans="2:41" x14ac:dyDescent="0.2">
      <c r="B6" s="6" t="s">
        <v>168</v>
      </c>
      <c r="C6" s="16">
        <v>408.42131465519498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170.56708639526448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0.22035166292568323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0.22677759391014229</v>
      </c>
      <c r="X6" s="2">
        <f t="shared" ref="X6:X34" si="8">IF(AC5&gt;0, Z5, X5)</f>
        <v>1</v>
      </c>
      <c r="Y6" s="2">
        <f t="shared" si="1"/>
        <v>-2.9541779654834621E-2</v>
      </c>
      <c r="Z6" s="2">
        <f t="shared" si="3"/>
        <v>0.875</v>
      </c>
      <c r="AA6" s="2">
        <f t="shared" si="2"/>
        <v>9.8172677133584352E-2</v>
      </c>
      <c r="AB6" s="2">
        <f t="shared" si="4"/>
        <v>2.2263363508071503E-2</v>
      </c>
      <c r="AC6" s="2">
        <f t="shared" si="5"/>
        <v>-2.9001955960055704E-3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-897.12001879946001</v>
      </c>
      <c r="AI6" s="2">
        <f>IF(AN5&gt;0,AK5,AI5)</f>
        <v>5250</v>
      </c>
      <c r="AJ6" s="2">
        <v>995.28200150962903</v>
      </c>
      <c r="AK6" s="2">
        <f t="shared" ref="AK6:AK44" si="9">(AG6+AI6)/2</f>
        <v>2875</v>
      </c>
      <c r="AL6" s="2">
        <v>298.55447645148161</v>
      </c>
      <c r="AM6" s="2">
        <f t="shared" ref="AM6:AM44" si="10">AH6*AL6</f>
        <v>-267839.1975268161</v>
      </c>
      <c r="AN6" s="2">
        <f t="shared" ref="AN6:AN44" si="11">AJ6*AL6</f>
        <v>297145.89688229002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2674.7721513456177</v>
      </c>
      <c r="H7" s="6" t="s">
        <v>21</v>
      </c>
      <c r="J7" s="6" t="s">
        <v>133</v>
      </c>
      <c r="K7" s="6">
        <f>K6/$C$28</f>
        <v>170.56708639526448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9.8172677133584352E-2</v>
      </c>
      <c r="X7" s="2">
        <f t="shared" si="8"/>
        <v>1</v>
      </c>
      <c r="Y7" s="2">
        <f t="shared" si="1"/>
        <v>-2.9541779654834621E-2</v>
      </c>
      <c r="Z7" s="2">
        <f t="shared" si="3"/>
        <v>0.9375</v>
      </c>
      <c r="AA7" s="2">
        <f t="shared" si="2"/>
        <v>3.4226031259030676E-2</v>
      </c>
      <c r="AB7" s="2">
        <f t="shared" si="4"/>
        <v>3.3600611163567841E-3</v>
      </c>
      <c r="AC7" s="2">
        <f t="shared" si="5"/>
        <v>-1.0110978739137663E-3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-897.12001879946001</v>
      </c>
      <c r="AI7" s="2">
        <f t="shared" ref="AI7:AI44" si="14">IF(AN6&gt;0,AK6,AI6)</f>
        <v>2875</v>
      </c>
      <c r="AJ7" s="2">
        <v>298.55447645148161</v>
      </c>
      <c r="AK7" s="2">
        <f t="shared" si="9"/>
        <v>1687.5</v>
      </c>
      <c r="AL7" s="2">
        <v>-240.24528044302497</v>
      </c>
      <c r="AM7" s="2">
        <f t="shared" si="10"/>
        <v>215528.85050752811</v>
      </c>
      <c r="AN7" s="2">
        <f t="shared" si="11"/>
        <v>-71726.30392260669</v>
      </c>
      <c r="AO7" s="2">
        <f t="shared" si="12"/>
        <v>2375</v>
      </c>
    </row>
    <row r="8" spans="2:41" x14ac:dyDescent="0.2">
      <c r="B8" s="6" t="s">
        <v>91</v>
      </c>
      <c r="C8" s="16">
        <v>1.92917253118986</v>
      </c>
      <c r="D8" s="6" t="s">
        <v>8</v>
      </c>
      <c r="F8" t="s">
        <v>93</v>
      </c>
      <c r="G8" s="6">
        <f>G10/$C$21</f>
        <v>42.208571380506882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3.4226031259030676E-2</v>
      </c>
      <c r="X8" s="2">
        <f t="shared" si="8"/>
        <v>1</v>
      </c>
      <c r="Y8" s="2">
        <f t="shared" si="1"/>
        <v>-2.9541779654834621E-2</v>
      </c>
      <c r="Z8" s="2">
        <f t="shared" si="3"/>
        <v>0.96875</v>
      </c>
      <c r="AA8" s="2">
        <f t="shared" si="2"/>
        <v>2.321902128680664E-3</v>
      </c>
      <c r="AB8" s="2">
        <f t="shared" si="4"/>
        <v>7.9469494836634268E-5</v>
      </c>
      <c r="AC8" s="2">
        <f t="shared" si="5"/>
        <v>-6.859312106557564E-5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-240.24528044302497</v>
      </c>
      <c r="AI8" s="2">
        <f t="shared" si="14"/>
        <v>2875</v>
      </c>
      <c r="AJ8" s="2">
        <v>298.55447645148161</v>
      </c>
      <c r="AK8" s="2">
        <f t="shared" si="9"/>
        <v>2281.25</v>
      </c>
      <c r="AL8" s="2">
        <v>44.955627401620632</v>
      </c>
      <c r="AM8" s="2">
        <f t="shared" si="10"/>
        <v>-10800.377312594486</v>
      </c>
      <c r="AN8" s="2">
        <f t="shared" si="11"/>
        <v>13421.703802438728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6.4653789643299309</v>
      </c>
      <c r="H9" s="6" t="s">
        <v>172</v>
      </c>
      <c r="J9" s="28" t="s">
        <v>22</v>
      </c>
      <c r="K9" s="28"/>
      <c r="L9" s="28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2.321902128680664E-3</v>
      </c>
      <c r="X9" s="2">
        <f t="shared" si="8"/>
        <v>1</v>
      </c>
      <c r="Y9" s="2">
        <f t="shared" si="1"/>
        <v>-2.9541779654834621E-2</v>
      </c>
      <c r="Z9" s="2">
        <f t="shared" si="3"/>
        <v>0.984375</v>
      </c>
      <c r="AA9" s="2">
        <f t="shared" si="2"/>
        <v>-1.3614757390594256E-2</v>
      </c>
      <c r="AB9" s="2">
        <f t="shared" si="4"/>
        <v>-3.1612134166691606E-5</v>
      </c>
      <c r="AC9" s="2">
        <f t="shared" si="5"/>
        <v>4.0220416288696669E-4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-240.24528044302497</v>
      </c>
      <c r="AI9" s="2">
        <f t="shared" si="14"/>
        <v>2281.25</v>
      </c>
      <c r="AJ9" s="2">
        <v>44.955627401620632</v>
      </c>
      <c r="AK9" s="2">
        <f t="shared" si="9"/>
        <v>1984.375</v>
      </c>
      <c r="AL9" s="2">
        <v>-93.718633649473531</v>
      </c>
      <c r="AM9" s="2">
        <f t="shared" si="10"/>
        <v>22515.459423854885</v>
      </c>
      <c r="AN9" s="2">
        <f t="shared" si="11"/>
        <v>-4213.1799749347174</v>
      </c>
      <c r="AO9" s="2">
        <f t="shared" si="12"/>
        <v>593.75</v>
      </c>
    </row>
    <row r="10" spans="2:41" x14ac:dyDescent="0.2">
      <c r="B10" s="6" t="s">
        <v>134</v>
      </c>
      <c r="C10" s="16">
        <v>1.6418339973495399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337.66857104405506</v>
      </c>
      <c r="H10" s="22" t="s">
        <v>97</v>
      </c>
      <c r="J10" s="6" t="s">
        <v>92</v>
      </c>
      <c r="K10" s="6">
        <f xml:space="preserve"> $C$18 * (G10*G6 + G20*G13 + G29*G25 + G33*G32)/3600</f>
        <v>111.26889522101472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2.321902128680664E-3</v>
      </c>
      <c r="X10" s="2">
        <f t="shared" si="8"/>
        <v>0.984375</v>
      </c>
      <c r="Y10" s="2">
        <f t="shared" si="1"/>
        <v>-1.3614757390594256E-2</v>
      </c>
      <c r="Z10" s="2">
        <f t="shared" si="3"/>
        <v>0.9765625</v>
      </c>
      <c r="AA10" s="2">
        <f t="shared" si="2"/>
        <v>-5.6476607843229942E-3</v>
      </c>
      <c r="AB10" s="2">
        <f t="shared" si="4"/>
        <v>-1.311331559718587E-5</v>
      </c>
      <c r="AC10" s="2">
        <f t="shared" si="5"/>
        <v>7.6891531402930848E-5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-93.718633649473531</v>
      </c>
      <c r="AI10" s="2">
        <f t="shared" si="14"/>
        <v>2281.25</v>
      </c>
      <c r="AJ10" s="2">
        <v>44.955627401620632</v>
      </c>
      <c r="AK10" s="2">
        <f t="shared" si="9"/>
        <v>2132.8125</v>
      </c>
      <c r="AL10" s="2">
        <v>-23.395119920450952</v>
      </c>
      <c r="AM10" s="2">
        <f t="shared" si="10"/>
        <v>2192.5586730102432</v>
      </c>
      <c r="AN10" s="2">
        <f t="shared" si="11"/>
        <v>-1051.7422941600255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0.84877964639246117</v>
      </c>
      <c r="U11" s="2">
        <v>7</v>
      </c>
      <c r="V11" s="2">
        <f t="shared" si="7"/>
        <v>0.96875</v>
      </c>
      <c r="W11" s="2">
        <f t="shared" si="0"/>
        <v>2.321902128680664E-3</v>
      </c>
      <c r="X11" s="2">
        <f t="shared" si="8"/>
        <v>0.9765625</v>
      </c>
      <c r="Y11" s="2">
        <f t="shared" si="1"/>
        <v>-5.6476607843229942E-3</v>
      </c>
      <c r="Z11" s="2">
        <f t="shared" si="3"/>
        <v>0.97265625</v>
      </c>
      <c r="AA11" s="2">
        <f t="shared" si="2"/>
        <v>-1.6631912765466828E-3</v>
      </c>
      <c r="AB11" s="2">
        <f t="shared" si="4"/>
        <v>-3.8617673654168538E-6</v>
      </c>
      <c r="AC11" s="2">
        <f t="shared" si="5"/>
        <v>9.3931401493808004E-6</v>
      </c>
      <c r="AD11" s="2">
        <f t="shared" si="6"/>
        <v>7.8125E-3</v>
      </c>
      <c r="AF11" s="2">
        <v>7</v>
      </c>
      <c r="AG11" s="2">
        <f t="shared" si="13"/>
        <v>2132.8125</v>
      </c>
      <c r="AH11" s="2">
        <v>-23.395119920450952</v>
      </c>
      <c r="AI11" s="2">
        <f t="shared" si="14"/>
        <v>2281.25</v>
      </c>
      <c r="AJ11" s="2">
        <v>44.955627401620632</v>
      </c>
      <c r="AK11" s="2">
        <f t="shared" si="9"/>
        <v>2207.03125</v>
      </c>
      <c r="AL11" s="2">
        <v>11.027242765849451</v>
      </c>
      <c r="AM11" s="2">
        <f t="shared" si="10"/>
        <v>-257.98366689897313</v>
      </c>
      <c r="AN11" s="2">
        <f t="shared" si="11"/>
        <v>495.73661704874445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0.31453836335035101</v>
      </c>
      <c r="U12" s="2">
        <v>8</v>
      </c>
      <c r="V12" s="2">
        <f t="shared" si="7"/>
        <v>0.96875</v>
      </c>
      <c r="W12" s="2">
        <f t="shared" si="0"/>
        <v>2.321902128680664E-3</v>
      </c>
      <c r="X12" s="2">
        <f t="shared" si="8"/>
        <v>0.97265625</v>
      </c>
      <c r="Y12" s="2">
        <f t="shared" si="1"/>
        <v>-1.6631912765466828E-3</v>
      </c>
      <c r="Z12" s="2">
        <f t="shared" si="3"/>
        <v>0.970703125</v>
      </c>
      <c r="AA12" s="2">
        <f t="shared" si="2"/>
        <v>3.2927697501106135E-4</v>
      </c>
      <c r="AB12" s="2">
        <f t="shared" si="4"/>
        <v>7.6454890920371313E-7</v>
      </c>
      <c r="AC12" s="2">
        <f t="shared" si="5"/>
        <v>-5.4765059240607732E-7</v>
      </c>
      <c r="AD12" s="2">
        <f t="shared" si="6"/>
        <v>3.90625E-3</v>
      </c>
      <c r="AF12" s="2">
        <v>8</v>
      </c>
      <c r="AG12" s="2">
        <f t="shared" si="13"/>
        <v>2132.8125</v>
      </c>
      <c r="AH12" s="2">
        <v>-23.395119920450952</v>
      </c>
      <c r="AI12" s="2">
        <f t="shared" si="14"/>
        <v>2207.03125</v>
      </c>
      <c r="AJ12" s="2">
        <v>11.027242765849451</v>
      </c>
      <c r="AK12" s="2">
        <f t="shared" si="9"/>
        <v>2169.921875</v>
      </c>
      <c r="AL12" s="2">
        <v>-6.1222331605595173</v>
      </c>
      <c r="AM12" s="2">
        <f t="shared" si="10"/>
        <v>143.23037897225134</v>
      </c>
      <c r="AN12" s="2">
        <f t="shared" si="11"/>
        <v>-67.511351330623555</v>
      </c>
      <c r="AO12" s="2">
        <f t="shared" si="12"/>
        <v>74.21875</v>
      </c>
    </row>
    <row r="13" spans="2:41" x14ac:dyDescent="0.2">
      <c r="B13" s="6" t="s">
        <v>136</v>
      </c>
      <c r="C13" s="16">
        <v>6.6741489576089901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2.3809606415458096E-2</v>
      </c>
      <c r="U13" s="2">
        <v>9</v>
      </c>
      <c r="V13" s="2">
        <f t="shared" si="7"/>
        <v>0.970703125</v>
      </c>
      <c r="W13" s="2">
        <f t="shared" si="0"/>
        <v>3.2927697501106135E-4</v>
      </c>
      <c r="X13" s="2">
        <f t="shared" si="8"/>
        <v>0.97265625</v>
      </c>
      <c r="Y13" s="2">
        <f t="shared" si="1"/>
        <v>-1.6631912765466828E-3</v>
      </c>
      <c r="Z13" s="2">
        <f t="shared" si="3"/>
        <v>0.9716796875</v>
      </c>
      <c r="AA13" s="2">
        <f t="shared" si="2"/>
        <v>-6.6697670526150166E-4</v>
      </c>
      <c r="AB13" s="2">
        <f t="shared" si="4"/>
        <v>-2.1962007191135152E-7</v>
      </c>
      <c r="AC13" s="2">
        <f t="shared" si="5"/>
        <v>1.1093098378507776E-6</v>
      </c>
      <c r="AD13" s="2">
        <f t="shared" si="6"/>
        <v>1.953125E-3</v>
      </c>
      <c r="AF13" s="2">
        <v>9</v>
      </c>
      <c r="AG13" s="2">
        <f t="shared" si="13"/>
        <v>2169.921875</v>
      </c>
      <c r="AH13" s="2">
        <v>-6.1222331605595173</v>
      </c>
      <c r="AI13" s="2">
        <f t="shared" si="14"/>
        <v>2207.03125</v>
      </c>
      <c r="AJ13" s="2">
        <v>11.027242765849451</v>
      </c>
      <c r="AK13" s="2">
        <f t="shared" si="9"/>
        <v>2188.4765625</v>
      </c>
      <c r="AL13" s="2">
        <v>2.467937183190088</v>
      </c>
      <c r="AM13" s="2">
        <f t="shared" si="10"/>
        <v>-15.109286861104206</v>
      </c>
      <c r="AN13" s="2">
        <f t="shared" si="11"/>
        <v>27.214542449903767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70.220878955663849</v>
      </c>
      <c r="H14" s="6" t="s">
        <v>10</v>
      </c>
      <c r="J14" s="9" t="s">
        <v>75</v>
      </c>
      <c r="K14" s="17">
        <f>C5</f>
        <v>2183.1552761435801</v>
      </c>
      <c r="L14" s="6" t="s">
        <v>7</v>
      </c>
      <c r="N14" s="6" t="s">
        <v>40</v>
      </c>
      <c r="O14" s="6">
        <f xml:space="preserve"> O5 * O13 * $C$12</f>
        <v>1619.6226088889946</v>
      </c>
      <c r="P14" s="6" t="s">
        <v>21</v>
      </c>
      <c r="U14" s="2">
        <v>10</v>
      </c>
      <c r="V14" s="2">
        <f t="shared" si="7"/>
        <v>0.970703125</v>
      </c>
      <c r="W14" s="2">
        <f t="shared" si="0"/>
        <v>3.2927697501106135E-4</v>
      </c>
      <c r="X14" s="2">
        <f t="shared" si="8"/>
        <v>0.9716796875</v>
      </c>
      <c r="Y14" s="2">
        <f t="shared" si="1"/>
        <v>-6.6697670526150166E-4</v>
      </c>
      <c r="Z14" s="2">
        <f t="shared" si="3"/>
        <v>0.97119140625</v>
      </c>
      <c r="AA14" s="2">
        <f t="shared" si="2"/>
        <v>-1.6885476101446972E-4</v>
      </c>
      <c r="AB14" s="2">
        <f t="shared" si="4"/>
        <v>-5.5599984923060285E-8</v>
      </c>
      <c r="AC14" s="2">
        <f t="shared" si="5"/>
        <v>1.1262219216914927E-7</v>
      </c>
      <c r="AD14" s="2">
        <f t="shared" si="6"/>
        <v>9.765625E-4</v>
      </c>
      <c r="AF14" s="2">
        <v>10</v>
      </c>
      <c r="AG14" s="2">
        <f t="shared" si="13"/>
        <v>2169.921875</v>
      </c>
      <c r="AH14" s="2">
        <v>-6.1222331605595173</v>
      </c>
      <c r="AI14" s="2">
        <f t="shared" si="14"/>
        <v>2188.4765625</v>
      </c>
      <c r="AJ14" s="2">
        <v>2.467937183190088</v>
      </c>
      <c r="AK14" s="2">
        <f t="shared" si="9"/>
        <v>2179.19921875</v>
      </c>
      <c r="AL14" s="2">
        <v>-1.8232906568748604</v>
      </c>
      <c r="AM14" s="2">
        <f t="shared" si="10"/>
        <v>11.162610520857614</v>
      </c>
      <c r="AN14" s="2">
        <f t="shared" si="11"/>
        <v>-4.4997668078645479</v>
      </c>
      <c r="AO14" s="2">
        <f t="shared" si="12"/>
        <v>18.5546875</v>
      </c>
    </row>
    <row r="15" spans="2:41" x14ac:dyDescent="0.2">
      <c r="B15" s="28" t="s">
        <v>12</v>
      </c>
      <c r="C15" s="28"/>
      <c r="D15" s="28"/>
      <c r="F15" s="6" t="s">
        <v>143</v>
      </c>
      <c r="G15" s="6">
        <f>G14/$C$73</f>
        <v>0.2110498592361609</v>
      </c>
      <c r="H15" s="6" t="s">
        <v>120</v>
      </c>
      <c r="J15" s="10" t="s">
        <v>53</v>
      </c>
      <c r="K15" s="6">
        <f xml:space="preserve"> 1000 * K10 / ($C$60 * $C$61 * $C$62)</f>
        <v>654.52291306479242</v>
      </c>
      <c r="L15" s="6" t="s">
        <v>7</v>
      </c>
      <c r="N15" s="6" t="s">
        <v>140</v>
      </c>
      <c r="O15" s="6">
        <f>O4/O14</f>
        <v>13.210565427328561</v>
      </c>
      <c r="U15" s="2">
        <v>11</v>
      </c>
      <c r="V15" s="2">
        <f t="shared" si="7"/>
        <v>0.970703125</v>
      </c>
      <c r="W15" s="2">
        <f t="shared" si="0"/>
        <v>3.2927697501106135E-4</v>
      </c>
      <c r="X15" s="2">
        <f t="shared" si="8"/>
        <v>0.97119140625</v>
      </c>
      <c r="Y15" s="2">
        <f t="shared" si="1"/>
        <v>-1.6885476101446972E-4</v>
      </c>
      <c r="Z15" s="2">
        <f t="shared" si="3"/>
        <v>0.970947265625</v>
      </c>
      <c r="AA15" s="2">
        <f t="shared" si="2"/>
        <v>8.0209882116211162E-5</v>
      </c>
      <c r="AB15" s="2">
        <f t="shared" si="4"/>
        <v>2.6411267349219839E-8</v>
      </c>
      <c r="AC15" s="2">
        <f t="shared" si="5"/>
        <v>-1.3543820475731625E-8</v>
      </c>
      <c r="AD15" s="2">
        <f t="shared" si="6"/>
        <v>4.8828125E-4</v>
      </c>
      <c r="AF15" s="2">
        <v>11</v>
      </c>
      <c r="AG15" s="2">
        <f t="shared" si="13"/>
        <v>2179.19921875</v>
      </c>
      <c r="AH15" s="2">
        <v>-1.8232906568748604</v>
      </c>
      <c r="AI15" s="2">
        <f t="shared" si="14"/>
        <v>2188.4765625</v>
      </c>
      <c r="AJ15" s="2">
        <v>2.467937183190088</v>
      </c>
      <c r="AK15" s="2">
        <f t="shared" si="9"/>
        <v>2183.837890625</v>
      </c>
      <c r="AL15" s="2">
        <v>0.3232873913768799</v>
      </c>
      <c r="AM15" s="2">
        <f t="shared" si="10"/>
        <v>-0.58944688018291136</v>
      </c>
      <c r="AN15" s="2">
        <f t="shared" si="11"/>
        <v>0.79785297403552857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1619.6226088889946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161.05727862936993</v>
      </c>
      <c r="L16" s="6" t="s">
        <v>7</v>
      </c>
      <c r="N16" s="6" t="s">
        <v>111</v>
      </c>
      <c r="O16" s="6">
        <f>(O13*$C$12)/(0.3048^2)/($C$5*2.20462/1000)^(2/3)</f>
        <v>2.6971056980712</v>
      </c>
      <c r="U16" s="2">
        <v>12</v>
      </c>
      <c r="V16" s="2">
        <f t="shared" si="7"/>
        <v>0.970947265625</v>
      </c>
      <c r="W16" s="2">
        <f t="shared" si="0"/>
        <v>8.0209882116211162E-5</v>
      </c>
      <c r="X16" s="2">
        <f t="shared" si="8"/>
        <v>0.97119140625</v>
      </c>
      <c r="Y16" s="2">
        <f t="shared" si="1"/>
        <v>-1.6885476101446972E-4</v>
      </c>
      <c r="Z16" s="2">
        <f t="shared" si="3"/>
        <v>0.9710693359375</v>
      </c>
      <c r="AA16" s="2">
        <f t="shared" si="2"/>
        <v>-4.4322745555880338E-5</v>
      </c>
      <c r="AB16" s="2">
        <f t="shared" si="4"/>
        <v>-3.5551221961039842E-9</v>
      </c>
      <c r="AC16" s="2">
        <f t="shared" si="5"/>
        <v>7.4841066083433244E-9</v>
      </c>
      <c r="AD16" s="2">
        <f t="shared" si="6"/>
        <v>2.44140625E-4</v>
      </c>
      <c r="AF16" s="2">
        <v>12</v>
      </c>
      <c r="AG16" s="2">
        <f t="shared" si="13"/>
        <v>2179.19921875</v>
      </c>
      <c r="AH16" s="2">
        <v>-1.8232906568748604</v>
      </c>
      <c r="AI16" s="2">
        <f t="shared" si="14"/>
        <v>2183.837890625</v>
      </c>
      <c r="AJ16" s="2">
        <v>0.3232873913768799</v>
      </c>
      <c r="AK16" s="2">
        <f t="shared" si="9"/>
        <v>2181.5185546875</v>
      </c>
      <c r="AL16" s="2">
        <v>-0.74976046523511286</v>
      </c>
      <c r="AM16" s="2">
        <f t="shared" si="10"/>
        <v>1.3670312511573299</v>
      </c>
      <c r="AN16" s="2">
        <f t="shared" si="11"/>
        <v>-0.24238810496337548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113.71139093017632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0.970947265625</v>
      </c>
      <c r="W17" s="2">
        <f t="shared" si="0"/>
        <v>8.0209882116211162E-5</v>
      </c>
      <c r="X17" s="2">
        <f t="shared" si="8"/>
        <v>0.9710693359375</v>
      </c>
      <c r="Y17" s="2">
        <f t="shared" si="1"/>
        <v>-4.4322745555880338E-5</v>
      </c>
      <c r="Z17" s="2">
        <f t="shared" si="3"/>
        <v>0.97100830078125</v>
      </c>
      <c r="AA17" s="2">
        <f t="shared" si="2"/>
        <v>1.7943491739225159E-5</v>
      </c>
      <c r="AB17" s="2">
        <f t="shared" si="4"/>
        <v>1.4392453571564589E-9</v>
      </c>
      <c r="AC17" s="2">
        <f t="shared" si="5"/>
        <v>-7.9530481874171746E-10</v>
      </c>
      <c r="AD17" s="2">
        <f t="shared" si="6"/>
        <v>1.220703125E-4</v>
      </c>
      <c r="AF17" s="2">
        <v>13</v>
      </c>
      <c r="AG17" s="2">
        <f t="shared" si="13"/>
        <v>2181.5185546875</v>
      </c>
      <c r="AH17" s="2">
        <v>-0.74976046523511286</v>
      </c>
      <c r="AI17" s="2">
        <f t="shared" si="14"/>
        <v>2183.837890625</v>
      </c>
      <c r="AJ17" s="2">
        <v>0.3232873913768799</v>
      </c>
      <c r="AK17" s="2">
        <f t="shared" si="9"/>
        <v>2182.67822265625</v>
      </c>
      <c r="AL17" s="2">
        <v>-0.21317646305351445</v>
      </c>
      <c r="AM17" s="2">
        <f t="shared" si="10"/>
        <v>0.15983128411617883</v>
      </c>
      <c r="AN17" s="2">
        <f t="shared" si="11"/>
        <v>-6.8917262643520508E-2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1.453313298712094</v>
      </c>
      <c r="H18" s="6" t="s">
        <v>172</v>
      </c>
      <c r="J18" s="12" t="s">
        <v>54</v>
      </c>
      <c r="K18" s="6">
        <f xml:space="preserve"> $C$78 * (0.2138 * K4 + 0.2138 * K6)</f>
        <v>115.80604304410879</v>
      </c>
      <c r="L18" s="6" t="s">
        <v>7</v>
      </c>
      <c r="N18" s="30" t="s">
        <v>141</v>
      </c>
      <c r="O18" s="32"/>
      <c r="P18" s="32"/>
      <c r="U18" s="2">
        <v>14</v>
      </c>
      <c r="V18" s="2">
        <f t="shared" si="7"/>
        <v>0.97100830078125</v>
      </c>
      <c r="W18" s="2">
        <f t="shared" si="0"/>
        <v>1.7943491739225159E-5</v>
      </c>
      <c r="X18" s="2">
        <f t="shared" si="8"/>
        <v>0.9710693359375</v>
      </c>
      <c r="Y18" s="2">
        <f t="shared" si="1"/>
        <v>-4.4322745555880338E-5</v>
      </c>
      <c r="Z18" s="2">
        <f t="shared" si="3"/>
        <v>0.971038818359375</v>
      </c>
      <c r="AA18" s="2">
        <f t="shared" si="2"/>
        <v>-1.3189646041800174E-5</v>
      </c>
      <c r="AB18" s="2">
        <f t="shared" si="4"/>
        <v>-2.3666830479434524E-10</v>
      </c>
      <c r="AC18" s="2">
        <f t="shared" si="5"/>
        <v>5.8460132548283332E-10</v>
      </c>
      <c r="AD18" s="2">
        <f t="shared" si="6"/>
        <v>6.103515625E-5</v>
      </c>
      <c r="AF18" s="2">
        <v>14</v>
      </c>
      <c r="AG18" s="2">
        <f t="shared" si="13"/>
        <v>2182.67822265625</v>
      </c>
      <c r="AH18" s="2">
        <v>-0.21317646305351445</v>
      </c>
      <c r="AI18" s="2">
        <f t="shared" si="14"/>
        <v>2183.837890625</v>
      </c>
      <c r="AJ18" s="2">
        <v>0.3232873913768799</v>
      </c>
      <c r="AK18" s="2">
        <f t="shared" si="9"/>
        <v>2183.258056640625</v>
      </c>
      <c r="AL18" s="2">
        <v>5.507062905667226E-2</v>
      </c>
      <c r="AM18" s="2">
        <f t="shared" si="10"/>
        <v>-1.1739761920433493E-2</v>
      </c>
      <c r="AN18" s="2">
        <f t="shared" si="11"/>
        <v>1.7803640009215378E-2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4.5244698186529791E-2</v>
      </c>
      <c r="J19" s="12" t="s">
        <v>73</v>
      </c>
      <c r="K19" s="6">
        <f xml:space="preserve"> $C$78 * (0.1149 * K4 + 0.1149 * K6)</f>
        <v>62.236269157007023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0.97100830078125</v>
      </c>
      <c r="W19" s="2">
        <f t="shared" si="0"/>
        <v>1.7943491739225159E-5</v>
      </c>
      <c r="X19" s="2">
        <f t="shared" si="8"/>
        <v>0.971038818359375</v>
      </c>
      <c r="Y19" s="2">
        <f t="shared" si="1"/>
        <v>-1.3189646041800174E-5</v>
      </c>
      <c r="Z19" s="2">
        <f t="shared" si="3"/>
        <v>0.9710235595703125</v>
      </c>
      <c r="AA19" s="2">
        <f t="shared" si="2"/>
        <v>2.3769180651500577E-6</v>
      </c>
      <c r="AB19" s="2">
        <f t="shared" si="4"/>
        <v>4.2650209666835109E-11</v>
      </c>
      <c r="AC19" s="2">
        <f t="shared" si="5"/>
        <v>-3.1350707949689785E-11</v>
      </c>
      <c r="AD19" s="2">
        <f t="shared" si="6"/>
        <v>3.0517578125E-5</v>
      </c>
      <c r="AF19" s="2">
        <v>15</v>
      </c>
      <c r="AG19" s="2">
        <f t="shared" si="13"/>
        <v>2182.67822265625</v>
      </c>
      <c r="AH19" s="2">
        <v>-0.21317646305351445</v>
      </c>
      <c r="AI19" s="2">
        <f t="shared" si="14"/>
        <v>2183.258056640625</v>
      </c>
      <c r="AJ19" s="2">
        <v>5.507062905667226E-2</v>
      </c>
      <c r="AK19" s="2">
        <f t="shared" si="9"/>
        <v>2182.9681396484375</v>
      </c>
      <c r="AL19" s="2">
        <v>-7.9048906401112617E-2</v>
      </c>
      <c r="AM19" s="2">
        <f t="shared" si="10"/>
        <v>1.6851366274837506E-2</v>
      </c>
      <c r="AN19" s="2">
        <f t="shared" si="11"/>
        <v>-4.3532730017512783E-3</v>
      </c>
      <c r="AO19" s="2">
        <f t="shared" si="12"/>
        <v>0.579833984375</v>
      </c>
    </row>
    <row r="20" spans="2:41" x14ac:dyDescent="0.2">
      <c r="B20" s="28" t="s">
        <v>108</v>
      </c>
      <c r="C20" s="28"/>
      <c r="D20" s="28"/>
      <c r="F20" s="23" t="s">
        <v>128</v>
      </c>
      <c r="G20" s="22">
        <f xml:space="preserve"> $C$28 * G17</f>
        <v>113.71139093017632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214.6711667602458</v>
      </c>
      <c r="L20" s="6" t="s">
        <v>7</v>
      </c>
      <c r="N20" s="6" t="s">
        <v>20</v>
      </c>
      <c r="O20" s="6">
        <f xml:space="preserve"> O14 / $C$28</f>
        <v>1619.6226088889946</v>
      </c>
      <c r="P20" s="6" t="s">
        <v>21</v>
      </c>
      <c r="U20" s="2">
        <v>16</v>
      </c>
      <c r="V20" s="2">
        <f t="shared" si="7"/>
        <v>0.9710235595703125</v>
      </c>
      <c r="W20" s="2">
        <f t="shared" si="0"/>
        <v>2.3769180651500577E-6</v>
      </c>
      <c r="X20" s="2">
        <f t="shared" si="8"/>
        <v>0.971038818359375</v>
      </c>
      <c r="Y20" s="2">
        <f t="shared" si="1"/>
        <v>-1.3189646041800174E-5</v>
      </c>
      <c r="Z20" s="2">
        <f t="shared" si="3"/>
        <v>0.97103118896484375</v>
      </c>
      <c r="AA20" s="2">
        <f t="shared" si="2"/>
        <v>-5.406365184201789E-6</v>
      </c>
      <c r="AB20" s="2">
        <f t="shared" si="4"/>
        <v>-1.2850487073127551E-11</v>
      </c>
      <c r="AC20" s="2">
        <f t="shared" si="5"/>
        <v>7.1308043152333399E-11</v>
      </c>
      <c r="AD20" s="2">
        <f t="shared" si="6"/>
        <v>1.52587890625E-5</v>
      </c>
      <c r="AF20" s="2">
        <v>16</v>
      </c>
      <c r="AG20" s="2">
        <f t="shared" si="13"/>
        <v>2182.9681396484375</v>
      </c>
      <c r="AH20" s="2">
        <v>-7.9048906401112617E-2</v>
      </c>
      <c r="AI20" s="2">
        <f t="shared" si="14"/>
        <v>2183.258056640625</v>
      </c>
      <c r="AJ20" s="2">
        <v>5.507062905667226E-2</v>
      </c>
      <c r="AK20" s="2">
        <f t="shared" si="9"/>
        <v>2183.1130981445312</v>
      </c>
      <c r="AL20" s="2">
        <v>-1.1988209149876639E-2</v>
      </c>
      <c r="AM20" s="2">
        <f t="shared" si="10"/>
        <v>9.4765482300556022E-4</v>
      </c>
      <c r="AN20" s="2">
        <f t="shared" si="11"/>
        <v>-6.6019821914666064E-4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56.762037179733085</v>
      </c>
      <c r="L21" s="6" t="s">
        <v>7</v>
      </c>
      <c r="N21" s="6" t="s">
        <v>27</v>
      </c>
      <c r="O21" s="6">
        <f>$C$6*2*PI()/60</f>
        <v>42.769780056341531</v>
      </c>
      <c r="P21" s="6" t="s">
        <v>28</v>
      </c>
      <c r="U21" s="2">
        <v>17</v>
      </c>
      <c r="V21" s="2">
        <f t="shared" si="7"/>
        <v>0.9710235595703125</v>
      </c>
      <c r="W21" s="2">
        <f t="shared" si="0"/>
        <v>2.3769180651500577E-6</v>
      </c>
      <c r="X21" s="2">
        <f t="shared" si="8"/>
        <v>0.97103118896484375</v>
      </c>
      <c r="Y21" s="2">
        <f t="shared" si="1"/>
        <v>-5.406365184201789E-6</v>
      </c>
      <c r="Z21" s="2">
        <f t="shared" si="3"/>
        <v>0.97102737426757812</v>
      </c>
      <c r="AA21" s="2">
        <f t="shared" si="2"/>
        <v>-1.5147238584534151E-6</v>
      </c>
      <c r="AB21" s="2">
        <f t="shared" si="4"/>
        <v>-3.6003745028717212E-12</v>
      </c>
      <c r="AC21" s="2">
        <f t="shared" si="5"/>
        <v>8.1891503320223412E-12</v>
      </c>
      <c r="AD21" s="2">
        <f t="shared" si="6"/>
        <v>7.62939453125E-6</v>
      </c>
      <c r="AF21" s="2">
        <v>17</v>
      </c>
      <c r="AG21" s="2">
        <f t="shared" si="13"/>
        <v>2183.1130981445312</v>
      </c>
      <c r="AH21" s="2">
        <v>-1.1988209149876639E-2</v>
      </c>
      <c r="AI21" s="2">
        <f t="shared" si="14"/>
        <v>2183.258056640625</v>
      </c>
      <c r="AJ21" s="2">
        <v>5.507062905667226E-2</v>
      </c>
      <c r="AK21" s="2">
        <f t="shared" si="9"/>
        <v>2183.1855773925781</v>
      </c>
      <c r="AL21" s="2">
        <v>2.1541442333955274E-2</v>
      </c>
      <c r="AM21" s="2">
        <f t="shared" si="10"/>
        <v>-2.5824331608946262E-4</v>
      </c>
      <c r="AN21" s="2">
        <f t="shared" si="11"/>
        <v>1.1863007801189472E-3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8" t="s">
        <v>77</v>
      </c>
      <c r="G22" s="28"/>
      <c r="H22" s="28"/>
      <c r="J22" s="13" t="s">
        <v>144</v>
      </c>
      <c r="K22" s="6">
        <f xml:space="preserve"> $C$79 * (0.04674 * ($C$5*2.20462)^0.397 * ($C$12*3.28084^2)^0.36 * $C$46^0.397 * $C$13^1.712 * 0.453592)</f>
        <v>156.8266888742165</v>
      </c>
      <c r="L22" s="6" t="s">
        <v>7</v>
      </c>
      <c r="N22" s="6" t="s">
        <v>29</v>
      </c>
      <c r="O22" s="6">
        <f xml:space="preserve"> $C$7 * COS(O19/180*PI()) / (O21 * $C$10)</f>
        <v>8.3227603707110673E-2</v>
      </c>
      <c r="U22" s="2">
        <v>18</v>
      </c>
      <c r="V22" s="2">
        <f t="shared" si="7"/>
        <v>0.9710235595703125</v>
      </c>
      <c r="W22" s="2">
        <f t="shared" si="0"/>
        <v>2.3769180651500577E-6</v>
      </c>
      <c r="X22" s="2">
        <f t="shared" si="8"/>
        <v>0.97102737426757812</v>
      </c>
      <c r="Y22" s="2">
        <f t="shared" si="1"/>
        <v>-1.5147238584534151E-6</v>
      </c>
      <c r="Z22" s="2">
        <f t="shared" si="3"/>
        <v>0.97102546691894531</v>
      </c>
      <c r="AA22" s="2">
        <f t="shared" si="2"/>
        <v>4.3109702863031174E-7</v>
      </c>
      <c r="AB22" s="2">
        <f t="shared" si="4"/>
        <v>1.0246823151838995E-12</v>
      </c>
      <c r="AC22" s="2">
        <f t="shared" si="5"/>
        <v>-6.5299295457470815E-13</v>
      </c>
      <c r="AD22" s="2">
        <f t="shared" si="6"/>
        <v>3.814697265625E-6</v>
      </c>
      <c r="AF22" s="2">
        <v>18</v>
      </c>
      <c r="AG22" s="2">
        <f t="shared" si="13"/>
        <v>2183.1130981445312</v>
      </c>
      <c r="AH22" s="2">
        <v>-1.1988209149876639E-2</v>
      </c>
      <c r="AI22" s="2">
        <f t="shared" si="14"/>
        <v>2183.1855773925781</v>
      </c>
      <c r="AJ22" s="2">
        <v>2.1541442333955274E-2</v>
      </c>
      <c r="AK22" s="2">
        <f t="shared" si="9"/>
        <v>2183.1493377685547</v>
      </c>
      <c r="AL22" s="2">
        <v>4.7766746872639487E-3</v>
      </c>
      <c r="AM22" s="2">
        <f t="shared" si="10"/>
        <v>-5.7263775191841799E-5</v>
      </c>
      <c r="AN22" s="2">
        <f t="shared" si="11"/>
        <v>1.0289646232376019E-4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24.653661162289968</v>
      </c>
      <c r="L23" s="6" t="s">
        <v>7</v>
      </c>
      <c r="N23" s="6" t="s">
        <v>30</v>
      </c>
      <c r="O23" s="6">
        <f xml:space="preserve"> O20 / ( $C$71 * PI() * $C$10^2 * O21^2 * $C$10^2)</f>
        <v>3.8457219279984321E-2</v>
      </c>
      <c r="U23" s="2">
        <v>19</v>
      </c>
      <c r="V23" s="2">
        <f t="shared" si="7"/>
        <v>0.97102546691894531</v>
      </c>
      <c r="W23" s="2">
        <f t="shared" si="0"/>
        <v>4.3109702863031174E-7</v>
      </c>
      <c r="X23" s="2">
        <f t="shared" si="8"/>
        <v>0.97102737426757812</v>
      </c>
      <c r="Y23" s="2">
        <f t="shared" si="1"/>
        <v>-1.5147238584534151E-6</v>
      </c>
      <c r="Z23" s="2">
        <f t="shared" si="3"/>
        <v>0.97102642059326172</v>
      </c>
      <c r="AA23" s="2">
        <f t="shared" si="2"/>
        <v>-5.4181343367432078E-7</v>
      </c>
      <c r="AB23" s="2">
        <f t="shared" si="4"/>
        <v>-2.3357416132898616E-13</v>
      </c>
      <c r="AC23" s="2">
        <f t="shared" si="5"/>
        <v>8.2069773481706062E-13</v>
      </c>
      <c r="AD23" s="2">
        <f t="shared" si="6"/>
        <v>1.9073486328125E-6</v>
      </c>
      <c r="AF23" s="2">
        <v>19</v>
      </c>
      <c r="AG23" s="2">
        <f t="shared" si="13"/>
        <v>2183.1130981445312</v>
      </c>
      <c r="AH23" s="2">
        <v>-1.1988209149876639E-2</v>
      </c>
      <c r="AI23" s="2">
        <f t="shared" si="14"/>
        <v>2183.1493377685547</v>
      </c>
      <c r="AJ23" s="2">
        <v>4.7766746872639487E-3</v>
      </c>
      <c r="AK23" s="2">
        <f t="shared" si="9"/>
        <v>2183.131217956543</v>
      </c>
      <c r="AL23" s="2">
        <v>-3.6054601628165983E-3</v>
      </c>
      <c r="AM23" s="2">
        <f t="shared" si="10"/>
        <v>4.3223010513393659E-5</v>
      </c>
      <c r="AN23" s="2">
        <f t="shared" si="11"/>
        <v>-1.7222110295664602E-5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8.6261365605414646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0.97102546691894531</v>
      </c>
      <c r="W24" s="2">
        <f t="shared" si="0"/>
        <v>4.3109702863031174E-7</v>
      </c>
      <c r="X24" s="2">
        <f t="shared" si="8"/>
        <v>0.97102642059326172</v>
      </c>
      <c r="Y24" s="2">
        <f t="shared" si="1"/>
        <v>-5.4181343367432078E-7</v>
      </c>
      <c r="Z24" s="2">
        <f t="shared" si="3"/>
        <v>0.97102594375610352</v>
      </c>
      <c r="AA24" s="2">
        <f t="shared" si="2"/>
        <v>-5.535820712943007E-8</v>
      </c>
      <c r="AB24" s="2">
        <f t="shared" si="4"/>
        <v>-2.3864758603798643E-14</v>
      </c>
      <c r="AC24" s="2">
        <f t="shared" si="5"/>
        <v>2.9993820286850771E-14</v>
      </c>
      <c r="AD24" s="2">
        <f t="shared" si="6"/>
        <v>9.5367431640625E-7</v>
      </c>
      <c r="AF24" s="2">
        <v>20</v>
      </c>
      <c r="AG24" s="2">
        <f t="shared" si="13"/>
        <v>2183.131217956543</v>
      </c>
      <c r="AH24" s="2">
        <v>-3.6054601628165983E-3</v>
      </c>
      <c r="AI24" s="2">
        <f t="shared" si="14"/>
        <v>2183.1493377685547</v>
      </c>
      <c r="AJ24" s="2">
        <v>4.7766746872639487E-3</v>
      </c>
      <c r="AK24" s="2">
        <f t="shared" si="9"/>
        <v>2183.1402778625488</v>
      </c>
      <c r="AL24" s="2">
        <v>5.853183481576707E-4</v>
      </c>
      <c r="AM24" s="2">
        <f t="shared" si="10"/>
        <v>-2.1103419868480977E-6</v>
      </c>
      <c r="AN24" s="2">
        <f t="shared" si="11"/>
        <v>2.7958753376358926E-6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23.004346784800433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2886.5586418855869</v>
      </c>
      <c r="P25" s="6" t="s">
        <v>19</v>
      </c>
      <c r="U25" s="2">
        <v>21</v>
      </c>
      <c r="V25" s="2">
        <f t="shared" si="7"/>
        <v>0.97102546691894531</v>
      </c>
      <c r="W25" s="2">
        <f t="shared" si="0"/>
        <v>4.3109702863031174E-7</v>
      </c>
      <c r="X25" s="2">
        <f t="shared" si="8"/>
        <v>0.97102594375610352</v>
      </c>
      <c r="Y25" s="2">
        <f t="shared" si="1"/>
        <v>-5.535820712943007E-8</v>
      </c>
      <c r="Z25" s="2">
        <f t="shared" si="3"/>
        <v>0.97102570533752441</v>
      </c>
      <c r="AA25" s="2">
        <f t="shared" si="2"/>
        <v>1.8786940958470666E-7</v>
      </c>
      <c r="AB25" s="2">
        <f t="shared" si="4"/>
        <v>8.0989944242498052E-14</v>
      </c>
      <c r="AC25" s="2">
        <f t="shared" si="5"/>
        <v>-1.0400113689073926E-14</v>
      </c>
      <c r="AD25" s="2">
        <f t="shared" si="6"/>
        <v>4.76837158203125E-7</v>
      </c>
      <c r="AF25" s="2">
        <v>21</v>
      </c>
      <c r="AG25" s="2">
        <f t="shared" si="13"/>
        <v>2183.131217956543</v>
      </c>
      <c r="AH25" s="2">
        <v>-3.6054601628165983E-3</v>
      </c>
      <c r="AI25" s="2">
        <f t="shared" si="14"/>
        <v>2183.1402778625488</v>
      </c>
      <c r="AJ25" s="2">
        <v>5.853183481576707E-4</v>
      </c>
      <c r="AK25" s="2">
        <f t="shared" si="9"/>
        <v>2183.1357479095459</v>
      </c>
      <c r="AL25" s="2">
        <v>-1.5097774542027764E-3</v>
      </c>
      <c r="AM25" s="2">
        <f t="shared" si="10"/>
        <v>5.4434424658467717E-6</v>
      </c>
      <c r="AN25" s="2">
        <f t="shared" si="11"/>
        <v>-8.8370044557966237E-7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2674.7721513456177</v>
      </c>
      <c r="H26" s="6" t="s">
        <v>21</v>
      </c>
      <c r="J26" s="14" t="s">
        <v>65</v>
      </c>
      <c r="K26" s="6">
        <f xml:space="preserve"> $C$80 * (0.0268 * $C$5)</f>
        <v>46.806849120518365</v>
      </c>
      <c r="L26" s="6" t="s">
        <v>7</v>
      </c>
      <c r="N26" s="6" t="s">
        <v>32</v>
      </c>
      <c r="O26" s="17">
        <f>Z34</f>
        <v>0.9710258892737329</v>
      </c>
      <c r="U26" s="2">
        <v>22</v>
      </c>
      <c r="V26" s="2">
        <f t="shared" si="7"/>
        <v>0.97102570533752441</v>
      </c>
      <c r="W26" s="2">
        <f t="shared" si="0"/>
        <v>1.8786940958470666E-7</v>
      </c>
      <c r="X26" s="2">
        <f t="shared" si="8"/>
        <v>0.97102594375610352</v>
      </c>
      <c r="Y26" s="2">
        <f t="shared" si="1"/>
        <v>-5.535820712943007E-8</v>
      </c>
      <c r="Z26" s="2">
        <f t="shared" si="3"/>
        <v>0.97102582454681396</v>
      </c>
      <c r="AA26" s="2">
        <f t="shared" si="2"/>
        <v>6.6255600894571387E-8</v>
      </c>
      <c r="AB26" s="2">
        <f t="shared" si="4"/>
        <v>1.2447400621743089E-14</v>
      </c>
      <c r="AC26" s="2">
        <f t="shared" si="5"/>
        <v>-3.6677912778065353E-15</v>
      </c>
      <c r="AD26" s="2">
        <f t="shared" si="6"/>
        <v>2.384185791015625E-7</v>
      </c>
      <c r="AF26" s="2">
        <v>22</v>
      </c>
      <c r="AG26" s="2">
        <f t="shared" si="13"/>
        <v>2183.1357479095459</v>
      </c>
      <c r="AH26" s="2">
        <v>-1.5097774542027764E-3</v>
      </c>
      <c r="AI26" s="2">
        <f t="shared" si="14"/>
        <v>2183.1402778625488</v>
      </c>
      <c r="AJ26" s="2">
        <v>5.853183481576707E-4</v>
      </c>
      <c r="AK26" s="2">
        <f t="shared" si="9"/>
        <v>2183.1380128860474</v>
      </c>
      <c r="AL26" s="2">
        <v>-4.6252187075879192E-4</v>
      </c>
      <c r="AM26" s="2">
        <f t="shared" si="10"/>
        <v>6.9830509254731446E-7</v>
      </c>
      <c r="AN26" s="2">
        <f t="shared" si="11"/>
        <v>-2.7072253737933176E-7</v>
      </c>
      <c r="AO26" s="2">
        <f t="shared" si="12"/>
        <v>4.5299530029296875E-3</v>
      </c>
    </row>
    <row r="27" spans="2:41" x14ac:dyDescent="0.2">
      <c r="B27" s="28" t="s">
        <v>146</v>
      </c>
      <c r="C27" s="28"/>
      <c r="D27" s="28"/>
      <c r="F27" t="s">
        <v>93</v>
      </c>
      <c r="G27" s="6">
        <f>G29/$C$21</f>
        <v>37.406076384188047</v>
      </c>
      <c r="H27" t="s">
        <v>97</v>
      </c>
      <c r="J27" s="14" t="s">
        <v>66</v>
      </c>
      <c r="K27" s="6">
        <f xml:space="preserve"> $C$80 * (11.5 * ($C$5*2.20462/1000)^0.4 * 0.453592)</f>
        <v>7.8238508226964782</v>
      </c>
      <c r="L27" s="6" t="s">
        <v>7</v>
      </c>
      <c r="N27" s="6" t="s">
        <v>33</v>
      </c>
      <c r="O27" s="6">
        <f xml:space="preserve"> O21 * $C$10 * O26 - $C$7 * SIN(O19/180*PI())</f>
        <v>1.3854597582665491</v>
      </c>
      <c r="P27" s="6" t="s">
        <v>10</v>
      </c>
      <c r="U27" s="2">
        <v>23</v>
      </c>
      <c r="V27" s="2">
        <f t="shared" si="7"/>
        <v>0.97102582454681396</v>
      </c>
      <c r="W27" s="2">
        <f t="shared" si="0"/>
        <v>6.6255600894571387E-8</v>
      </c>
      <c r="X27" s="2">
        <f t="shared" si="8"/>
        <v>0.97102594375610352</v>
      </c>
      <c r="Y27" s="2">
        <f t="shared" si="1"/>
        <v>-5.535820712943007E-8</v>
      </c>
      <c r="Z27" s="2">
        <f t="shared" si="3"/>
        <v>0.97102588415145874</v>
      </c>
      <c r="AA27" s="2">
        <f t="shared" si="2"/>
        <v>5.4486968270595071E-9</v>
      </c>
      <c r="AB27" s="2">
        <f t="shared" si="4"/>
        <v>3.6100668236917218E-16</v>
      </c>
      <c r="AC27" s="2">
        <f t="shared" si="5"/>
        <v>-3.0163008753782861E-16</v>
      </c>
      <c r="AD27" s="2">
        <f t="shared" si="6"/>
        <v>1.1920928955078125E-7</v>
      </c>
      <c r="AF27" s="2">
        <v>23</v>
      </c>
      <c r="AG27" s="2">
        <f t="shared" si="13"/>
        <v>2183.1380128860474</v>
      </c>
      <c r="AH27" s="2">
        <v>-4.6252187075879192E-4</v>
      </c>
      <c r="AI27" s="2">
        <f t="shared" si="14"/>
        <v>2183.1402778625488</v>
      </c>
      <c r="AJ27" s="2">
        <v>5.853183481576707E-4</v>
      </c>
      <c r="AK27" s="2">
        <f t="shared" si="9"/>
        <v>2183.1391453742981</v>
      </c>
      <c r="AL27" s="2">
        <v>6.1398295201797737E-5</v>
      </c>
      <c r="AM27" s="2">
        <f t="shared" si="10"/>
        <v>-2.8398054358136046E-8</v>
      </c>
      <c r="AN27" s="2">
        <f t="shared" si="11"/>
        <v>3.593754872721329E-8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7.2954566716680009</v>
      </c>
      <c r="H28" s="6" t="s">
        <v>172</v>
      </c>
      <c r="J28" s="14" t="s">
        <v>67</v>
      </c>
      <c r="K28" s="6">
        <f xml:space="preserve"> $C$80 * (8 * ($C$5/1000))</f>
        <v>13.972193767318913</v>
      </c>
      <c r="L28" s="6" t="s">
        <v>7</v>
      </c>
      <c r="N28" s="6" t="s">
        <v>34</v>
      </c>
      <c r="O28" s="6">
        <f xml:space="preserve"> 1/$C$31 - O25 * SQRT( (2*$C$71*PI()*$C$10^2) / O20^3 )</f>
        <v>1.1503016172873877</v>
      </c>
      <c r="U28" s="2">
        <v>24</v>
      </c>
      <c r="V28" s="2">
        <f t="shared" si="7"/>
        <v>0.97102588415145874</v>
      </c>
      <c r="W28" s="2">
        <f t="shared" si="0"/>
        <v>5.4486968270595071E-9</v>
      </c>
      <c r="X28" s="2">
        <f t="shared" si="8"/>
        <v>0.97102594375610352</v>
      </c>
      <c r="Y28" s="2">
        <f t="shared" si="1"/>
        <v>-5.535820712943007E-8</v>
      </c>
      <c r="Z28" s="2">
        <f t="shared" si="3"/>
        <v>0.97102591395378113</v>
      </c>
      <c r="AA28" s="2">
        <f t="shared" si="2"/>
        <v>-2.4954755262207584E-8</v>
      </c>
      <c r="AB28" s="2">
        <f t="shared" si="4"/>
        <v>-1.35970895817237E-16</v>
      </c>
      <c r="AC28" s="2">
        <f t="shared" si="5"/>
        <v>1.3814505106695225E-15</v>
      </c>
      <c r="AD28" s="2">
        <f t="shared" si="6"/>
        <v>5.9604644775390625E-8</v>
      </c>
      <c r="AF28" s="2">
        <v>24</v>
      </c>
      <c r="AG28" s="2">
        <f t="shared" si="13"/>
        <v>2183.1380128860474</v>
      </c>
      <c r="AH28" s="2">
        <v>-4.6252187075879192E-4</v>
      </c>
      <c r="AI28" s="2">
        <f t="shared" si="14"/>
        <v>2183.1391453742981</v>
      </c>
      <c r="AJ28" s="2">
        <v>6.1398295201797737E-5</v>
      </c>
      <c r="AK28" s="2">
        <f t="shared" si="9"/>
        <v>2183.1385791301727</v>
      </c>
      <c r="AL28" s="2">
        <v>-2.0026922857141471E-4</v>
      </c>
      <c r="AM28" s="2">
        <f t="shared" si="10"/>
        <v>9.2628898254270836E-8</v>
      </c>
      <c r="AN28" s="2">
        <f t="shared" si="11"/>
        <v>-1.2296189215664027E-8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299.24861107350438</v>
      </c>
      <c r="H29" s="22" t="s">
        <v>97</v>
      </c>
      <c r="J29" s="14" t="s">
        <v>68</v>
      </c>
      <c r="K29" s="6">
        <f xml:space="preserve"> $C$80 * (13 * ($C$5*2.20462/1000)^1.3 * 0.453592)</f>
        <v>36.378317165388033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0.97102588415145874</v>
      </c>
      <c r="W29" s="2">
        <f t="shared" si="0"/>
        <v>5.4486968270595071E-9</v>
      </c>
      <c r="X29" s="2">
        <f t="shared" si="8"/>
        <v>0.97102591395378113</v>
      </c>
      <c r="Y29" s="2">
        <f t="shared" si="1"/>
        <v>-2.4954755262207584E-8</v>
      </c>
      <c r="Z29" s="2">
        <f t="shared" si="3"/>
        <v>0.97102589905261993</v>
      </c>
      <c r="AA29" s="2">
        <f t="shared" si="2"/>
        <v>-9.7530292730851897E-9</v>
      </c>
      <c r="AB29" s="2">
        <f t="shared" si="4"/>
        <v>-5.3141299654477764E-17</v>
      </c>
      <c r="AC29" s="2">
        <f t="shared" si="5"/>
        <v>2.4338445857498727E-16</v>
      </c>
      <c r="AD29" s="2">
        <f t="shared" si="6"/>
        <v>2.9802322387695312E-8</v>
      </c>
      <c r="AF29" s="2">
        <v>25</v>
      </c>
      <c r="AG29" s="2">
        <f t="shared" si="13"/>
        <v>2183.1385791301727</v>
      </c>
      <c r="AH29" s="2">
        <v>-2.0026922857141471E-4</v>
      </c>
      <c r="AI29" s="2">
        <f t="shared" si="14"/>
        <v>2183.1391453742981</v>
      </c>
      <c r="AJ29" s="2">
        <v>6.1398295201797737E-5</v>
      </c>
      <c r="AK29" s="2">
        <f t="shared" si="9"/>
        <v>2183.1388622522354</v>
      </c>
      <c r="AL29" s="2">
        <v>-6.9142918164288858E-5</v>
      </c>
      <c r="AM29" s="2">
        <f t="shared" si="10"/>
        <v>1.3847198881938588E-8</v>
      </c>
      <c r="AN29" s="2">
        <f t="shared" si="11"/>
        <v>-4.2452573005647504E-9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7.5240505530018709E-3</v>
      </c>
      <c r="L30" s="9" t="s">
        <v>7</v>
      </c>
      <c r="N30" s="6" t="s">
        <v>36</v>
      </c>
      <c r="O30" s="6">
        <f xml:space="preserve"> 1/$C$77 * LN( EXP($C$77 * O28) + EXP($C$77 * O29) )</f>
        <v>1.1732560558099001</v>
      </c>
      <c r="U30" s="2">
        <v>26</v>
      </c>
      <c r="V30" s="2">
        <f>IF(AB29&gt;0, Z29, V29)</f>
        <v>0.97102588415145874</v>
      </c>
      <c r="W30" s="2">
        <f t="shared" si="0"/>
        <v>5.4486968270595071E-9</v>
      </c>
      <c r="X30" s="2">
        <f t="shared" si="8"/>
        <v>0.97102589905261993</v>
      </c>
      <c r="Y30" s="2">
        <f t="shared" si="1"/>
        <v>-9.7530292730851897E-9</v>
      </c>
      <c r="Z30" s="2">
        <f t="shared" si="3"/>
        <v>0.97102589160203934</v>
      </c>
      <c r="AA30" s="2">
        <f t="shared" si="2"/>
        <v>-2.1521662230128413E-9</v>
      </c>
      <c r="AB30" s="2">
        <f t="shared" si="4"/>
        <v>-1.1726501270634712E-17</v>
      </c>
      <c r="AC30" s="2">
        <f t="shared" si="5"/>
        <v>2.099014017358943E-17</v>
      </c>
      <c r="AD30" s="2">
        <f t="shared" si="6"/>
        <v>1.4901161193847656E-8</v>
      </c>
      <c r="AF30" s="2">
        <v>26</v>
      </c>
      <c r="AG30" s="2">
        <f t="shared" si="13"/>
        <v>2183.1388622522354</v>
      </c>
      <c r="AH30" s="2">
        <v>-6.9142918164288858E-5</v>
      </c>
      <c r="AI30" s="2">
        <f t="shared" si="14"/>
        <v>2183.1391453742981</v>
      </c>
      <c r="AJ30" s="2">
        <v>6.1398295201797737E-5</v>
      </c>
      <c r="AK30" s="2">
        <f t="shared" si="9"/>
        <v>2183.1390038132668</v>
      </c>
      <c r="AL30" s="2">
        <v>-3.8723101170035079E-6</v>
      </c>
      <c r="AM30" s="2">
        <f t="shared" si="10"/>
        <v>2.6774282152672136E-10</v>
      </c>
      <c r="AN30" s="2">
        <f t="shared" si="11"/>
        <v>-2.3775323967668931E-10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0.97102588415145874</v>
      </c>
      <c r="W31" s="2">
        <f t="shared" si="0"/>
        <v>5.4486968270595071E-9</v>
      </c>
      <c r="X31" s="2">
        <f t="shared" si="8"/>
        <v>0.97102589160203934</v>
      </c>
      <c r="Y31" s="2">
        <f t="shared" si="1"/>
        <v>-2.1521662230128413E-9</v>
      </c>
      <c r="Z31" s="2">
        <f t="shared" si="3"/>
        <v>0.97102588787674904</v>
      </c>
      <c r="AA31" s="2">
        <f t="shared" si="2"/>
        <v>1.6482653020233329E-9</v>
      </c>
      <c r="AB31" s="2">
        <f t="shared" si="4"/>
        <v>8.980897921286814E-18</v>
      </c>
      <c r="AC31" s="2">
        <f t="shared" si="5"/>
        <v>-3.5473409095786765E-18</v>
      </c>
      <c r="AD31" s="2">
        <f t="shared" si="6"/>
        <v>7.4505805969238281E-9</v>
      </c>
      <c r="AF31" s="2">
        <v>27</v>
      </c>
      <c r="AG31" s="2">
        <f t="shared" si="13"/>
        <v>2183.1390038132668</v>
      </c>
      <c r="AH31" s="2">
        <v>-3.8723101170035079E-6</v>
      </c>
      <c r="AI31" s="2">
        <f t="shared" si="14"/>
        <v>2183.1391453742981</v>
      </c>
      <c r="AJ31" s="2">
        <v>6.1398295201797737E-5</v>
      </c>
      <c r="AK31" s="2">
        <f t="shared" si="9"/>
        <v>2183.1390745937824</v>
      </c>
      <c r="AL31" s="2">
        <v>2.9055537879685289E-5</v>
      </c>
      <c r="AM31" s="2">
        <f t="shared" si="10"/>
        <v>-1.12512053286484E-10</v>
      </c>
      <c r="AN31" s="2">
        <f t="shared" si="11"/>
        <v>1.7839604919839336E-9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0.97102588787674904</v>
      </c>
      <c r="W32" s="2">
        <f t="shared" si="0"/>
        <v>1.6482653020233329E-9</v>
      </c>
      <c r="X32" s="2">
        <f t="shared" si="8"/>
        <v>0.97102589160203934</v>
      </c>
      <c r="Y32" s="2">
        <f t="shared" si="1"/>
        <v>-2.1521662230128413E-9</v>
      </c>
      <c r="Z32" s="2">
        <f t="shared" si="3"/>
        <v>0.97102588973939419</v>
      </c>
      <c r="AA32" s="2">
        <f t="shared" si="2"/>
        <v>-2.5195046049475422E-10</v>
      </c>
      <c r="AB32" s="2">
        <f t="shared" si="4"/>
        <v>-4.1528120186230387E-19</v>
      </c>
      <c r="AC32" s="2">
        <f t="shared" si="5"/>
        <v>5.4223927094934129E-19</v>
      </c>
      <c r="AD32" s="2">
        <f t="shared" si="6"/>
        <v>3.7252902984619141E-9</v>
      </c>
      <c r="AF32" s="2">
        <v>28</v>
      </c>
      <c r="AG32" s="2">
        <f t="shared" si="13"/>
        <v>2183.1390038132668</v>
      </c>
      <c r="AH32" s="2">
        <v>-3.8723101170035079E-6</v>
      </c>
      <c r="AI32" s="2">
        <f t="shared" si="14"/>
        <v>2183.1390745937824</v>
      </c>
      <c r="AJ32" s="2">
        <v>2.9055537879685289E-5</v>
      </c>
      <c r="AK32" s="2">
        <f t="shared" si="9"/>
        <v>2183.1390392035246</v>
      </c>
      <c r="AL32" s="2">
        <v>1.2591613312906702E-5</v>
      </c>
      <c r="AM32" s="2">
        <f t="shared" si="10"/>
        <v>-4.8758631620964679E-11</v>
      </c>
      <c r="AN32" s="2">
        <f t="shared" si="11"/>
        <v>3.6585609757951026E-10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113.71139093017632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0.97102588787674904</v>
      </c>
      <c r="W33" s="2">
        <f t="shared" si="0"/>
        <v>1.6482653020233329E-9</v>
      </c>
      <c r="X33" s="2">
        <f t="shared" si="8"/>
        <v>0.97102588973939419</v>
      </c>
      <c r="Y33" s="2">
        <f t="shared" si="1"/>
        <v>-2.5195046049475422E-10</v>
      </c>
      <c r="Z33" s="2">
        <f t="shared" si="3"/>
        <v>0.97102588880807161</v>
      </c>
      <c r="AA33" s="2">
        <f t="shared" si="2"/>
        <v>6.9815742076428933E-10</v>
      </c>
      <c r="AB33" s="2">
        <f t="shared" si="4"/>
        <v>1.1507486519958824E-18</v>
      </c>
      <c r="AC33" s="2">
        <f t="shared" si="5"/>
        <v>-1.7590108365939258E-19</v>
      </c>
      <c r="AD33" s="2">
        <f t="shared" si="6"/>
        <v>1.862645149230957E-9</v>
      </c>
      <c r="AF33" s="2">
        <v>29</v>
      </c>
      <c r="AG33" s="2">
        <f t="shared" si="13"/>
        <v>2183.1390038132668</v>
      </c>
      <c r="AH33" s="2">
        <v>-3.8723101170035079E-6</v>
      </c>
      <c r="AI33" s="2">
        <f t="shared" si="14"/>
        <v>2183.1390392035246</v>
      </c>
      <c r="AJ33" s="2">
        <v>1.2591613312906702E-5</v>
      </c>
      <c r="AK33" s="2">
        <f t="shared" si="9"/>
        <v>2183.1390215083957</v>
      </c>
      <c r="AL33" s="2">
        <v>4.3596512568910839E-6</v>
      </c>
      <c r="AM33" s="2">
        <f t="shared" si="10"/>
        <v>-1.6881921668666403E-11</v>
      </c>
      <c r="AN33" s="2">
        <f t="shared" si="11"/>
        <v>5.4895042805900209E-11</v>
      </c>
      <c r="AO33" s="2">
        <f t="shared" si="12"/>
        <v>3.5390257835388184E-5</v>
      </c>
    </row>
    <row r="34" spans="2:41" x14ac:dyDescent="0.2">
      <c r="B34" s="28" t="s">
        <v>100</v>
      </c>
      <c r="C34" s="28"/>
      <c r="D34" s="28"/>
      <c r="J34" s="6" t="s">
        <v>58</v>
      </c>
      <c r="K34" s="6">
        <f>ROUND($C$16/$C$5 * 100, 2)</f>
        <v>27.48</v>
      </c>
      <c r="L34" s="6" t="s">
        <v>59</v>
      </c>
      <c r="U34" s="2">
        <v>30</v>
      </c>
      <c r="V34" s="2">
        <f t="shared" si="7"/>
        <v>0.97102588880807161</v>
      </c>
      <c r="W34" s="2">
        <f t="shared" si="0"/>
        <v>6.9815742076428933E-10</v>
      </c>
      <c r="X34" s="2">
        <f t="shared" si="8"/>
        <v>0.97102588973939419</v>
      </c>
      <c r="Y34" s="2">
        <f t="shared" si="1"/>
        <v>-2.5195046049475422E-10</v>
      </c>
      <c r="Z34" s="2">
        <f t="shared" si="3"/>
        <v>0.9710258892737329</v>
      </c>
      <c r="AA34" s="2">
        <f t="shared" si="2"/>
        <v>2.2310342462361632E-10</v>
      </c>
      <c r="AB34" s="2">
        <f t="shared" si="4"/>
        <v>1.5576131149890401E-19</v>
      </c>
      <c r="AC34" s="2">
        <f t="shared" si="5"/>
        <v>-5.6211010571876821E-20</v>
      </c>
      <c r="AD34" s="2">
        <f t="shared" si="6"/>
        <v>9.3132257461547852E-10</v>
      </c>
      <c r="AF34" s="2">
        <v>30</v>
      </c>
      <c r="AG34" s="2">
        <f t="shared" si="13"/>
        <v>2183.1390038132668</v>
      </c>
      <c r="AH34" s="2">
        <v>-3.8723101170035079E-6</v>
      </c>
      <c r="AI34" s="2">
        <f t="shared" si="14"/>
        <v>2183.1390215083957</v>
      </c>
      <c r="AJ34" s="2">
        <v>4.3596512568910839E-6</v>
      </c>
      <c r="AK34" s="2">
        <f t="shared" si="9"/>
        <v>2183.1390126608312</v>
      </c>
      <c r="AL34" s="2">
        <v>2.4367068363062572E-7</v>
      </c>
      <c r="AM34" s="2">
        <f t="shared" si="10"/>
        <v>-9.4356845344003303E-13</v>
      </c>
      <c r="AN34" s="2">
        <f t="shared" si="11"/>
        <v>1.0623192021577671E-12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29.98</v>
      </c>
      <c r="L35" s="6" t="s">
        <v>59</v>
      </c>
      <c r="AF35" s="2">
        <v>31</v>
      </c>
      <c r="AG35" s="2">
        <f t="shared" si="13"/>
        <v>2183.1390038132668</v>
      </c>
      <c r="AH35" s="2">
        <v>-3.8723101170035079E-6</v>
      </c>
      <c r="AI35" s="2">
        <f t="shared" si="14"/>
        <v>2183.1390126608312</v>
      </c>
      <c r="AJ35" s="2">
        <v>2.4367068363062572E-7</v>
      </c>
      <c r="AK35" s="2">
        <f t="shared" si="9"/>
        <v>2183.139008237049</v>
      </c>
      <c r="AL35" s="2">
        <v>-1.8143196029996034E-6</v>
      </c>
      <c r="AM35" s="2">
        <f t="shared" si="10"/>
        <v>7.0256081541731522E-12</v>
      </c>
      <c r="AN35" s="2">
        <f t="shared" si="11"/>
        <v>-4.420964979873588E-13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15.53</v>
      </c>
      <c r="L36" s="6" t="s">
        <v>59</v>
      </c>
      <c r="AF36" s="2">
        <v>32</v>
      </c>
      <c r="AG36" s="2">
        <f t="shared" si="13"/>
        <v>2183.139008237049</v>
      </c>
      <c r="AH36" s="2">
        <v>-1.8143196029996034E-6</v>
      </c>
      <c r="AI36" s="2">
        <f t="shared" si="14"/>
        <v>2183.1390126608312</v>
      </c>
      <c r="AJ36" s="2">
        <v>2.4367068363062572E-7</v>
      </c>
      <c r="AK36" s="2">
        <f t="shared" si="9"/>
        <v>2183.1390104489401</v>
      </c>
      <c r="AL36" s="2">
        <v>-7.8532434599765111E-7</v>
      </c>
      <c r="AM36" s="2">
        <f t="shared" si="10"/>
        <v>1.4248293556563815E-12</v>
      </c>
      <c r="AN36" s="2">
        <f t="shared" si="11"/>
        <v>-1.9136052026102169E-13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22.19</v>
      </c>
      <c r="L37" s="6" t="s">
        <v>59</v>
      </c>
      <c r="AF37" s="2">
        <v>33</v>
      </c>
      <c r="AG37" s="2">
        <f t="shared" si="13"/>
        <v>2183.1390104489401</v>
      </c>
      <c r="AH37" s="2">
        <v>-7.8532434599765111E-7</v>
      </c>
      <c r="AI37" s="2">
        <f t="shared" si="14"/>
        <v>2183.1390126608312</v>
      </c>
      <c r="AJ37" s="2">
        <v>2.4367068363062572E-7</v>
      </c>
      <c r="AK37" s="2">
        <f t="shared" si="9"/>
        <v>2183.1390115548857</v>
      </c>
      <c r="AL37" s="2">
        <v>-2.7082705855718814E-7</v>
      </c>
      <c r="AM37" s="2">
        <f t="shared" si="10"/>
        <v>2.1268708263989133E-13</v>
      </c>
      <c r="AN37" s="2">
        <f t="shared" si="11"/>
        <v>-6.5992614504301536E-14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4.8099999999999996</v>
      </c>
      <c r="L38" s="6" t="s">
        <v>59</v>
      </c>
      <c r="AF38" s="2">
        <v>34</v>
      </c>
      <c r="AG38" s="2">
        <f t="shared" si="13"/>
        <v>2183.1390115548857</v>
      </c>
      <c r="AH38" s="2">
        <v>-2.7082705855718814E-7</v>
      </c>
      <c r="AI38" s="2">
        <f t="shared" si="14"/>
        <v>2183.1390126608312</v>
      </c>
      <c r="AJ38" s="2">
        <v>2.4367068363062572E-7</v>
      </c>
      <c r="AK38" s="2">
        <f t="shared" si="9"/>
        <v>2183.1390121078584</v>
      </c>
      <c r="AL38" s="2">
        <v>-1.3578301150118932E-8</v>
      </c>
      <c r="AM38" s="2">
        <f t="shared" si="10"/>
        <v>3.6773713606903951E-15</v>
      </c>
      <c r="AN38" s="2">
        <f t="shared" si="11"/>
        <v>-3.3086339237919916E-15</v>
      </c>
      <c r="AO38" s="2">
        <f t="shared" si="12"/>
        <v>1.1059455573558807E-6</v>
      </c>
    </row>
    <row r="39" spans="2:41" x14ac:dyDescent="0.2">
      <c r="B39" s="28" t="s">
        <v>104</v>
      </c>
      <c r="C39" s="28"/>
      <c r="D39" s="28"/>
      <c r="J39" s="9" t="s">
        <v>60</v>
      </c>
      <c r="K39" s="9">
        <f>SUM(K34:K38)</f>
        <v>99.99</v>
      </c>
      <c r="L39" s="9" t="s">
        <v>59</v>
      </c>
      <c r="AF39" s="2">
        <v>35</v>
      </c>
      <c r="AG39" s="2">
        <f t="shared" si="13"/>
        <v>2183.1390121078584</v>
      </c>
      <c r="AH39" s="2">
        <v>-1.3578301150118932E-8</v>
      </c>
      <c r="AI39" s="2">
        <f t="shared" si="14"/>
        <v>2183.1390126608312</v>
      </c>
      <c r="AJ39" s="2">
        <v>2.4367068363062572E-7</v>
      </c>
      <c r="AK39" s="2">
        <f t="shared" si="9"/>
        <v>2183.1390123843448</v>
      </c>
      <c r="AL39" s="2">
        <v>1.1504607755341567E-7</v>
      </c>
      <c r="AM39" s="2">
        <f t="shared" si="10"/>
        <v>-1.5621302871602159E-15</v>
      </c>
      <c r="AN39" s="2">
        <f t="shared" si="11"/>
        <v>2.8033356366462781E-14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2183.1390121078584</v>
      </c>
      <c r="AH40" s="2">
        <v>-1.3578301150118932E-8</v>
      </c>
      <c r="AI40" s="2">
        <f t="shared" si="14"/>
        <v>2183.1390123843448</v>
      </c>
      <c r="AJ40" s="2">
        <v>1.1504607755341567E-7</v>
      </c>
      <c r="AK40" s="2">
        <f t="shared" si="9"/>
        <v>2183.1390122461016</v>
      </c>
      <c r="AL40" s="2">
        <v>5.0733888201648369E-8</v>
      </c>
      <c r="AM40" s="2">
        <f t="shared" si="10"/>
        <v>-6.8888001251844738E-16</v>
      </c>
      <c r="AN40" s="2">
        <f t="shared" si="11"/>
        <v>5.8367348366331586E-15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8" t="s">
        <v>109</v>
      </c>
      <c r="K41" s="28"/>
      <c r="L41" s="28"/>
      <c r="AF41" s="2">
        <v>37</v>
      </c>
      <c r="AG41" s="2">
        <f t="shared" si="13"/>
        <v>2183.1390121078584</v>
      </c>
      <c r="AH41" s="2">
        <v>-1.3578301150118932E-8</v>
      </c>
      <c r="AI41" s="2">
        <f t="shared" si="14"/>
        <v>2183.1390122461016</v>
      </c>
      <c r="AJ41" s="2">
        <v>5.0733888201648369E-8</v>
      </c>
      <c r="AK41" s="2">
        <f t="shared" si="9"/>
        <v>2183.13901217698</v>
      </c>
      <c r="AL41" s="2">
        <v>1.8577793525764719E-8</v>
      </c>
      <c r="AM41" s="2">
        <f t="shared" si="10"/>
        <v>-2.5225487519756313E-16</v>
      </c>
      <c r="AN41" s="2">
        <f t="shared" si="11"/>
        <v>9.4252369976945412E-16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2183.1390121078584</v>
      </c>
      <c r="AH42" s="2">
        <v>-1.3578301150118932E-8</v>
      </c>
      <c r="AI42" s="2">
        <f t="shared" si="14"/>
        <v>2183.13901217698</v>
      </c>
      <c r="AJ42" s="2">
        <v>1.8577793525764719E-8</v>
      </c>
      <c r="AK42" s="2">
        <f t="shared" si="9"/>
        <v>2183.1390121424192</v>
      </c>
      <c r="AL42" s="2">
        <v>2.4997461878228933E-9</v>
      </c>
      <c r="AM42" s="2">
        <f t="shared" si="10"/>
        <v>-3.3942306537121008E-17</v>
      </c>
      <c r="AN42" s="2">
        <f t="shared" si="11"/>
        <v>4.6439768544191183E-17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654.52</v>
      </c>
      <c r="L43" s="6" t="s">
        <v>7</v>
      </c>
      <c r="AF43" s="2">
        <v>39</v>
      </c>
      <c r="AG43" s="2">
        <f t="shared" si="13"/>
        <v>2183.1390121078584</v>
      </c>
      <c r="AH43" s="2">
        <v>-1.3578301150118932E-8</v>
      </c>
      <c r="AI43" s="2">
        <f t="shared" si="14"/>
        <v>2183.1390121424192</v>
      </c>
      <c r="AJ43" s="2">
        <v>2.4997461878228933E-9</v>
      </c>
      <c r="AK43" s="2">
        <f t="shared" si="9"/>
        <v>2183.1390121251388</v>
      </c>
      <c r="AL43" s="2">
        <v>-5.5392774811480194E-9</v>
      </c>
      <c r="AM43" s="2">
        <f t="shared" si="10"/>
        <v>7.5213977793100054E-17</v>
      </c>
      <c r="AN43" s="2">
        <f t="shared" si="11"/>
        <v>-1.384678776679296E-17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339.1</v>
      </c>
      <c r="L44" s="6" t="s">
        <v>7</v>
      </c>
      <c r="AF44" s="2">
        <v>40</v>
      </c>
      <c r="AG44" s="2">
        <f t="shared" si="13"/>
        <v>2183.1390121251388</v>
      </c>
      <c r="AH44" s="2">
        <v>-5.5392774811480194E-9</v>
      </c>
      <c r="AI44" s="2">
        <f t="shared" si="14"/>
        <v>2183.1390121424192</v>
      </c>
      <c r="AJ44" s="2">
        <v>2.4997461878228933E-9</v>
      </c>
      <c r="AK44" s="5">
        <f t="shared" si="9"/>
        <v>2183.139012133779</v>
      </c>
      <c r="AL44" s="2">
        <v>-1.5195382729871199E-9</v>
      </c>
      <c r="AM44" s="2">
        <f t="shared" si="10"/>
        <v>8.4171441373001048E-18</v>
      </c>
      <c r="AN44" s="2">
        <f t="shared" si="11"/>
        <v>-3.7984600051505358E-18</v>
      </c>
      <c r="AO44" s="2">
        <f t="shared" si="12"/>
        <v>1.7280399333685637E-8</v>
      </c>
    </row>
    <row r="45" spans="2:41" x14ac:dyDescent="0.2">
      <c r="B45" s="28" t="s">
        <v>151</v>
      </c>
      <c r="C45" s="28"/>
      <c r="D45" s="28"/>
      <c r="J45" s="19" t="s">
        <v>70</v>
      </c>
      <c r="K45" s="6">
        <f>ROUND(SUM(K20:K25), 2)</f>
        <v>484.54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104.98</v>
      </c>
      <c r="L46" s="6" t="s">
        <v>7</v>
      </c>
    </row>
    <row r="47" spans="2:41" x14ac:dyDescent="0.2">
      <c r="J47" s="9" t="s">
        <v>60</v>
      </c>
      <c r="K47" s="9">
        <f>SUM(K42:K46)</f>
        <v>2183.14</v>
      </c>
      <c r="L47" s="6" t="s">
        <v>7</v>
      </c>
    </row>
    <row r="48" spans="2:41" x14ac:dyDescent="0.2">
      <c r="B48" s="28" t="s">
        <v>152</v>
      </c>
      <c r="C48" s="28"/>
      <c r="D48" s="28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8" t="s">
        <v>156</v>
      </c>
      <c r="C53" s="28"/>
      <c r="D53" s="28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8" t="s">
        <v>169</v>
      </c>
      <c r="C64" s="29"/>
      <c r="D64" s="29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8" t="s">
        <v>170</v>
      </c>
      <c r="C70" s="29"/>
      <c r="D70" s="29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8" t="s">
        <v>72</v>
      </c>
      <c r="C76" s="28"/>
      <c r="D76" s="28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48:D48"/>
    <mergeCell ref="B53:D53"/>
    <mergeCell ref="B76:D76"/>
    <mergeCell ref="B59:D59"/>
    <mergeCell ref="B64:D64"/>
    <mergeCell ref="B70:D70"/>
    <mergeCell ref="F22:H22"/>
    <mergeCell ref="B27:D27"/>
    <mergeCell ref="B39:D39"/>
    <mergeCell ref="J41:L41"/>
    <mergeCell ref="B45:D45"/>
    <mergeCell ref="B34:D34"/>
    <mergeCell ref="F31:H31"/>
    <mergeCell ref="J9:L9"/>
    <mergeCell ref="F12:H12"/>
    <mergeCell ref="B15:D15"/>
    <mergeCell ref="N18:P18"/>
    <mergeCell ref="B20:D20"/>
    <mergeCell ref="B1:D1"/>
    <mergeCell ref="B3:D3"/>
    <mergeCell ref="F3:H3"/>
    <mergeCell ref="J3:L3"/>
    <mergeCell ref="N3:P3"/>
  </mergeCells>
  <conditionalFormatting sqref="K31">
    <cfRule type="containsText" dxfId="17" priority="7" operator="containsText" text="FALSE">
      <formula>NOT(ISERROR(SEARCH("FALSE",K31)))</formula>
    </cfRule>
    <cfRule type="containsText" dxfId="16" priority="8" operator="containsText" text="TRUE">
      <formula>NOT(ISERROR(SEARCH("TRUE",K31)))</formula>
    </cfRule>
    <cfRule type="cellIs" dxfId="15" priority="9" operator="equal">
      <formula>1</formula>
    </cfRule>
    <cfRule type="cellIs" dxfId="14" priority="10" operator="equal">
      <formula>TRUE</formula>
    </cfRule>
    <cfRule type="containsText" dxfId="13" priority="11" operator="containsText" text="YES">
      <formula>NOT(ISERROR(SEARCH("YES",K31)))</formula>
    </cfRule>
    <cfRule type="cellIs" dxfId="12" priority="12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E599-B8DB-7C45-AD35-81934DFC24D5}">
  <dimension ref="B1:AO81"/>
  <sheetViews>
    <sheetView tabSelected="1" zoomScale="88" workbookViewId="0">
      <selection activeCell="G43" sqref="G43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7" t="s">
        <v>0</v>
      </c>
      <c r="C1" s="27"/>
      <c r="D1" s="27"/>
    </row>
    <row r="2" spans="2:41" x14ac:dyDescent="0.2">
      <c r="U2" s="15" t="s">
        <v>89</v>
      </c>
      <c r="AF2" s="26" t="s">
        <v>129</v>
      </c>
    </row>
    <row r="3" spans="2:41" x14ac:dyDescent="0.2">
      <c r="B3" s="28" t="s">
        <v>118</v>
      </c>
      <c r="C3" s="29"/>
      <c r="D3" s="29"/>
      <c r="F3" s="30" t="s">
        <v>76</v>
      </c>
      <c r="G3" s="31"/>
      <c r="H3" s="31"/>
      <c r="J3" s="28" t="s">
        <v>94</v>
      </c>
      <c r="K3" s="28"/>
      <c r="L3" s="28"/>
      <c r="N3" s="28" t="s">
        <v>88</v>
      </c>
      <c r="O3" s="28"/>
      <c r="P3" s="28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319.32437035826609</v>
      </c>
      <c r="L4" s="6" t="s">
        <v>97</v>
      </c>
      <c r="N4" s="6" t="s">
        <v>131</v>
      </c>
      <c r="O4" s="6">
        <f xml:space="preserve"> $C$5 * $C$74</f>
        <v>15513.409630320646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1.1567475568842718</v>
      </c>
      <c r="X4" s="3">
        <v>1</v>
      </c>
      <c r="Y4" s="2">
        <f t="shared" ref="Y4:Y34" si="1" xml:space="preserve"> $O$22 * TAN($O$19/180*PI()) + $O$23 / (2 * SQRT($O$22^2 + X4^2)) - X4</f>
        <v>-3.1663800409470366E-2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0.48503021626386</v>
      </c>
      <c r="AB4" s="2">
        <f>W4*AA4</f>
        <v>0.56105751767827006</v>
      </c>
      <c r="AC4" s="2">
        <f>Y4*AA4</f>
        <v>-1.535789996034111E-2</v>
      </c>
      <c r="AD4" s="2">
        <f>X4-V4</f>
        <v>1</v>
      </c>
      <c r="AF4" s="2">
        <v>0</v>
      </c>
      <c r="AH4" s="2">
        <f>K30</f>
        <v>1.0772618597002293E-2</v>
      </c>
      <c r="AJ4" s="2">
        <f>K30</f>
        <v>1.0772618597002293E-2</v>
      </c>
      <c r="AL4" s="2">
        <f>K30</f>
        <v>1.0772618597002293E-2</v>
      </c>
    </row>
    <row r="5" spans="2:41" x14ac:dyDescent="0.2">
      <c r="B5" s="9" t="s">
        <v>38</v>
      </c>
      <c r="C5" s="9">
        <v>1582.9115538779999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39.915546294783262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0.48503021626386</v>
      </c>
      <c r="X5" s="2">
        <f>IF(AC4&gt;0, Z4, X4)</f>
        <v>1</v>
      </c>
      <c r="Y5" s="2">
        <f t="shared" si="1"/>
        <v>-3.1663800409470366E-2</v>
      </c>
      <c r="Z5" s="2">
        <f t="shared" ref="Z5:Z34" si="3" xml:space="preserve"> (V5 + X5)/2</f>
        <v>0.75</v>
      </c>
      <c r="AA5" s="2">
        <f t="shared" si="2"/>
        <v>0.22395577187826365</v>
      </c>
      <c r="AB5" s="2">
        <f t="shared" ref="AB5:AB34" si="4">W5*AA5</f>
        <v>0.10862531646765392</v>
      </c>
      <c r="AC5" s="2">
        <f t="shared" ref="AC5:AC34" si="5">Y5*AA5</f>
        <v>-7.0912908613022163E-3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-678.01858236845442</v>
      </c>
      <c r="AI5" s="3">
        <v>10000</v>
      </c>
      <c r="AJ5" s="2">
        <f t="dataTable" ref="AJ5:AJ44" dt2D="0" dtr="0" r1="C5" ca="1"/>
        <v>4418.8379864563485</v>
      </c>
      <c r="AK5" s="2">
        <f>(AG5+AI5)/2</f>
        <v>5250</v>
      </c>
      <c r="AL5" s="2">
        <f t="dataTable" ref="AL5:AL44" dt2D="0" dtr="0" r1="C5" ca="1"/>
        <v>1898.4039660409003</v>
      </c>
      <c r="AM5" s="2">
        <f>AH5*AL5</f>
        <v>-1287153.1658177027</v>
      </c>
      <c r="AN5" s="2">
        <f>AJ5*AL5</f>
        <v>8388739.5587809179</v>
      </c>
      <c r="AO5" s="2">
        <f>AI5-AG5</f>
        <v>9500</v>
      </c>
    </row>
    <row r="6" spans="2:41" x14ac:dyDescent="0.2">
      <c r="B6" s="6" t="s">
        <v>168</v>
      </c>
      <c r="C6" s="16">
        <v>408.42131465519498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151.74080895700195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0.17784064077649908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0.22395577187826365</v>
      </c>
      <c r="X6" s="2">
        <f t="shared" ref="X6:X34" si="8">IF(AC5&gt;0, Z5, X5)</f>
        <v>1</v>
      </c>
      <c r="Y6" s="2">
        <f t="shared" si="1"/>
        <v>-3.1663800409470366E-2</v>
      </c>
      <c r="Z6" s="2">
        <f t="shared" si="3"/>
        <v>0.875</v>
      </c>
      <c r="AA6" s="2">
        <f t="shared" si="2"/>
        <v>9.5750060076479016E-2</v>
      </c>
      <c r="AB6" s="2">
        <f t="shared" si="4"/>
        <v>2.1443778611817975E-2</v>
      </c>
      <c r="AC6" s="2">
        <f t="shared" si="5"/>
        <v>-3.0318107914564284E-3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-678.01858236845442</v>
      </c>
      <c r="AI6" s="2">
        <f>IF(AN5&gt;0,AK5,AI5)</f>
        <v>5250</v>
      </c>
      <c r="AJ6" s="2">
        <v>1898.4039660409003</v>
      </c>
      <c r="AK6" s="2">
        <f t="shared" ref="AK6:AK44" si="9">(AG6+AI6)/2</f>
        <v>2875</v>
      </c>
      <c r="AL6" s="2">
        <v>746.55830271265495</v>
      </c>
      <c r="AM6" s="2">
        <f t="shared" ref="AM6:AM44" si="10">AH6*AL6</f>
        <v>-506180.40206063376</v>
      </c>
      <c r="AN6" s="2">
        <f t="shared" ref="AN6:AN44" si="11">AJ6*AL6</f>
        <v>1417269.2427504673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1939.3617067106129</v>
      </c>
      <c r="H7" s="6" t="s">
        <v>21</v>
      </c>
      <c r="J7" s="6" t="s">
        <v>133</v>
      </c>
      <c r="K7" s="6">
        <f>K6/$C$28</f>
        <v>151.74080895700195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9.5750060076479016E-2</v>
      </c>
      <c r="X7" s="2">
        <f t="shared" si="8"/>
        <v>1</v>
      </c>
      <c r="Y7" s="2">
        <f t="shared" si="1"/>
        <v>-3.1663800409470366E-2</v>
      </c>
      <c r="Z7" s="2">
        <f t="shared" si="3"/>
        <v>0.9375</v>
      </c>
      <c r="AA7" s="2">
        <f t="shared" si="2"/>
        <v>3.1963614357893633E-2</v>
      </c>
      <c r="AB7" s="2">
        <f t="shared" si="4"/>
        <v>3.0605179950297227E-3</v>
      </c>
      <c r="AC7" s="2">
        <f t="shared" si="5"/>
        <v>-1.0120895053936253E-3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-678.01858236845442</v>
      </c>
      <c r="AI7" s="2">
        <f t="shared" ref="AI7:AI44" si="14">IF(AN6&gt;0,AK6,AI6)</f>
        <v>2875</v>
      </c>
      <c r="AJ7" s="2">
        <v>746.55830271265495</v>
      </c>
      <c r="AK7" s="2">
        <f t="shared" si="9"/>
        <v>1687.5</v>
      </c>
      <c r="AL7" s="2">
        <v>63.436114005664422</v>
      </c>
      <c r="AM7" s="2">
        <f t="shared" si="10"/>
        <v>-43010.864089084251</v>
      </c>
      <c r="AN7" s="2">
        <f t="shared" si="11"/>
        <v>47358.757602755308</v>
      </c>
      <c r="AO7" s="2">
        <f t="shared" si="12"/>
        <v>2375</v>
      </c>
    </row>
    <row r="8" spans="2:41" x14ac:dyDescent="0.2">
      <c r="B8" s="6" t="s">
        <v>91</v>
      </c>
      <c r="C8" s="16">
        <v>1.92917253118986</v>
      </c>
      <c r="D8" s="6" t="s">
        <v>8</v>
      </c>
      <c r="F8" t="s">
        <v>93</v>
      </c>
      <c r="G8" s="6">
        <f>G10/$C$21</f>
        <v>26.610364196522173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3.1963614357893633E-2</v>
      </c>
      <c r="X8" s="2">
        <f t="shared" si="8"/>
        <v>1</v>
      </c>
      <c r="Y8" s="2">
        <f t="shared" si="1"/>
        <v>-3.1663800409470366E-2</v>
      </c>
      <c r="Z8" s="2">
        <f t="shared" si="3"/>
        <v>0.96875</v>
      </c>
      <c r="AA8" s="2">
        <f t="shared" si="2"/>
        <v>1.3192285070251497E-4</v>
      </c>
      <c r="AB8" s="2">
        <f t="shared" si="4"/>
        <v>4.2167311248491654E-6</v>
      </c>
      <c r="AC8" s="2">
        <f t="shared" si="5"/>
        <v>-4.1771788140927916E-6</v>
      </c>
      <c r="AD8" s="2">
        <f t="shared" si="6"/>
        <v>6.25E-2</v>
      </c>
      <c r="AF8" s="2">
        <v>4</v>
      </c>
      <c r="AG8" s="2">
        <f t="shared" si="13"/>
        <v>500</v>
      </c>
      <c r="AH8" s="2">
        <v>-678.01858236845442</v>
      </c>
      <c r="AI8" s="2">
        <f t="shared" si="14"/>
        <v>1687.5</v>
      </c>
      <c r="AJ8" s="2">
        <v>63.436114005664422</v>
      </c>
      <c r="AK8" s="2">
        <f t="shared" si="9"/>
        <v>1093.75</v>
      </c>
      <c r="AL8" s="2">
        <v>-302.74515636864487</v>
      </c>
      <c r="AM8" s="2">
        <f t="shared" si="10"/>
        <v>205266.84173998467</v>
      </c>
      <c r="AN8" s="2">
        <f t="shared" si="11"/>
        <v>-19204.976254064059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7.4355970017355011</v>
      </c>
      <c r="H9" s="6" t="s">
        <v>172</v>
      </c>
      <c r="J9" s="28" t="s">
        <v>22</v>
      </c>
      <c r="K9" s="28"/>
      <c r="L9" s="28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1.3192285070251497E-4</v>
      </c>
      <c r="X9" s="2">
        <f t="shared" si="8"/>
        <v>1</v>
      </c>
      <c r="Y9" s="2">
        <f t="shared" si="1"/>
        <v>-3.1663800409470366E-2</v>
      </c>
      <c r="Z9" s="2">
        <f t="shared" si="3"/>
        <v>0.984375</v>
      </c>
      <c r="AA9" s="2">
        <f t="shared" si="2"/>
        <v>-1.5770223796780392E-2</v>
      </c>
      <c r="AB9" s="2">
        <f t="shared" si="4"/>
        <v>-2.0804528794879084E-6</v>
      </c>
      <c r="AC9" s="2">
        <f t="shared" si="5"/>
        <v>4.9934521871393422E-4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-302.74515636864487</v>
      </c>
      <c r="AI9" s="2">
        <f t="shared" si="14"/>
        <v>1687.5</v>
      </c>
      <c r="AJ9" s="2">
        <v>63.436114005664422</v>
      </c>
      <c r="AK9" s="2">
        <f t="shared" si="9"/>
        <v>1390.625</v>
      </c>
      <c r="AL9" s="2">
        <v>-117.85681845313479</v>
      </c>
      <c r="AM9" s="2">
        <f t="shared" si="10"/>
        <v>35680.580931705284</v>
      </c>
      <c r="AN9" s="2">
        <f t="shared" si="11"/>
        <v>-7476.3785717379533</v>
      </c>
      <c r="AO9" s="2">
        <f t="shared" si="12"/>
        <v>593.75</v>
      </c>
    </row>
    <row r="10" spans="2:41" x14ac:dyDescent="0.2">
      <c r="B10" s="6" t="s">
        <v>134</v>
      </c>
      <c r="C10" s="16">
        <v>1.6418339973495399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212.88291357217739</v>
      </c>
      <c r="H10" s="22" t="s">
        <v>97</v>
      </c>
      <c r="J10" s="6" t="s">
        <v>92</v>
      </c>
      <c r="K10" s="6">
        <f xml:space="preserve"> $C$18 * (G10*G6 + G20*G13 + G29*G25 + G33*G32)/3600</f>
        <v>91.544516945610781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1.3192285070251497E-4</v>
      </c>
      <c r="X10" s="2">
        <f t="shared" si="8"/>
        <v>0.984375</v>
      </c>
      <c r="Y10" s="2">
        <f t="shared" si="1"/>
        <v>-1.5770223796780392E-2</v>
      </c>
      <c r="Z10" s="2">
        <f t="shared" si="3"/>
        <v>0.9765625</v>
      </c>
      <c r="AA10" s="2">
        <f t="shared" si="2"/>
        <v>-7.8202470682017244E-3</v>
      </c>
      <c r="AB10" s="2">
        <f t="shared" si="4"/>
        <v>-1.0316692864351566E-6</v>
      </c>
      <c r="AC10" s="2">
        <f t="shared" si="5"/>
        <v>1.2332704641165691E-4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-117.85681845313479</v>
      </c>
      <c r="AI10" s="2">
        <f t="shared" si="14"/>
        <v>1687.5</v>
      </c>
      <c r="AJ10" s="2">
        <v>63.436114005664422</v>
      </c>
      <c r="AK10" s="2">
        <f t="shared" si="9"/>
        <v>1539.0625</v>
      </c>
      <c r="AL10" s="2">
        <v>-26.726590308274581</v>
      </c>
      <c r="AM10" s="2">
        <f t="shared" si="10"/>
        <v>3149.9109018336289</v>
      </c>
      <c r="AN10" s="2">
        <f t="shared" si="11"/>
        <v>-1695.431029778392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0.84877964639246117</v>
      </c>
      <c r="U11" s="2">
        <v>7</v>
      </c>
      <c r="V11" s="2">
        <f t="shared" si="7"/>
        <v>0.96875</v>
      </c>
      <c r="W11" s="2">
        <f t="shared" si="0"/>
        <v>1.3192285070251497E-4</v>
      </c>
      <c r="X11" s="2">
        <f t="shared" si="8"/>
        <v>0.9765625</v>
      </c>
      <c r="Y11" s="2">
        <f t="shared" si="1"/>
        <v>-7.8202470682017244E-3</v>
      </c>
      <c r="Z11" s="2">
        <f t="shared" si="3"/>
        <v>0.97265625</v>
      </c>
      <c r="AA11" s="2">
        <f t="shared" si="2"/>
        <v>-3.8444395125768471E-3</v>
      </c>
      <c r="AB11" s="2">
        <f t="shared" si="4"/>
        <v>-5.0716941985252481E-7</v>
      </c>
      <c r="AC11" s="2">
        <f t="shared" si="5"/>
        <v>3.0064466827107954E-5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-26.726590308274581</v>
      </c>
      <c r="AI11" s="2">
        <f t="shared" si="14"/>
        <v>1687.5</v>
      </c>
      <c r="AJ11" s="2">
        <v>63.436114005664422</v>
      </c>
      <c r="AK11" s="2">
        <f t="shared" si="9"/>
        <v>1613.28125</v>
      </c>
      <c r="AL11" s="2">
        <v>18.478757577780129</v>
      </c>
      <c r="AM11" s="2">
        <f t="shared" si="10"/>
        <v>-493.87418318725389</v>
      </c>
      <c r="AN11" s="2">
        <f t="shared" si="11"/>
        <v>1172.2205723870957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0.22805817567160644</v>
      </c>
      <c r="U12" s="2">
        <v>8</v>
      </c>
      <c r="V12" s="2">
        <f t="shared" si="7"/>
        <v>0.96875</v>
      </c>
      <c r="W12" s="2">
        <f t="shared" si="0"/>
        <v>1.3192285070251497E-4</v>
      </c>
      <c r="X12" s="2">
        <f t="shared" si="8"/>
        <v>0.97265625</v>
      </c>
      <c r="Y12" s="2">
        <f t="shared" si="1"/>
        <v>-3.8444395125768471E-3</v>
      </c>
      <c r="Z12" s="2">
        <f t="shared" si="3"/>
        <v>0.970703125</v>
      </c>
      <c r="AA12" s="2">
        <f t="shared" si="2"/>
        <v>-1.8563280943995064E-3</v>
      </c>
      <c r="AB12" s="2">
        <f t="shared" si="4"/>
        <v>-2.4489209405235023E-7</v>
      </c>
      <c r="AC12" s="2">
        <f t="shared" si="5"/>
        <v>7.1365410744159456E-6</v>
      </c>
      <c r="AD12" s="2">
        <f t="shared" si="6"/>
        <v>3.90625E-3</v>
      </c>
      <c r="AF12" s="2">
        <v>8</v>
      </c>
      <c r="AG12" s="2">
        <f t="shared" si="13"/>
        <v>1539.0625</v>
      </c>
      <c r="AH12" s="2">
        <v>-26.726590308274581</v>
      </c>
      <c r="AI12" s="2">
        <f t="shared" si="14"/>
        <v>1613.28125</v>
      </c>
      <c r="AJ12" s="2">
        <v>18.478757577780129</v>
      </c>
      <c r="AK12" s="2">
        <f t="shared" si="9"/>
        <v>1576.171875</v>
      </c>
      <c r="AL12" s="2">
        <v>-4.0932583321291531</v>
      </c>
      <c r="AM12" s="2">
        <f t="shared" si="10"/>
        <v>109.3988384687472</v>
      </c>
      <c r="AN12" s="2">
        <f t="shared" si="11"/>
        <v>-75.638328422643241</v>
      </c>
      <c r="AO12" s="2">
        <f t="shared" si="12"/>
        <v>74.21875</v>
      </c>
    </row>
    <row r="13" spans="2:41" x14ac:dyDescent="0.2">
      <c r="B13" s="6" t="s">
        <v>136</v>
      </c>
      <c r="C13" s="16">
        <v>6.6741489576089901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2.1172953777523502E-2</v>
      </c>
      <c r="U13" s="2">
        <v>9</v>
      </c>
      <c r="V13" s="2">
        <f t="shared" si="7"/>
        <v>0.96875</v>
      </c>
      <c r="W13" s="2">
        <f t="shared" si="0"/>
        <v>1.3192285070251497E-4</v>
      </c>
      <c r="X13" s="2">
        <f t="shared" si="8"/>
        <v>0.970703125</v>
      </c>
      <c r="Y13" s="2">
        <f t="shared" si="1"/>
        <v>-1.8563280943995064E-3</v>
      </c>
      <c r="Z13" s="2">
        <f t="shared" si="3"/>
        <v>0.9697265625</v>
      </c>
      <c r="AA13" s="2">
        <f t="shared" si="2"/>
        <v>-8.6222011463410464E-4</v>
      </c>
      <c r="AB13" s="2">
        <f t="shared" si="4"/>
        <v>-1.1374653545558032E-7</v>
      </c>
      <c r="AC13" s="2">
        <f t="shared" si="5"/>
        <v>1.6005634223516515E-6</v>
      </c>
      <c r="AD13" s="2">
        <f t="shared" si="6"/>
        <v>1.953125E-3</v>
      </c>
      <c r="AF13" s="2">
        <v>9</v>
      </c>
      <c r="AG13" s="2">
        <f t="shared" si="13"/>
        <v>1576.171875</v>
      </c>
      <c r="AH13" s="2">
        <v>-4.0932583321291531</v>
      </c>
      <c r="AI13" s="2">
        <f t="shared" si="14"/>
        <v>1613.28125</v>
      </c>
      <c r="AJ13" s="2">
        <v>18.478757577780129</v>
      </c>
      <c r="AK13" s="2">
        <f t="shared" si="9"/>
        <v>1594.7265625</v>
      </c>
      <c r="AL13" s="2">
        <v>7.2004588025200746</v>
      </c>
      <c r="AM13" s="2">
        <f t="shared" si="10"/>
        <v>-29.473337988568002</v>
      </c>
      <c r="AN13" s="2">
        <f t="shared" si="11"/>
        <v>133.05553266056145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70.220878955663849</v>
      </c>
      <c r="H14" s="6" t="s">
        <v>10</v>
      </c>
      <c r="J14" s="9" t="s">
        <v>75</v>
      </c>
      <c r="K14" s="17">
        <f>C5</f>
        <v>1582.9115538779999</v>
      </c>
      <c r="L14" s="6" t="s">
        <v>7</v>
      </c>
      <c r="N14" s="6" t="s">
        <v>40</v>
      </c>
      <c r="O14" s="6">
        <f xml:space="preserve"> O5 * O13 * $C$12</f>
        <v>1440.2671777377604</v>
      </c>
      <c r="P14" s="6" t="s">
        <v>21</v>
      </c>
      <c r="U14" s="2">
        <v>10</v>
      </c>
      <c r="V14" s="2">
        <f t="shared" si="7"/>
        <v>0.96875</v>
      </c>
      <c r="W14" s="2">
        <f t="shared" si="0"/>
        <v>1.3192285070251497E-4</v>
      </c>
      <c r="X14" s="2">
        <f t="shared" si="8"/>
        <v>0.9697265625</v>
      </c>
      <c r="Y14" s="2">
        <f t="shared" si="1"/>
        <v>-8.6222011463410464E-4</v>
      </c>
      <c r="Z14" s="2">
        <f t="shared" si="3"/>
        <v>0.96923828125</v>
      </c>
      <c r="AA14" s="2">
        <f t="shared" si="2"/>
        <v>-3.6515301167461267E-4</v>
      </c>
      <c r="AB14" s="2">
        <f t="shared" si="4"/>
        <v>-4.8172026242723635E-8</v>
      </c>
      <c r="AC14" s="2">
        <f t="shared" si="5"/>
        <v>3.1484227158507309E-7</v>
      </c>
      <c r="AD14" s="2">
        <f t="shared" si="6"/>
        <v>9.765625E-4</v>
      </c>
      <c r="AF14" s="2">
        <v>10</v>
      </c>
      <c r="AG14" s="2">
        <f t="shared" si="13"/>
        <v>1576.171875</v>
      </c>
      <c r="AH14" s="2">
        <v>-4.0932583321291531</v>
      </c>
      <c r="AI14" s="2">
        <f t="shared" si="14"/>
        <v>1594.7265625</v>
      </c>
      <c r="AJ14" s="2">
        <v>7.2004588025200746</v>
      </c>
      <c r="AK14" s="2">
        <f t="shared" si="9"/>
        <v>1585.44921875</v>
      </c>
      <c r="AL14" s="2">
        <v>1.5555220967447667</v>
      </c>
      <c r="AM14" s="2">
        <f t="shared" si="10"/>
        <v>-6.3671537833115268</v>
      </c>
      <c r="AN14" s="2">
        <f t="shared" si="11"/>
        <v>11.200472774020339</v>
      </c>
      <c r="AO14" s="2">
        <f t="shared" si="12"/>
        <v>18.5546875</v>
      </c>
    </row>
    <row r="15" spans="2:41" x14ac:dyDescent="0.2">
      <c r="B15" s="28" t="s">
        <v>12</v>
      </c>
      <c r="C15" s="28"/>
      <c r="D15" s="28"/>
      <c r="F15" s="6" t="s">
        <v>143</v>
      </c>
      <c r="G15" s="6">
        <f>G14/$C$73</f>
        <v>0.2110498592361609</v>
      </c>
      <c r="H15" s="6" t="s">
        <v>120</v>
      </c>
      <c r="J15" s="10" t="s">
        <v>53</v>
      </c>
      <c r="K15" s="6">
        <f xml:space="preserve"> 1000 * K10 / ($C$60 * $C$61 * $C$62)</f>
        <v>244.7714356834513</v>
      </c>
      <c r="L15" s="6" t="s">
        <v>7</v>
      </c>
      <c r="N15" s="6" t="s">
        <v>140</v>
      </c>
      <c r="O15" s="6">
        <f>O4/O14</f>
        <v>10.771202642198434</v>
      </c>
      <c r="U15" s="2">
        <v>11</v>
      </c>
      <c r="V15" s="2">
        <f t="shared" si="7"/>
        <v>0.96875</v>
      </c>
      <c r="W15" s="2">
        <f t="shared" si="0"/>
        <v>1.3192285070251497E-4</v>
      </c>
      <c r="X15" s="2">
        <f t="shared" si="8"/>
        <v>0.96923828125</v>
      </c>
      <c r="Y15" s="2">
        <f t="shared" si="1"/>
        <v>-3.6515301167461267E-4</v>
      </c>
      <c r="Z15" s="2">
        <f t="shared" si="3"/>
        <v>0.968994140625</v>
      </c>
      <c r="AA15" s="2">
        <f t="shared" si="2"/>
        <v>-1.1661617622871212E-4</v>
      </c>
      <c r="AB15" s="2">
        <f t="shared" si="4"/>
        <v>-1.5384338406118565E-8</v>
      </c>
      <c r="AC15" s="2">
        <f t="shared" si="5"/>
        <v>4.2582747959891604E-8</v>
      </c>
      <c r="AD15" s="2">
        <f t="shared" si="6"/>
        <v>4.8828125E-4</v>
      </c>
      <c r="AF15" s="2">
        <v>11</v>
      </c>
      <c r="AG15" s="2">
        <f t="shared" si="13"/>
        <v>1576.171875</v>
      </c>
      <c r="AH15" s="2">
        <v>-4.0932583321291531</v>
      </c>
      <c r="AI15" s="2">
        <f t="shared" si="14"/>
        <v>1585.44921875</v>
      </c>
      <c r="AJ15" s="2">
        <v>1.5555220967447667</v>
      </c>
      <c r="AK15" s="2">
        <f t="shared" si="9"/>
        <v>1580.810546875</v>
      </c>
      <c r="AL15" s="2">
        <v>-1.2683882840658498</v>
      </c>
      <c r="AM15" s="2">
        <f t="shared" si="10"/>
        <v>5.1918409121275388</v>
      </c>
      <c r="AN15" s="2">
        <f t="shared" si="11"/>
        <v>-1.9730060031166075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1440.2671777377604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114.98122231881226</v>
      </c>
      <c r="L16" s="6" t="s">
        <v>7</v>
      </c>
      <c r="N16" s="6" t="s">
        <v>111</v>
      </c>
      <c r="O16" s="6">
        <f>(O13*$C$12)/(0.3048^2)/($C$5*2.20462/1000)^(2/3)</f>
        <v>2.9717516837471112</v>
      </c>
      <c r="U16" s="2">
        <v>12</v>
      </c>
      <c r="V16" s="2">
        <f t="shared" si="7"/>
        <v>0.96875</v>
      </c>
      <c r="W16" s="2">
        <f t="shared" si="0"/>
        <v>1.3192285070251497E-4</v>
      </c>
      <c r="X16" s="2">
        <f t="shared" si="8"/>
        <v>0.968994140625</v>
      </c>
      <c r="Y16" s="2">
        <f t="shared" si="1"/>
        <v>-1.1661617622871212E-4</v>
      </c>
      <c r="Z16" s="2">
        <f t="shared" si="3"/>
        <v>0.9688720703125</v>
      </c>
      <c r="AA16" s="2">
        <f t="shared" si="2"/>
        <v>7.6530631991644782E-6</v>
      </c>
      <c r="AB16" s="2">
        <f t="shared" si="4"/>
        <v>1.0096139138402872E-9</v>
      </c>
      <c r="AC16" s="2">
        <f t="shared" si="5"/>
        <v>-8.9247096672323619E-10</v>
      </c>
      <c r="AD16" s="2">
        <f t="shared" si="6"/>
        <v>2.44140625E-4</v>
      </c>
      <c r="AF16" s="2">
        <v>12</v>
      </c>
      <c r="AG16" s="2">
        <f t="shared" si="13"/>
        <v>1580.810546875</v>
      </c>
      <c r="AH16" s="2">
        <v>-4.0932583321291531</v>
      </c>
      <c r="AI16" s="2">
        <f t="shared" si="14"/>
        <v>1585.44921875</v>
      </c>
      <c r="AJ16" s="2">
        <v>1.5555220967447667</v>
      </c>
      <c r="AK16" s="2">
        <f t="shared" si="9"/>
        <v>1583.1298828125</v>
      </c>
      <c r="AL16" s="2">
        <v>-1.2683882840658498</v>
      </c>
      <c r="AM16" s="2">
        <f t="shared" si="10"/>
        <v>5.1918409121275388</v>
      </c>
      <c r="AN16" s="2">
        <f t="shared" si="11"/>
        <v>-1.9730060031166075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101.16053930466796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0.9688720703125</v>
      </c>
      <c r="W17" s="2">
        <f t="shared" si="0"/>
        <v>7.6530631991644782E-6</v>
      </c>
      <c r="X17" s="2">
        <f t="shared" si="8"/>
        <v>0.968994140625</v>
      </c>
      <c r="Y17" s="2">
        <f t="shared" si="1"/>
        <v>-1.1661617622871212E-4</v>
      </c>
      <c r="Z17" s="2">
        <f t="shared" si="3"/>
        <v>0.96893310546875</v>
      </c>
      <c r="AA17" s="2">
        <f t="shared" si="2"/>
        <v>-5.4481625011426615E-5</v>
      </c>
      <c r="AB17" s="2">
        <f t="shared" si="4"/>
        <v>-4.1695131940562801E-10</v>
      </c>
      <c r="AC17" s="2">
        <f t="shared" si="5"/>
        <v>6.353438783559136E-9</v>
      </c>
      <c r="AD17" s="2">
        <f t="shared" si="6"/>
        <v>1.220703125E-4</v>
      </c>
      <c r="AF17" s="2">
        <v>13</v>
      </c>
      <c r="AG17" s="2">
        <f t="shared" si="13"/>
        <v>1583.1298828125</v>
      </c>
      <c r="AH17" s="2">
        <v>-4.0932583321291531</v>
      </c>
      <c r="AI17" s="2">
        <f t="shared" si="14"/>
        <v>1585.44921875</v>
      </c>
      <c r="AJ17" s="2">
        <v>-1.2683882840658498</v>
      </c>
      <c r="AK17" s="2">
        <f t="shared" si="9"/>
        <v>1584.28955078125</v>
      </c>
      <c r="AL17" s="2">
        <v>-1.2683882840658498</v>
      </c>
      <c r="AM17" s="2">
        <f t="shared" si="10"/>
        <v>5.1918409121275388</v>
      </c>
      <c r="AN17" s="2">
        <f t="shared" si="11"/>
        <v>1.6088088391555109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1.4527179962803169</v>
      </c>
      <c r="H18" s="6" t="s">
        <v>172</v>
      </c>
      <c r="J18" s="12" t="s">
        <v>54</v>
      </c>
      <c r="K18" s="6">
        <f xml:space="preserve"> $C$78 * (0.2138 * K4 + 0.2138 * K6)</f>
        <v>80.570988270083447</v>
      </c>
      <c r="L18" s="6" t="s">
        <v>7</v>
      </c>
      <c r="N18" s="30" t="s">
        <v>141</v>
      </c>
      <c r="O18" s="32"/>
      <c r="P18" s="32"/>
      <c r="U18" s="2">
        <v>14</v>
      </c>
      <c r="V18" s="2">
        <f t="shared" si="7"/>
        <v>0.9688720703125</v>
      </c>
      <c r="W18" s="2">
        <f t="shared" si="0"/>
        <v>7.6530631991644782E-6</v>
      </c>
      <c r="X18" s="2">
        <f t="shared" si="8"/>
        <v>0.96893310546875</v>
      </c>
      <c r="Y18" s="2">
        <f t="shared" si="1"/>
        <v>-5.4481625011426615E-5</v>
      </c>
      <c r="Z18" s="2">
        <f t="shared" si="3"/>
        <v>0.968902587890625</v>
      </c>
      <c r="AA18" s="2">
        <f t="shared" si="2"/>
        <v>-2.3414298031876335E-5</v>
      </c>
      <c r="AB18" s="2">
        <f t="shared" si="4"/>
        <v>-1.7919110260202206E-10</v>
      </c>
      <c r="AC18" s="2">
        <f t="shared" si="5"/>
        <v>1.2756490052784706E-9</v>
      </c>
      <c r="AD18" s="2">
        <f t="shared" si="6"/>
        <v>6.103515625E-5</v>
      </c>
      <c r="AF18" s="2">
        <v>14</v>
      </c>
      <c r="AG18" s="2">
        <f t="shared" si="13"/>
        <v>1584.28955078125</v>
      </c>
      <c r="AH18" s="2">
        <v>-4.0932583321291531</v>
      </c>
      <c r="AI18" s="2">
        <f t="shared" si="14"/>
        <v>1584.28955078125</v>
      </c>
      <c r="AJ18" s="2">
        <v>-2.6807035661025793</v>
      </c>
      <c r="AK18" s="2">
        <f t="shared" si="9"/>
        <v>1584.28955078125</v>
      </c>
      <c r="AL18" s="2">
        <v>-1.2683882840658498</v>
      </c>
      <c r="AM18" s="2">
        <f t="shared" si="10"/>
        <v>5.1918409121275388</v>
      </c>
      <c r="AN18" s="2">
        <f t="shared" si="11"/>
        <v>3.4001729962980551</v>
      </c>
      <c r="AO18" s="2">
        <f t="shared" si="12"/>
        <v>0</v>
      </c>
    </row>
    <row r="19" spans="2:41" x14ac:dyDescent="0.2">
      <c r="F19" s="8" t="s">
        <v>173</v>
      </c>
      <c r="G19" s="6">
        <f>O23 / ($C$29*$C$11/PI())</f>
        <v>4.0234344351003225E-2</v>
      </c>
      <c r="J19" s="12" t="s">
        <v>73</v>
      </c>
      <c r="K19" s="6">
        <f xml:space="preserve"> $C$78 * (0.1149 * K4 + 0.1149 * K6)</f>
        <v>43.300311282659436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0.9688720703125</v>
      </c>
      <c r="W19" s="2">
        <f t="shared" si="0"/>
        <v>7.6530631991644782E-6</v>
      </c>
      <c r="X19" s="2">
        <f t="shared" si="8"/>
        <v>0.968902587890625</v>
      </c>
      <c r="Y19" s="2">
        <f t="shared" si="1"/>
        <v>-2.3414298031876335E-5</v>
      </c>
      <c r="Z19" s="2">
        <f t="shared" si="3"/>
        <v>0.9688873291015625</v>
      </c>
      <c r="AA19" s="2">
        <f t="shared" si="2"/>
        <v>-7.880621697986534E-6</v>
      </c>
      <c r="AB19" s="2">
        <f t="shared" si="4"/>
        <v>-6.0310895903397825E-11</v>
      </c>
      <c r="AC19" s="2">
        <f t="shared" si="5"/>
        <v>1.8451922511312805E-10</v>
      </c>
      <c r="AD19" s="2">
        <f t="shared" si="6"/>
        <v>3.0517578125E-5</v>
      </c>
      <c r="AF19" s="2">
        <v>15</v>
      </c>
      <c r="AG19" s="2">
        <f t="shared" si="13"/>
        <v>1584.28955078125</v>
      </c>
      <c r="AH19" s="2">
        <v>-4.0932583321291531</v>
      </c>
      <c r="AI19" s="2">
        <f t="shared" si="14"/>
        <v>1584.28955078125</v>
      </c>
      <c r="AJ19" s="2">
        <v>-3.3869510888966943</v>
      </c>
      <c r="AK19" s="2">
        <f t="shared" si="9"/>
        <v>1584.28955078125</v>
      </c>
      <c r="AL19" s="2">
        <v>-1.2683882840658498</v>
      </c>
      <c r="AM19" s="2">
        <f t="shared" si="10"/>
        <v>5.1918409121275388</v>
      </c>
      <c r="AN19" s="2">
        <f t="shared" si="11"/>
        <v>4.2959690798606394</v>
      </c>
      <c r="AO19" s="2">
        <f t="shared" si="12"/>
        <v>0</v>
      </c>
    </row>
    <row r="20" spans="2:41" x14ac:dyDescent="0.2">
      <c r="B20" s="28" t="s">
        <v>108</v>
      </c>
      <c r="C20" s="28"/>
      <c r="D20" s="28"/>
      <c r="F20" s="23" t="s">
        <v>128</v>
      </c>
      <c r="G20" s="22">
        <f xml:space="preserve"> $C$28 * G17</f>
        <v>101.16053930466796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204.95913903512601</v>
      </c>
      <c r="L20" s="6" t="s">
        <v>7</v>
      </c>
      <c r="N20" s="6" t="s">
        <v>20</v>
      </c>
      <c r="O20" s="6">
        <f xml:space="preserve"> O14 / $C$28</f>
        <v>1440.2671777377604</v>
      </c>
      <c r="P20" s="6" t="s">
        <v>21</v>
      </c>
      <c r="U20" s="2">
        <v>16</v>
      </c>
      <c r="V20" s="2">
        <f t="shared" si="7"/>
        <v>0.9688720703125</v>
      </c>
      <c r="W20" s="2">
        <f t="shared" si="0"/>
        <v>7.6530631991644782E-6</v>
      </c>
      <c r="X20" s="2">
        <f t="shared" si="8"/>
        <v>0.9688873291015625</v>
      </c>
      <c r="Y20" s="2">
        <f t="shared" si="1"/>
        <v>-7.880621697986534E-6</v>
      </c>
      <c r="Z20" s="2">
        <f t="shared" si="3"/>
        <v>0.96887969970703125</v>
      </c>
      <c r="AA20" s="2">
        <f t="shared" si="2"/>
        <v>-1.137803198325571E-7</v>
      </c>
      <c r="AB20" s="2">
        <f t="shared" si="4"/>
        <v>-8.7076797849970694E-13</v>
      </c>
      <c r="AC20" s="2">
        <f t="shared" si="5"/>
        <v>8.9665965727629702E-13</v>
      </c>
      <c r="AD20" s="2">
        <f t="shared" si="6"/>
        <v>1.52587890625E-5</v>
      </c>
      <c r="AF20" s="2">
        <v>16</v>
      </c>
      <c r="AG20" s="2">
        <f t="shared" si="13"/>
        <v>1584.28955078125</v>
      </c>
      <c r="AH20" s="2">
        <v>-4.0932583321291531</v>
      </c>
      <c r="AI20" s="2">
        <f t="shared" si="14"/>
        <v>1584.28955078125</v>
      </c>
      <c r="AJ20" s="2">
        <v>-3.7400971825718443</v>
      </c>
      <c r="AK20" s="2">
        <f t="shared" si="9"/>
        <v>1584.28955078125</v>
      </c>
      <c r="AL20" s="2">
        <v>-1.2683882840658498</v>
      </c>
      <c r="AM20" s="2">
        <f t="shared" si="10"/>
        <v>5.1918409121275388</v>
      </c>
      <c r="AN20" s="2">
        <f t="shared" si="11"/>
        <v>4.7438954476418207</v>
      </c>
      <c r="AO20" s="2">
        <f t="shared" si="12"/>
        <v>0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41.155700400828003</v>
      </c>
      <c r="L21" s="6" t="s">
        <v>7</v>
      </c>
      <c r="N21" s="6" t="s">
        <v>27</v>
      </c>
      <c r="O21" s="6">
        <f>$C$6*2*PI()/60</f>
        <v>42.769780056341531</v>
      </c>
      <c r="P21" s="6" t="s">
        <v>28</v>
      </c>
      <c r="U21" s="2">
        <v>17</v>
      </c>
      <c r="V21" s="2">
        <f t="shared" si="7"/>
        <v>0.9688720703125</v>
      </c>
      <c r="W21" s="2">
        <f t="shared" si="0"/>
        <v>7.6530631991644782E-6</v>
      </c>
      <c r="X21" s="2">
        <f t="shared" si="8"/>
        <v>0.96887969970703125</v>
      </c>
      <c r="Y21" s="2">
        <f t="shared" si="1"/>
        <v>-1.137803198325571E-7</v>
      </c>
      <c r="Z21" s="2">
        <f t="shared" si="3"/>
        <v>0.96887588500976562</v>
      </c>
      <c r="AA21" s="2">
        <f t="shared" si="2"/>
        <v>3.7696411721022116E-6</v>
      </c>
      <c r="AB21" s="2">
        <f t="shared" si="4"/>
        <v>2.8849302128270685E-11</v>
      </c>
      <c r="AC21" s="2">
        <f t="shared" si="5"/>
        <v>-4.2891097821576504E-13</v>
      </c>
      <c r="AD21" s="2">
        <f t="shared" si="6"/>
        <v>7.62939453125E-6</v>
      </c>
      <c r="AF21" s="2">
        <v>17</v>
      </c>
      <c r="AG21" s="2">
        <f t="shared" si="13"/>
        <v>1584.28955078125</v>
      </c>
      <c r="AH21" s="2">
        <v>-4.0932583321291531</v>
      </c>
      <c r="AI21" s="2">
        <f t="shared" si="14"/>
        <v>1584.28955078125</v>
      </c>
      <c r="AJ21" s="2">
        <v>-3.9166759076684912</v>
      </c>
      <c r="AK21" s="2">
        <f t="shared" si="9"/>
        <v>1584.28955078125</v>
      </c>
      <c r="AL21" s="2">
        <v>-1.2683882840658498</v>
      </c>
      <c r="AM21" s="2">
        <f t="shared" si="10"/>
        <v>5.1918409121275388</v>
      </c>
      <c r="AN21" s="2">
        <f t="shared" si="11"/>
        <v>4.9678658337696922</v>
      </c>
      <c r="AO21" s="2">
        <f t="shared" si="12"/>
        <v>0</v>
      </c>
    </row>
    <row r="22" spans="2:41" x14ac:dyDescent="0.2">
      <c r="B22" s="6" t="s">
        <v>107</v>
      </c>
      <c r="C22" s="16">
        <v>2</v>
      </c>
      <c r="F22" s="28" t="s">
        <v>77</v>
      </c>
      <c r="G22" s="28"/>
      <c r="H22" s="28"/>
      <c r="J22" s="13" t="s">
        <v>144</v>
      </c>
      <c r="K22" s="6">
        <f xml:space="preserve"> $C$79 * (0.04674 * ($C$5*2.20462)^0.397 * ($C$12*3.28084^2)^0.36 * $C$46^0.397 * $C$13^1.712 * 0.453592)</f>
        <v>138.03450633859043</v>
      </c>
      <c r="L22" s="6" t="s">
        <v>7</v>
      </c>
      <c r="N22" s="6" t="s">
        <v>29</v>
      </c>
      <c r="O22" s="6">
        <f xml:space="preserve"> $C$7 * COS(O19/180*PI()) / (O21 * $C$10)</f>
        <v>8.3227603707110673E-2</v>
      </c>
      <c r="U22" s="2">
        <v>18</v>
      </c>
      <c r="V22" s="2">
        <f t="shared" si="7"/>
        <v>0.96887588500976562</v>
      </c>
      <c r="W22" s="2">
        <f t="shared" si="0"/>
        <v>3.7696411721022116E-6</v>
      </c>
      <c r="X22" s="2">
        <f t="shared" si="8"/>
        <v>0.96887969970703125</v>
      </c>
      <c r="Y22" s="2">
        <f t="shared" si="1"/>
        <v>-1.137803198325571E-7</v>
      </c>
      <c r="Z22" s="2">
        <f t="shared" si="3"/>
        <v>0.96887779235839844</v>
      </c>
      <c r="AA22" s="2">
        <f t="shared" si="2"/>
        <v>1.8279303591883789E-6</v>
      </c>
      <c r="AB22" s="2">
        <f t="shared" si="4"/>
        <v>6.8906415417320974E-12</v>
      </c>
      <c r="AC22" s="2">
        <f t="shared" si="5"/>
        <v>-2.0798250090009473E-13</v>
      </c>
      <c r="AD22" s="2">
        <f t="shared" si="6"/>
        <v>3.814697265625E-6</v>
      </c>
      <c r="AF22" s="2">
        <v>18</v>
      </c>
      <c r="AG22" s="2">
        <f t="shared" si="13"/>
        <v>1584.28955078125</v>
      </c>
      <c r="AH22" s="2">
        <v>-4.0932583321291531</v>
      </c>
      <c r="AI22" s="2">
        <f t="shared" si="14"/>
        <v>1584.28955078125</v>
      </c>
      <c r="AJ22" s="2">
        <v>-4.0049666574998355</v>
      </c>
      <c r="AK22" s="2">
        <f t="shared" si="9"/>
        <v>1584.28955078125</v>
      </c>
      <c r="AL22" s="2">
        <v>-1.2683882840658498</v>
      </c>
      <c r="AM22" s="2">
        <f t="shared" si="10"/>
        <v>5.1918409121275388</v>
      </c>
      <c r="AN22" s="2">
        <f t="shared" si="11"/>
        <v>5.0798527864471588</v>
      </c>
      <c r="AO22" s="2">
        <f t="shared" si="12"/>
        <v>0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18.536656722980947</v>
      </c>
      <c r="L23" s="6" t="s">
        <v>7</v>
      </c>
      <c r="N23" s="6" t="s">
        <v>30</v>
      </c>
      <c r="O23" s="6">
        <f xml:space="preserve"> O20 / ( $C$71 * PI() * $C$10^2 * O21^2 * $C$10^2)</f>
        <v>3.4198504251567549E-2</v>
      </c>
      <c r="U23" s="2">
        <v>19</v>
      </c>
      <c r="V23" s="2">
        <f t="shared" si="7"/>
        <v>0.96887779235839844</v>
      </c>
      <c r="W23" s="2">
        <f t="shared" si="0"/>
        <v>1.8279303591883789E-6</v>
      </c>
      <c r="X23" s="2">
        <f t="shared" si="8"/>
        <v>0.96887969970703125</v>
      </c>
      <c r="Y23" s="2">
        <f t="shared" si="1"/>
        <v>-1.137803198325571E-7</v>
      </c>
      <c r="Z23" s="2">
        <f t="shared" si="3"/>
        <v>0.96887874603271484</v>
      </c>
      <c r="AA23" s="2">
        <f t="shared" si="2"/>
        <v>8.5707500296905437E-7</v>
      </c>
      <c r="AB23" s="2">
        <f t="shared" si="4"/>
        <v>1.5666734180286044E-12</v>
      </c>
      <c r="AC23" s="2">
        <f t="shared" si="5"/>
        <v>-9.7518267958308834E-14</v>
      </c>
      <c r="AD23" s="2">
        <f t="shared" si="6"/>
        <v>1.9073486328125E-6</v>
      </c>
      <c r="AF23" s="2">
        <v>19</v>
      </c>
      <c r="AG23" s="2">
        <f t="shared" si="13"/>
        <v>1584.28955078125</v>
      </c>
      <c r="AH23" s="2">
        <v>-4.0932583321291531</v>
      </c>
      <c r="AI23" s="2">
        <f t="shared" si="14"/>
        <v>1584.28955078125</v>
      </c>
      <c r="AJ23" s="2">
        <v>-4.0491125077267043</v>
      </c>
      <c r="AK23" s="2">
        <f t="shared" si="9"/>
        <v>1584.28955078125</v>
      </c>
      <c r="AL23" s="2">
        <v>-1.2683882840658498</v>
      </c>
      <c r="AM23" s="2">
        <f t="shared" si="10"/>
        <v>5.1918409121275388</v>
      </c>
      <c r="AN23" s="2">
        <f t="shared" si="11"/>
        <v>5.1358468656650444</v>
      </c>
      <c r="AO23" s="2">
        <f t="shared" si="12"/>
        <v>0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7.188648793391665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0.96887874603271484</v>
      </c>
      <c r="W24" s="2">
        <f t="shared" si="0"/>
        <v>8.5707500296905437E-7</v>
      </c>
      <c r="X24" s="2">
        <f t="shared" si="8"/>
        <v>0.96887969970703125</v>
      </c>
      <c r="Y24" s="2">
        <f t="shared" si="1"/>
        <v>-1.137803198325571E-7</v>
      </c>
      <c r="Z24" s="2">
        <f t="shared" si="3"/>
        <v>0.96887922286987305</v>
      </c>
      <c r="AA24" s="2">
        <f t="shared" si="2"/>
        <v>3.7164733734940114E-7</v>
      </c>
      <c r="AB24" s="2">
        <f t="shared" si="4"/>
        <v>3.1852964276217914E-13</v>
      </c>
      <c r="AC24" s="2">
        <f t="shared" si="5"/>
        <v>-4.2286152908533106E-14</v>
      </c>
      <c r="AD24" s="2">
        <f t="shared" si="6"/>
        <v>9.5367431640625E-7</v>
      </c>
      <c r="AF24" s="2">
        <v>20</v>
      </c>
      <c r="AG24" s="2">
        <f t="shared" si="13"/>
        <v>1584.28955078125</v>
      </c>
      <c r="AH24" s="2">
        <v>-4.0932583321291531</v>
      </c>
      <c r="AI24" s="2">
        <f t="shared" si="14"/>
        <v>1584.28955078125</v>
      </c>
      <c r="AJ24" s="2">
        <v>-4.0711853910288482</v>
      </c>
      <c r="AK24" s="2">
        <f t="shared" si="9"/>
        <v>1584.28955078125</v>
      </c>
      <c r="AL24" s="2">
        <v>-1.2683882840658498</v>
      </c>
      <c r="AM24" s="2">
        <f t="shared" si="10"/>
        <v>5.1918409121275388</v>
      </c>
      <c r="AN24" s="2">
        <f t="shared" si="11"/>
        <v>5.1638438522410368</v>
      </c>
      <c r="AO24" s="2">
        <f t="shared" si="12"/>
        <v>0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14.503074281479792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2886.5586418855869</v>
      </c>
      <c r="P25" s="6" t="s">
        <v>19</v>
      </c>
      <c r="U25" s="2">
        <v>21</v>
      </c>
      <c r="V25" s="2">
        <f t="shared" si="7"/>
        <v>0.96887922286987305</v>
      </c>
      <c r="W25" s="2">
        <f t="shared" si="0"/>
        <v>3.7164733734940114E-7</v>
      </c>
      <c r="X25" s="2">
        <f t="shared" si="8"/>
        <v>0.96887969970703125</v>
      </c>
      <c r="Y25" s="2">
        <f t="shared" si="1"/>
        <v>-1.137803198325571E-7</v>
      </c>
      <c r="Z25" s="2">
        <f t="shared" si="3"/>
        <v>0.96887946128845215</v>
      </c>
      <c r="AA25" s="2">
        <f t="shared" si="2"/>
        <v>1.289335077592213E-7</v>
      </c>
      <c r="AB25" s="2">
        <f t="shared" si="4"/>
        <v>4.7917794853832946E-14</v>
      </c>
      <c r="AC25" s="2">
        <f t="shared" si="5"/>
        <v>-1.4670095749977681E-14</v>
      </c>
      <c r="AD25" s="2">
        <f t="shared" si="6"/>
        <v>4.76837158203125E-7</v>
      </c>
      <c r="AF25" s="2">
        <v>21</v>
      </c>
      <c r="AG25" s="2">
        <f t="shared" si="13"/>
        <v>1584.28955078125</v>
      </c>
      <c r="AH25" s="2">
        <v>-4.0932583321291531</v>
      </c>
      <c r="AI25" s="2">
        <f t="shared" si="14"/>
        <v>1584.28955078125</v>
      </c>
      <c r="AJ25" s="2">
        <v>-4.0822219828626203</v>
      </c>
      <c r="AK25" s="2">
        <f t="shared" si="9"/>
        <v>1584.28955078125</v>
      </c>
      <c r="AL25" s="2">
        <v>-1.2683882840658498</v>
      </c>
      <c r="AM25" s="2">
        <f t="shared" si="10"/>
        <v>5.1918409121275388</v>
      </c>
      <c r="AN25" s="2">
        <f t="shared" si="11"/>
        <v>5.1778425360190097</v>
      </c>
      <c r="AO25" s="2">
        <f t="shared" si="12"/>
        <v>0</v>
      </c>
    </row>
    <row r="26" spans="2:41" x14ac:dyDescent="0.2">
      <c r="F26" s="6" t="s">
        <v>20</v>
      </c>
      <c r="G26" s="6">
        <f xml:space="preserve"> $C$5 * $C$68 / $C$21</f>
        <v>1939.3617067106129</v>
      </c>
      <c r="H26" s="6" t="s">
        <v>21</v>
      </c>
      <c r="J26" s="14" t="s">
        <v>65</v>
      </c>
      <c r="K26" s="6">
        <f xml:space="preserve"> $C$80 * (0.0268 * $C$5)</f>
        <v>33.937623715144319</v>
      </c>
      <c r="L26" s="6" t="s">
        <v>7</v>
      </c>
      <c r="N26" s="6" t="s">
        <v>32</v>
      </c>
      <c r="O26" s="17">
        <f>Z34</f>
        <v>0.96887958748266101</v>
      </c>
      <c r="U26" s="2">
        <v>22</v>
      </c>
      <c r="V26" s="2">
        <f t="shared" si="7"/>
        <v>0.96887946128845215</v>
      </c>
      <c r="W26" s="2">
        <f t="shared" si="0"/>
        <v>1.289335077592213E-7</v>
      </c>
      <c r="X26" s="2">
        <f t="shared" si="8"/>
        <v>0.96887969970703125</v>
      </c>
      <c r="Y26" s="2">
        <f t="shared" si="1"/>
        <v>-1.137803198325571E-7</v>
      </c>
      <c r="Z26" s="2">
        <f t="shared" si="3"/>
        <v>0.9688795804977417</v>
      </c>
      <c r="AA26" s="2">
        <f t="shared" si="2"/>
        <v>7.576593685776345E-9</v>
      </c>
      <c r="AB26" s="2">
        <f t="shared" si="4"/>
        <v>9.7687680077351144E-16</v>
      </c>
      <c r="AC26" s="2">
        <f t="shared" si="5"/>
        <v>-8.6206725280896519E-16</v>
      </c>
      <c r="AD26" s="2">
        <f t="shared" si="6"/>
        <v>2.384185791015625E-7</v>
      </c>
      <c r="AF26" s="2">
        <v>22</v>
      </c>
      <c r="AG26" s="2">
        <f t="shared" si="13"/>
        <v>1584.28955078125</v>
      </c>
      <c r="AH26" s="2">
        <v>-4.0932583321291531</v>
      </c>
      <c r="AI26" s="2">
        <f t="shared" si="14"/>
        <v>1584.28955078125</v>
      </c>
      <c r="AJ26" s="2">
        <v>-4.0877402841980484</v>
      </c>
      <c r="AK26" s="2">
        <f t="shared" si="9"/>
        <v>1584.28955078125</v>
      </c>
      <c r="AL26" s="2">
        <v>-1.2683882840658498</v>
      </c>
      <c r="AM26" s="2">
        <f t="shared" si="10"/>
        <v>5.1918409121275388</v>
      </c>
      <c r="AN26" s="2">
        <f t="shared" si="11"/>
        <v>5.1848418847808118</v>
      </c>
      <c r="AO26" s="2">
        <f t="shared" si="12"/>
        <v>0</v>
      </c>
    </row>
    <row r="27" spans="2:41" x14ac:dyDescent="0.2">
      <c r="B27" s="28" t="s">
        <v>146</v>
      </c>
      <c r="C27" s="28"/>
      <c r="D27" s="28"/>
      <c r="F27" t="s">
        <v>93</v>
      </c>
      <c r="G27" s="6">
        <f>G29/$C$21</f>
        <v>23.094054757008841</v>
      </c>
      <c r="H27" t="s">
        <v>97</v>
      </c>
      <c r="J27" s="14" t="s">
        <v>66</v>
      </c>
      <c r="K27" s="6">
        <f xml:space="preserve"> $C$80 * (11.5 * ($C$5*2.20462/1000)^0.4 * 0.453592)</f>
        <v>6.8796979390378006</v>
      </c>
      <c r="L27" s="6" t="s">
        <v>7</v>
      </c>
      <c r="N27" s="6" t="s">
        <v>33</v>
      </c>
      <c r="O27" s="6">
        <f xml:space="preserve"> O21 * $C$10 * O26 - $C$7 * SIN(O19/180*PI())</f>
        <v>1.2347445599933735</v>
      </c>
      <c r="P27" s="6" t="s">
        <v>10</v>
      </c>
      <c r="U27" s="2">
        <v>23</v>
      </c>
      <c r="V27" s="2">
        <f t="shared" si="7"/>
        <v>0.9688795804977417</v>
      </c>
      <c r="W27" s="2">
        <f t="shared" si="0"/>
        <v>7.576593685776345E-9</v>
      </c>
      <c r="X27" s="2">
        <f t="shared" si="8"/>
        <v>0.96887969970703125</v>
      </c>
      <c r="Y27" s="2">
        <f t="shared" si="1"/>
        <v>-1.137803198325571E-7</v>
      </c>
      <c r="Z27" s="2">
        <f t="shared" si="3"/>
        <v>0.96887964010238647</v>
      </c>
      <c r="AA27" s="2">
        <f t="shared" si="2"/>
        <v>-5.3101863128901527E-8</v>
      </c>
      <c r="AB27" s="2">
        <f t="shared" si="4"/>
        <v>-4.0233124088539504E-16</v>
      </c>
      <c r="AC27" s="2">
        <f t="shared" si="5"/>
        <v>6.0419469705110872E-15</v>
      </c>
      <c r="AD27" s="2">
        <f t="shared" si="6"/>
        <v>1.1920928955078125E-7</v>
      </c>
      <c r="AF27" s="2">
        <v>23</v>
      </c>
      <c r="AG27" s="2">
        <f t="shared" si="13"/>
        <v>1584.28955078125</v>
      </c>
      <c r="AH27" s="2">
        <v>-4.0932583321291531</v>
      </c>
      <c r="AI27" s="2">
        <f t="shared" si="14"/>
        <v>1584.28955078125</v>
      </c>
      <c r="AJ27" s="2">
        <v>-4.090499307711525</v>
      </c>
      <c r="AK27" s="2">
        <f t="shared" si="9"/>
        <v>1584.28955078125</v>
      </c>
      <c r="AL27" s="2">
        <v>-1.2683882840658498</v>
      </c>
      <c r="AM27" s="2">
        <f t="shared" si="10"/>
        <v>5.1918409121275388</v>
      </c>
      <c r="AN27" s="2">
        <f t="shared" si="11"/>
        <v>5.1883413978807678</v>
      </c>
      <c r="AO27" s="2">
        <f t="shared" si="12"/>
        <v>0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8.5677437901934503</v>
      </c>
      <c r="H28" s="6" t="s">
        <v>172</v>
      </c>
      <c r="J28" s="14" t="s">
        <v>67</v>
      </c>
      <c r="K28" s="6">
        <f xml:space="preserve"> $C$80 * (8 * ($C$5/1000))</f>
        <v>10.1306339448192</v>
      </c>
      <c r="L28" s="6" t="s">
        <v>7</v>
      </c>
      <c r="N28" s="6" t="s">
        <v>34</v>
      </c>
      <c r="O28" s="6">
        <f xml:space="preserve"> 1/$C$31 - O25 * SQRT( (2*$C$71*PI()*$C$10^2) / O20^3 )</f>
        <v>1.1150691363494332</v>
      </c>
      <c r="U28" s="2">
        <v>24</v>
      </c>
      <c r="V28" s="2">
        <f t="shared" si="7"/>
        <v>0.9688795804977417</v>
      </c>
      <c r="W28" s="2">
        <f t="shared" si="0"/>
        <v>7.576593685776345E-9</v>
      </c>
      <c r="X28" s="2">
        <f t="shared" si="8"/>
        <v>0.96887964010238647</v>
      </c>
      <c r="Y28" s="2">
        <f t="shared" si="1"/>
        <v>-5.3101863128901527E-8</v>
      </c>
      <c r="Z28" s="2">
        <f t="shared" si="3"/>
        <v>0.96887961030006409</v>
      </c>
      <c r="AA28" s="2">
        <f t="shared" si="2"/>
        <v>-2.2762634777073742E-8</v>
      </c>
      <c r="AB28" s="2">
        <f t="shared" si="4"/>
        <v>-1.7246323492360997E-16</v>
      </c>
      <c r="AC28" s="2">
        <f t="shared" si="5"/>
        <v>1.2087383163853438E-15</v>
      </c>
      <c r="AD28" s="2">
        <f t="shared" si="6"/>
        <v>5.9604644775390625E-8</v>
      </c>
      <c r="AF28" s="2">
        <v>24</v>
      </c>
      <c r="AG28" s="2">
        <f t="shared" si="13"/>
        <v>1584.28955078125</v>
      </c>
      <c r="AH28" s="2">
        <v>-4.0932583321291531</v>
      </c>
      <c r="AI28" s="2">
        <f t="shared" si="14"/>
        <v>1584.28955078125</v>
      </c>
      <c r="AJ28" s="2">
        <v>-4.0918789483158662</v>
      </c>
      <c r="AK28" s="2">
        <f t="shared" si="9"/>
        <v>1584.28955078125</v>
      </c>
      <c r="AL28" s="2">
        <v>-1.2683882840658498</v>
      </c>
      <c r="AM28" s="2">
        <f t="shared" si="10"/>
        <v>5.1918409121275388</v>
      </c>
      <c r="AN28" s="2">
        <f t="shared" si="11"/>
        <v>5.1900913178595358</v>
      </c>
      <c r="AO28" s="2">
        <f t="shared" si="12"/>
        <v>0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184.75243805607073</v>
      </c>
      <c r="H29" s="22" t="s">
        <v>97</v>
      </c>
      <c r="J29" s="14" t="s">
        <v>68</v>
      </c>
      <c r="K29" s="6">
        <f xml:space="preserve"> $C$80 * (13 * ($C$5*2.20462/1000)^1.3 * 0.453592)</f>
        <v>23.951142532998364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0.9688795804977417</v>
      </c>
      <c r="W29" s="2">
        <f t="shared" si="0"/>
        <v>7.576593685776345E-9</v>
      </c>
      <c r="X29" s="2">
        <f t="shared" si="8"/>
        <v>0.96887961030006409</v>
      </c>
      <c r="Y29" s="2">
        <f t="shared" si="1"/>
        <v>-2.2762634777073742E-8</v>
      </c>
      <c r="Z29" s="2">
        <f t="shared" si="3"/>
        <v>0.96887959539890289</v>
      </c>
      <c r="AA29" s="2">
        <f t="shared" si="2"/>
        <v>-7.5930205456486988E-9</v>
      </c>
      <c r="AB29" s="2">
        <f t="shared" si="4"/>
        <v>-5.7529231522131989E-17</v>
      </c>
      <c r="AC29" s="2">
        <f t="shared" si="5"/>
        <v>1.7283715353541853E-16</v>
      </c>
      <c r="AD29" s="2">
        <f t="shared" si="6"/>
        <v>2.9802322387695312E-8</v>
      </c>
      <c r="AF29" s="2">
        <v>25</v>
      </c>
      <c r="AG29" s="2">
        <f t="shared" si="13"/>
        <v>1584.28955078125</v>
      </c>
      <c r="AH29" s="2">
        <v>-4.0932583321291531</v>
      </c>
      <c r="AI29" s="2">
        <f t="shared" si="14"/>
        <v>1584.28955078125</v>
      </c>
      <c r="AJ29" s="2">
        <v>-4.0925686401941448</v>
      </c>
      <c r="AK29" s="2">
        <f t="shared" si="9"/>
        <v>1584.28955078125</v>
      </c>
      <c r="AL29" s="2">
        <v>-1.2683882840658498</v>
      </c>
      <c r="AM29" s="2">
        <f t="shared" si="10"/>
        <v>5.1918409121275388</v>
      </c>
      <c r="AN29" s="2">
        <f t="shared" si="11"/>
        <v>5.1909661149575594</v>
      </c>
      <c r="AO29" s="2">
        <f t="shared" si="12"/>
        <v>0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1.0772618597002293E-2</v>
      </c>
      <c r="L30" s="9" t="s">
        <v>7</v>
      </c>
      <c r="N30" s="6" t="s">
        <v>36</v>
      </c>
      <c r="O30" s="6">
        <f xml:space="preserve"> 1/$C$77 * LN( EXP($C$77 * O28) + EXP($C$77 * O29) )</f>
        <v>1.1600198849702152</v>
      </c>
      <c r="U30" s="2">
        <v>26</v>
      </c>
      <c r="V30" s="2">
        <f>IF(AB29&gt;0, Z29, V29)</f>
        <v>0.9688795804977417</v>
      </c>
      <c r="W30" s="2">
        <f t="shared" si="0"/>
        <v>7.576593685776345E-9</v>
      </c>
      <c r="X30" s="2">
        <f t="shared" si="8"/>
        <v>0.96887959539890289</v>
      </c>
      <c r="Y30" s="2">
        <f t="shared" si="1"/>
        <v>-7.5930205456486988E-9</v>
      </c>
      <c r="Z30" s="2">
        <f t="shared" si="3"/>
        <v>0.9688795879483223</v>
      </c>
      <c r="AA30" s="2">
        <f t="shared" si="2"/>
        <v>-8.2134299361769081E-12</v>
      </c>
      <c r="AB30" s="2">
        <f t="shared" si="4"/>
        <v>-6.222982139300437E-20</v>
      </c>
      <c r="AC30" s="2">
        <f t="shared" si="5"/>
        <v>6.2364742255637344E-20</v>
      </c>
      <c r="AD30" s="2">
        <f t="shared" si="6"/>
        <v>1.4901161193847656E-8</v>
      </c>
      <c r="AF30" s="2">
        <v>26</v>
      </c>
      <c r="AG30" s="2">
        <f t="shared" si="13"/>
        <v>1584.28955078125</v>
      </c>
      <c r="AH30" s="2">
        <v>-4.0932583321291531</v>
      </c>
      <c r="AI30" s="2">
        <f t="shared" si="14"/>
        <v>1584.28955078125</v>
      </c>
      <c r="AJ30" s="2">
        <v>-4.0929134861547709</v>
      </c>
      <c r="AK30" s="2">
        <f t="shared" si="9"/>
        <v>1584.28955078125</v>
      </c>
      <c r="AL30" s="2">
        <v>-1.2683882840658498</v>
      </c>
      <c r="AM30" s="2">
        <f t="shared" si="10"/>
        <v>5.1918409121275388</v>
      </c>
      <c r="AN30" s="2">
        <f t="shared" si="11"/>
        <v>5.1914035135338255</v>
      </c>
      <c r="AO30" s="2">
        <f t="shared" si="12"/>
        <v>0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0.9688795804977417</v>
      </c>
      <c r="W31" s="2">
        <f t="shared" si="0"/>
        <v>7.576593685776345E-9</v>
      </c>
      <c r="X31" s="2">
        <f t="shared" si="8"/>
        <v>0.9688795879483223</v>
      </c>
      <c r="Y31" s="2">
        <f t="shared" si="1"/>
        <v>-8.2134299361769081E-12</v>
      </c>
      <c r="Z31" s="2">
        <f t="shared" si="3"/>
        <v>0.968879584223032</v>
      </c>
      <c r="AA31" s="2">
        <f t="shared" si="2"/>
        <v>3.7841901834312353E-9</v>
      </c>
      <c r="AB31" s="2">
        <f t="shared" si="4"/>
        <v>2.8671271449561926E-17</v>
      </c>
      <c r="AC31" s="2">
        <f t="shared" si="5"/>
        <v>-3.1081180936780893E-20</v>
      </c>
      <c r="AD31" s="2">
        <f t="shared" si="6"/>
        <v>7.4505805969238281E-9</v>
      </c>
      <c r="AF31" s="2">
        <v>27</v>
      </c>
      <c r="AG31" s="2">
        <f t="shared" si="13"/>
        <v>1584.28955078125</v>
      </c>
      <c r="AH31" s="2">
        <v>-4.0932583321291531</v>
      </c>
      <c r="AI31" s="2">
        <f t="shared" si="14"/>
        <v>1584.28955078125</v>
      </c>
      <c r="AJ31" s="2">
        <v>-4.0930859091401999</v>
      </c>
      <c r="AK31" s="2">
        <f t="shared" si="9"/>
        <v>1584.28955078125</v>
      </c>
      <c r="AL31" s="2">
        <v>-1.2683882840658498</v>
      </c>
      <c r="AM31" s="2">
        <f t="shared" si="10"/>
        <v>5.1918409121275388</v>
      </c>
      <c r="AN31" s="2">
        <f t="shared" si="11"/>
        <v>5.191622212828447</v>
      </c>
      <c r="AO31" s="2">
        <f t="shared" si="12"/>
        <v>0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0.968879584223032</v>
      </c>
      <c r="W32" s="2">
        <f t="shared" si="0"/>
        <v>3.7841901834312353E-9</v>
      </c>
      <c r="X32" s="2">
        <f t="shared" si="8"/>
        <v>0.9688795879483223</v>
      </c>
      <c r="Y32" s="2">
        <f t="shared" si="1"/>
        <v>-8.2134299361769081E-12</v>
      </c>
      <c r="Z32" s="2">
        <f t="shared" si="3"/>
        <v>0.96887958608567715</v>
      </c>
      <c r="AA32" s="2">
        <f t="shared" si="2"/>
        <v>1.8879883212363779E-9</v>
      </c>
      <c r="AB32" s="2">
        <f t="shared" si="4"/>
        <v>7.144506871655519E-18</v>
      </c>
      <c r="AC32" s="2">
        <f t="shared" si="5"/>
        <v>-1.5506859796795252E-20</v>
      </c>
      <c r="AD32" s="2">
        <f t="shared" si="6"/>
        <v>3.7252902984619141E-9</v>
      </c>
      <c r="AF32" s="2">
        <v>28</v>
      </c>
      <c r="AG32" s="2">
        <f t="shared" si="13"/>
        <v>1584.28955078125</v>
      </c>
      <c r="AH32" s="2">
        <v>-4.0932583321291531</v>
      </c>
      <c r="AI32" s="2">
        <f t="shared" si="14"/>
        <v>1584.28955078125</v>
      </c>
      <c r="AJ32" s="2">
        <v>-4.0931722491422988</v>
      </c>
      <c r="AK32" s="2">
        <f t="shared" si="9"/>
        <v>1584.28955078125</v>
      </c>
      <c r="AL32" s="2">
        <v>-1.2683882840658498</v>
      </c>
      <c r="AM32" s="2">
        <f t="shared" si="10"/>
        <v>5.1918409121275388</v>
      </c>
      <c r="AN32" s="2">
        <f t="shared" si="11"/>
        <v>5.1917317254755551</v>
      </c>
      <c r="AO32" s="2">
        <f t="shared" si="12"/>
        <v>0</v>
      </c>
    </row>
    <row r="33" spans="2:41" x14ac:dyDescent="0.2">
      <c r="F33" s="23" t="s">
        <v>128</v>
      </c>
      <c r="G33" s="22">
        <f xml:space="preserve"> G20</f>
        <v>101.16053930466796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0.96887958608567715</v>
      </c>
      <c r="W33" s="2">
        <f t="shared" si="0"/>
        <v>1.8879883212363779E-9</v>
      </c>
      <c r="X33" s="2">
        <f t="shared" si="8"/>
        <v>0.9688795879483223</v>
      </c>
      <c r="Y33" s="2">
        <f t="shared" si="1"/>
        <v>-8.2134299361769081E-12</v>
      </c>
      <c r="Z33" s="2">
        <f t="shared" si="3"/>
        <v>0.96887958701699972</v>
      </c>
      <c r="AA33" s="2">
        <f t="shared" si="2"/>
        <v>9.3988750116125175E-10</v>
      </c>
      <c r="AB33" s="2">
        <f t="shared" si="4"/>
        <v>1.7744966254684859E-18</v>
      </c>
      <c r="AC33" s="2">
        <f t="shared" si="5"/>
        <v>-7.7197001386763336E-21</v>
      </c>
      <c r="AD33" s="2">
        <f t="shared" si="6"/>
        <v>1.862645149230957E-9</v>
      </c>
      <c r="AF33" s="2">
        <v>29</v>
      </c>
      <c r="AG33" s="2">
        <f t="shared" si="13"/>
        <v>1584.28955078125</v>
      </c>
      <c r="AH33" s="2">
        <v>-4.0932583321291531</v>
      </c>
      <c r="AI33" s="2">
        <f t="shared" si="14"/>
        <v>1584.28955078125</v>
      </c>
      <c r="AJ33" s="2">
        <v>-4.0932154191435757</v>
      </c>
      <c r="AK33" s="2">
        <f t="shared" si="9"/>
        <v>1584.28955078125</v>
      </c>
      <c r="AL33" s="2">
        <v>-1.2683882840658498</v>
      </c>
      <c r="AM33" s="2">
        <f t="shared" si="10"/>
        <v>5.1918409121275388</v>
      </c>
      <c r="AN33" s="2">
        <f t="shared" si="11"/>
        <v>5.1917864817993982</v>
      </c>
      <c r="AO33" s="2">
        <f t="shared" si="12"/>
        <v>0</v>
      </c>
    </row>
    <row r="34" spans="2:41" x14ac:dyDescent="0.2">
      <c r="B34" s="28" t="s">
        <v>100</v>
      </c>
      <c r="C34" s="28"/>
      <c r="D34" s="28"/>
      <c r="J34" s="6" t="s">
        <v>58</v>
      </c>
      <c r="K34" s="6">
        <f>ROUND($C$16/$C$5 * 100, 2)</f>
        <v>37.9</v>
      </c>
      <c r="L34" s="6" t="s">
        <v>59</v>
      </c>
      <c r="U34" s="2">
        <v>30</v>
      </c>
      <c r="V34" s="2">
        <f t="shared" si="7"/>
        <v>0.96887958701699972</v>
      </c>
      <c r="W34" s="2">
        <f t="shared" si="0"/>
        <v>9.3988750116125175E-10</v>
      </c>
      <c r="X34" s="2">
        <f t="shared" si="8"/>
        <v>0.9688795879483223</v>
      </c>
      <c r="Y34" s="2">
        <f t="shared" si="1"/>
        <v>-8.2134299361769081E-12</v>
      </c>
      <c r="Z34" s="2">
        <f t="shared" si="3"/>
        <v>0.96887958748266101</v>
      </c>
      <c r="AA34" s="2">
        <f t="shared" si="2"/>
        <v>4.6583703561253742E-10</v>
      </c>
      <c r="AB34" s="2">
        <f t="shared" si="4"/>
        <v>4.3783440735023284E-19</v>
      </c>
      <c r="AC34" s="2">
        <f t="shared" si="5"/>
        <v>-3.8261198536799233E-21</v>
      </c>
      <c r="AD34" s="2">
        <f t="shared" si="6"/>
        <v>9.3132257461547852E-10</v>
      </c>
      <c r="AF34" s="2">
        <v>30</v>
      </c>
      <c r="AG34" s="2">
        <f t="shared" si="13"/>
        <v>1584.28955078125</v>
      </c>
      <c r="AH34" s="2">
        <v>-4.0932583321291531</v>
      </c>
      <c r="AI34" s="2">
        <f t="shared" si="14"/>
        <v>1584.28955078125</v>
      </c>
      <c r="AJ34" s="2">
        <v>-4.0932367471286852</v>
      </c>
      <c r="AK34" s="2">
        <f t="shared" si="9"/>
        <v>1584.28955078125</v>
      </c>
      <c r="AL34" s="2">
        <v>-1.2683882840658498</v>
      </c>
      <c r="AM34" s="2">
        <f t="shared" si="10"/>
        <v>5.1918409121275388</v>
      </c>
      <c r="AN34" s="2">
        <f t="shared" si="11"/>
        <v>5.191813533965834</v>
      </c>
      <c r="AO34" s="2">
        <f t="shared" si="12"/>
        <v>0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15.46</v>
      </c>
      <c r="L35" s="6" t="s">
        <v>59</v>
      </c>
      <c r="AF35" s="2">
        <v>31</v>
      </c>
      <c r="AG35" s="2">
        <f t="shared" si="13"/>
        <v>1584.28955078125</v>
      </c>
      <c r="AH35" s="2">
        <v>-4.0932583321291531</v>
      </c>
      <c r="AI35" s="2">
        <f t="shared" si="14"/>
        <v>1584.28955078125</v>
      </c>
      <c r="AJ35" s="2">
        <v>-4.0932475396286918</v>
      </c>
      <c r="AK35" s="2">
        <f t="shared" si="9"/>
        <v>1584.28955078125</v>
      </c>
      <c r="AL35" s="2">
        <v>-1.2683882840658498</v>
      </c>
      <c r="AM35" s="2">
        <f t="shared" si="10"/>
        <v>5.1918409121275388</v>
      </c>
      <c r="AN35" s="2">
        <f t="shared" si="11"/>
        <v>5.1918272230463982</v>
      </c>
      <c r="AO35" s="2">
        <f t="shared" si="12"/>
        <v>0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15.09</v>
      </c>
      <c r="L36" s="6" t="s">
        <v>59</v>
      </c>
      <c r="AF36" s="2">
        <v>32</v>
      </c>
      <c r="AG36" s="2">
        <f t="shared" si="13"/>
        <v>1584.28955078125</v>
      </c>
      <c r="AH36" s="2">
        <v>-4.0932583321291531</v>
      </c>
      <c r="AI36" s="2">
        <f t="shared" si="14"/>
        <v>1584.28955078125</v>
      </c>
      <c r="AJ36" s="2">
        <v>-4.0932529358790362</v>
      </c>
      <c r="AK36" s="2">
        <f t="shared" si="9"/>
        <v>1584.28955078125</v>
      </c>
      <c r="AL36" s="2">
        <v>-1.2683882840658498</v>
      </c>
      <c r="AM36" s="2">
        <f t="shared" si="10"/>
        <v>5.1918409121275388</v>
      </c>
      <c r="AN36" s="2">
        <f t="shared" si="11"/>
        <v>5.1918340675871129</v>
      </c>
      <c r="AO36" s="2">
        <f t="shared" si="12"/>
        <v>0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26.81</v>
      </c>
      <c r="L37" s="6" t="s">
        <v>59</v>
      </c>
      <c r="AF37" s="2">
        <v>33</v>
      </c>
      <c r="AG37" s="2">
        <f t="shared" si="13"/>
        <v>1584.28955078125</v>
      </c>
      <c r="AH37" s="2">
        <v>-4.0932583321291531</v>
      </c>
      <c r="AI37" s="2">
        <f t="shared" si="14"/>
        <v>1584.28955078125</v>
      </c>
      <c r="AJ37" s="2">
        <v>-4.0932556340040946</v>
      </c>
      <c r="AK37" s="2">
        <f t="shared" si="9"/>
        <v>1584.28955078125</v>
      </c>
      <c r="AL37" s="2">
        <v>-1.2683882840658498</v>
      </c>
      <c r="AM37" s="2">
        <f t="shared" si="10"/>
        <v>5.1918409121275388</v>
      </c>
      <c r="AN37" s="2">
        <f t="shared" si="11"/>
        <v>5.1918374898573258</v>
      </c>
      <c r="AO37" s="2">
        <f t="shared" si="12"/>
        <v>0</v>
      </c>
    </row>
    <row r="38" spans="2:41" x14ac:dyDescent="0.2">
      <c r="J38" s="14" t="s">
        <v>71</v>
      </c>
      <c r="K38" s="6">
        <f>ROUND(SUM(K26:K29)/$C$5*100, 2)</f>
        <v>4.7300000000000004</v>
      </c>
      <c r="L38" s="6" t="s">
        <v>59</v>
      </c>
      <c r="AF38" s="2">
        <v>34</v>
      </c>
      <c r="AG38" s="2">
        <f t="shared" si="13"/>
        <v>1584.28955078125</v>
      </c>
      <c r="AH38" s="2">
        <v>-4.0932583321291531</v>
      </c>
      <c r="AI38" s="2">
        <f t="shared" si="14"/>
        <v>1584.28955078125</v>
      </c>
      <c r="AJ38" s="2">
        <v>-4.0932569830667944</v>
      </c>
      <c r="AK38" s="2">
        <f t="shared" si="9"/>
        <v>1584.28955078125</v>
      </c>
      <c r="AL38" s="2">
        <v>-1.2683882840658498</v>
      </c>
      <c r="AM38" s="2">
        <f t="shared" si="10"/>
        <v>5.1918409121275388</v>
      </c>
      <c r="AN38" s="2">
        <f t="shared" si="11"/>
        <v>5.1918392009926482</v>
      </c>
      <c r="AO38" s="2">
        <f t="shared" si="12"/>
        <v>0</v>
      </c>
    </row>
    <row r="39" spans="2:41" x14ac:dyDescent="0.2">
      <c r="B39" s="28" t="s">
        <v>104</v>
      </c>
      <c r="C39" s="28"/>
      <c r="D39" s="28"/>
      <c r="J39" s="9" t="s">
        <v>60</v>
      </c>
      <c r="K39" s="9">
        <f>SUM(K34:K38)</f>
        <v>99.990000000000009</v>
      </c>
      <c r="L39" s="9" t="s">
        <v>59</v>
      </c>
      <c r="AF39" s="2">
        <v>35</v>
      </c>
      <c r="AG39" s="2">
        <f t="shared" si="13"/>
        <v>1584.28955078125</v>
      </c>
      <c r="AH39" s="2">
        <v>-4.0932583321291531</v>
      </c>
      <c r="AI39" s="2">
        <f t="shared" si="14"/>
        <v>1584.28955078125</v>
      </c>
      <c r="AJ39" s="2">
        <v>-4.0932576575979738</v>
      </c>
      <c r="AK39" s="2">
        <f t="shared" si="9"/>
        <v>1584.28955078125</v>
      </c>
      <c r="AL39" s="2">
        <v>-1.2683882840658498</v>
      </c>
      <c r="AM39" s="2">
        <f t="shared" si="10"/>
        <v>5.1918409121275388</v>
      </c>
      <c r="AN39" s="2">
        <f t="shared" si="11"/>
        <v>5.1918400565600935</v>
      </c>
      <c r="AO39" s="2">
        <f t="shared" si="12"/>
        <v>0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1584.28955078125</v>
      </c>
      <c r="AH40" s="2">
        <v>-4.0932583321291531</v>
      </c>
      <c r="AI40" s="2">
        <f t="shared" si="14"/>
        <v>1584.28955078125</v>
      </c>
      <c r="AJ40" s="2">
        <v>-4.0932579948633929</v>
      </c>
      <c r="AK40" s="2">
        <f t="shared" si="9"/>
        <v>1584.28955078125</v>
      </c>
      <c r="AL40" s="2">
        <v>-1.2683882840658498</v>
      </c>
      <c r="AM40" s="2">
        <f t="shared" si="10"/>
        <v>5.1918409121275388</v>
      </c>
      <c r="AN40" s="2">
        <f t="shared" si="11"/>
        <v>5.1918404843435999</v>
      </c>
      <c r="AO40" s="2">
        <f t="shared" si="12"/>
        <v>0</v>
      </c>
    </row>
    <row r="41" spans="2:41" x14ac:dyDescent="0.2">
      <c r="B41" s="6" t="s">
        <v>117</v>
      </c>
      <c r="C41" s="6">
        <f>IF(C40="wheeled",0.0325,0.014)</f>
        <v>3.2500000000000001E-2</v>
      </c>
      <c r="J41" s="28" t="s">
        <v>109</v>
      </c>
      <c r="K41" s="28"/>
      <c r="L41" s="28"/>
      <c r="AF41" s="2">
        <v>37</v>
      </c>
      <c r="AG41" s="2">
        <f t="shared" si="13"/>
        <v>1584.28955078125</v>
      </c>
      <c r="AH41" s="2">
        <v>-4.0932583321291531</v>
      </c>
      <c r="AI41" s="2">
        <f t="shared" si="14"/>
        <v>1584.28955078125</v>
      </c>
      <c r="AJ41" s="2">
        <v>-4.0932581634964436</v>
      </c>
      <c r="AK41" s="2">
        <f t="shared" si="9"/>
        <v>1584.28955078125</v>
      </c>
      <c r="AL41" s="2">
        <v>-1.2683882840658498</v>
      </c>
      <c r="AM41" s="2">
        <f t="shared" si="10"/>
        <v>5.1918409121275388</v>
      </c>
      <c r="AN41" s="2">
        <f t="shared" si="11"/>
        <v>5.1918406982357856</v>
      </c>
      <c r="AO41" s="2">
        <f t="shared" si="12"/>
        <v>0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1584.28955078125</v>
      </c>
      <c r="AH42" s="2">
        <v>-4.0932583321291531</v>
      </c>
      <c r="AI42" s="2">
        <f t="shared" si="14"/>
        <v>1584.28955078125</v>
      </c>
      <c r="AJ42" s="2">
        <v>-4.0932582478129689</v>
      </c>
      <c r="AK42" s="2">
        <f t="shared" si="9"/>
        <v>1584.28955078125</v>
      </c>
      <c r="AL42" s="2">
        <v>-1.2683882840658498</v>
      </c>
      <c r="AM42" s="2">
        <f t="shared" si="10"/>
        <v>5.1918409121275388</v>
      </c>
      <c r="AN42" s="2">
        <f t="shared" si="11"/>
        <v>5.1918408051818785</v>
      </c>
      <c r="AO42" s="2">
        <f t="shared" si="12"/>
        <v>0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244.77</v>
      </c>
      <c r="L43" s="6" t="s">
        <v>7</v>
      </c>
      <c r="AF43" s="2">
        <v>39</v>
      </c>
      <c r="AG43" s="2">
        <f t="shared" si="13"/>
        <v>1584.28955078125</v>
      </c>
      <c r="AH43" s="2">
        <v>-4.0932583321291531</v>
      </c>
      <c r="AI43" s="2">
        <f t="shared" si="14"/>
        <v>1584.28955078125</v>
      </c>
      <c r="AJ43" s="2">
        <v>-4.0932582899708905</v>
      </c>
      <c r="AK43" s="2">
        <f t="shared" si="9"/>
        <v>1584.28955078125</v>
      </c>
      <c r="AL43" s="2">
        <v>-1.2683882840658498</v>
      </c>
      <c r="AM43" s="2">
        <f t="shared" si="10"/>
        <v>5.1918409121275388</v>
      </c>
      <c r="AN43" s="2">
        <f t="shared" si="11"/>
        <v>5.1918408586544924</v>
      </c>
      <c r="AO43" s="2">
        <f t="shared" si="12"/>
        <v>0</v>
      </c>
    </row>
    <row r="44" spans="2:41" x14ac:dyDescent="0.2">
      <c r="J44" s="18" t="s">
        <v>74</v>
      </c>
      <c r="K44" s="6">
        <f>ROUND(SUM(K16:K19), 2)</f>
        <v>238.85</v>
      </c>
      <c r="L44" s="6" t="s">
        <v>7</v>
      </c>
      <c r="AF44" s="2">
        <v>40</v>
      </c>
      <c r="AG44" s="2">
        <f t="shared" si="13"/>
        <v>1584.28955078125</v>
      </c>
      <c r="AH44" s="2">
        <v>-4.0932583321291531</v>
      </c>
      <c r="AI44" s="2">
        <f t="shared" si="14"/>
        <v>1584.28955078125</v>
      </c>
      <c r="AJ44" s="2">
        <v>-4.0932583110502492</v>
      </c>
      <c r="AK44" s="5">
        <f t="shared" si="9"/>
        <v>1584.28955078125</v>
      </c>
      <c r="AL44" s="2">
        <v>-1.2683882840658498</v>
      </c>
      <c r="AM44" s="2">
        <f t="shared" si="10"/>
        <v>5.1918409121275388</v>
      </c>
      <c r="AN44" s="2">
        <f t="shared" si="11"/>
        <v>5.1918408853913043</v>
      </c>
      <c r="AO44" s="2">
        <f t="shared" si="12"/>
        <v>0</v>
      </c>
    </row>
    <row r="45" spans="2:41" x14ac:dyDescent="0.2">
      <c r="B45" s="28" t="s">
        <v>151</v>
      </c>
      <c r="C45" s="28"/>
      <c r="D45" s="28"/>
      <c r="J45" s="19" t="s">
        <v>70</v>
      </c>
      <c r="K45" s="6">
        <f>ROUND(SUM(K20:K25), 2)</f>
        <v>424.38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74.900000000000006</v>
      </c>
      <c r="L46" s="6" t="s">
        <v>7</v>
      </c>
    </row>
    <row r="47" spans="2:41" x14ac:dyDescent="0.2">
      <c r="J47" s="9" t="s">
        <v>60</v>
      </c>
      <c r="K47" s="9">
        <f>SUM(K42:K46)</f>
        <v>1582.9</v>
      </c>
      <c r="L47" s="6" t="s">
        <v>7</v>
      </c>
    </row>
    <row r="48" spans="2:41" x14ac:dyDescent="0.2">
      <c r="B48" s="28" t="s">
        <v>152</v>
      </c>
      <c r="C48" s="28"/>
      <c r="D48" s="28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8" t="s">
        <v>156</v>
      </c>
      <c r="C53" s="28"/>
      <c r="D53" s="28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550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8" t="s">
        <v>169</v>
      </c>
      <c r="C64" s="29"/>
      <c r="D64" s="29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8" t="s">
        <v>170</v>
      </c>
      <c r="C70" s="29"/>
      <c r="D70" s="29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8" t="s">
        <v>72</v>
      </c>
      <c r="C76" s="28"/>
      <c r="D76" s="28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53:D53"/>
    <mergeCell ref="B59:D59"/>
    <mergeCell ref="B64:D64"/>
    <mergeCell ref="B70:D70"/>
    <mergeCell ref="B76:D76"/>
    <mergeCell ref="F31:H31"/>
    <mergeCell ref="B34:D34"/>
    <mergeCell ref="B39:D39"/>
    <mergeCell ref="J41:L41"/>
    <mergeCell ref="B45:D45"/>
    <mergeCell ref="B48:D48"/>
    <mergeCell ref="F12:H12"/>
    <mergeCell ref="B15:D15"/>
    <mergeCell ref="N18:P18"/>
    <mergeCell ref="B20:D20"/>
    <mergeCell ref="F22:H22"/>
    <mergeCell ref="B27:D27"/>
    <mergeCell ref="B1:D1"/>
    <mergeCell ref="B3:D3"/>
    <mergeCell ref="F3:H3"/>
    <mergeCell ref="J3:L3"/>
    <mergeCell ref="N3:P3"/>
    <mergeCell ref="J9:L9"/>
  </mergeCells>
  <conditionalFormatting sqref="K31">
    <cfRule type="containsText" dxfId="11" priority="1" operator="containsText" text="FALSE">
      <formula>NOT(ISERROR(SEARCH("FALSE",K31)))</formula>
    </cfRule>
    <cfRule type="containsText" dxfId="10" priority="2" operator="containsText" text="TRUE">
      <formula>NOT(ISERROR(SEARCH("TRUE",K31)))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NOT(ISERROR(SEARCH("YES",K31)))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287B-15E3-F74A-8EAB-6E6701AC89FE}">
  <dimension ref="B1:AO81"/>
  <sheetViews>
    <sheetView zoomScale="88" workbookViewId="0">
      <selection activeCell="G38" sqref="G3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7" t="s">
        <v>0</v>
      </c>
      <c r="C1" s="27"/>
      <c r="D1" s="27"/>
    </row>
    <row r="2" spans="2:41" x14ac:dyDescent="0.2">
      <c r="U2" s="15" t="s">
        <v>89</v>
      </c>
      <c r="AF2" s="26" t="s">
        <v>129</v>
      </c>
    </row>
    <row r="3" spans="2:41" x14ac:dyDescent="0.2">
      <c r="B3" s="28" t="s">
        <v>118</v>
      </c>
      <c r="C3" s="29"/>
      <c r="D3" s="29"/>
      <c r="F3" s="30" t="s">
        <v>76</v>
      </c>
      <c r="G3" s="31"/>
      <c r="H3" s="31"/>
      <c r="J3" s="28" t="s">
        <v>94</v>
      </c>
      <c r="K3" s="28"/>
      <c r="L3" s="28"/>
      <c r="N3" s="28" t="s">
        <v>88</v>
      </c>
      <c r="O3" s="28"/>
      <c r="P3" s="28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370.11114536668453</v>
      </c>
      <c r="L4" s="6" t="s">
        <v>97</v>
      </c>
      <c r="N4" s="6" t="s">
        <v>131</v>
      </c>
      <c r="O4" s="6">
        <f xml:space="preserve"> $C$5 * $C$74</f>
        <v>15147.677955543162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1.1827800447686123</v>
      </c>
      <c r="X4" s="3">
        <v>1</v>
      </c>
      <c r="Y4" s="2">
        <f t="shared" ref="Y4:Y34" si="1" xml:space="preserve"> $O$22 * TAN($O$19/180*PI()) + $O$23 / (2 * SQRT($O$22^2 + X4^2)) - X4</f>
        <v>-2.9491099428229584E-2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0.48931728979707678</v>
      </c>
      <c r="AB4" s="2">
        <f>W4*AA4</f>
        <v>0.57875472593224253</v>
      </c>
      <c r="AC4" s="2">
        <f>Y4*AA4</f>
        <v>-1.443050484535742E-2</v>
      </c>
      <c r="AD4" s="2">
        <f>X4-V4</f>
        <v>1</v>
      </c>
      <c r="AF4" s="2">
        <v>0</v>
      </c>
      <c r="AH4" s="2">
        <f>K30</f>
        <v>-3.7813494077454379E-4</v>
      </c>
      <c r="AJ4" s="2">
        <f>K30</f>
        <v>-3.7813494077454379E-4</v>
      </c>
      <c r="AL4" s="2">
        <f>K30</f>
        <v>-3.7813494077454379E-4</v>
      </c>
    </row>
    <row r="5" spans="2:41" x14ac:dyDescent="0.2">
      <c r="B5" s="9" t="s">
        <v>38</v>
      </c>
      <c r="C5" s="9">
        <v>1545.59410352892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46.263893170835566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0.48931728979707678</v>
      </c>
      <c r="X5" s="2">
        <f>IF(AC4&gt;0, Z4, X4)</f>
        <v>1</v>
      </c>
      <c r="Y5" s="2">
        <f t="shared" si="1"/>
        <v>-2.9491099428229584E-2</v>
      </c>
      <c r="Z5" s="2">
        <f t="shared" ref="Z5:Z34" si="3" xml:space="preserve"> (V5 + X5)/2</f>
        <v>0.75</v>
      </c>
      <c r="AA5" s="2">
        <f t="shared" si="2"/>
        <v>0.22684021890431583</v>
      </c>
      <c r="AB5" s="2">
        <f t="shared" ref="AB5:AB34" si="4">W5*AA5</f>
        <v>0.11099684113123544</v>
      </c>
      <c r="AC5" s="2">
        <f t="shared" ref="AC5:AC34" si="5">Y5*AA5</f>
        <v>-6.6897674500285423E-3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-644.46009049456086</v>
      </c>
      <c r="AI5" s="3">
        <v>10000</v>
      </c>
      <c r="AJ5" s="2">
        <f t="dataTable" ref="AJ5:AJ44" dt2D="0" dtr="0" r1="C5" ca="1"/>
        <v>3906.2123314321916</v>
      </c>
      <c r="AK5" s="2">
        <f>(AG5+AI5)/2</f>
        <v>5250</v>
      </c>
      <c r="AL5" s="2">
        <f t="dataTable" ref="AL5:AL44" dt2D="0" dtr="0" r1="C5"/>
        <v>2130.8875675634372</v>
      </c>
      <c r="AM5" s="2">
        <f>AH5*AL5</f>
        <v>-1373271.9946256673</v>
      </c>
      <c r="AN5" s="2">
        <f>AJ5*AL5</f>
        <v>8323699.2933118455</v>
      </c>
      <c r="AO5" s="2">
        <f>AI5-AG5</f>
        <v>9500</v>
      </c>
    </row>
    <row r="6" spans="2:41" x14ac:dyDescent="0.2">
      <c r="B6" s="6" t="s">
        <v>168</v>
      </c>
      <c r="C6" s="16">
        <v>425.780054499046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157.22982435146298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0.17503445632376147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0.22684021890431583</v>
      </c>
      <c r="X6" s="2">
        <f t="shared" ref="X6:X34" si="8">IF(AC5&gt;0, Z5, X5)</f>
        <v>1</v>
      </c>
      <c r="Y6" s="2">
        <f t="shared" si="1"/>
        <v>-2.9491099428229584E-2</v>
      </c>
      <c r="Z6" s="2">
        <f t="shared" si="3"/>
        <v>0.875</v>
      </c>
      <c r="AA6" s="2">
        <f t="shared" si="2"/>
        <v>9.822848836378939E-2</v>
      </c>
      <c r="AB6" s="2">
        <f t="shared" si="4"/>
        <v>2.2282171803082024E-2</v>
      </c>
      <c r="AC6" s="2">
        <f t="shared" si="5"/>
        <v>-2.8968661170212058E-3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-644.46009049456086</v>
      </c>
      <c r="AI6" s="2">
        <f>IF(AN5&gt;0,AK5,AI5)</f>
        <v>5250</v>
      </c>
      <c r="AJ6" s="2">
        <v>2130.8875675634372</v>
      </c>
      <c r="AK6" s="2">
        <f t="shared" ref="AK6:AK44" si="9">(AG6+AI6)/2</f>
        <v>2875</v>
      </c>
      <c r="AL6" s="2">
        <v>714.78101538135616</v>
      </c>
      <c r="AM6" s="2">
        <f t="shared" ref="AM6:AM44" si="10">AH6*AL6</f>
        <v>-460647.83785646287</v>
      </c>
      <c r="AN6" s="2">
        <f t="shared" ref="AN6:AN44" si="11">AJ6*AL6</f>
        <v>1523117.9792065017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1893.640874095692</v>
      </c>
      <c r="H7" s="6" t="s">
        <v>21</v>
      </c>
      <c r="J7" s="6" t="s">
        <v>133</v>
      </c>
      <c r="K7" s="6">
        <f>K6/$C$28</f>
        <v>157.22982435146298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9.822848836378939E-2</v>
      </c>
      <c r="X7" s="2">
        <f t="shared" si="8"/>
        <v>1</v>
      </c>
      <c r="Y7" s="2">
        <f t="shared" si="1"/>
        <v>-2.9491099428229584E-2</v>
      </c>
      <c r="Z7" s="2">
        <f t="shared" si="3"/>
        <v>0.9375</v>
      </c>
      <c r="AA7" s="2">
        <f t="shared" si="2"/>
        <v>3.4279107998140379E-2</v>
      </c>
      <c r="AB7" s="2">
        <f t="shared" si="4"/>
        <v>3.3671849611164122E-3</v>
      </c>
      <c r="AC7" s="2">
        <f t="shared" si="5"/>
        <v>-1.0109285822841778E-3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-644.46009049456086</v>
      </c>
      <c r="AI7" s="2">
        <f t="shared" ref="AI7:AI44" si="14">IF(AN6&gt;0,AK6,AI6)</f>
        <v>2875</v>
      </c>
      <c r="AJ7" s="2">
        <v>714.78101538135616</v>
      </c>
      <c r="AK7" s="2">
        <f t="shared" si="9"/>
        <v>1687.5</v>
      </c>
      <c r="AL7" s="2">
        <v>82.205094684914684</v>
      </c>
      <c r="AM7" s="2">
        <f t="shared" si="10"/>
        <v>-52977.902759754063</v>
      </c>
      <c r="AN7" s="2">
        <f t="shared" si="11"/>
        <v>58758.641048403842</v>
      </c>
      <c r="AO7" s="2">
        <f t="shared" si="12"/>
        <v>2375</v>
      </c>
    </row>
    <row r="8" spans="2:41" x14ac:dyDescent="0.2">
      <c r="B8" s="6" t="s">
        <v>91</v>
      </c>
      <c r="C8" s="16">
        <v>1.5660190058410901</v>
      </c>
      <c r="D8" s="6" t="s">
        <v>8</v>
      </c>
      <c r="F8" t="s">
        <v>93</v>
      </c>
      <c r="G8" s="6">
        <f>G10/$C$21</f>
        <v>30.842595447223712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3.4279107998140379E-2</v>
      </c>
      <c r="X8" s="2">
        <f t="shared" si="8"/>
        <v>1</v>
      </c>
      <c r="Y8" s="2">
        <f t="shared" si="1"/>
        <v>-2.9491099428229584E-2</v>
      </c>
      <c r="Z8" s="2">
        <f t="shared" si="3"/>
        <v>0.96875</v>
      </c>
      <c r="AA8" s="2">
        <f t="shared" si="2"/>
        <v>2.3737423900106469E-3</v>
      </c>
      <c r="AB8" s="2">
        <f t="shared" si="4"/>
        <v>8.1369771746938829E-5</v>
      </c>
      <c r="AC8" s="2">
        <f t="shared" si="5"/>
        <v>-7.0004272840807309E-5</v>
      </c>
      <c r="AD8" s="2">
        <f t="shared" si="6"/>
        <v>6.25E-2</v>
      </c>
      <c r="AF8" s="2">
        <v>4</v>
      </c>
      <c r="AG8" s="2">
        <f t="shared" si="13"/>
        <v>500</v>
      </c>
      <c r="AH8" s="2">
        <v>-644.46009049456086</v>
      </c>
      <c r="AI8" s="2">
        <f t="shared" si="14"/>
        <v>1687.5</v>
      </c>
      <c r="AJ8" s="2">
        <v>82.205094684914684</v>
      </c>
      <c r="AK8" s="2">
        <f t="shared" si="9"/>
        <v>1093.75</v>
      </c>
      <c r="AL8" s="2">
        <v>-270.85340150138666</v>
      </c>
      <c r="AM8" s="2">
        <f t="shared" si="10"/>
        <v>174554.20764234327</v>
      </c>
      <c r="AN8" s="2">
        <f t="shared" si="11"/>
        <v>-22265.529516152703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6.2640403681884615</v>
      </c>
      <c r="H9" s="6" t="s">
        <v>172</v>
      </c>
      <c r="J9" s="28" t="s">
        <v>22</v>
      </c>
      <c r="K9" s="28"/>
      <c r="L9" s="28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2.3737423900106469E-3</v>
      </c>
      <c r="X9" s="2">
        <f t="shared" si="8"/>
        <v>1</v>
      </c>
      <c r="Y9" s="2">
        <f t="shared" si="1"/>
        <v>-2.9491099428229584E-2</v>
      </c>
      <c r="Z9" s="2">
        <f t="shared" si="3"/>
        <v>0.984375</v>
      </c>
      <c r="AA9" s="2">
        <f t="shared" si="2"/>
        <v>-1.3563506253648105E-2</v>
      </c>
      <c r="AB9" s="2">
        <f t="shared" si="4"/>
        <v>-3.2196269751459012E-5</v>
      </c>
      <c r="AC9" s="2">
        <f t="shared" si="5"/>
        <v>4.0000271152175004E-4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-270.85340150138666</v>
      </c>
      <c r="AI9" s="2">
        <f t="shared" si="14"/>
        <v>1687.5</v>
      </c>
      <c r="AJ9" s="2">
        <v>82.205094684914684</v>
      </c>
      <c r="AK9" s="2">
        <f t="shared" si="9"/>
        <v>1390.625</v>
      </c>
      <c r="AL9" s="2">
        <v>-91.356910647333393</v>
      </c>
      <c r="AM9" s="2">
        <f t="shared" si="10"/>
        <v>24744.329999488498</v>
      </c>
      <c r="AN9" s="2">
        <f t="shared" si="11"/>
        <v>-7510.0034898853319</v>
      </c>
      <c r="AO9" s="2">
        <f t="shared" si="12"/>
        <v>593.75</v>
      </c>
    </row>
    <row r="10" spans="2:41" x14ac:dyDescent="0.2">
      <c r="B10" s="6" t="s">
        <v>134</v>
      </c>
      <c r="C10" s="16">
        <v>1.5748737040488201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246.74076357778969</v>
      </c>
      <c r="H10" s="22" t="s">
        <v>97</v>
      </c>
      <c r="J10" s="6" t="s">
        <v>92</v>
      </c>
      <c r="K10" s="6">
        <f xml:space="preserve"> $C$18 * (G10*G6 + G20*G13 + G29*G25 + G33*G32)/3600</f>
        <v>97.292327810861877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2.3737423900106469E-3</v>
      </c>
      <c r="X10" s="2">
        <f t="shared" si="8"/>
        <v>0.984375</v>
      </c>
      <c r="Y10" s="2">
        <f t="shared" si="1"/>
        <v>-1.3563506253648105E-2</v>
      </c>
      <c r="Z10" s="2">
        <f t="shared" si="3"/>
        <v>0.9765625</v>
      </c>
      <c r="AA10" s="2">
        <f t="shared" si="2"/>
        <v>-5.5961174157850291E-3</v>
      </c>
      <c r="AB10" s="2">
        <f t="shared" si="4"/>
        <v>-1.328374112932576E-5</v>
      </c>
      <c r="AC10" s="2">
        <f t="shared" si="5"/>
        <v>7.5902973565149321E-5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-91.356910647333393</v>
      </c>
      <c r="AI10" s="2">
        <f t="shared" si="14"/>
        <v>1687.5</v>
      </c>
      <c r="AJ10" s="2">
        <v>82.205094684914684</v>
      </c>
      <c r="AK10" s="2">
        <f t="shared" si="9"/>
        <v>1539.0625</v>
      </c>
      <c r="AL10" s="2">
        <v>-3.8176383559518854</v>
      </c>
      <c r="AM10" s="2">
        <f t="shared" si="10"/>
        <v>348.76764616852915</v>
      </c>
      <c r="AN10" s="2">
        <f t="shared" si="11"/>
        <v>-313.82932252378674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0.91103494981239208</v>
      </c>
      <c r="U11" s="2">
        <v>7</v>
      </c>
      <c r="V11" s="2">
        <f t="shared" si="7"/>
        <v>0.96875</v>
      </c>
      <c r="W11" s="2">
        <f t="shared" si="0"/>
        <v>2.3737423900106469E-3</v>
      </c>
      <c r="X11" s="2">
        <f t="shared" si="8"/>
        <v>0.9765625</v>
      </c>
      <c r="Y11" s="2">
        <f t="shared" si="1"/>
        <v>-5.5961174157850291E-3</v>
      </c>
      <c r="Z11" s="2">
        <f t="shared" si="3"/>
        <v>0.97265625</v>
      </c>
      <c r="AA11" s="2">
        <f t="shared" si="2"/>
        <v>-1.6115000511789379E-3</v>
      </c>
      <c r="AB11" s="2">
        <f t="shared" si="4"/>
        <v>-3.8252859829877715E-6</v>
      </c>
      <c r="AC11" s="2">
        <f t="shared" si="5"/>
        <v>9.01814350194092E-6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-3.8176383559518854</v>
      </c>
      <c r="AI11" s="2">
        <f t="shared" si="14"/>
        <v>1687.5</v>
      </c>
      <c r="AJ11" s="2">
        <v>82.205094684914684</v>
      </c>
      <c r="AK11" s="2">
        <f t="shared" si="9"/>
        <v>1613.28125</v>
      </c>
      <c r="AL11" s="2">
        <v>39.384566729169023</v>
      </c>
      <c r="AM11" s="2">
        <f t="shared" si="10"/>
        <v>-150.35603257782216</v>
      </c>
      <c r="AN11" s="2">
        <f t="shared" si="11"/>
        <v>3237.6120370956801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0.22268165944966289</v>
      </c>
      <c r="U12" s="2">
        <v>8</v>
      </c>
      <c r="V12" s="2">
        <f t="shared" si="7"/>
        <v>0.96875</v>
      </c>
      <c r="W12" s="2">
        <f t="shared" si="0"/>
        <v>2.3737423900106469E-3</v>
      </c>
      <c r="X12" s="2">
        <f t="shared" si="8"/>
        <v>0.97265625</v>
      </c>
      <c r="Y12" s="2">
        <f t="shared" si="1"/>
        <v>-1.6115000511789379E-3</v>
      </c>
      <c r="Z12" s="2">
        <f t="shared" si="3"/>
        <v>0.970703125</v>
      </c>
      <c r="AA12" s="2">
        <f t="shared" si="2"/>
        <v>3.8104257009186071E-4</v>
      </c>
      <c r="AB12" s="2">
        <f t="shared" si="4"/>
        <v>9.0449690102565288E-7</v>
      </c>
      <c r="AC12" s="2">
        <f t="shared" si="5"/>
        <v>-6.1405012120438755E-7</v>
      </c>
      <c r="AD12" s="2">
        <f t="shared" si="6"/>
        <v>3.90625E-3</v>
      </c>
      <c r="AF12" s="2">
        <v>8</v>
      </c>
      <c r="AG12" s="2">
        <f t="shared" si="13"/>
        <v>1539.0625</v>
      </c>
      <c r="AH12" s="2">
        <v>39.384566729169023</v>
      </c>
      <c r="AI12" s="2">
        <f t="shared" si="14"/>
        <v>1613.28125</v>
      </c>
      <c r="AJ12" s="2">
        <v>39.384566729169023</v>
      </c>
      <c r="AK12" s="2">
        <f t="shared" si="9"/>
        <v>1576.171875</v>
      </c>
      <c r="AL12" s="2">
        <v>60.842665504352681</v>
      </c>
      <c r="AM12" s="2">
        <f t="shared" si="10"/>
        <v>2396.2620195366885</v>
      </c>
      <c r="AN12" s="2">
        <f t="shared" si="11"/>
        <v>2396.2620195366885</v>
      </c>
      <c r="AO12" s="2">
        <f t="shared" si="12"/>
        <v>74.21875</v>
      </c>
    </row>
    <row r="13" spans="2:41" x14ac:dyDescent="0.2">
      <c r="B13" s="6" t="s">
        <v>136</v>
      </c>
      <c r="C13" s="16">
        <v>4.6858591968161596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2.1947866039134165E-2</v>
      </c>
      <c r="U13" s="2">
        <v>9</v>
      </c>
      <c r="V13" s="2">
        <f t="shared" si="7"/>
        <v>0.970703125</v>
      </c>
      <c r="W13" s="2">
        <f t="shared" si="0"/>
        <v>3.8104257009186071E-4</v>
      </c>
      <c r="X13" s="2">
        <f t="shared" si="8"/>
        <v>0.97265625</v>
      </c>
      <c r="Y13" s="2">
        <f t="shared" si="1"/>
        <v>-1.6115000511789379E-3</v>
      </c>
      <c r="Z13" s="2">
        <f t="shared" si="3"/>
        <v>0.9716796875</v>
      </c>
      <c r="AA13" s="2">
        <f t="shared" si="2"/>
        <v>-6.1524833199411155E-4</v>
      </c>
      <c r="AB13" s="2">
        <f t="shared" si="4"/>
        <v>-2.3443580566776663E-7</v>
      </c>
      <c r="AC13" s="2">
        <f t="shared" si="5"/>
        <v>9.9147271849626695E-7</v>
      </c>
      <c r="AD13" s="2">
        <f t="shared" si="6"/>
        <v>1.953125E-3</v>
      </c>
      <c r="AF13" s="2">
        <v>9</v>
      </c>
      <c r="AG13" s="2">
        <f t="shared" si="13"/>
        <v>1576.171875</v>
      </c>
      <c r="AH13" s="2">
        <v>39.384566729169023</v>
      </c>
      <c r="AI13" s="2">
        <f t="shared" si="14"/>
        <v>1576.171875</v>
      </c>
      <c r="AJ13" s="2">
        <v>39.384566729169023</v>
      </c>
      <c r="AK13" s="2">
        <f t="shared" si="9"/>
        <v>1576.171875</v>
      </c>
      <c r="AL13" s="2">
        <v>60.842665504352681</v>
      </c>
      <c r="AM13" s="2">
        <f t="shared" si="10"/>
        <v>2396.2620195366885</v>
      </c>
      <c r="AN13" s="2">
        <f t="shared" si="11"/>
        <v>2396.2620195366885</v>
      </c>
      <c r="AO13" s="2">
        <f t="shared" si="12"/>
        <v>0</v>
      </c>
    </row>
    <row r="14" spans="2:41" x14ac:dyDescent="0.2">
      <c r="F14" s="6" t="s">
        <v>142</v>
      </c>
      <c r="G14" s="6">
        <f>O21*$C$10</f>
        <v>70.219812059900292</v>
      </c>
      <c r="H14" s="6" t="s">
        <v>10</v>
      </c>
      <c r="J14" s="9" t="s">
        <v>75</v>
      </c>
      <c r="K14" s="17">
        <f>C5</f>
        <v>1545.59410352892</v>
      </c>
      <c r="L14" s="6" t="s">
        <v>7</v>
      </c>
      <c r="N14" s="6" t="s">
        <v>40</v>
      </c>
      <c r="O14" s="6">
        <f xml:space="preserve"> O5 * O13 * $C$12</f>
        <v>1492.9797424442102</v>
      </c>
      <c r="P14" s="6" t="s">
        <v>21</v>
      </c>
      <c r="U14" s="2">
        <v>10</v>
      </c>
      <c r="V14" s="2">
        <f t="shared" si="7"/>
        <v>0.970703125</v>
      </c>
      <c r="W14" s="2">
        <f t="shared" si="0"/>
        <v>3.8104257009186071E-4</v>
      </c>
      <c r="X14" s="2">
        <f t="shared" si="8"/>
        <v>0.9716796875</v>
      </c>
      <c r="Y14" s="2">
        <f t="shared" si="1"/>
        <v>-6.1524833199411155E-4</v>
      </c>
      <c r="Z14" s="2">
        <f t="shared" si="3"/>
        <v>0.97119140625</v>
      </c>
      <c r="AA14" s="2">
        <f t="shared" si="2"/>
        <v>-1.1710778609330674E-4</v>
      </c>
      <c r="AB14" s="2">
        <f t="shared" si="4"/>
        <v>-4.4623051790761466E-8</v>
      </c>
      <c r="AC14" s="2">
        <f t="shared" si="5"/>
        <v>7.2050370057430189E-8</v>
      </c>
      <c r="AD14" s="2">
        <f t="shared" si="6"/>
        <v>9.765625E-4</v>
      </c>
      <c r="AF14" s="2">
        <v>10</v>
      </c>
      <c r="AG14" s="2">
        <f t="shared" si="13"/>
        <v>1576.171875</v>
      </c>
      <c r="AH14" s="2">
        <v>39.384566729169023</v>
      </c>
      <c r="AI14" s="2">
        <f t="shared" si="14"/>
        <v>1576.171875</v>
      </c>
      <c r="AJ14" s="2">
        <v>39.384566729169023</v>
      </c>
      <c r="AK14" s="2">
        <f t="shared" si="9"/>
        <v>1576.171875</v>
      </c>
      <c r="AL14" s="2">
        <v>60.842665504352681</v>
      </c>
      <c r="AM14" s="2">
        <f t="shared" si="10"/>
        <v>2396.2620195366885</v>
      </c>
      <c r="AN14" s="2">
        <f t="shared" si="11"/>
        <v>2396.2620195366885</v>
      </c>
      <c r="AO14" s="2">
        <f t="shared" si="12"/>
        <v>0</v>
      </c>
    </row>
    <row r="15" spans="2:41" x14ac:dyDescent="0.2">
      <c r="B15" s="28" t="s">
        <v>12</v>
      </c>
      <c r="C15" s="28"/>
      <c r="D15" s="28"/>
      <c r="F15" s="6" t="s">
        <v>143</v>
      </c>
      <c r="G15" s="6">
        <f>G14/$C$73</f>
        <v>0.21104665266563563</v>
      </c>
      <c r="H15" s="6" t="s">
        <v>120</v>
      </c>
      <c r="J15" s="10" t="s">
        <v>53</v>
      </c>
      <c r="K15" s="6">
        <f xml:space="preserve"> 1000 * K10 / ($C$60 * $C$61 * $C$62)</f>
        <v>260.13991393278576</v>
      </c>
      <c r="L15" s="6" t="s">
        <v>7</v>
      </c>
      <c r="N15" s="6" t="s">
        <v>140</v>
      </c>
      <c r="O15" s="6">
        <f>O4/O14</f>
        <v>10.145936696196802</v>
      </c>
      <c r="U15" s="2">
        <v>11</v>
      </c>
      <c r="V15" s="2">
        <f t="shared" si="7"/>
        <v>0.970703125</v>
      </c>
      <c r="W15" s="2">
        <f t="shared" si="0"/>
        <v>3.8104257009186071E-4</v>
      </c>
      <c r="X15" s="2">
        <f t="shared" si="8"/>
        <v>0.97119140625</v>
      </c>
      <c r="Y15" s="2">
        <f t="shared" si="1"/>
        <v>-1.1710778609330674E-4</v>
      </c>
      <c r="Z15" s="2">
        <f t="shared" si="3"/>
        <v>0.970947265625</v>
      </c>
      <c r="AA15" s="2">
        <f t="shared" si="2"/>
        <v>1.3196616480215528E-4</v>
      </c>
      <c r="AB15" s="2">
        <f t="shared" si="4"/>
        <v>5.0284726601379299E-8</v>
      </c>
      <c r="AC15" s="2">
        <f t="shared" si="5"/>
        <v>-1.5454265399204867E-8</v>
      </c>
      <c r="AD15" s="2">
        <f t="shared" si="6"/>
        <v>4.8828125E-4</v>
      </c>
      <c r="AF15" s="2">
        <v>11</v>
      </c>
      <c r="AG15" s="2">
        <f t="shared" si="13"/>
        <v>1576.171875</v>
      </c>
      <c r="AH15" s="2">
        <v>39.384566729169023</v>
      </c>
      <c r="AI15" s="2">
        <f t="shared" si="14"/>
        <v>1576.171875</v>
      </c>
      <c r="AJ15" s="2">
        <v>39.384566729169023</v>
      </c>
      <c r="AK15" s="2">
        <f t="shared" si="9"/>
        <v>1576.171875</v>
      </c>
      <c r="AL15" s="2">
        <v>60.842665504352681</v>
      </c>
      <c r="AM15" s="2">
        <f t="shared" si="10"/>
        <v>2396.2620195366885</v>
      </c>
      <c r="AN15" s="2">
        <f t="shared" si="11"/>
        <v>2396.2620195366885</v>
      </c>
      <c r="AO15" s="2">
        <f t="shared" si="12"/>
        <v>0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1492.9797424442102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112.60201118759409</v>
      </c>
      <c r="L16" s="6" t="s">
        <v>7</v>
      </c>
      <c r="N16" s="6" t="s">
        <v>111</v>
      </c>
      <c r="O16" s="6">
        <f>(O13*$C$12)/(0.3048^2)/($C$5*2.20462/1000)^(2/3)</f>
        <v>3.1299026756698423</v>
      </c>
      <c r="U16" s="2">
        <v>12</v>
      </c>
      <c r="V16" s="2">
        <f t="shared" si="7"/>
        <v>0.970947265625</v>
      </c>
      <c r="W16" s="2">
        <f t="shared" si="0"/>
        <v>1.3196616480215528E-4</v>
      </c>
      <c r="X16" s="2">
        <f t="shared" si="8"/>
        <v>0.97119140625</v>
      </c>
      <c r="Y16" s="2">
        <f t="shared" si="1"/>
        <v>-1.1710778609330674E-4</v>
      </c>
      <c r="Z16" s="2">
        <f t="shared" si="3"/>
        <v>0.9710693359375</v>
      </c>
      <c r="AA16" s="2">
        <f t="shared" si="2"/>
        <v>7.4288826691359944E-6</v>
      </c>
      <c r="AB16" s="2">
        <f t="shared" si="4"/>
        <v>9.803611546110758E-10</v>
      </c>
      <c r="AC16" s="2">
        <f t="shared" si="5"/>
        <v>-8.6998000252945165E-10</v>
      </c>
      <c r="AD16" s="2">
        <f t="shared" si="6"/>
        <v>2.44140625E-4</v>
      </c>
      <c r="AF16" s="2">
        <v>12</v>
      </c>
      <c r="AG16" s="2">
        <f t="shared" si="13"/>
        <v>1576.171875</v>
      </c>
      <c r="AH16" s="2">
        <v>39.384566729169023</v>
      </c>
      <c r="AI16" s="2">
        <f t="shared" si="14"/>
        <v>1576.171875</v>
      </c>
      <c r="AJ16" s="2">
        <v>39.384566729169023</v>
      </c>
      <c r="AK16" s="2">
        <f t="shared" si="9"/>
        <v>1576.171875</v>
      </c>
      <c r="AL16" s="2">
        <v>60.842665504352681</v>
      </c>
      <c r="AM16" s="2">
        <f t="shared" si="10"/>
        <v>2396.2620195366885</v>
      </c>
      <c r="AN16" s="2">
        <f t="shared" si="11"/>
        <v>2396.2620195366885</v>
      </c>
      <c r="AO16" s="2">
        <f t="shared" si="12"/>
        <v>0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104.81988290097532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0.9710693359375</v>
      </c>
      <c r="W17" s="2">
        <f t="shared" si="0"/>
        <v>7.4288826691359944E-6</v>
      </c>
      <c r="X17" s="2">
        <f t="shared" si="8"/>
        <v>0.97119140625</v>
      </c>
      <c r="Y17" s="2">
        <f t="shared" si="1"/>
        <v>-1.1710778609330674E-4</v>
      </c>
      <c r="Z17" s="2">
        <f t="shared" si="3"/>
        <v>0.97113037109375</v>
      </c>
      <c r="AA17" s="2">
        <f t="shared" si="2"/>
        <v>-5.4839528369154955E-5</v>
      </c>
      <c r="AB17" s="2">
        <f t="shared" si="4"/>
        <v>-4.0739642188520695E-10</v>
      </c>
      <c r="AC17" s="2">
        <f t="shared" si="5"/>
        <v>6.4221357577128254E-9</v>
      </c>
      <c r="AD17" s="2">
        <f t="shared" si="6"/>
        <v>1.220703125E-4</v>
      </c>
      <c r="AF17" s="2">
        <v>13</v>
      </c>
      <c r="AG17" s="2">
        <f t="shared" si="13"/>
        <v>1576.171875</v>
      </c>
      <c r="AH17" s="2">
        <v>39.384566729169023</v>
      </c>
      <c r="AI17" s="2">
        <f t="shared" si="14"/>
        <v>1576.171875</v>
      </c>
      <c r="AJ17" s="2">
        <v>39.384566729169023</v>
      </c>
      <c r="AK17" s="2">
        <f t="shared" si="9"/>
        <v>1576.171875</v>
      </c>
      <c r="AL17" s="2">
        <v>60.842665504352681</v>
      </c>
      <c r="AM17" s="2">
        <f t="shared" si="10"/>
        <v>2396.2620195366885</v>
      </c>
      <c r="AN17" s="2">
        <f t="shared" si="11"/>
        <v>2396.2620195366885</v>
      </c>
      <c r="AO17" s="2">
        <f t="shared" si="12"/>
        <v>0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1.4533145908108498</v>
      </c>
      <c r="H18" s="6" t="s">
        <v>172</v>
      </c>
      <c r="J18" s="12" t="s">
        <v>54</v>
      </c>
      <c r="K18" s="6">
        <f xml:space="preserve"> $C$78 * (0.2138 * K4 + 0.2138 * K6)</f>
        <v>90.196399460591948</v>
      </c>
      <c r="L18" s="6" t="s">
        <v>7</v>
      </c>
      <c r="N18" s="30" t="s">
        <v>141</v>
      </c>
      <c r="O18" s="32"/>
      <c r="P18" s="32"/>
      <c r="U18" s="2">
        <v>14</v>
      </c>
      <c r="V18" s="2">
        <f t="shared" si="7"/>
        <v>0.9710693359375</v>
      </c>
      <c r="W18" s="2">
        <f t="shared" si="0"/>
        <v>7.4288826691359944E-6</v>
      </c>
      <c r="X18" s="2">
        <f t="shared" si="8"/>
        <v>0.97113037109375</v>
      </c>
      <c r="Y18" s="2">
        <f t="shared" si="1"/>
        <v>-5.4839528369154955E-5</v>
      </c>
      <c r="Z18" s="2">
        <f t="shared" si="3"/>
        <v>0.971099853515625</v>
      </c>
      <c r="AA18" s="2">
        <f t="shared" si="2"/>
        <v>-2.3705342016011599E-5</v>
      </c>
      <c r="AB18" s="2">
        <f t="shared" si="4"/>
        <v>-1.7610420446868988E-10</v>
      </c>
      <c r="AC18" s="2">
        <f t="shared" si="5"/>
        <v>1.299989775987589E-9</v>
      </c>
      <c r="AD18" s="2">
        <f t="shared" si="6"/>
        <v>6.103515625E-5</v>
      </c>
      <c r="AF18" s="2">
        <v>14</v>
      </c>
      <c r="AG18" s="2">
        <f t="shared" si="13"/>
        <v>1576.171875</v>
      </c>
      <c r="AH18" s="2">
        <v>39.384566729169023</v>
      </c>
      <c r="AI18" s="2">
        <f t="shared" si="14"/>
        <v>1576.171875</v>
      </c>
      <c r="AJ18" s="2">
        <v>39.384566729169023</v>
      </c>
      <c r="AK18" s="2">
        <f t="shared" si="9"/>
        <v>1576.171875</v>
      </c>
      <c r="AL18" s="2">
        <v>60.842665504352681</v>
      </c>
      <c r="AM18" s="2">
        <f t="shared" si="10"/>
        <v>2396.2620195366885</v>
      </c>
      <c r="AN18" s="2">
        <f t="shared" si="11"/>
        <v>2396.2620195366885</v>
      </c>
      <c r="AO18" s="2">
        <f t="shared" si="12"/>
        <v>0</v>
      </c>
    </row>
    <row r="19" spans="2:41" x14ac:dyDescent="0.2">
      <c r="F19" s="8" t="s">
        <v>173</v>
      </c>
      <c r="G19" s="6">
        <f>O23 / ($C$29*$C$11/PI())</f>
        <v>4.5330238327266799E-2</v>
      </c>
      <c r="J19" s="12" t="s">
        <v>73</v>
      </c>
      <c r="K19" s="6">
        <f xml:space="preserve"> $C$78 * (0.1149 * K4 + 0.1149 * K6)</f>
        <v>48.473181936492125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0.9710693359375</v>
      </c>
      <c r="W19" s="2">
        <f t="shared" si="0"/>
        <v>7.4288826691359944E-6</v>
      </c>
      <c r="X19" s="2">
        <f t="shared" si="8"/>
        <v>0.971099853515625</v>
      </c>
      <c r="Y19" s="2">
        <f t="shared" si="1"/>
        <v>-2.3705342016011599E-5</v>
      </c>
      <c r="Z19" s="2">
        <f t="shared" si="3"/>
        <v>0.9710845947265625</v>
      </c>
      <c r="AA19" s="2">
        <f t="shared" si="2"/>
        <v>-8.1382344652158878E-6</v>
      </c>
      <c r="AB19" s="2">
        <f t="shared" si="4"/>
        <v>-6.0457988976007548E-11</v>
      </c>
      <c r="AC19" s="2">
        <f t="shared" si="5"/>
        <v>1.9291963140443586E-10</v>
      </c>
      <c r="AD19" s="2">
        <f t="shared" si="6"/>
        <v>3.0517578125E-5</v>
      </c>
      <c r="AF19" s="2">
        <v>15</v>
      </c>
      <c r="AG19" s="2">
        <f t="shared" si="13"/>
        <v>1576.171875</v>
      </c>
      <c r="AH19" s="2">
        <v>39.384566729169023</v>
      </c>
      <c r="AI19" s="2">
        <f t="shared" si="14"/>
        <v>1576.171875</v>
      </c>
      <c r="AJ19" s="2">
        <v>39.384566729169023</v>
      </c>
      <c r="AK19" s="2">
        <f t="shared" si="9"/>
        <v>1576.171875</v>
      </c>
      <c r="AL19" s="2">
        <v>60.842665504352681</v>
      </c>
      <c r="AM19" s="2">
        <f t="shared" si="10"/>
        <v>2396.2620195366885</v>
      </c>
      <c r="AN19" s="2">
        <f t="shared" si="11"/>
        <v>2396.2620195366885</v>
      </c>
      <c r="AO19" s="2">
        <f t="shared" si="12"/>
        <v>0</v>
      </c>
    </row>
    <row r="20" spans="2:41" x14ac:dyDescent="0.2">
      <c r="B20" s="28" t="s">
        <v>108</v>
      </c>
      <c r="C20" s="28"/>
      <c r="D20" s="28"/>
      <c r="F20" s="23" t="s">
        <v>128</v>
      </c>
      <c r="G20" s="22">
        <f xml:space="preserve"> $C$28 * G17</f>
        <v>104.81988290097532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204.25621304559638</v>
      </c>
      <c r="L20" s="6" t="s">
        <v>7</v>
      </c>
      <c r="N20" s="6" t="s">
        <v>20</v>
      </c>
      <c r="O20" s="6">
        <f xml:space="preserve"> O14 / $C$28</f>
        <v>1492.9797424442102</v>
      </c>
      <c r="P20" s="6" t="s">
        <v>21</v>
      </c>
      <c r="U20" s="2">
        <v>16</v>
      </c>
      <c r="V20" s="2">
        <f t="shared" si="7"/>
        <v>0.9710693359375</v>
      </c>
      <c r="W20" s="2">
        <f t="shared" si="0"/>
        <v>7.4288826691359944E-6</v>
      </c>
      <c r="X20" s="2">
        <f t="shared" si="8"/>
        <v>0.9710845947265625</v>
      </c>
      <c r="Y20" s="2">
        <f t="shared" si="1"/>
        <v>-8.1382344652158878E-6</v>
      </c>
      <c r="Z20" s="2">
        <f t="shared" si="3"/>
        <v>0.97107696533203125</v>
      </c>
      <c r="AA20" s="2">
        <f t="shared" si="2"/>
        <v>-3.5467709591507912E-7</v>
      </c>
      <c r="AB20" s="2">
        <f t="shared" si="4"/>
        <v>-2.634854530983016E-12</v>
      </c>
      <c r="AC20" s="2">
        <f t="shared" si="5"/>
        <v>2.8864453659987779E-12</v>
      </c>
      <c r="AD20" s="2">
        <f t="shared" si="6"/>
        <v>1.52587890625E-5</v>
      </c>
      <c r="AF20" s="2">
        <v>16</v>
      </c>
      <c r="AG20" s="2">
        <f t="shared" si="13"/>
        <v>1576.171875</v>
      </c>
      <c r="AH20" s="2">
        <v>39.384566729169023</v>
      </c>
      <c r="AI20" s="2">
        <f t="shared" si="14"/>
        <v>1576.171875</v>
      </c>
      <c r="AJ20" s="2">
        <v>39.384566729169023</v>
      </c>
      <c r="AK20" s="2">
        <f t="shared" si="9"/>
        <v>1576.171875</v>
      </c>
      <c r="AL20" s="2">
        <v>60.842665504352681</v>
      </c>
      <c r="AM20" s="2">
        <f t="shared" si="10"/>
        <v>2396.2620195366885</v>
      </c>
      <c r="AN20" s="2">
        <f t="shared" si="11"/>
        <v>2396.2620195366885</v>
      </c>
      <c r="AO20" s="2">
        <f t="shared" si="12"/>
        <v>0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40.18544669175192</v>
      </c>
      <c r="L21" s="6" t="s">
        <v>7</v>
      </c>
      <c r="N21" s="6" t="s">
        <v>27</v>
      </c>
      <c r="O21" s="6">
        <f>$C$6*2*PI()/60</f>
        <v>44.587583041975485</v>
      </c>
      <c r="P21" s="6" t="s">
        <v>28</v>
      </c>
      <c r="U21" s="2">
        <v>17</v>
      </c>
      <c r="V21" s="2">
        <f t="shared" si="7"/>
        <v>0.9710693359375</v>
      </c>
      <c r="W21" s="2">
        <f t="shared" si="0"/>
        <v>7.4288826691359944E-6</v>
      </c>
      <c r="X21" s="2">
        <f t="shared" si="8"/>
        <v>0.97107696533203125</v>
      </c>
      <c r="Y21" s="2">
        <f t="shared" si="1"/>
        <v>-3.5467709591507912E-7</v>
      </c>
      <c r="Z21" s="2">
        <f t="shared" si="3"/>
        <v>0.97107315063476562</v>
      </c>
      <c r="AA21" s="2">
        <f t="shared" si="2"/>
        <v>3.5371024871277967E-6</v>
      </c>
      <c r="AB21" s="2">
        <f t="shared" si="4"/>
        <v>2.6276719365581511E-11</v>
      </c>
      <c r="AC21" s="2">
        <f t="shared" si="5"/>
        <v>-1.2545292380884904E-12</v>
      </c>
      <c r="AD21" s="2">
        <f t="shared" si="6"/>
        <v>7.62939453125E-6</v>
      </c>
      <c r="AF21" s="2">
        <v>17</v>
      </c>
      <c r="AG21" s="2">
        <f t="shared" si="13"/>
        <v>1576.171875</v>
      </c>
      <c r="AH21" s="2">
        <v>39.384566729169023</v>
      </c>
      <c r="AI21" s="2">
        <f t="shared" si="14"/>
        <v>1576.171875</v>
      </c>
      <c r="AJ21" s="2">
        <v>39.384566729169023</v>
      </c>
      <c r="AK21" s="2">
        <f t="shared" si="9"/>
        <v>1576.171875</v>
      </c>
      <c r="AL21" s="2">
        <v>60.842665504352681</v>
      </c>
      <c r="AM21" s="2">
        <f t="shared" si="10"/>
        <v>2396.2620195366885</v>
      </c>
      <c r="AN21" s="2">
        <f t="shared" si="11"/>
        <v>2396.2620195366885</v>
      </c>
      <c r="AO21" s="2">
        <f t="shared" si="12"/>
        <v>0</v>
      </c>
    </row>
    <row r="22" spans="2:41" x14ac:dyDescent="0.2">
      <c r="B22" s="6" t="s">
        <v>107</v>
      </c>
      <c r="C22" s="16">
        <v>2</v>
      </c>
      <c r="F22" s="28" t="s">
        <v>77</v>
      </c>
      <c r="G22" s="28"/>
      <c r="H22" s="28"/>
      <c r="J22" s="13" t="s">
        <v>144</v>
      </c>
      <c r="K22" s="6">
        <f xml:space="preserve"> $C$79 * (0.04674 * ($C$5*2.20462)^0.397 * ($C$12*3.28084^2)^0.36 * $C$46^0.397 * $C$13^1.712 * 0.453592)</f>
        <v>74.627633167661642</v>
      </c>
      <c r="L22" s="6" t="s">
        <v>7</v>
      </c>
      <c r="N22" s="6" t="s">
        <v>29</v>
      </c>
      <c r="O22" s="6">
        <f xml:space="preserve"> $C$7 * COS(O19/180*PI()) / (O21 * $C$10)</f>
        <v>8.3228868238803391E-2</v>
      </c>
      <c r="U22" s="2">
        <v>18</v>
      </c>
      <c r="V22" s="2">
        <f t="shared" si="7"/>
        <v>0.97107315063476562</v>
      </c>
      <c r="W22" s="2">
        <f t="shared" si="0"/>
        <v>3.5371024871277967E-6</v>
      </c>
      <c r="X22" s="2">
        <f t="shared" si="8"/>
        <v>0.97107696533203125</v>
      </c>
      <c r="Y22" s="2">
        <f t="shared" si="1"/>
        <v>-3.5467709591507912E-7</v>
      </c>
      <c r="Z22" s="2">
        <f t="shared" si="3"/>
        <v>0.97107505798339844</v>
      </c>
      <c r="AA22" s="2">
        <f t="shared" si="2"/>
        <v>1.5912126206663046E-6</v>
      </c>
      <c r="AB22" s="2">
        <f t="shared" si="4"/>
        <v>5.6282821181079258E-12</v>
      </c>
      <c r="AC22" s="2">
        <f t="shared" si="5"/>
        <v>-5.643666712813473E-13</v>
      </c>
      <c r="AD22" s="2">
        <f t="shared" si="6"/>
        <v>3.814697265625E-6</v>
      </c>
      <c r="AF22" s="2">
        <v>18</v>
      </c>
      <c r="AG22" s="2">
        <f t="shared" si="13"/>
        <v>1576.171875</v>
      </c>
      <c r="AH22" s="2">
        <v>39.384566729169023</v>
      </c>
      <c r="AI22" s="2">
        <f t="shared" si="14"/>
        <v>1576.171875</v>
      </c>
      <c r="AJ22" s="2">
        <v>39.384566729169023</v>
      </c>
      <c r="AK22" s="2">
        <f t="shared" si="9"/>
        <v>1576.171875</v>
      </c>
      <c r="AL22" s="2">
        <v>60.842665504352681</v>
      </c>
      <c r="AM22" s="2">
        <f t="shared" si="10"/>
        <v>2396.2620195366885</v>
      </c>
      <c r="AN22" s="2">
        <f t="shared" si="11"/>
        <v>2396.2620195366885</v>
      </c>
      <c r="AO22" s="2">
        <f t="shared" si="12"/>
        <v>0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18.148512118745309</v>
      </c>
      <c r="L23" s="6" t="s">
        <v>7</v>
      </c>
      <c r="N23" s="6" t="s">
        <v>30</v>
      </c>
      <c r="O23" s="6">
        <f xml:space="preserve"> O20 / ( $C$71 * PI() * $C$10^2 * O21^2 * $C$10^2)</f>
        <v>3.8529926935939984E-2</v>
      </c>
      <c r="U23" s="2">
        <v>19</v>
      </c>
      <c r="V23" s="2">
        <f t="shared" si="7"/>
        <v>0.97107505798339844</v>
      </c>
      <c r="W23" s="2">
        <f t="shared" si="0"/>
        <v>1.5912126206663046E-6</v>
      </c>
      <c r="X23" s="2">
        <f t="shared" si="8"/>
        <v>0.97107696533203125</v>
      </c>
      <c r="Y23" s="2">
        <f t="shared" si="1"/>
        <v>-3.5467709591507912E-7</v>
      </c>
      <c r="Z23" s="2">
        <f t="shared" si="3"/>
        <v>0.97107601165771484</v>
      </c>
      <c r="AA23" s="2">
        <f t="shared" si="2"/>
        <v>6.182677436683548E-7</v>
      </c>
      <c r="AB23" s="2">
        <f t="shared" si="4"/>
        <v>9.8379543667596584E-13</v>
      </c>
      <c r="AC23" s="2">
        <f t="shared" si="5"/>
        <v>-2.1928540782226064E-13</v>
      </c>
      <c r="AD23" s="2">
        <f t="shared" si="6"/>
        <v>1.9073486328125E-6</v>
      </c>
      <c r="AF23" s="2">
        <v>19</v>
      </c>
      <c r="AG23" s="2">
        <f t="shared" si="13"/>
        <v>1576.171875</v>
      </c>
      <c r="AH23" s="2">
        <v>39.384566729169023</v>
      </c>
      <c r="AI23" s="2">
        <f t="shared" si="14"/>
        <v>1576.171875</v>
      </c>
      <c r="AJ23" s="2">
        <v>39.384566729169023</v>
      </c>
      <c r="AK23" s="2">
        <f t="shared" si="9"/>
        <v>1576.171875</v>
      </c>
      <c r="AL23" s="2">
        <v>60.842665504352681</v>
      </c>
      <c r="AM23" s="2">
        <f t="shared" si="10"/>
        <v>2396.2620195366885</v>
      </c>
      <c r="AN23" s="2">
        <f t="shared" si="11"/>
        <v>2396.2620195366885</v>
      </c>
      <c r="AO23" s="2">
        <f t="shared" si="12"/>
        <v>0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7.0920610876064369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0.97107601165771484</v>
      </c>
      <c r="W24" s="2">
        <f t="shared" si="0"/>
        <v>6.182677436683548E-7</v>
      </c>
      <c r="X24" s="2">
        <f t="shared" si="8"/>
        <v>0.97107696533203125</v>
      </c>
      <c r="Y24" s="2">
        <f t="shared" si="1"/>
        <v>-3.5467709591507912E-7</v>
      </c>
      <c r="Z24" s="2">
        <f t="shared" si="3"/>
        <v>0.97107648849487305</v>
      </c>
      <c r="AA24" s="2">
        <f t="shared" si="2"/>
        <v>1.3179531921370113E-7</v>
      </c>
      <c r="AB24" s="2">
        <f t="shared" si="4"/>
        <v>8.1484794636305574E-14</v>
      </c>
      <c r="AC24" s="2">
        <f t="shared" si="5"/>
        <v>-4.6744781073916345E-14</v>
      </c>
      <c r="AD24" s="2">
        <f t="shared" si="6"/>
        <v>9.5367431640625E-7</v>
      </c>
      <c r="AF24" s="2">
        <v>20</v>
      </c>
      <c r="AG24" s="2">
        <f t="shared" si="13"/>
        <v>1576.171875</v>
      </c>
      <c r="AH24" s="2">
        <v>39.384566729169023</v>
      </c>
      <c r="AI24" s="2">
        <f t="shared" si="14"/>
        <v>1576.171875</v>
      </c>
      <c r="AJ24" s="2">
        <v>39.384566729169023</v>
      </c>
      <c r="AK24" s="2">
        <f t="shared" si="9"/>
        <v>1576.171875</v>
      </c>
      <c r="AL24" s="2">
        <v>60.842665504352681</v>
      </c>
      <c r="AM24" s="2">
        <f t="shared" si="10"/>
        <v>2396.2620195366885</v>
      </c>
      <c r="AN24" s="2">
        <f t="shared" si="11"/>
        <v>2396.2620195366885</v>
      </c>
      <c r="AO24" s="2">
        <f t="shared" si="12"/>
        <v>0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16.809708033352553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2655.7914945779944</v>
      </c>
      <c r="P25" s="6" t="s">
        <v>19</v>
      </c>
      <c r="U25" s="2">
        <v>21</v>
      </c>
      <c r="V25" s="2">
        <f t="shared" si="7"/>
        <v>0.97107648849487305</v>
      </c>
      <c r="W25" s="2">
        <f t="shared" si="0"/>
        <v>1.3179531921370113E-7</v>
      </c>
      <c r="X25" s="2">
        <f t="shared" si="8"/>
        <v>0.97107696533203125</v>
      </c>
      <c r="Y25" s="2">
        <f t="shared" si="1"/>
        <v>-3.5467709591507912E-7</v>
      </c>
      <c r="Z25" s="2">
        <f t="shared" si="3"/>
        <v>0.97107672691345215</v>
      </c>
      <c r="AA25" s="2">
        <f t="shared" si="2"/>
        <v>-1.1144088951642317E-7</v>
      </c>
      <c r="AB25" s="2">
        <f t="shared" si="4"/>
        <v>-1.4687387607275792E-14</v>
      </c>
      <c r="AC25" s="2">
        <f t="shared" si="5"/>
        <v>3.9525531059878159E-14</v>
      </c>
      <c r="AD25" s="2">
        <f t="shared" si="6"/>
        <v>4.76837158203125E-7</v>
      </c>
      <c r="AF25" s="2">
        <v>21</v>
      </c>
      <c r="AG25" s="2">
        <f t="shared" si="13"/>
        <v>1576.171875</v>
      </c>
      <c r="AH25" s="2">
        <v>39.384566729169023</v>
      </c>
      <c r="AI25" s="2">
        <f t="shared" si="14"/>
        <v>1576.171875</v>
      </c>
      <c r="AJ25" s="2">
        <v>39.384566729169023</v>
      </c>
      <c r="AK25" s="2">
        <f t="shared" si="9"/>
        <v>1576.171875</v>
      </c>
      <c r="AL25" s="2">
        <v>60.842665504352681</v>
      </c>
      <c r="AM25" s="2">
        <f t="shared" si="10"/>
        <v>2396.2620195366885</v>
      </c>
      <c r="AN25" s="2">
        <f t="shared" si="11"/>
        <v>2396.2620195366885</v>
      </c>
      <c r="AO25" s="2">
        <f t="shared" si="12"/>
        <v>0</v>
      </c>
    </row>
    <row r="26" spans="2:41" x14ac:dyDescent="0.2">
      <c r="F26" s="6" t="s">
        <v>20</v>
      </c>
      <c r="G26" s="6">
        <f xml:space="preserve"> $C$5 * $C$68 / $C$21</f>
        <v>1893.640874095692</v>
      </c>
      <c r="H26" s="6" t="s">
        <v>21</v>
      </c>
      <c r="J26" s="14" t="s">
        <v>65</v>
      </c>
      <c r="K26" s="6">
        <f xml:space="preserve"> $C$80 * (0.0268 * $C$5)</f>
        <v>33.137537579660048</v>
      </c>
      <c r="L26" s="6" t="s">
        <v>7</v>
      </c>
      <c r="N26" s="6" t="s">
        <v>32</v>
      </c>
      <c r="O26" s="17">
        <f>Z34</f>
        <v>0.97107661748304963</v>
      </c>
      <c r="U26" s="2">
        <v>22</v>
      </c>
      <c r="V26" s="2">
        <f t="shared" si="7"/>
        <v>0.97107648849487305</v>
      </c>
      <c r="W26" s="2">
        <f t="shared" si="0"/>
        <v>1.3179531921370113E-7</v>
      </c>
      <c r="X26" s="2">
        <f t="shared" si="8"/>
        <v>0.97107672691345215</v>
      </c>
      <c r="Y26" s="2">
        <f t="shared" si="1"/>
        <v>-1.1144088951642317E-7</v>
      </c>
      <c r="Z26" s="2">
        <f t="shared" si="3"/>
        <v>0.9710766077041626</v>
      </c>
      <c r="AA26" s="2">
        <f t="shared" si="2"/>
        <v>1.0177214515572075E-8</v>
      </c>
      <c r="AB26" s="2">
        <f t="shared" si="4"/>
        <v>1.3413092357861344E-15</v>
      </c>
      <c r="AC26" s="2">
        <f t="shared" si="5"/>
        <v>-1.1341578384148058E-15</v>
      </c>
      <c r="AD26" s="2">
        <f t="shared" si="6"/>
        <v>2.384185791015625E-7</v>
      </c>
      <c r="AF26" s="2">
        <v>22</v>
      </c>
      <c r="AG26" s="2">
        <f t="shared" si="13"/>
        <v>1576.171875</v>
      </c>
      <c r="AH26" s="2">
        <v>39.384566729169023</v>
      </c>
      <c r="AI26" s="2">
        <f t="shared" si="14"/>
        <v>1576.171875</v>
      </c>
      <c r="AJ26" s="2">
        <v>39.384566729169023</v>
      </c>
      <c r="AK26" s="2">
        <f t="shared" si="9"/>
        <v>1576.171875</v>
      </c>
      <c r="AL26" s="2">
        <v>60.842665504352681</v>
      </c>
      <c r="AM26" s="2">
        <f t="shared" si="10"/>
        <v>2396.2620195366885</v>
      </c>
      <c r="AN26" s="2">
        <f t="shared" si="11"/>
        <v>2396.2620195366885</v>
      </c>
      <c r="AO26" s="2">
        <f t="shared" si="12"/>
        <v>0</v>
      </c>
    </row>
    <row r="27" spans="2:41" x14ac:dyDescent="0.2">
      <c r="B27" s="28" t="s">
        <v>146</v>
      </c>
      <c r="C27" s="28"/>
      <c r="D27" s="28"/>
      <c r="F27" t="s">
        <v>93</v>
      </c>
      <c r="G27" s="6">
        <f>G29/$C$21</f>
        <v>27.449373519495726</v>
      </c>
      <c r="H27" t="s">
        <v>97</v>
      </c>
      <c r="J27" s="14" t="s">
        <v>66</v>
      </c>
      <c r="K27" s="6">
        <f xml:space="preserve"> $C$80 * (11.5 * ($C$5*2.20462/1000)^0.4 * 0.453592)</f>
        <v>6.8143571486254988</v>
      </c>
      <c r="L27" s="6" t="s">
        <v>7</v>
      </c>
      <c r="N27" s="6" t="s">
        <v>33</v>
      </c>
      <c r="O27" s="6">
        <f xml:space="preserve"> O21 * $C$10 * O26 - $C$7 * SIN(O19/180*PI())</f>
        <v>1.3879859001833381</v>
      </c>
      <c r="P27" s="6" t="s">
        <v>10</v>
      </c>
      <c r="U27" s="2">
        <v>23</v>
      </c>
      <c r="V27" s="2">
        <f t="shared" si="7"/>
        <v>0.9710766077041626</v>
      </c>
      <c r="W27" s="2">
        <f t="shared" si="0"/>
        <v>1.0177214515572075E-8</v>
      </c>
      <c r="X27" s="2">
        <f t="shared" si="8"/>
        <v>0.97107672691345215</v>
      </c>
      <c r="Y27" s="2">
        <f t="shared" si="1"/>
        <v>-1.1144088951642317E-7</v>
      </c>
      <c r="Z27" s="2">
        <f t="shared" si="3"/>
        <v>0.97107666730880737</v>
      </c>
      <c r="AA27" s="2">
        <f t="shared" si="2"/>
        <v>-5.063183761144785E-8</v>
      </c>
      <c r="AB27" s="2">
        <f t="shared" si="4"/>
        <v>-5.1529107268931522E-16</v>
      </c>
      <c r="AC27" s="2">
        <f t="shared" si="5"/>
        <v>5.6424570212708387E-15</v>
      </c>
      <c r="AD27" s="2">
        <f t="shared" si="6"/>
        <v>1.1920928955078125E-7</v>
      </c>
      <c r="AF27" s="2">
        <v>23</v>
      </c>
      <c r="AG27" s="2">
        <f t="shared" si="13"/>
        <v>1576.171875</v>
      </c>
      <c r="AH27" s="2">
        <v>39.384566729169023</v>
      </c>
      <c r="AI27" s="2">
        <f t="shared" si="14"/>
        <v>1576.171875</v>
      </c>
      <c r="AJ27" s="2">
        <v>39.384566729169023</v>
      </c>
      <c r="AK27" s="2">
        <f t="shared" si="9"/>
        <v>1576.171875</v>
      </c>
      <c r="AL27" s="2">
        <v>60.842665504352681</v>
      </c>
      <c r="AM27" s="2">
        <f t="shared" si="10"/>
        <v>2396.2620195366885</v>
      </c>
      <c r="AN27" s="2">
        <f t="shared" si="11"/>
        <v>2396.2620195366885</v>
      </c>
      <c r="AO27" s="2">
        <f t="shared" si="12"/>
        <v>0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7.0383851494423562</v>
      </c>
      <c r="H28" s="6" t="s">
        <v>172</v>
      </c>
      <c r="J28" s="14" t="s">
        <v>67</v>
      </c>
      <c r="K28" s="6">
        <f xml:space="preserve"> $C$80 * (8 * ($C$5/1000))</f>
        <v>9.8918022625850881</v>
      </c>
      <c r="L28" s="6" t="s">
        <v>7</v>
      </c>
      <c r="N28" s="6" t="s">
        <v>34</v>
      </c>
      <c r="O28" s="6">
        <f xml:space="preserve"> 1/$C$31 - O25 * SQRT( (2*$C$71*PI()*$C$10^2) / O20^3 )</f>
        <v>1.150819283003705</v>
      </c>
      <c r="U28" s="2">
        <v>24</v>
      </c>
      <c r="V28" s="2">
        <f t="shared" si="7"/>
        <v>0.9710766077041626</v>
      </c>
      <c r="W28" s="2">
        <f t="shared" si="0"/>
        <v>1.0177214515572075E-8</v>
      </c>
      <c r="X28" s="2">
        <f t="shared" si="8"/>
        <v>0.97107666730880737</v>
      </c>
      <c r="Y28" s="2">
        <f t="shared" si="1"/>
        <v>-5.063183761144785E-8</v>
      </c>
      <c r="Z28" s="2">
        <f t="shared" si="3"/>
        <v>0.97107663750648499</v>
      </c>
      <c r="AA28" s="2">
        <f t="shared" si="2"/>
        <v>-2.0227311603449039E-8</v>
      </c>
      <c r="AB28" s="2">
        <f t="shared" si="4"/>
        <v>-2.0585768926162102E-16</v>
      </c>
      <c r="AC28" s="2">
        <f t="shared" si="5"/>
        <v>1.0241459564219865E-15</v>
      </c>
      <c r="AD28" s="2">
        <f t="shared" si="6"/>
        <v>5.9604644775390625E-8</v>
      </c>
      <c r="AF28" s="2">
        <v>24</v>
      </c>
      <c r="AG28" s="2">
        <f t="shared" si="13"/>
        <v>1576.171875</v>
      </c>
      <c r="AH28" s="2">
        <v>39.384566729169023</v>
      </c>
      <c r="AI28" s="2">
        <f t="shared" si="14"/>
        <v>1576.171875</v>
      </c>
      <c r="AJ28" s="2">
        <v>39.384566729169023</v>
      </c>
      <c r="AK28" s="2">
        <f t="shared" si="9"/>
        <v>1576.171875</v>
      </c>
      <c r="AL28" s="2">
        <v>60.842665504352681</v>
      </c>
      <c r="AM28" s="2">
        <f t="shared" si="10"/>
        <v>2396.2620195366885</v>
      </c>
      <c r="AN28" s="2">
        <f t="shared" si="11"/>
        <v>2396.2620195366885</v>
      </c>
      <c r="AO28" s="2">
        <f t="shared" si="12"/>
        <v>0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219.59498815596581</v>
      </c>
      <c r="H29" s="22" t="s">
        <v>97</v>
      </c>
      <c r="J29" s="14" t="s">
        <v>68</v>
      </c>
      <c r="K29" s="6">
        <f xml:space="preserve"> $C$80 * (13 * ($C$5*2.20462/1000)^1.3 * 0.453592)</f>
        <v>23.219704010811945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0.9710766077041626</v>
      </c>
      <c r="W29" s="2">
        <f t="shared" si="0"/>
        <v>1.0177214515572075E-8</v>
      </c>
      <c r="X29" s="2">
        <f t="shared" si="8"/>
        <v>0.97107663750648499</v>
      </c>
      <c r="Y29" s="2">
        <f t="shared" si="1"/>
        <v>-2.0227311603449039E-8</v>
      </c>
      <c r="Z29" s="2">
        <f t="shared" si="3"/>
        <v>0.97107662260532379</v>
      </c>
      <c r="AA29" s="2">
        <f t="shared" si="2"/>
        <v>-5.0250484884273305E-9</v>
      </c>
      <c r="AB29" s="2">
        <f t="shared" si="4"/>
        <v>-5.1140996417876143E-17</v>
      </c>
      <c r="AC29" s="2">
        <f t="shared" si="5"/>
        <v>1.0164322159786019E-16</v>
      </c>
      <c r="AD29" s="2">
        <f t="shared" si="6"/>
        <v>2.9802322387695312E-8</v>
      </c>
      <c r="AF29" s="2">
        <v>25</v>
      </c>
      <c r="AG29" s="2">
        <f t="shared" si="13"/>
        <v>1576.171875</v>
      </c>
      <c r="AH29" s="2">
        <v>39.384566729169023</v>
      </c>
      <c r="AI29" s="2">
        <f t="shared" si="14"/>
        <v>1576.171875</v>
      </c>
      <c r="AJ29" s="2">
        <v>39.384566729169023</v>
      </c>
      <c r="AK29" s="2">
        <f t="shared" si="9"/>
        <v>1576.171875</v>
      </c>
      <c r="AL29" s="2">
        <v>60.842665504352681</v>
      </c>
      <c r="AM29" s="2">
        <f t="shared" si="10"/>
        <v>2396.2620195366885</v>
      </c>
      <c r="AN29" s="2">
        <f t="shared" si="11"/>
        <v>2396.2620195366885</v>
      </c>
      <c r="AO29" s="2">
        <f t="shared" si="12"/>
        <v>0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-3.7813494077454379E-4</v>
      </c>
      <c r="L30" s="9" t="s">
        <v>7</v>
      </c>
      <c r="N30" s="6" t="s">
        <v>36</v>
      </c>
      <c r="O30" s="6">
        <f xml:space="preserve"> 1/$C$77 * LN( EXP($C$77 * O28) + EXP($C$77 * O29) )</f>
        <v>1.1735170645495629</v>
      </c>
      <c r="U30" s="2">
        <v>26</v>
      </c>
      <c r="V30" s="2">
        <f>IF(AB29&gt;0, Z29, V29)</f>
        <v>0.9710766077041626</v>
      </c>
      <c r="W30" s="2">
        <f t="shared" si="0"/>
        <v>1.0177214515572075E-8</v>
      </c>
      <c r="X30" s="2">
        <f t="shared" si="8"/>
        <v>0.97107662260532379</v>
      </c>
      <c r="Y30" s="2">
        <f t="shared" si="1"/>
        <v>-5.0250484884273305E-9</v>
      </c>
      <c r="Z30" s="2">
        <f t="shared" si="3"/>
        <v>0.97107661515474319</v>
      </c>
      <c r="AA30" s="2">
        <f t="shared" si="2"/>
        <v>2.5760830135723722E-9</v>
      </c>
      <c r="AB30" s="2">
        <f t="shared" si="4"/>
        <v>2.6217349439047401E-17</v>
      </c>
      <c r="AC30" s="2">
        <f t="shared" si="5"/>
        <v>-1.2944942053415172E-17</v>
      </c>
      <c r="AD30" s="2">
        <f t="shared" si="6"/>
        <v>1.4901161193847656E-8</v>
      </c>
      <c r="AF30" s="2">
        <v>26</v>
      </c>
      <c r="AG30" s="2">
        <f t="shared" si="13"/>
        <v>1576.171875</v>
      </c>
      <c r="AH30" s="2">
        <v>39.384566729169023</v>
      </c>
      <c r="AI30" s="2">
        <f t="shared" si="14"/>
        <v>1576.171875</v>
      </c>
      <c r="AJ30" s="2">
        <v>39.384566729169023</v>
      </c>
      <c r="AK30" s="2">
        <f t="shared" si="9"/>
        <v>1576.171875</v>
      </c>
      <c r="AL30" s="2">
        <v>60.842665504352681</v>
      </c>
      <c r="AM30" s="2">
        <f t="shared" si="10"/>
        <v>2396.2620195366885</v>
      </c>
      <c r="AN30" s="2">
        <f t="shared" si="11"/>
        <v>2396.2620195366885</v>
      </c>
      <c r="AO30" s="2">
        <f t="shared" si="12"/>
        <v>0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0.97107661515474319</v>
      </c>
      <c r="W31" s="2">
        <f t="shared" si="0"/>
        <v>2.5760830135723722E-9</v>
      </c>
      <c r="X31" s="2">
        <f t="shared" si="8"/>
        <v>0.97107662260532379</v>
      </c>
      <c r="Y31" s="2">
        <f t="shared" si="1"/>
        <v>-5.0250484884273305E-9</v>
      </c>
      <c r="Z31" s="2">
        <f t="shared" si="3"/>
        <v>0.97107661888003349</v>
      </c>
      <c r="AA31" s="2">
        <f t="shared" si="2"/>
        <v>-1.2244827374274792E-9</v>
      </c>
      <c r="AB31" s="2">
        <f t="shared" si="4"/>
        <v>-3.1543691802995283E-18</v>
      </c>
      <c r="AC31" s="2">
        <f t="shared" si="5"/>
        <v>6.153085128815314E-18</v>
      </c>
      <c r="AD31" s="2">
        <f t="shared" si="6"/>
        <v>7.4505805969238281E-9</v>
      </c>
      <c r="AF31" s="2">
        <v>27</v>
      </c>
      <c r="AG31" s="2">
        <f t="shared" si="13"/>
        <v>1576.171875</v>
      </c>
      <c r="AH31" s="2">
        <v>39.384566729169023</v>
      </c>
      <c r="AI31" s="2">
        <f t="shared" si="14"/>
        <v>1576.171875</v>
      </c>
      <c r="AJ31" s="2">
        <v>39.384566729169023</v>
      </c>
      <c r="AK31" s="2">
        <f t="shared" si="9"/>
        <v>1576.171875</v>
      </c>
      <c r="AL31" s="2">
        <v>60.842665504352681</v>
      </c>
      <c r="AM31" s="2">
        <f t="shared" si="10"/>
        <v>2396.2620195366885</v>
      </c>
      <c r="AN31" s="2">
        <f t="shared" si="11"/>
        <v>2396.2620195366885</v>
      </c>
      <c r="AO31" s="2">
        <f t="shared" si="12"/>
        <v>0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0.97107661515474319</v>
      </c>
      <c r="W32" s="2">
        <f t="shared" si="0"/>
        <v>2.5760830135723722E-9</v>
      </c>
      <c r="X32" s="2">
        <f t="shared" si="8"/>
        <v>0.97107661888003349</v>
      </c>
      <c r="Y32" s="2">
        <f t="shared" si="1"/>
        <v>-1.2244827374274792E-9</v>
      </c>
      <c r="Z32" s="2">
        <f t="shared" si="3"/>
        <v>0.97107661701738834</v>
      </c>
      <c r="AA32" s="2">
        <f t="shared" si="2"/>
        <v>6.7580008256129531E-10</v>
      </c>
      <c r="AB32" s="2">
        <f t="shared" si="4"/>
        <v>1.7409171132569596E-18</v>
      </c>
      <c r="AC32" s="2">
        <f t="shared" si="5"/>
        <v>-8.275055350483713E-19</v>
      </c>
      <c r="AD32" s="2">
        <f t="shared" si="6"/>
        <v>3.7252902984619141E-9</v>
      </c>
      <c r="AF32" s="2">
        <v>28</v>
      </c>
      <c r="AG32" s="2">
        <f t="shared" si="13"/>
        <v>1576.171875</v>
      </c>
      <c r="AH32" s="2">
        <v>39.384566729169023</v>
      </c>
      <c r="AI32" s="2">
        <f t="shared" si="14"/>
        <v>1576.171875</v>
      </c>
      <c r="AJ32" s="2">
        <v>39.384566729169023</v>
      </c>
      <c r="AK32" s="2">
        <f t="shared" si="9"/>
        <v>1576.171875</v>
      </c>
      <c r="AL32" s="2">
        <v>60.842665504352681</v>
      </c>
      <c r="AM32" s="2">
        <f t="shared" si="10"/>
        <v>2396.2620195366885</v>
      </c>
      <c r="AN32" s="2">
        <f t="shared" si="11"/>
        <v>2396.2620195366885</v>
      </c>
      <c r="AO32" s="2">
        <f t="shared" si="12"/>
        <v>0</v>
      </c>
    </row>
    <row r="33" spans="2:41" x14ac:dyDescent="0.2">
      <c r="F33" s="23" t="s">
        <v>128</v>
      </c>
      <c r="G33" s="22">
        <f xml:space="preserve"> G20</f>
        <v>104.81988290097532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0.97107661701738834</v>
      </c>
      <c r="W33" s="2">
        <f t="shared" si="0"/>
        <v>6.7580008256129531E-10</v>
      </c>
      <c r="X33" s="2">
        <f t="shared" si="8"/>
        <v>0.97107661888003349</v>
      </c>
      <c r="Y33" s="2">
        <f t="shared" si="1"/>
        <v>-1.2244827374274792E-9</v>
      </c>
      <c r="Z33" s="2">
        <f t="shared" si="3"/>
        <v>0.97107661794871092</v>
      </c>
      <c r="AA33" s="2">
        <f t="shared" si="2"/>
        <v>-2.7434132743309192E-10</v>
      </c>
      <c r="AB33" s="2">
        <f t="shared" si="4"/>
        <v>-1.8539989172925887E-19</v>
      </c>
      <c r="AC33" s="2">
        <f t="shared" si="5"/>
        <v>3.3592621960476078E-19</v>
      </c>
      <c r="AD33" s="2">
        <f t="shared" si="6"/>
        <v>1.862645149230957E-9</v>
      </c>
      <c r="AF33" s="2">
        <v>29</v>
      </c>
      <c r="AG33" s="2">
        <f t="shared" si="13"/>
        <v>1576.171875</v>
      </c>
      <c r="AH33" s="2">
        <v>39.384566729169023</v>
      </c>
      <c r="AI33" s="2">
        <f t="shared" si="14"/>
        <v>1576.171875</v>
      </c>
      <c r="AJ33" s="2">
        <v>39.384566729169023</v>
      </c>
      <c r="AK33" s="2">
        <f t="shared" si="9"/>
        <v>1576.171875</v>
      </c>
      <c r="AL33" s="2">
        <v>60.842665504352681</v>
      </c>
      <c r="AM33" s="2">
        <f t="shared" si="10"/>
        <v>2396.2620195366885</v>
      </c>
      <c r="AN33" s="2">
        <f t="shared" si="11"/>
        <v>2396.2620195366885</v>
      </c>
      <c r="AO33" s="2">
        <f t="shared" si="12"/>
        <v>0</v>
      </c>
    </row>
    <row r="34" spans="2:41" x14ac:dyDescent="0.2">
      <c r="B34" s="28" t="s">
        <v>100</v>
      </c>
      <c r="C34" s="28"/>
      <c r="D34" s="28"/>
      <c r="J34" s="6" t="s">
        <v>58</v>
      </c>
      <c r="K34" s="6">
        <f>ROUND($C$16/$C$5 * 100, 2)</f>
        <v>38.82</v>
      </c>
      <c r="L34" s="6" t="s">
        <v>59</v>
      </c>
      <c r="U34" s="2">
        <v>30</v>
      </c>
      <c r="V34" s="2">
        <f t="shared" si="7"/>
        <v>0.97107661701738834</v>
      </c>
      <c r="W34" s="2">
        <f t="shared" si="0"/>
        <v>6.7580008256129531E-10</v>
      </c>
      <c r="X34" s="2">
        <f t="shared" si="8"/>
        <v>0.97107661794871092</v>
      </c>
      <c r="Y34" s="2">
        <f t="shared" si="1"/>
        <v>-2.7434132743309192E-10</v>
      </c>
      <c r="Z34" s="2">
        <f t="shared" si="3"/>
        <v>0.97107661748304963</v>
      </c>
      <c r="AA34" s="2">
        <f t="shared" si="2"/>
        <v>2.0072943307525293E-10</v>
      </c>
      <c r="AB34" s="2">
        <f t="shared" si="4"/>
        <v>1.3565296744473793E-19</v>
      </c>
      <c r="AC34" s="2">
        <f t="shared" si="5"/>
        <v>-5.5068379124756874E-20</v>
      </c>
      <c r="AD34" s="2">
        <f t="shared" si="6"/>
        <v>9.3132257461547852E-10</v>
      </c>
      <c r="AF34" s="2">
        <v>30</v>
      </c>
      <c r="AG34" s="2">
        <f t="shared" si="13"/>
        <v>1576.171875</v>
      </c>
      <c r="AH34" s="2">
        <v>39.384566729169023</v>
      </c>
      <c r="AI34" s="2">
        <f t="shared" si="14"/>
        <v>1576.171875</v>
      </c>
      <c r="AJ34" s="2">
        <v>39.384566729169023</v>
      </c>
      <c r="AK34" s="2">
        <f t="shared" si="9"/>
        <v>1576.171875</v>
      </c>
      <c r="AL34" s="2">
        <v>60.842665504352681</v>
      </c>
      <c r="AM34" s="2">
        <f t="shared" si="10"/>
        <v>2396.2620195366885</v>
      </c>
      <c r="AN34" s="2">
        <f t="shared" si="11"/>
        <v>2396.2620195366885</v>
      </c>
      <c r="AO34" s="2">
        <f t="shared" si="12"/>
        <v>0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16.829999999999998</v>
      </c>
      <c r="L35" s="6" t="s">
        <v>59</v>
      </c>
      <c r="AF35" s="2">
        <v>31</v>
      </c>
      <c r="AG35" s="2">
        <f t="shared" si="13"/>
        <v>1576.171875</v>
      </c>
      <c r="AH35" s="2">
        <v>39.384566729169023</v>
      </c>
      <c r="AI35" s="2">
        <f t="shared" si="14"/>
        <v>1576.171875</v>
      </c>
      <c r="AJ35" s="2">
        <v>39.384566729169023</v>
      </c>
      <c r="AK35" s="2">
        <f t="shared" si="9"/>
        <v>1576.171875</v>
      </c>
      <c r="AL35" s="2">
        <v>60.842665504352681</v>
      </c>
      <c r="AM35" s="2">
        <f t="shared" si="10"/>
        <v>2396.2620195366885</v>
      </c>
      <c r="AN35" s="2">
        <f t="shared" si="11"/>
        <v>2396.2620195366885</v>
      </c>
      <c r="AO35" s="2">
        <f t="shared" si="12"/>
        <v>0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16.260000000000002</v>
      </c>
      <c r="L36" s="6" t="s">
        <v>59</v>
      </c>
      <c r="AF36" s="2">
        <v>32</v>
      </c>
      <c r="AG36" s="2">
        <f t="shared" si="13"/>
        <v>1576.171875</v>
      </c>
      <c r="AH36" s="2">
        <v>39.384566729169023</v>
      </c>
      <c r="AI36" s="2">
        <f t="shared" si="14"/>
        <v>1576.171875</v>
      </c>
      <c r="AJ36" s="2">
        <v>39.384566729169023</v>
      </c>
      <c r="AK36" s="2">
        <f t="shared" si="9"/>
        <v>1576.171875</v>
      </c>
      <c r="AL36" s="2">
        <v>60.842665504352681</v>
      </c>
      <c r="AM36" s="2">
        <f t="shared" si="10"/>
        <v>2396.2620195366885</v>
      </c>
      <c r="AN36" s="2">
        <f t="shared" si="11"/>
        <v>2396.2620195366885</v>
      </c>
      <c r="AO36" s="2">
        <f t="shared" si="12"/>
        <v>0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23.36</v>
      </c>
      <c r="L37" s="6" t="s">
        <v>59</v>
      </c>
      <c r="AF37" s="2">
        <v>33</v>
      </c>
      <c r="AG37" s="2">
        <f t="shared" si="13"/>
        <v>1576.171875</v>
      </c>
      <c r="AH37" s="2">
        <v>39.384566729169023</v>
      </c>
      <c r="AI37" s="2">
        <f t="shared" si="14"/>
        <v>1576.171875</v>
      </c>
      <c r="AJ37" s="2">
        <v>39.384566729169023</v>
      </c>
      <c r="AK37" s="2">
        <f t="shared" si="9"/>
        <v>1576.171875</v>
      </c>
      <c r="AL37" s="2">
        <v>60.842665504352681</v>
      </c>
      <c r="AM37" s="2">
        <f t="shared" si="10"/>
        <v>2396.2620195366885</v>
      </c>
      <c r="AN37" s="2">
        <f t="shared" si="11"/>
        <v>2396.2620195366885</v>
      </c>
      <c r="AO37" s="2">
        <f t="shared" si="12"/>
        <v>0</v>
      </c>
    </row>
    <row r="38" spans="2:41" x14ac:dyDescent="0.2">
      <c r="J38" s="14" t="s">
        <v>71</v>
      </c>
      <c r="K38" s="6">
        <f>ROUND(SUM(K26:K29)/$C$5*100, 2)</f>
        <v>4.7300000000000004</v>
      </c>
      <c r="L38" s="6" t="s">
        <v>59</v>
      </c>
      <c r="AF38" s="2">
        <v>34</v>
      </c>
      <c r="AG38" s="2">
        <f t="shared" si="13"/>
        <v>1576.171875</v>
      </c>
      <c r="AH38" s="2">
        <v>39.384566729169023</v>
      </c>
      <c r="AI38" s="2">
        <f t="shared" si="14"/>
        <v>1576.171875</v>
      </c>
      <c r="AJ38" s="2">
        <v>39.384566729169023</v>
      </c>
      <c r="AK38" s="2">
        <f t="shared" si="9"/>
        <v>1576.171875</v>
      </c>
      <c r="AL38" s="2">
        <v>60.842665504352681</v>
      </c>
      <c r="AM38" s="2">
        <f t="shared" si="10"/>
        <v>2396.2620195366885</v>
      </c>
      <c r="AN38" s="2">
        <f t="shared" si="11"/>
        <v>2396.2620195366885</v>
      </c>
      <c r="AO38" s="2">
        <f t="shared" si="12"/>
        <v>0</v>
      </c>
    </row>
    <row r="39" spans="2:41" x14ac:dyDescent="0.2">
      <c r="B39" s="28" t="s">
        <v>104</v>
      </c>
      <c r="C39" s="28"/>
      <c r="D39" s="28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1576.171875</v>
      </c>
      <c r="AH39" s="2">
        <v>39.384566729169023</v>
      </c>
      <c r="AI39" s="2">
        <f t="shared" si="14"/>
        <v>1576.171875</v>
      </c>
      <c r="AJ39" s="2">
        <v>39.384566729169023</v>
      </c>
      <c r="AK39" s="2">
        <f t="shared" si="9"/>
        <v>1576.171875</v>
      </c>
      <c r="AL39" s="2">
        <v>60.842665504352681</v>
      </c>
      <c r="AM39" s="2">
        <f t="shared" si="10"/>
        <v>2396.2620195366885</v>
      </c>
      <c r="AN39" s="2">
        <f t="shared" si="11"/>
        <v>2396.2620195366885</v>
      </c>
      <c r="AO39" s="2">
        <f t="shared" si="12"/>
        <v>0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1576.171875</v>
      </c>
      <c r="AH40" s="2">
        <v>39.384566729169023</v>
      </c>
      <c r="AI40" s="2">
        <f t="shared" si="14"/>
        <v>1576.171875</v>
      </c>
      <c r="AJ40" s="2">
        <v>39.384566729169023</v>
      </c>
      <c r="AK40" s="2">
        <f t="shared" si="9"/>
        <v>1576.171875</v>
      </c>
      <c r="AL40" s="2">
        <v>60.842665504352681</v>
      </c>
      <c r="AM40" s="2">
        <f t="shared" si="10"/>
        <v>2396.2620195366885</v>
      </c>
      <c r="AN40" s="2">
        <f t="shared" si="11"/>
        <v>2396.2620195366885</v>
      </c>
      <c r="AO40" s="2">
        <f t="shared" si="12"/>
        <v>0</v>
      </c>
    </row>
    <row r="41" spans="2:41" x14ac:dyDescent="0.2">
      <c r="B41" s="6" t="s">
        <v>117</v>
      </c>
      <c r="C41" s="6">
        <f>IF(C40="wheeled",0.0325,0.014)</f>
        <v>3.2500000000000001E-2</v>
      </c>
      <c r="J41" s="28" t="s">
        <v>109</v>
      </c>
      <c r="K41" s="28"/>
      <c r="L41" s="28"/>
      <c r="AF41" s="2">
        <v>37</v>
      </c>
      <c r="AG41" s="2">
        <f t="shared" si="13"/>
        <v>1576.171875</v>
      </c>
      <c r="AH41" s="2">
        <v>39.384566729169023</v>
      </c>
      <c r="AI41" s="2">
        <f t="shared" si="14"/>
        <v>1576.171875</v>
      </c>
      <c r="AJ41" s="2">
        <v>39.384566729169023</v>
      </c>
      <c r="AK41" s="2">
        <f t="shared" si="9"/>
        <v>1576.171875</v>
      </c>
      <c r="AL41" s="2">
        <v>60.842665504352681</v>
      </c>
      <c r="AM41" s="2">
        <f t="shared" si="10"/>
        <v>2396.2620195366885</v>
      </c>
      <c r="AN41" s="2">
        <f t="shared" si="11"/>
        <v>2396.2620195366885</v>
      </c>
      <c r="AO41" s="2">
        <f t="shared" si="12"/>
        <v>0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1576.171875</v>
      </c>
      <c r="AH42" s="2">
        <v>39.384566729169023</v>
      </c>
      <c r="AI42" s="2">
        <f t="shared" si="14"/>
        <v>1576.171875</v>
      </c>
      <c r="AJ42" s="2">
        <v>39.384566729169023</v>
      </c>
      <c r="AK42" s="2">
        <f t="shared" si="9"/>
        <v>1576.171875</v>
      </c>
      <c r="AL42" s="2">
        <v>60.842665504352681</v>
      </c>
      <c r="AM42" s="2">
        <f t="shared" si="10"/>
        <v>2396.2620195366885</v>
      </c>
      <c r="AN42" s="2">
        <f t="shared" si="11"/>
        <v>2396.2620195366885</v>
      </c>
      <c r="AO42" s="2">
        <f t="shared" si="12"/>
        <v>0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260.14</v>
      </c>
      <c r="L43" s="6" t="s">
        <v>7</v>
      </c>
      <c r="AF43" s="2">
        <v>39</v>
      </c>
      <c r="AG43" s="2">
        <f t="shared" si="13"/>
        <v>1576.171875</v>
      </c>
      <c r="AH43" s="2">
        <v>39.384566729169023</v>
      </c>
      <c r="AI43" s="2">
        <f t="shared" si="14"/>
        <v>1576.171875</v>
      </c>
      <c r="AJ43" s="2">
        <v>39.384566729169023</v>
      </c>
      <c r="AK43" s="2">
        <f t="shared" si="9"/>
        <v>1576.171875</v>
      </c>
      <c r="AL43" s="2">
        <v>60.842665504352681</v>
      </c>
      <c r="AM43" s="2">
        <f t="shared" si="10"/>
        <v>2396.2620195366885</v>
      </c>
      <c r="AN43" s="2">
        <f t="shared" si="11"/>
        <v>2396.2620195366885</v>
      </c>
      <c r="AO43" s="2">
        <f t="shared" si="12"/>
        <v>0</v>
      </c>
    </row>
    <row r="44" spans="2:41" x14ac:dyDescent="0.2">
      <c r="J44" s="18" t="s">
        <v>74</v>
      </c>
      <c r="K44" s="6">
        <f>ROUND(SUM(K16:K19), 2)</f>
        <v>251.27</v>
      </c>
      <c r="L44" s="6" t="s">
        <v>7</v>
      </c>
      <c r="AF44" s="2">
        <v>40</v>
      </c>
      <c r="AG44" s="2">
        <f t="shared" si="13"/>
        <v>1576.171875</v>
      </c>
      <c r="AH44" s="2">
        <v>39.384566729169023</v>
      </c>
      <c r="AI44" s="2">
        <f t="shared" si="14"/>
        <v>1576.171875</v>
      </c>
      <c r="AJ44" s="2">
        <v>39.384566729169023</v>
      </c>
      <c r="AK44" s="5">
        <f t="shared" si="9"/>
        <v>1576.171875</v>
      </c>
      <c r="AL44" s="2">
        <v>60.842665504352681</v>
      </c>
      <c r="AM44" s="2">
        <f t="shared" si="10"/>
        <v>2396.2620195366885</v>
      </c>
      <c r="AN44" s="2">
        <f t="shared" si="11"/>
        <v>2396.2620195366885</v>
      </c>
      <c r="AO44" s="2">
        <f t="shared" si="12"/>
        <v>0</v>
      </c>
    </row>
    <row r="45" spans="2:41" x14ac:dyDescent="0.2">
      <c r="B45" s="28" t="s">
        <v>151</v>
      </c>
      <c r="C45" s="28"/>
      <c r="D45" s="28"/>
      <c r="J45" s="19" t="s">
        <v>70</v>
      </c>
      <c r="K45" s="6">
        <f>ROUND(SUM(K20:K25), 2)</f>
        <v>361.12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73.06</v>
      </c>
      <c r="L46" s="6" t="s">
        <v>7</v>
      </c>
    </row>
    <row r="47" spans="2:41" x14ac:dyDescent="0.2">
      <c r="J47" s="9" t="s">
        <v>60</v>
      </c>
      <c r="K47" s="9">
        <f>SUM(K42:K46)</f>
        <v>1545.5900000000001</v>
      </c>
      <c r="L47" s="6" t="s">
        <v>7</v>
      </c>
    </row>
    <row r="48" spans="2:41" x14ac:dyDescent="0.2">
      <c r="B48" s="28" t="s">
        <v>152</v>
      </c>
      <c r="C48" s="28"/>
      <c r="D48" s="28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8" t="s">
        <v>156</v>
      </c>
      <c r="C53" s="28"/>
      <c r="D53" s="28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550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8" t="s">
        <v>169</v>
      </c>
      <c r="C64" s="29"/>
      <c r="D64" s="29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8" t="s">
        <v>170</v>
      </c>
      <c r="C70" s="29"/>
      <c r="D70" s="29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8" t="s">
        <v>72</v>
      </c>
      <c r="C76" s="28"/>
      <c r="D76" s="28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53:D53"/>
    <mergeCell ref="B59:D59"/>
    <mergeCell ref="B64:D64"/>
    <mergeCell ref="B70:D70"/>
    <mergeCell ref="B76:D76"/>
    <mergeCell ref="F31:H31"/>
    <mergeCell ref="B34:D34"/>
    <mergeCell ref="B39:D39"/>
    <mergeCell ref="J41:L41"/>
    <mergeCell ref="B45:D45"/>
    <mergeCell ref="B48:D48"/>
    <mergeCell ref="F12:H12"/>
    <mergeCell ref="B15:D15"/>
    <mergeCell ref="N18:P18"/>
    <mergeCell ref="B20:D20"/>
    <mergeCell ref="F22:H22"/>
    <mergeCell ref="B27:D27"/>
    <mergeCell ref="B1:D1"/>
    <mergeCell ref="B3:D3"/>
    <mergeCell ref="F3:H3"/>
    <mergeCell ref="J3:L3"/>
    <mergeCell ref="N3:P3"/>
    <mergeCell ref="J9:L9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liftcruise_opt_250_test_250</vt:lpstr>
      <vt:lpstr>liftcruise_opt_250_test_550</vt:lpstr>
      <vt:lpstr>liftcruise_opt_550_test_550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2025-05-08T10:13:42Z</dcterms:modified>
</cp:coreProperties>
</file>