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EF43C971-AB6C-5C4D-B8C7-300EAE2BA871}" xr6:coauthVersionLast="47" xr6:coauthVersionMax="47" xr10:uidLastSave="{00000000-0000-0000-0000-000000000000}"/>
  <bookViews>
    <workbookView xWindow="0" yWindow="760" windowWidth="15080" windowHeight="17260" activeTab="1" xr2:uid="{843CD013-835A-1741-B375-CD508AE79BD2}"/>
  </bookViews>
  <sheets>
    <sheet name="multirotor" sheetId="3" r:id="rId1"/>
    <sheet name="lift+crui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4" l="1"/>
  <c r="C58" i="4"/>
  <c r="C26" i="4"/>
  <c r="G32" i="3"/>
  <c r="G16" i="3"/>
  <c r="O4" i="3"/>
  <c r="W9" i="4"/>
  <c r="S18" i="4"/>
  <c r="S9" i="4"/>
  <c r="S5" i="4"/>
  <c r="O16" i="4"/>
  <c r="O9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O18" i="4" l="1"/>
  <c r="W5" i="4"/>
  <c r="S19" i="4"/>
  <c r="S22" i="4" s="1"/>
  <c r="W18" i="4"/>
  <c r="W19" i="4" s="1"/>
  <c r="W22" i="4" s="1"/>
  <c r="O5" i="4"/>
  <c r="O19" i="4"/>
  <c r="O22" i="4" s="1"/>
  <c r="G14" i="3"/>
  <c r="G30" i="3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G15" i="3" l="1"/>
  <c r="G24" i="4"/>
  <c r="K12" i="4" s="1"/>
  <c r="G31" i="3"/>
  <c r="AR6" i="4"/>
  <c r="AN7" i="4" s="1"/>
  <c r="AV6" i="4"/>
  <c r="AP6" i="3"/>
  <c r="AN6" i="3"/>
  <c r="G24" i="3" l="1"/>
  <c r="K10" i="3" s="1"/>
  <c r="AP7" i="4"/>
  <c r="AV7" i="4" s="1"/>
  <c r="AV6" i="3"/>
  <c r="AR6" i="3"/>
  <c r="AP7" i="3" s="1"/>
  <c r="AR7" i="4" l="1"/>
  <c r="AP8" i="4" s="1"/>
  <c r="AN7" i="3"/>
  <c r="AN8" i="4" l="1"/>
  <c r="AR8" i="4" s="1"/>
  <c r="AN9" i="4" s="1"/>
  <c r="AR7" i="3"/>
  <c r="AV7" i="3"/>
  <c r="AV8" i="4" l="1"/>
  <c r="AP9" i="4"/>
  <c r="AR9" i="4" s="1"/>
  <c r="AN10" i="4" s="1"/>
  <c r="AP8" i="3"/>
  <c r="AN8" i="3"/>
  <c r="AP10" i="4" l="1"/>
  <c r="AV10" i="4" s="1"/>
  <c r="AV9" i="4"/>
  <c r="AV8" i="3"/>
  <c r="AR8" i="3"/>
  <c r="AR10" i="4" l="1"/>
  <c r="AN11" i="4" s="1"/>
  <c r="AN9" i="3"/>
  <c r="AP9" i="3"/>
  <c r="AP11" i="4" l="1"/>
  <c r="AR11" i="4" s="1"/>
  <c r="AP12" i="4" s="1"/>
  <c r="AV9" i="3"/>
  <c r="AR9" i="3"/>
  <c r="AN12" i="4" l="1"/>
  <c r="AR12" i="4" s="1"/>
  <c r="AV11" i="4"/>
  <c r="AN10" i="3"/>
  <c r="AP10" i="3"/>
  <c r="AP13" i="4" l="1"/>
  <c r="AN13" i="4"/>
  <c r="AV12" i="4"/>
  <c r="AV10" i="3"/>
  <c r="AR10" i="3"/>
  <c r="AV13" i="4" l="1"/>
  <c r="AR13" i="4"/>
  <c r="AP14" i="4" s="1"/>
  <c r="AP11" i="3"/>
  <c r="AN11" i="3"/>
  <c r="AN14" i="4" l="1"/>
  <c r="AR14" i="4" s="1"/>
  <c r="AV11" i="3"/>
  <c r="AR11" i="3"/>
  <c r="AN15" i="4" l="1"/>
  <c r="AP15" i="4"/>
  <c r="AV14" i="4"/>
  <c r="AN12" i="3"/>
  <c r="AP12" i="3"/>
  <c r="AR15" i="4" l="1"/>
  <c r="AN16" i="4" s="1"/>
  <c r="AV15" i="4"/>
  <c r="AR12" i="3"/>
  <c r="AN13" i="3" s="1"/>
  <c r="AV12" i="3"/>
  <c r="AP16" i="4" l="1"/>
  <c r="AV16" i="4" s="1"/>
  <c r="AP13" i="3"/>
  <c r="AR13" i="3" s="1"/>
  <c r="AN14" i="3" s="1"/>
  <c r="AR16" i="4" l="1"/>
  <c r="AN17" i="4" s="1"/>
  <c r="AV13" i="3"/>
  <c r="AP14" i="3"/>
  <c r="AV14" i="3" s="1"/>
  <c r="AP17" i="4" l="1"/>
  <c r="AV17" i="4" s="1"/>
  <c r="AR14" i="3"/>
  <c r="AP15" i="3" s="1"/>
  <c r="AR17" i="4" l="1"/>
  <c r="AN15" i="3"/>
  <c r="AV15" i="3" s="1"/>
  <c r="AP18" i="4" l="1"/>
  <c r="AN18" i="4"/>
  <c r="AR15" i="3"/>
  <c r="AP16" i="3" s="1"/>
  <c r="AR18" i="4" l="1"/>
  <c r="AN19" i="4" s="1"/>
  <c r="AV18" i="4"/>
  <c r="AN16" i="3"/>
  <c r="AR16" i="3" s="1"/>
  <c r="AP17" i="3" s="1"/>
  <c r="AP19" i="4" l="1"/>
  <c r="AV19" i="4" s="1"/>
  <c r="AV16" i="3"/>
  <c r="AN17" i="3"/>
  <c r="AV17" i="3" s="1"/>
  <c r="AR19" i="4" l="1"/>
  <c r="AN20" i="4" s="1"/>
  <c r="AR17" i="3"/>
  <c r="AN18" i="3" s="1"/>
  <c r="AP20" i="4" l="1"/>
  <c r="AP18" i="3"/>
  <c r="AV18" i="3" s="1"/>
  <c r="AV20" i="4" l="1"/>
  <c r="AR20" i="4"/>
  <c r="AR18" i="3"/>
  <c r="AN19" i="3" s="1"/>
  <c r="AP21" i="4" l="1"/>
  <c r="AN21" i="4"/>
  <c r="AP19" i="3"/>
  <c r="AR19" i="3" s="1"/>
  <c r="AV21" i="4" l="1"/>
  <c r="AR21" i="4"/>
  <c r="AN20" i="3"/>
  <c r="AP20" i="3"/>
  <c r="AV19" i="3"/>
  <c r="AP22" i="4" l="1"/>
  <c r="AN22" i="4"/>
  <c r="AV20" i="3"/>
  <c r="AR20" i="3"/>
  <c r="AN21" i="3" s="1"/>
  <c r="AV22" i="4" l="1"/>
  <c r="AR22" i="4"/>
  <c r="AP21" i="3"/>
  <c r="AV21" i="3" s="1"/>
  <c r="AP23" i="4" l="1"/>
  <c r="AN23" i="4"/>
  <c r="AR21" i="3"/>
  <c r="AP22" i="3" s="1"/>
  <c r="AR23" i="4" l="1"/>
  <c r="AN24" i="4" s="1"/>
  <c r="AV23" i="4"/>
  <c r="AN22" i="3"/>
  <c r="AV22" i="3" s="1"/>
  <c r="AP24" i="4" l="1"/>
  <c r="AV24" i="4" s="1"/>
  <c r="AR22" i="3"/>
  <c r="AP23" i="3" s="1"/>
  <c r="AR24" i="4" l="1"/>
  <c r="AP25" i="4" s="1"/>
  <c r="AN23" i="3"/>
  <c r="AV23" i="3" s="1"/>
  <c r="AN25" i="4" l="1"/>
  <c r="AR25" i="4" s="1"/>
  <c r="AN26" i="4" s="1"/>
  <c r="AR23" i="3"/>
  <c r="AP24" i="3" s="1"/>
  <c r="AV25" i="4" l="1"/>
  <c r="AP26" i="4"/>
  <c r="AV26" i="4" s="1"/>
  <c r="AN24" i="3"/>
  <c r="AR24" i="3" s="1"/>
  <c r="AP25" i="3" s="1"/>
  <c r="AR26" i="4" l="1"/>
  <c r="AN27" i="4" s="1"/>
  <c r="AV24" i="3"/>
  <c r="AN25" i="3"/>
  <c r="AV25" i="3" s="1"/>
  <c r="AP27" i="4" l="1"/>
  <c r="AR27" i="4" s="1"/>
  <c r="AP28" i="4" s="1"/>
  <c r="AR25" i="3"/>
  <c r="AN26" i="3" s="1"/>
  <c r="AV27" i="4" l="1"/>
  <c r="AN28" i="4"/>
  <c r="AR28" i="4" s="1"/>
  <c r="AP26" i="3"/>
  <c r="AV26" i="3" s="1"/>
  <c r="AN29" i="4" l="1"/>
  <c r="AP29" i="4"/>
  <c r="AV28" i="4"/>
  <c r="AR26" i="3"/>
  <c r="AN27" i="3" s="1"/>
  <c r="AR29" i="4" l="1"/>
  <c r="AV29" i="4"/>
  <c r="AP27" i="3"/>
  <c r="AR27" i="3" s="1"/>
  <c r="AN28" i="3" s="1"/>
  <c r="AN30" i="4" l="1"/>
  <c r="AP30" i="4"/>
  <c r="AP28" i="3"/>
  <c r="AR28" i="3" s="1"/>
  <c r="AN29" i="3" s="1"/>
  <c r="AV27" i="3"/>
  <c r="AR30" i="4" l="1"/>
  <c r="AP31" i="4" s="1"/>
  <c r="AV30" i="4"/>
  <c r="AV28" i="3"/>
  <c r="AP29" i="3"/>
  <c r="AV29" i="3" s="1"/>
  <c r="AN31" i="4" l="1"/>
  <c r="AR31" i="4" s="1"/>
  <c r="AR29" i="3"/>
  <c r="AN30" i="3" s="1"/>
  <c r="AP32" i="4" l="1"/>
  <c r="AN32" i="4"/>
  <c r="AV31" i="4"/>
  <c r="AP30" i="3"/>
  <c r="AR30" i="3" s="1"/>
  <c r="AR32" i="4" l="1"/>
  <c r="AN33" i="4" s="1"/>
  <c r="AV32" i="4"/>
  <c r="AV30" i="3"/>
  <c r="AP31" i="3"/>
  <c r="AN31" i="3"/>
  <c r="AP33" i="4" l="1"/>
  <c r="AV33" i="4" s="1"/>
  <c r="AR31" i="3"/>
  <c r="AP32" i="3" s="1"/>
  <c r="AV31" i="3"/>
  <c r="AR33" i="4" l="1"/>
  <c r="AP34" i="4" s="1"/>
  <c r="AN32" i="3"/>
  <c r="AR32" i="3" s="1"/>
  <c r="AN33" i="3" s="1"/>
  <c r="AN34" i="4" l="1"/>
  <c r="AR34" i="4" s="1"/>
  <c r="AV32" i="3"/>
  <c r="AP33" i="3"/>
  <c r="AV33" i="3" s="1"/>
  <c r="AV34" i="4" l="1"/>
  <c r="AN35" i="4"/>
  <c r="AP35" i="4"/>
  <c r="AR33" i="3"/>
  <c r="AN34" i="3" s="1"/>
  <c r="AR35" i="4" l="1"/>
  <c r="AN36" i="4" s="1"/>
  <c r="AV35" i="4"/>
  <c r="AP34" i="3"/>
  <c r="AR34" i="3" s="1"/>
  <c r="AP36" i="4" l="1"/>
  <c r="AV36" i="4" s="1"/>
  <c r="AV34" i="3"/>
  <c r="AN35" i="3"/>
  <c r="AP35" i="3"/>
  <c r="AR36" i="4" l="1"/>
  <c r="AP37" i="4" s="1"/>
  <c r="AV35" i="3"/>
  <c r="AR35" i="3"/>
  <c r="AP36" i="3" s="1"/>
  <c r="AN37" i="4" l="1"/>
  <c r="AV37" i="4" s="1"/>
  <c r="AN36" i="3"/>
  <c r="AR36" i="3" s="1"/>
  <c r="AR37" i="4" l="1"/>
  <c r="AN38" i="4" s="1"/>
  <c r="AP37" i="3"/>
  <c r="AN37" i="3"/>
  <c r="AV36" i="3"/>
  <c r="AP38" i="4" l="1"/>
  <c r="AV38" i="4" s="1"/>
  <c r="AV37" i="3"/>
  <c r="AR37" i="3"/>
  <c r="AR38" i="4" l="1"/>
  <c r="AN39" i="4" s="1"/>
  <c r="AN38" i="3"/>
  <c r="AP38" i="3"/>
  <c r="AP39" i="4" l="1"/>
  <c r="AV39" i="4" s="1"/>
  <c r="AR38" i="3"/>
  <c r="AV38" i="3"/>
  <c r="AR39" i="4" l="1"/>
  <c r="AN40" i="4" s="1"/>
  <c r="AN39" i="3"/>
  <c r="AP39" i="3"/>
  <c r="AP40" i="4" l="1"/>
  <c r="AV40" i="4" s="1"/>
  <c r="AV39" i="3"/>
  <c r="AR39" i="3"/>
  <c r="AP40" i="3" s="1"/>
  <c r="AR40" i="4" l="1"/>
  <c r="AN41" i="4" s="1"/>
  <c r="AN40" i="3"/>
  <c r="AR40" i="3" s="1"/>
  <c r="AN41" i="3" s="1"/>
  <c r="AP41" i="4" l="1"/>
  <c r="AR41" i="4" s="1"/>
  <c r="AP41" i="3"/>
  <c r="AR41" i="3" s="1"/>
  <c r="AV40" i="3"/>
  <c r="AV41" i="4" l="1"/>
  <c r="AP42" i="4"/>
  <c r="AN42" i="4"/>
  <c r="AV41" i="3"/>
  <c r="AN42" i="3"/>
  <c r="AP42" i="3"/>
  <c r="AR42" i="4" l="1"/>
  <c r="AP43" i="4" s="1"/>
  <c r="AV42" i="4"/>
  <c r="AV42" i="3"/>
  <c r="AR42" i="3"/>
  <c r="AN43" i="4" l="1"/>
  <c r="AR43" i="4" s="1"/>
  <c r="AP44" i="4" s="1"/>
  <c r="AN43" i="3"/>
  <c r="AP43" i="3"/>
  <c r="AV43" i="4" l="1"/>
  <c r="AN44" i="4"/>
  <c r="AV44" i="4" s="1"/>
  <c r="AR43" i="3"/>
  <c r="AV43" i="3"/>
  <c r="AR44" i="4" l="1"/>
  <c r="C17" i="4" s="1"/>
  <c r="K25" i="4" s="1"/>
  <c r="AP44" i="3"/>
  <c r="AN44" i="3"/>
  <c r="K23" i="4" l="1"/>
  <c r="K24" i="4"/>
  <c r="K21" i="4"/>
  <c r="K22" i="4"/>
  <c r="W4" i="4"/>
  <c r="W6" i="4"/>
  <c r="W7" i="4" s="1"/>
  <c r="S4" i="4"/>
  <c r="S10" i="4" s="1"/>
  <c r="S6" i="4"/>
  <c r="S7" i="4" s="1"/>
  <c r="O4" i="4"/>
  <c r="O6" i="4"/>
  <c r="O7" i="4" s="1"/>
  <c r="G6" i="4"/>
  <c r="G40" i="4"/>
  <c r="K28" i="4"/>
  <c r="K29" i="4"/>
  <c r="K26" i="4"/>
  <c r="K27" i="4"/>
  <c r="G41" i="4"/>
  <c r="G7" i="4"/>
  <c r="K16" i="4"/>
  <c r="K34" i="4"/>
  <c r="AR44" i="3"/>
  <c r="C15" i="3" s="1"/>
  <c r="AV44" i="3"/>
  <c r="K37" i="4" l="1"/>
  <c r="K4" i="4"/>
  <c r="K5" i="4" s="1"/>
  <c r="K18" i="3"/>
  <c r="K19" i="3"/>
  <c r="G40" i="3"/>
  <c r="O5" i="3"/>
  <c r="K22" i="3"/>
  <c r="G6" i="3"/>
  <c r="W10" i="4"/>
  <c r="W11" i="4" s="1"/>
  <c r="W12" i="4" s="1"/>
  <c r="W8" i="4"/>
  <c r="S8" i="4"/>
  <c r="S11" i="4"/>
  <c r="S12" i="4" s="1"/>
  <c r="S17" i="4" s="1"/>
  <c r="O10" i="4"/>
  <c r="O11" i="4" s="1"/>
  <c r="O12" i="4" s="1"/>
  <c r="O8" i="4"/>
  <c r="W5" i="3"/>
  <c r="W6" i="3" s="1"/>
  <c r="K38" i="4"/>
  <c r="G41" i="3"/>
  <c r="K24" i="3"/>
  <c r="K25" i="3"/>
  <c r="K23" i="3"/>
  <c r="G7" i="3"/>
  <c r="K13" i="3"/>
  <c r="K31" i="3"/>
  <c r="S5" i="3"/>
  <c r="S7" i="3" s="1"/>
  <c r="S8" i="3" s="1"/>
  <c r="S12" i="3" s="1"/>
  <c r="K40" i="3" l="1"/>
  <c r="K39" i="3"/>
  <c r="O6" i="3"/>
  <c r="O7" i="3"/>
  <c r="O8" i="3" s="1"/>
  <c r="W13" i="4"/>
  <c r="W17" i="4"/>
  <c r="S20" i="4"/>
  <c r="S25" i="4"/>
  <c r="S13" i="4"/>
  <c r="O13" i="4"/>
  <c r="O17" i="4"/>
  <c r="W7" i="3"/>
  <c r="W8" i="3" s="1"/>
  <c r="W12" i="3" s="1"/>
  <c r="K34" i="3"/>
  <c r="S6" i="3"/>
  <c r="K35" i="3"/>
  <c r="S18" i="3"/>
  <c r="S13" i="3"/>
  <c r="S17" i="3" s="1"/>
  <c r="S19" i="3" l="1"/>
  <c r="S22" i="3" s="1"/>
  <c r="W13" i="3"/>
  <c r="W17" i="3" s="1"/>
  <c r="O12" i="3"/>
  <c r="O13" i="3" s="1"/>
  <c r="W20" i="4"/>
  <c r="W25" i="4"/>
  <c r="W27" i="4" s="1"/>
  <c r="O20" i="4"/>
  <c r="O25" i="4"/>
  <c r="O27" i="4" s="1"/>
  <c r="S27" i="4"/>
  <c r="W19" i="3" l="1"/>
  <c r="W18" i="3"/>
  <c r="O17" i="3"/>
  <c r="O18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AH4" i="3" l="1"/>
  <c r="AF4" i="3"/>
  <c r="AD4" i="3"/>
  <c r="O19" i="3"/>
  <c r="O20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W25" i="3" l="1"/>
  <c r="W27" i="3" s="1"/>
  <c r="O22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O25" i="3" l="1"/>
  <c r="O27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I39" i="3" l="1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J5" i="3" l="1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G6" i="3" l="1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I40" i="3" l="1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H76" i="3" l="1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76" i="3" l="1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G77" i="3" l="1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I42" i="3" l="1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F43" i="3" l="1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3" i="3" l="1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G44" i="3" l="1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44" i="3" l="1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45" i="3" l="1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F10" i="3" l="1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80" i="3" l="1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I46" i="3" l="1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K47" i="3" l="1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F12" i="3" l="1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D12" i="3" l="1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H12" i="3" l="1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F13" i="3" l="1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D13" i="3" l="1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H13" i="3" l="1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14" i="3" l="1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G14" i="3" l="1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H14" i="3" l="1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D15" i="3" l="1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F15" i="3" l="1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H15" i="3" l="1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D16" i="3" l="1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F16" i="3" l="1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D17" i="3" l="1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F17" i="3" l="1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D18" i="3" l="1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K18" i="3" l="1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D19" i="3" l="1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F19" i="3" l="1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D20" i="3" l="1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F20" i="3" l="1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D21" i="3" l="1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F21" i="3" l="1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H21" i="3" l="1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D22" i="3" l="1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H56" i="3" l="1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22" i="3" l="1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K23" i="3" l="1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I57" i="3" l="1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24" i="3" l="1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25" i="3" l="1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I25" i="3" l="1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G26" i="3" l="1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AI26" i="3" l="1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AG27" i="3" l="1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G94" i="3" l="1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D28" i="3" l="1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AG95" i="3" l="1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AG29" i="3" l="1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AI29" i="3" l="1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3" i="3" l="1"/>
  <c r="O24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3" i="4" s="1"/>
  <c r="O24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6" i="4"/>
  <c r="K19" i="4" s="1"/>
  <c r="K5" i="3"/>
  <c r="AI69" i="4"/>
  <c r="K32" i="3"/>
  <c r="K15" i="3" l="1"/>
  <c r="K17" i="3"/>
  <c r="K35" i="4"/>
  <c r="K7" i="4"/>
  <c r="K18" i="4" s="1"/>
  <c r="K38" i="3" l="1"/>
  <c r="K20" i="4"/>
  <c r="K33" i="3"/>
  <c r="K36" i="3" s="1"/>
  <c r="K26" i="3"/>
  <c r="K30" i="4" l="1"/>
  <c r="AQ4" i="3"/>
  <c r="AO4" i="3"/>
  <c r="AS4" i="3"/>
  <c r="K27" i="3"/>
  <c r="K36" i="4"/>
  <c r="K39" i="4" s="1"/>
  <c r="AS4" i="4" l="1"/>
  <c r="AQ4" i="4"/>
  <c r="K31" i="4"/>
  <c r="AO4" i="4"/>
</calcChain>
</file>

<file path=xl/sharedStrings.xml><?xml version="1.0" encoding="utf-8"?>
<sst xmlns="http://schemas.openxmlformats.org/spreadsheetml/2006/main" count="636" uniqueCount="186">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</sst>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45.54</c:v>
                </c:pt>
                <c:pt idx="1">
                  <c:v>24.41</c:v>
                </c:pt>
                <c:pt idx="2">
                  <c:v>10.62</c:v>
                </c:pt>
                <c:pt idx="3">
                  <c:v>14.75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0-0643-9C08-1AD063EA3B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0-0643-9C08-1AD063EA3B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0-0643-9C08-1AD063EA3B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0-0643-9C08-1AD063EA3B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0-0643-9C08-1AD063EA3B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'lift+cruise'!$K$34:$K$38</c:f>
              <c:numCache>
                <c:formatCode>General</c:formatCode>
                <c:ptCount val="5"/>
                <c:pt idx="0">
                  <c:v>33.43</c:v>
                </c:pt>
                <c:pt idx="1">
                  <c:v>14.43</c:v>
                </c:pt>
                <c:pt idx="2">
                  <c:v>18.149999999999999</c:v>
                </c:pt>
                <c:pt idx="3">
                  <c:v>29.31</c:v>
                </c:pt>
                <c:pt idx="4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B0-0643-9C08-1AD063EA3B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30</xdr:row>
      <xdr:rowOff>38100</xdr:rowOff>
    </xdr:from>
    <xdr:to>
      <xdr:col>17</xdr:col>
      <xdr:colOff>393700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37FF3-E4DF-B24D-B571-C2DFB4611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topLeftCell="A3" workbookViewId="0">
      <selection activeCell="C16" sqref="C16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2.1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1" t="s">
        <v>0</v>
      </c>
      <c r="C1" s="41"/>
      <c r="D1" s="41"/>
    </row>
    <row r="2" spans="2:48" x14ac:dyDescent="0.2">
      <c r="AB2" s="32" t="s">
        <v>141</v>
      </c>
      <c r="AM2" s="32" t="s">
        <v>104</v>
      </c>
    </row>
    <row r="3" spans="2:48" x14ac:dyDescent="0.2">
      <c r="B3" s="39" t="s">
        <v>98</v>
      </c>
      <c r="C3" s="40"/>
      <c r="D3" s="40"/>
      <c r="F3" s="39" t="s">
        <v>110</v>
      </c>
      <c r="G3" s="40"/>
      <c r="H3" s="40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160544.9736296451</v>
      </c>
      <c r="L4" s="20" t="s">
        <v>29</v>
      </c>
      <c r="N4" s="20" t="s">
        <v>37</v>
      </c>
      <c r="O4" s="20">
        <f xml:space="preserve"> 0.5 * $C$25 * $G$11^2</f>
        <v>551.25</v>
      </c>
      <c r="P4" s="20" t="s">
        <v>38</v>
      </c>
      <c r="R4" s="20" t="s">
        <v>37</v>
      </c>
      <c r="S4" s="20">
        <f xml:space="preserve"> 0.5 * $C$25 * $C$17^2</f>
        <v>551.25</v>
      </c>
      <c r="T4" s="20" t="s">
        <v>38</v>
      </c>
      <c r="V4" s="20" t="s">
        <v>37</v>
      </c>
      <c r="W4" s="20">
        <f xml:space="preserve"> 0.5 * $C$25 * $G$27^2</f>
        <v>551.25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0.10469636032874594</v>
      </c>
      <c r="AE4" s="9">
        <v>1</v>
      </c>
      <c r="AF4" s="8">
        <f xml:space="preserve"> $C$18 * TAN($S$17/180*PI()) + $S$20 / (2 * SQRT($C$18^2 + AE4^2)) - AE4</f>
        <v>-0.9348282923778839</v>
      </c>
      <c r="AG4" s="8">
        <f xml:space="preserve"> (AC4 + AE4)/2</f>
        <v>0.5</v>
      </c>
      <c r="AH4" s="8">
        <f xml:space="preserve"> $C$18 * TAN($S$17/180*PI()) + $S$20 / (2 * SQRT($C$18^2 + AG4^2)) - AG4</f>
        <v>-0.42223036347613813</v>
      </c>
      <c r="AI4" s="8">
        <f>AD4*AH4</f>
        <v>-4.4205982276235123E-2</v>
      </c>
      <c r="AJ4" s="8">
        <f>AF4*AH4</f>
        <v>0.39471288967849144</v>
      </c>
      <c r="AK4" s="8">
        <f>AE4-AC4</f>
        <v>1</v>
      </c>
      <c r="AM4" s="8">
        <v>0</v>
      </c>
      <c r="AN4" s="8"/>
      <c r="AO4" s="8">
        <f>K26</f>
        <v>6.9235284172464162E-10</v>
      </c>
      <c r="AP4" s="8"/>
      <c r="AQ4" s="8">
        <f>K26</f>
        <v>6.9235284172464162E-10</v>
      </c>
      <c r="AR4" s="8"/>
      <c r="AS4" s="8">
        <f>K26</f>
        <v>6.9235284172464162E-10</v>
      </c>
      <c r="AT4" s="8"/>
      <c r="AU4" s="8"/>
      <c r="AV4" s="8"/>
    </row>
    <row r="5" spans="2:48" x14ac:dyDescent="0.2">
      <c r="B5" s="20" t="s">
        <v>52</v>
      </c>
      <c r="C5" s="33">
        <v>7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22934.996232806443</v>
      </c>
      <c r="L5" s="20" t="s">
        <v>29</v>
      </c>
      <c r="N5" s="20" t="s">
        <v>55</v>
      </c>
      <c r="O5" s="20">
        <f xml:space="preserve"> 0.0327 * ($C$15*2.20462)^0.8903 * 0.3048^2</f>
        <v>2.5645778003936814</v>
      </c>
      <c r="P5" s="20" t="s">
        <v>18</v>
      </c>
      <c r="R5" s="20" t="s">
        <v>55</v>
      </c>
      <c r="S5" s="20">
        <f xml:space="preserve"> 0.0327 * ($C$15*2.20462)^0.8903 * 0.3048^2</f>
        <v>2.5645778003936814</v>
      </c>
      <c r="T5" s="20" t="s">
        <v>18</v>
      </c>
      <c r="V5" s="20" t="s">
        <v>55</v>
      </c>
      <c r="W5" s="20">
        <f xml:space="preserve"> 0.0327 * ($C$15*2.20462)^0.8903 * 0.3048^2</f>
        <v>2.5645778003936814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0.10469636032874594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-0.42223036347613813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-0.15815840182400653</v>
      </c>
      <c r="AI5" s="8">
        <f t="shared" ref="AI5:AI34" si="4">AD5*AH5</f>
        <v>-1.6558609026384775E-2</v>
      </c>
      <c r="AJ5" s="8">
        <f t="shared" ref="AJ5:AJ34" si="5">AF5*AH5</f>
        <v>6.6779279488955387E-2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/>
        <v>-183.26101568053718</v>
      </c>
      <c r="AP5" s="9">
        <v>2500</v>
      </c>
      <c r="AQ5" s="8">
        <f t="dataTable" ref="AQ5:AQ44" dt2D="0" dtr="0" r1="C15" ca="1"/>
        <v>344.59124258861675</v>
      </c>
      <c r="AR5" s="8">
        <f>(AN5+AP5)/2</f>
        <v>1500</v>
      </c>
      <c r="AS5" s="8">
        <f t="dataTable" ref="AS5:AS44" dt2D="0" dtr="0" r1="C15" ca="1"/>
        <v>210.56838225672311</v>
      </c>
      <c r="AT5" s="8">
        <f>AO5*AS5</f>
        <v>-38588.975602574683</v>
      </c>
      <c r="AU5" s="8">
        <f>AQ5*AS5</f>
        <v>72560.020491719057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160.54497362964511</v>
      </c>
      <c r="H6" s="20" t="s">
        <v>162</v>
      </c>
      <c r="N6" s="20" t="s">
        <v>56</v>
      </c>
      <c r="O6" s="20">
        <f xml:space="preserve"> O5 / ($C$5 * PI() * $C$16^2)</f>
        <v>0.11661863825039843</v>
      </c>
      <c r="R6" s="20" t="s">
        <v>56</v>
      </c>
      <c r="S6" s="20">
        <f xml:space="preserve"> S5 / ($C$5 * PI() * $C$16^2)</f>
        <v>0.11661863825039843</v>
      </c>
      <c r="V6" s="20" t="s">
        <v>56</v>
      </c>
      <c r="W6" s="20">
        <f xml:space="preserve"> W5 / ($C$5 * PI() * $C$16^2)</f>
        <v>0.11661863825039843</v>
      </c>
      <c r="AB6" s="8">
        <v>2</v>
      </c>
      <c r="AC6" s="8">
        <f t="shared" ref="AC6:AC34" si="7">IF(AI5&gt;0, AG5, AC5)</f>
        <v>0</v>
      </c>
      <c r="AD6" s="8">
        <f t="shared" si="0"/>
        <v>0.10469636032874594</v>
      </c>
      <c r="AE6" s="8">
        <f t="shared" ref="AE6:AE34" si="8">IF(AJ5&gt;0, AG5, AE5)</f>
        <v>0.25</v>
      </c>
      <c r="AF6" s="8">
        <f t="shared" si="1"/>
        <v>-0.15815840182400653</v>
      </c>
      <c r="AG6" s="8">
        <f t="shared" si="2"/>
        <v>0.125</v>
      </c>
      <c r="AH6" s="8">
        <f t="shared" si="3"/>
        <v>-2.4569897834153309E-2</v>
      </c>
      <c r="AI6" s="8">
        <f t="shared" si="4"/>
        <v>-2.5723788768849893E-3</v>
      </c>
      <c r="AJ6" s="8">
        <f t="shared" si="5"/>
        <v>3.8859357744288068E-3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-183.26101568053718</v>
      </c>
      <c r="AP6" s="8">
        <f>IF(AU5&gt;0, AR5, AP5)</f>
        <v>1500</v>
      </c>
      <c r="AQ6" s="8">
        <v>210.56838225672311</v>
      </c>
      <c r="AR6" s="8">
        <f t="shared" ref="AR6:AR44" si="9">(AN6+AP6)/2</f>
        <v>1000</v>
      </c>
      <c r="AS6" s="8">
        <v>49.747772923566231</v>
      </c>
      <c r="AT6" s="8">
        <f t="shared" ref="AT6:AT44" si="10">AO6*AS6</f>
        <v>-9116.8273938174734</v>
      </c>
      <c r="AU6" s="8">
        <f t="shared" ref="AU6:AU44" si="11">AQ6*AS6</f>
        <v>10475.308065390154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1230.5909485571954</v>
      </c>
      <c r="H7" s="20" t="s">
        <v>31</v>
      </c>
      <c r="N7" s="20" t="s">
        <v>57</v>
      </c>
      <c r="O7" s="20">
        <f xml:space="preserve"> O4 * O5</f>
        <v>1413.7235124670169</v>
      </c>
      <c r="P7" s="20" t="s">
        <v>31</v>
      </c>
      <c r="R7" s="20" t="s">
        <v>57</v>
      </c>
      <c r="S7" s="20">
        <f xml:space="preserve"> S4 * S5</f>
        <v>1413.7235124670169</v>
      </c>
      <c r="T7" s="20" t="s">
        <v>31</v>
      </c>
      <c r="V7" s="20" t="s">
        <v>57</v>
      </c>
      <c r="W7" s="20">
        <f xml:space="preserve"> W4 * W5</f>
        <v>1413.7235124670169</v>
      </c>
      <c r="X7" s="20" t="s">
        <v>31</v>
      </c>
      <c r="AB7" s="8">
        <v>3</v>
      </c>
      <c r="AC7" s="8">
        <f t="shared" si="7"/>
        <v>0</v>
      </c>
      <c r="AD7" s="8">
        <f t="shared" si="0"/>
        <v>0.10469636032874594</v>
      </c>
      <c r="AE7" s="8">
        <f t="shared" si="8"/>
        <v>0.125</v>
      </c>
      <c r="AF7" s="8">
        <f t="shared" si="1"/>
        <v>-2.4569897834153309E-2</v>
      </c>
      <c r="AG7" s="8">
        <f t="shared" si="2"/>
        <v>6.25E-2</v>
      </c>
      <c r="AH7" s="8">
        <f t="shared" si="3"/>
        <v>4.1030585902368882E-2</v>
      </c>
      <c r="AI7" s="8">
        <f t="shared" si="4"/>
        <v>4.2957530061339755E-3</v>
      </c>
      <c r="AJ7" s="8">
        <f t="shared" si="5"/>
        <v>-1.0081173036966544E-3</v>
      </c>
      <c r="AK7" s="8">
        <f t="shared" si="6"/>
        <v>0.125</v>
      </c>
      <c r="AM7" s="8">
        <v>3</v>
      </c>
      <c r="AN7" s="8">
        <f t="shared" ref="AN7:AN44" si="13">IF(AT6&gt;0, AR6, AN6)</f>
        <v>500</v>
      </c>
      <c r="AO7" s="8">
        <v>-183.26101568053718</v>
      </c>
      <c r="AP7" s="8">
        <f t="shared" ref="AP7:AP44" si="14">IF(AU6&gt;0, AR6, AP6)</f>
        <v>1000</v>
      </c>
      <c r="AQ7" s="8">
        <v>49.747772923566231</v>
      </c>
      <c r="AR7" s="8">
        <f t="shared" si="9"/>
        <v>750</v>
      </c>
      <c r="AS7" s="8">
        <v>-57.282719849756745</v>
      </c>
      <c r="AT7" s="8">
        <f t="shared" si="10"/>
        <v>10497.68942061009</v>
      </c>
      <c r="AU7" s="8">
        <f t="shared" si="11"/>
        <v>-2849.6877395299584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37" t="s">
        <v>34</v>
      </c>
      <c r="K8" s="37"/>
      <c r="L8" s="37"/>
      <c r="N8" s="20" t="s">
        <v>60</v>
      </c>
      <c r="O8" s="20">
        <f xml:space="preserve"> O7</f>
        <v>1413.7235124670169</v>
      </c>
      <c r="P8" s="20" t="s">
        <v>31</v>
      </c>
      <c r="R8" s="20" t="s">
        <v>60</v>
      </c>
      <c r="S8" s="20">
        <f xml:space="preserve"> S7</f>
        <v>1413.7235124670169</v>
      </c>
      <c r="T8" s="20" t="s">
        <v>31</v>
      </c>
      <c r="V8" s="20" t="s">
        <v>60</v>
      </c>
      <c r="W8" s="20">
        <f xml:space="preserve"> W7</f>
        <v>1413.7235124670169</v>
      </c>
      <c r="X8" s="20" t="s">
        <v>31</v>
      </c>
      <c r="AB8" s="8">
        <v>4</v>
      </c>
      <c r="AC8" s="8">
        <f t="shared" si="7"/>
        <v>6.25E-2</v>
      </c>
      <c r="AD8" s="8">
        <f t="shared" si="0"/>
        <v>4.1030585902368882E-2</v>
      </c>
      <c r="AE8" s="8">
        <f t="shared" si="8"/>
        <v>0.125</v>
      </c>
      <c r="AF8" s="8">
        <f t="shared" si="1"/>
        <v>-2.4569897834153309E-2</v>
      </c>
      <c r="AG8" s="8">
        <f t="shared" si="2"/>
        <v>9.375E-2</v>
      </c>
      <c r="AH8" s="8">
        <f t="shared" si="3"/>
        <v>8.4217581800616337E-3</v>
      </c>
      <c r="AI8" s="8">
        <f t="shared" si="4"/>
        <v>3.4554967245599666E-4</v>
      </c>
      <c r="AJ8" s="8">
        <f t="shared" si="5"/>
        <v>-2.0692173806805924E-4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-57.282719849756745</v>
      </c>
      <c r="AP8" s="8">
        <f t="shared" si="14"/>
        <v>1000</v>
      </c>
      <c r="AQ8" s="8">
        <v>49.747772923566231</v>
      </c>
      <c r="AR8" s="8">
        <f t="shared" si="9"/>
        <v>875</v>
      </c>
      <c r="AS8" s="8">
        <v>-1.4523282816455776</v>
      </c>
      <c r="AT8" s="8">
        <f t="shared" si="10"/>
        <v>83.193314087382234</v>
      </c>
      <c r="AU8" s="8">
        <f t="shared" si="11"/>
        <v>-72.250097565777338</v>
      </c>
      <c r="AV8" s="8">
        <f t="shared" si="12"/>
        <v>250</v>
      </c>
    </row>
    <row r="9" spans="2:48" x14ac:dyDescent="0.2">
      <c r="B9" s="39" t="s">
        <v>6</v>
      </c>
      <c r="C9" s="40"/>
      <c r="D9" s="40"/>
      <c r="F9"/>
      <c r="G9" s="24"/>
      <c r="J9" s="20" t="s">
        <v>153</v>
      </c>
      <c r="K9" s="20">
        <f xml:space="preserve"> (G6*G8 + G18*G19 + G23*G24 + G34*G35 + G40*G42)/3600</f>
        <v>36.456946576131848</v>
      </c>
      <c r="L9" s="20" t="s">
        <v>163</v>
      </c>
      <c r="AB9" s="8">
        <v>5</v>
      </c>
      <c r="AC9" s="8">
        <f t="shared" si="7"/>
        <v>9.375E-2</v>
      </c>
      <c r="AD9" s="8">
        <f t="shared" si="0"/>
        <v>8.4217581800616337E-3</v>
      </c>
      <c r="AE9" s="8">
        <f t="shared" si="8"/>
        <v>0.125</v>
      </c>
      <c r="AF9" s="8">
        <f t="shared" si="1"/>
        <v>-2.4569897834153309E-2</v>
      </c>
      <c r="AG9" s="8">
        <f t="shared" si="2"/>
        <v>0.109375</v>
      </c>
      <c r="AH9" s="8">
        <f t="shared" si="3"/>
        <v>-8.0336437017142492E-3</v>
      </c>
      <c r="AI9" s="8">
        <f t="shared" si="4"/>
        <v>-6.7657404560612596E-5</v>
      </c>
      <c r="AJ9" s="8">
        <f t="shared" si="5"/>
        <v>1.9738580498710831E-4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-1.4523282816455776</v>
      </c>
      <c r="AP9" s="8">
        <f t="shared" si="14"/>
        <v>1000</v>
      </c>
      <c r="AQ9" s="8">
        <v>49.747772923566231</v>
      </c>
      <c r="AR9" s="8">
        <f t="shared" si="9"/>
        <v>937.5</v>
      </c>
      <c r="AS9" s="8">
        <v>24.719582373436992</v>
      </c>
      <c r="AT9" s="8">
        <f t="shared" si="10"/>
        <v>-35.900948591410057</v>
      </c>
      <c r="AU9" s="8">
        <f t="shared" si="11"/>
        <v>1229.744170679134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3" t="s">
        <v>124</v>
      </c>
      <c r="G10" s="44"/>
      <c r="H10" s="44"/>
      <c r="J10" s="20" t="s">
        <v>35</v>
      </c>
      <c r="K10" s="20">
        <f xml:space="preserve"> (G8 + G19 + G24 + G35 + G42)/60</f>
        <v>19.344818515808399</v>
      </c>
      <c r="L10" s="20" t="s">
        <v>164</v>
      </c>
      <c r="AB10" s="8">
        <v>6</v>
      </c>
      <c r="AC10" s="8">
        <f t="shared" si="7"/>
        <v>9.375E-2</v>
      </c>
      <c r="AD10" s="8">
        <f t="shared" si="0"/>
        <v>8.4217581800616337E-3</v>
      </c>
      <c r="AE10" s="8">
        <f t="shared" si="8"/>
        <v>0.109375</v>
      </c>
      <c r="AF10" s="8">
        <f t="shared" si="1"/>
        <v>-8.0336437017142492E-3</v>
      </c>
      <c r="AG10" s="8">
        <f t="shared" si="2"/>
        <v>0.1015625</v>
      </c>
      <c r="AH10" s="8">
        <f t="shared" si="3"/>
        <v>2.0510801680151403E-4</v>
      </c>
      <c r="AI10" s="8">
        <f t="shared" si="4"/>
        <v>1.7273701182943698E-6</v>
      </c>
      <c r="AJ10" s="8">
        <f t="shared" si="5"/>
        <v>-1.6477647273485835E-6</v>
      </c>
      <c r="AK10" s="8">
        <f t="shared" si="6"/>
        <v>1.5625E-2</v>
      </c>
      <c r="AM10" s="8">
        <v>6</v>
      </c>
      <c r="AN10" s="8">
        <f t="shared" si="13"/>
        <v>875</v>
      </c>
      <c r="AO10" s="8">
        <v>-1.4523282816455776</v>
      </c>
      <c r="AP10" s="8">
        <f t="shared" si="14"/>
        <v>937.5</v>
      </c>
      <c r="AQ10" s="8">
        <v>24.719582373436992</v>
      </c>
      <c r="AR10" s="8">
        <f t="shared" si="9"/>
        <v>906.25</v>
      </c>
      <c r="AS10" s="8">
        <v>11.777479138262777</v>
      </c>
      <c r="AT10" s="8">
        <f t="shared" si="10"/>
        <v>-17.104766038989816</v>
      </c>
      <c r="AU10" s="8">
        <f t="shared" si="11"/>
        <v>291.13436570972243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30</v>
      </c>
      <c r="H11" t="s">
        <v>16</v>
      </c>
      <c r="N11" s="39" t="s">
        <v>101</v>
      </c>
      <c r="O11" s="42"/>
      <c r="P11" s="42"/>
      <c r="R11" s="39" t="s">
        <v>101</v>
      </c>
      <c r="S11" s="42"/>
      <c r="T11" s="42"/>
      <c r="V11" s="39" t="s">
        <v>101</v>
      </c>
      <c r="W11" s="42"/>
      <c r="X11" s="42"/>
      <c r="AB11" s="8">
        <v>7</v>
      </c>
      <c r="AC11" s="8">
        <f t="shared" si="7"/>
        <v>0.1015625</v>
      </c>
      <c r="AD11" s="8">
        <f t="shared" si="0"/>
        <v>2.0510801680151403E-4</v>
      </c>
      <c r="AE11" s="8">
        <f t="shared" si="8"/>
        <v>0.109375</v>
      </c>
      <c r="AF11" s="8">
        <f t="shared" si="1"/>
        <v>-8.0336437017142492E-3</v>
      </c>
      <c r="AG11" s="8">
        <f t="shared" si="2"/>
        <v>0.10546875</v>
      </c>
      <c r="AH11" s="8">
        <f t="shared" si="3"/>
        <v>-3.9116230391303686E-3</v>
      </c>
      <c r="AI11" s="8">
        <f t="shared" si="4"/>
        <v>-8.0230524403114095E-7</v>
      </c>
      <c r="AJ11" s="8">
        <f t="shared" si="5"/>
        <v>3.1424585791790037E-5</v>
      </c>
      <c r="AK11" s="8">
        <f t="shared" si="6"/>
        <v>7.8125E-3</v>
      </c>
      <c r="AM11" s="8">
        <v>7</v>
      </c>
      <c r="AN11" s="8">
        <f t="shared" si="13"/>
        <v>875</v>
      </c>
      <c r="AO11" s="8">
        <v>-1.4523282816455776</v>
      </c>
      <c r="AP11" s="8">
        <f t="shared" si="14"/>
        <v>906.25</v>
      </c>
      <c r="AQ11" s="8">
        <v>11.777479138262777</v>
      </c>
      <c r="AR11" s="8">
        <f t="shared" si="9"/>
        <v>890.625</v>
      </c>
      <c r="AS11" s="8">
        <v>5.1986486705494599</v>
      </c>
      <c r="AT11" s="8">
        <f t="shared" si="10"/>
        <v>-7.5501444905781634</v>
      </c>
      <c r="AU11" s="8">
        <f t="shared" si="11"/>
        <v>61.226976264553784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9" t="s">
        <v>73</v>
      </c>
      <c r="K12" s="39"/>
      <c r="L12" s="39"/>
      <c r="N12" s="20" t="s">
        <v>102</v>
      </c>
      <c r="O12" s="20">
        <f>SQRT((O8*COS(G16/180*PI()))^2 + (O8*SIN(G16/180*PI())+$C$15*$C$26)^2)</f>
        <v>8846.7003354452827</v>
      </c>
      <c r="P12" s="20" t="s">
        <v>31</v>
      </c>
      <c r="R12" s="20" t="s">
        <v>102</v>
      </c>
      <c r="S12" s="20">
        <f xml:space="preserve"> SQRT( ($C$15*$C$26)^2 + S8^2)</f>
        <v>8729.3736442299269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8658.2145190461251</v>
      </c>
      <c r="X12" s="20" t="s">
        <v>31</v>
      </c>
      <c r="AB12" s="8">
        <v>8</v>
      </c>
      <c r="AC12" s="8">
        <f t="shared" si="7"/>
        <v>0.1015625</v>
      </c>
      <c r="AD12" s="8">
        <f t="shared" si="0"/>
        <v>2.0510801680151403E-4</v>
      </c>
      <c r="AE12" s="8">
        <f t="shared" si="8"/>
        <v>0.10546875</v>
      </c>
      <c r="AF12" s="8">
        <f t="shared" si="1"/>
        <v>-3.9116230391303686E-3</v>
      </c>
      <c r="AG12" s="8">
        <f t="shared" si="2"/>
        <v>0.103515625</v>
      </c>
      <c r="AH12" s="8">
        <f t="shared" si="3"/>
        <v>-1.8525815402952728E-3</v>
      </c>
      <c r="AI12" s="8">
        <f t="shared" si="4"/>
        <v>-3.7997932569305753E-7</v>
      </c>
      <c r="AJ12" s="8">
        <f t="shared" si="5"/>
        <v>7.2466006348866146E-6</v>
      </c>
      <c r="AK12" s="8">
        <f t="shared" si="6"/>
        <v>3.90625E-3</v>
      </c>
      <c r="AM12" s="8">
        <v>8</v>
      </c>
      <c r="AN12" s="8">
        <f t="shared" si="13"/>
        <v>875</v>
      </c>
      <c r="AO12" s="8">
        <v>-1.4523282816455776</v>
      </c>
      <c r="AP12" s="8">
        <f t="shared" si="14"/>
        <v>890.625</v>
      </c>
      <c r="AQ12" s="8">
        <v>5.1986486705494599</v>
      </c>
      <c r="AR12" s="8">
        <f t="shared" si="9"/>
        <v>882.8125</v>
      </c>
      <c r="AS12" s="8">
        <v>1.8821912736588615</v>
      </c>
      <c r="AT12" s="8">
        <f t="shared" si="10"/>
        <v>-2.7335596182012756</v>
      </c>
      <c r="AU12" s="8">
        <f t="shared" si="11"/>
        <v>9.7848511625264347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878.3974792513618</v>
      </c>
      <c r="L13" s="20" t="s">
        <v>12</v>
      </c>
      <c r="N13" s="20" t="s">
        <v>156</v>
      </c>
      <c r="O13" s="20">
        <f>ACOS(O8*COS(G16/180*PI())/O12) /PI() *180</f>
        <v>80.837878430275694</v>
      </c>
      <c r="P13" s="20" t="s">
        <v>62</v>
      </c>
      <c r="R13" s="20" t="s">
        <v>103</v>
      </c>
      <c r="S13" s="20">
        <f>$C$15*$C$26/S12</f>
        <v>0.98679893781316941</v>
      </c>
      <c r="V13" s="20" t="s">
        <v>156</v>
      </c>
      <c r="W13" s="20">
        <f xml:space="preserve"> ACOS(W8*COS(G32/180*PI())/W12) /PI() * 180</f>
        <v>80.614843805165762</v>
      </c>
      <c r="X13" s="20" t="s">
        <v>62</v>
      </c>
      <c r="AB13" s="8">
        <v>9</v>
      </c>
      <c r="AC13" s="8">
        <f t="shared" si="7"/>
        <v>0.1015625</v>
      </c>
      <c r="AD13" s="8">
        <f t="shared" si="0"/>
        <v>2.0510801680151403E-4</v>
      </c>
      <c r="AE13" s="8">
        <f t="shared" si="8"/>
        <v>0.103515625</v>
      </c>
      <c r="AF13" s="8">
        <f t="shared" si="1"/>
        <v>-1.8525815402952728E-3</v>
      </c>
      <c r="AG13" s="8">
        <f t="shared" si="2"/>
        <v>0.1025390625</v>
      </c>
      <c r="AH13" s="8">
        <f t="shared" si="3"/>
        <v>-8.2356592479095048E-4</v>
      </c>
      <c r="AI13" s="8">
        <f t="shared" si="4"/>
        <v>-1.6891997353917672E-7</v>
      </c>
      <c r="AJ13" s="8">
        <f t="shared" si="5"/>
        <v>1.5257230294839197E-6</v>
      </c>
      <c r="AK13" s="8">
        <f t="shared" si="6"/>
        <v>1.953125E-3</v>
      </c>
      <c r="AM13" s="8">
        <v>9</v>
      </c>
      <c r="AN13" s="8">
        <f t="shared" si="13"/>
        <v>875</v>
      </c>
      <c r="AO13" s="8">
        <v>-1.4523282816455776</v>
      </c>
      <c r="AP13" s="8">
        <f t="shared" si="14"/>
        <v>882.8125</v>
      </c>
      <c r="AQ13" s="8">
        <v>1.8821912736588615</v>
      </c>
      <c r="AR13" s="8">
        <f t="shared" si="9"/>
        <v>878.90625</v>
      </c>
      <c r="AS13" s="8">
        <v>0.21719095345900996</v>
      </c>
      <c r="AT13" s="8">
        <f t="shared" si="10"/>
        <v>-0.31543256422608856</v>
      </c>
      <c r="AU13" s="8">
        <f t="shared" si="11"/>
        <v>0.40879491731819645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29.892279939810546</v>
      </c>
      <c r="H14" t="s">
        <v>16</v>
      </c>
      <c r="J14" s="27" t="s">
        <v>74</v>
      </c>
      <c r="K14" s="20">
        <f xml:space="preserve"> K9 * 1000 / ($C$10 * $C$11 * $C$12)</f>
        <v>214.45262691842265</v>
      </c>
      <c r="L14" s="20" t="s">
        <v>12</v>
      </c>
      <c r="AB14" s="8">
        <v>10</v>
      </c>
      <c r="AC14" s="8">
        <f t="shared" si="7"/>
        <v>0.1015625</v>
      </c>
      <c r="AD14" s="8">
        <f t="shared" si="0"/>
        <v>2.0510801680151403E-4</v>
      </c>
      <c r="AE14" s="8">
        <f t="shared" si="8"/>
        <v>0.1025390625</v>
      </c>
      <c r="AF14" s="8">
        <f t="shared" si="1"/>
        <v>-8.2356592479095048E-4</v>
      </c>
      <c r="AG14" s="8">
        <f t="shared" si="2"/>
        <v>0.10205078125</v>
      </c>
      <c r="AH14" s="8">
        <f t="shared" si="3"/>
        <v>-3.0918601439960947E-4</v>
      </c>
      <c r="AI14" s="8">
        <f t="shared" si="4"/>
        <v>-6.3416530236268254E-8</v>
      </c>
      <c r="AJ14" s="8">
        <f t="shared" si="5"/>
        <v>2.546350658814425E-7</v>
      </c>
      <c r="AK14" s="8">
        <f t="shared" si="6"/>
        <v>9.765625E-4</v>
      </c>
      <c r="AM14" s="8">
        <v>10</v>
      </c>
      <c r="AN14" s="8">
        <f t="shared" si="13"/>
        <v>875</v>
      </c>
      <c r="AO14" s="8">
        <v>-1.4523282816455776</v>
      </c>
      <c r="AP14" s="8">
        <f t="shared" si="14"/>
        <v>878.90625</v>
      </c>
      <c r="AQ14" s="8">
        <v>0.21719095345900996</v>
      </c>
      <c r="AR14" s="8">
        <f t="shared" si="9"/>
        <v>876.953125</v>
      </c>
      <c r="AS14" s="8">
        <v>-0.61700269665567475</v>
      </c>
      <c r="AT14" s="8">
        <f t="shared" si="10"/>
        <v>0.89609046620462363</v>
      </c>
      <c r="AU14" s="8">
        <f t="shared" si="11"/>
        <v>-0.13400740397342631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878.3974792513618</v>
      </c>
      <c r="D15" s="26" t="s">
        <v>12</v>
      </c>
      <c r="F15" t="s">
        <v>128</v>
      </c>
      <c r="G15" s="24">
        <f>$G$14*($G$13/$G$12)</f>
        <v>3587.0735927772657</v>
      </c>
      <c r="H15" t="s">
        <v>14</v>
      </c>
      <c r="J15" s="28" t="s">
        <v>75</v>
      </c>
      <c r="K15" s="20">
        <f xml:space="preserve"> $C$27 * ($C$5 * 0.144 * (2*$C$16*3.28084 * (K5*0.00134102) * 4^0.5)^0.782 * 0.453592)</f>
        <v>39.910894406233155</v>
      </c>
      <c r="L15" s="20" t="s">
        <v>12</v>
      </c>
      <c r="AB15" s="8">
        <v>11</v>
      </c>
      <c r="AC15" s="8">
        <f t="shared" si="7"/>
        <v>0.1015625</v>
      </c>
      <c r="AD15" s="8">
        <f t="shared" si="0"/>
        <v>2.0510801680151403E-4</v>
      </c>
      <c r="AE15" s="8">
        <f t="shared" si="8"/>
        <v>0.10205078125</v>
      </c>
      <c r="AF15" s="8">
        <f t="shared" si="1"/>
        <v>-3.0918601439960947E-4</v>
      </c>
      <c r="AG15" s="8">
        <f t="shared" si="2"/>
        <v>0.101806640625</v>
      </c>
      <c r="AH15" s="8">
        <f t="shared" si="3"/>
        <v>-5.2028235118128929E-5</v>
      </c>
      <c r="AI15" s="8">
        <f t="shared" si="4"/>
        <v>-1.0671408122762311E-8</v>
      </c>
      <c r="AJ15" s="8">
        <f t="shared" si="5"/>
        <v>1.6086402652420078E-8</v>
      </c>
      <c r="AK15" s="8">
        <f t="shared" si="6"/>
        <v>4.8828125E-4</v>
      </c>
      <c r="AM15" s="8">
        <v>11</v>
      </c>
      <c r="AN15" s="8">
        <f t="shared" si="13"/>
        <v>876.953125</v>
      </c>
      <c r="AO15" s="8">
        <v>-0.61700269665567475</v>
      </c>
      <c r="AP15" s="8">
        <f t="shared" si="14"/>
        <v>878.90625</v>
      </c>
      <c r="AQ15" s="8">
        <v>0.21719095345900996</v>
      </c>
      <c r="AR15" s="8">
        <f t="shared" si="9"/>
        <v>877.9296875</v>
      </c>
      <c r="AS15" s="8">
        <v>-0.19976417243691458</v>
      </c>
      <c r="AT15" s="8">
        <f t="shared" si="10"/>
        <v>0.12325503308876551</v>
      </c>
      <c r="AU15" s="8">
        <f t="shared" si="11"/>
        <v>-4.3386971078523552E-2</v>
      </c>
      <c r="AV15" s="8">
        <f t="shared" si="12"/>
        <v>1.953125</v>
      </c>
    </row>
    <row r="16" spans="2:48" x14ac:dyDescent="0.2">
      <c r="B16" s="20" t="s">
        <v>13</v>
      </c>
      <c r="C16" s="33">
        <v>1</v>
      </c>
      <c r="D16" s="20" t="s">
        <v>14</v>
      </c>
      <c r="F16" t="s">
        <v>152</v>
      </c>
      <c r="G16" s="24">
        <f>ATAN(G12/G14)/PI()*180</f>
        <v>4.8568571798064104</v>
      </c>
      <c r="H16" t="s">
        <v>62</v>
      </c>
      <c r="J16" s="29" t="s">
        <v>76</v>
      </c>
      <c r="K16" s="20">
        <f xml:space="preserve"> 0.2138 * (K4/1000)</f>
        <v>34.324515362018126</v>
      </c>
      <c r="L16" s="20" t="s">
        <v>12</v>
      </c>
      <c r="N16" s="39" t="s">
        <v>40</v>
      </c>
      <c r="O16" s="42"/>
      <c r="P16" s="42"/>
      <c r="R16" s="39" t="s">
        <v>40</v>
      </c>
      <c r="S16" s="42"/>
      <c r="T16" s="42"/>
      <c r="V16" s="39" t="s">
        <v>40</v>
      </c>
      <c r="W16" s="42"/>
      <c r="X16" s="42"/>
      <c r="AB16" s="8">
        <v>12</v>
      </c>
      <c r="AC16" s="8">
        <f t="shared" si="7"/>
        <v>0.1015625</v>
      </c>
      <c r="AD16" s="8">
        <f t="shared" si="0"/>
        <v>2.0510801680151403E-4</v>
      </c>
      <c r="AE16" s="8">
        <f t="shared" si="8"/>
        <v>0.101806640625</v>
      </c>
      <c r="AF16" s="8">
        <f t="shared" si="1"/>
        <v>-5.2028235118128929E-5</v>
      </c>
      <c r="AG16" s="8">
        <f t="shared" si="2"/>
        <v>0.1016845703125</v>
      </c>
      <c r="AH16" s="8">
        <f t="shared" si="3"/>
        <v>7.6542585358885251E-5</v>
      </c>
      <c r="AI16" s="8">
        <f t="shared" si="4"/>
        <v>1.5699497883821557E-8</v>
      </c>
      <c r="AJ16" s="8">
        <f t="shared" si="5"/>
        <v>-3.982375627601535E-9</v>
      </c>
      <c r="AK16" s="8">
        <f t="shared" si="6"/>
        <v>2.44140625E-4</v>
      </c>
      <c r="AM16" s="8">
        <v>12</v>
      </c>
      <c r="AN16" s="8">
        <f t="shared" si="13"/>
        <v>877.9296875</v>
      </c>
      <c r="AO16" s="8">
        <v>-0.19976417243691458</v>
      </c>
      <c r="AP16" s="8">
        <f t="shared" si="14"/>
        <v>878.90625</v>
      </c>
      <c r="AQ16" s="8">
        <v>0.21719095345900996</v>
      </c>
      <c r="AR16" s="8">
        <f t="shared" si="9"/>
        <v>878.41796875</v>
      </c>
      <c r="AS16" s="8">
        <v>8.7482305624462242E-3</v>
      </c>
      <c r="AT16" s="8">
        <f t="shared" si="10"/>
        <v>-1.7475830385943938E-3</v>
      </c>
      <c r="AU16" s="8">
        <f t="shared" si="11"/>
        <v>1.9000365369369464E-3</v>
      </c>
      <c r="AV16" s="8">
        <f t="shared" si="12"/>
        <v>0.9765625</v>
      </c>
    </row>
    <row r="17" spans="2:48" x14ac:dyDescent="0.2">
      <c r="B17" s="20" t="s">
        <v>15</v>
      </c>
      <c r="C17" s="33">
        <v>30</v>
      </c>
      <c r="D17" s="20" t="s">
        <v>16</v>
      </c>
      <c r="F17" t="s">
        <v>155</v>
      </c>
      <c r="G17" s="20">
        <f xml:space="preserve"> 1/1000 * (O22 + O18 * (O27 * O24 + $G$11 * SIN(O17/180*PI())))</f>
        <v>18.508209621448398</v>
      </c>
      <c r="H17" t="s">
        <v>162</v>
      </c>
      <c r="J17" s="29" t="s">
        <v>107</v>
      </c>
      <c r="K17" s="20">
        <f xml:space="preserve"> 2.20462 * (49.9/398 * (K5/1000 - 2) + 0.1) * 0.453592 * $C$5</f>
        <v>19.073313980096984</v>
      </c>
      <c r="L17" s="20" t="s">
        <v>12</v>
      </c>
      <c r="N17" s="20" t="s">
        <v>41</v>
      </c>
      <c r="O17" s="20">
        <f xml:space="preserve"> 90 + G16 - O13</f>
        <v>14.018978749530717</v>
      </c>
      <c r="P17" s="20" t="s">
        <v>62</v>
      </c>
      <c r="R17" s="20" t="s">
        <v>41</v>
      </c>
      <c r="S17" s="20">
        <f xml:space="preserve"> ACOS(S13)/PI()*180</f>
        <v>9.3201090011339485</v>
      </c>
      <c r="T17" s="20" t="s">
        <v>62</v>
      </c>
      <c r="V17" s="20" t="s">
        <v>41</v>
      </c>
      <c r="W17" s="20">
        <f>90-G32-W13</f>
        <v>6.4732772600655295</v>
      </c>
      <c r="X17" s="20" t="s">
        <v>62</v>
      </c>
      <c r="AB17" s="8">
        <v>13</v>
      </c>
      <c r="AC17" s="8">
        <f t="shared" si="7"/>
        <v>0.1016845703125</v>
      </c>
      <c r="AD17" s="8">
        <f t="shared" si="0"/>
        <v>7.6542585358885251E-5</v>
      </c>
      <c r="AE17" s="8">
        <f t="shared" si="8"/>
        <v>0.101806640625</v>
      </c>
      <c r="AF17" s="8">
        <f t="shared" si="1"/>
        <v>-5.2028235118128929E-5</v>
      </c>
      <c r="AG17" s="8">
        <f t="shared" si="2"/>
        <v>0.10174560546875</v>
      </c>
      <c r="AH17" s="8">
        <f t="shared" si="3"/>
        <v>1.2257848300084584E-5</v>
      </c>
      <c r="AI17" s="8">
        <f t="shared" si="4"/>
        <v>9.3824739982549068E-10</v>
      </c>
      <c r="AJ17" s="8">
        <f t="shared" si="5"/>
        <v>-6.3775421339915773E-10</v>
      </c>
      <c r="AK17" s="8">
        <f t="shared" si="6"/>
        <v>1.220703125E-4</v>
      </c>
      <c r="AM17" s="8">
        <v>13</v>
      </c>
      <c r="AN17" s="8">
        <f t="shared" si="13"/>
        <v>877.9296875</v>
      </c>
      <c r="AO17" s="8">
        <v>-0.19976417243691458</v>
      </c>
      <c r="AP17" s="8">
        <f t="shared" si="14"/>
        <v>878.41796875</v>
      </c>
      <c r="AQ17" s="8">
        <v>8.7482305624462242E-3</v>
      </c>
      <c r="AR17" s="8">
        <f t="shared" si="9"/>
        <v>878.173828125</v>
      </c>
      <c r="AS17" s="8">
        <v>-9.5498594177627183E-2</v>
      </c>
      <c r="AT17" s="8">
        <f t="shared" si="10"/>
        <v>1.9077197634782442E-2</v>
      </c>
      <c r="AU17" s="8">
        <f t="shared" si="11"/>
        <v>-8.3544372025536712E-4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129.55746735013878</v>
      </c>
      <c r="H18" t="s">
        <v>162</v>
      </c>
      <c r="J18" s="30" t="s">
        <v>84</v>
      </c>
      <c r="K18" s="20">
        <f xml:space="preserve"> $C$27 * (14.86 * ($C$15*2.20462)^0.144 * (6.7/(PI()*1.8))^0.778 * (6.7*3.28084)^0.383 * 4^0.455 * 0.453592)</f>
        <v>112.29322740776122</v>
      </c>
      <c r="L18" s="20" t="s">
        <v>12</v>
      </c>
      <c r="N18" s="20" t="s">
        <v>30</v>
      </c>
      <c r="O18" s="20">
        <f xml:space="preserve"> O12 / $C$5</f>
        <v>1263.8143336350404</v>
      </c>
      <c r="P18" s="20" t="s">
        <v>31</v>
      </c>
      <c r="R18" s="20" t="s">
        <v>30</v>
      </c>
      <c r="S18" s="20">
        <f xml:space="preserve"> S12 / $C$5</f>
        <v>1247.0533777471323</v>
      </c>
      <c r="T18" s="20" t="s">
        <v>31</v>
      </c>
      <c r="V18" s="20" t="s">
        <v>30</v>
      </c>
      <c r="W18" s="20">
        <f xml:space="preserve"> W12 / $C$5</f>
        <v>1236.8877884351607</v>
      </c>
      <c r="X18" s="20" t="s">
        <v>31</v>
      </c>
      <c r="AB18" s="8">
        <v>14</v>
      </c>
      <c r="AC18" s="8">
        <f t="shared" si="7"/>
        <v>0.10174560546875</v>
      </c>
      <c r="AD18" s="8">
        <f t="shared" si="0"/>
        <v>1.2257848300084584E-5</v>
      </c>
      <c r="AE18" s="8">
        <f t="shared" si="8"/>
        <v>0.101806640625</v>
      </c>
      <c r="AF18" s="8">
        <f t="shared" si="1"/>
        <v>-5.2028235118128929E-5</v>
      </c>
      <c r="AG18" s="8">
        <f t="shared" si="2"/>
        <v>0.101776123046875</v>
      </c>
      <c r="AH18" s="8">
        <f t="shared" si="3"/>
        <v>-1.9885025170293669E-5</v>
      </c>
      <c r="AI18" s="8">
        <f t="shared" si="4"/>
        <v>-2.4374762198082342E-10</v>
      </c>
      <c r="AJ18" s="8">
        <f t="shared" si="5"/>
        <v>1.0345827648899508E-9</v>
      </c>
      <c r="AK18" s="8">
        <f t="shared" si="6"/>
        <v>6.103515625E-5</v>
      </c>
      <c r="AM18" s="8">
        <v>14</v>
      </c>
      <c r="AN18" s="8">
        <f t="shared" si="13"/>
        <v>878.173828125</v>
      </c>
      <c r="AO18" s="8">
        <v>-9.5498594177627183E-2</v>
      </c>
      <c r="AP18" s="8">
        <f t="shared" si="14"/>
        <v>878.41796875</v>
      </c>
      <c r="AQ18" s="8">
        <v>8.7482305624462242E-3</v>
      </c>
      <c r="AR18" s="8">
        <f t="shared" si="9"/>
        <v>878.2958984375</v>
      </c>
      <c r="AS18" s="8">
        <v>-4.33729130832603E-2</v>
      </c>
      <c r="AT18" s="8">
        <f t="shared" si="10"/>
        <v>4.142052224839772E-3</v>
      </c>
      <c r="AU18" s="8">
        <f t="shared" si="11"/>
        <v>-3.7943624381730145E-4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(0.7*3.28084)^0.501 * ($C$15*2.20462*5.7)^0.684 * 0.453592)</f>
        <v>17.313909477599481</v>
      </c>
      <c r="L19" s="20" t="s">
        <v>12</v>
      </c>
      <c r="N19" s="20" t="s">
        <v>42</v>
      </c>
      <c r="O19" s="20">
        <f xml:space="preserve"> $G$11 * COS(O17/180*PI()) / ($C$18 * $C$16)</f>
        <v>97.021553843449738</v>
      </c>
      <c r="P19" s="20" t="s">
        <v>43</v>
      </c>
      <c r="R19" s="20" t="s">
        <v>42</v>
      </c>
      <c r="S19" s="20">
        <f xml:space="preserve"> $C$17 * COS(S17/180*PI()) / ($C$18 * $C$16)</f>
        <v>98.679893781316949</v>
      </c>
      <c r="T19" s="20" t="s">
        <v>43</v>
      </c>
      <c r="V19" s="20" t="s">
        <v>42</v>
      </c>
      <c r="W19" s="20">
        <f xml:space="preserve"> $G$27 * COS(W17/180*PI()) / ($C$18 * $C$16)</f>
        <v>99.362454556536534</v>
      </c>
      <c r="X19" s="20" t="s">
        <v>43</v>
      </c>
      <c r="AB19" s="8">
        <v>15</v>
      </c>
      <c r="AC19" s="8">
        <f t="shared" si="7"/>
        <v>0.10174560546875</v>
      </c>
      <c r="AD19" s="8">
        <f t="shared" si="0"/>
        <v>1.2257848300084584E-5</v>
      </c>
      <c r="AE19" s="8">
        <f t="shared" si="8"/>
        <v>0.101776123046875</v>
      </c>
      <c r="AF19" s="8">
        <f t="shared" si="1"/>
        <v>-1.9885025170293669E-5</v>
      </c>
      <c r="AG19" s="8">
        <f t="shared" si="2"/>
        <v>0.1017608642578125</v>
      </c>
      <c r="AH19" s="8">
        <f t="shared" si="3"/>
        <v>-3.8135463684002557E-6</v>
      </c>
      <c r="AI19" s="8">
        <f t="shared" si="4"/>
        <v>-4.6745872869188814E-11</v>
      </c>
      <c r="AJ19" s="8">
        <f t="shared" si="5"/>
        <v>7.58324655237211E-11</v>
      </c>
      <c r="AK19" s="8">
        <f t="shared" si="6"/>
        <v>3.0517578125E-5</v>
      </c>
      <c r="AM19" s="8">
        <v>15</v>
      </c>
      <c r="AN19" s="8">
        <f t="shared" si="13"/>
        <v>878.2958984375</v>
      </c>
      <c r="AO19" s="8">
        <v>-4.33729130832603E-2</v>
      </c>
      <c r="AP19" s="8">
        <f t="shared" si="14"/>
        <v>878.41796875</v>
      </c>
      <c r="AQ19" s="8">
        <v>8.7482305624462242E-3</v>
      </c>
      <c r="AR19" s="8">
        <f t="shared" si="9"/>
        <v>878.35693359375</v>
      </c>
      <c r="AS19" s="8">
        <v>-1.7311790606242994E-2</v>
      </c>
      <c r="AT19" s="8">
        <f t="shared" si="10"/>
        <v>7.5086278928017955E-4</v>
      </c>
      <c r="AU19" s="8">
        <f t="shared" si="11"/>
        <v>-1.514475356722044E-4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86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3.4886778166318071E-2</v>
      </c>
      <c r="R20" s="20" t="s">
        <v>45</v>
      </c>
      <c r="S20" s="20">
        <f xml:space="preserve"> S18 / ($C$25 * PI() * $C$16^2 * S19^2 * $C$16^2)</f>
        <v>3.3276813670614074E-2</v>
      </c>
      <c r="V20" s="20" t="s">
        <v>45</v>
      </c>
      <c r="W20" s="20">
        <f xml:space="preserve"> W18 / ($C$25 * PI() * $C$16^2 * W19^2 * $C$16^2)</f>
        <v>3.2553652086949485E-2</v>
      </c>
      <c r="AB20" s="8">
        <v>16</v>
      </c>
      <c r="AC20" s="8">
        <f t="shared" si="7"/>
        <v>0.10174560546875</v>
      </c>
      <c r="AD20" s="8">
        <f t="shared" si="0"/>
        <v>1.2257848300084584E-5</v>
      </c>
      <c r="AE20" s="8">
        <f t="shared" si="8"/>
        <v>0.1017608642578125</v>
      </c>
      <c r="AF20" s="8">
        <f t="shared" si="1"/>
        <v>-3.8135463684002557E-6</v>
      </c>
      <c r="AG20" s="8">
        <f t="shared" si="2"/>
        <v>0.10175323486328125</v>
      </c>
      <c r="AH20" s="8">
        <f t="shared" si="3"/>
        <v>4.2221614834081489E-6</v>
      </c>
      <c r="AI20" s="8">
        <f t="shared" si="4"/>
        <v>5.1754614962077185E-11</v>
      </c>
      <c r="AJ20" s="8">
        <f t="shared" si="5"/>
        <v>-1.6101408591850584E-11</v>
      </c>
      <c r="AK20" s="8">
        <f t="shared" si="6"/>
        <v>1.52587890625E-5</v>
      </c>
      <c r="AM20" s="8">
        <v>16</v>
      </c>
      <c r="AN20" s="8">
        <f t="shared" si="13"/>
        <v>878.35693359375</v>
      </c>
      <c r="AO20" s="8">
        <v>-1.7311790606242994E-2</v>
      </c>
      <c r="AP20" s="8">
        <f t="shared" si="14"/>
        <v>878.41796875</v>
      </c>
      <c r="AQ20" s="8">
        <v>8.7482305624462242E-3</v>
      </c>
      <c r="AR20" s="8">
        <f t="shared" si="9"/>
        <v>878.387451171875</v>
      </c>
      <c r="AS20" s="8">
        <v>-4.2819081753577848E-3</v>
      </c>
      <c r="AT20" s="8">
        <f t="shared" si="10"/>
        <v>7.4127497726953975E-5</v>
      </c>
      <c r="AU20" s="8">
        <f t="shared" si="11"/>
        <v>-3.7459119965253316E-5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9" t="s">
        <v>118</v>
      </c>
      <c r="G21" s="40"/>
      <c r="H21" s="40"/>
      <c r="J21" s="30" t="s">
        <v>87</v>
      </c>
      <c r="K21" s="20">
        <f xml:space="preserve"> $C$27 * 0</f>
        <v>0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0.10175323486328125</v>
      </c>
      <c r="AD21" s="8">
        <f t="shared" si="0"/>
        <v>4.2221614834081489E-6</v>
      </c>
      <c r="AE21" s="8">
        <f t="shared" si="8"/>
        <v>0.1017608642578125</v>
      </c>
      <c r="AF21" s="8">
        <f t="shared" si="1"/>
        <v>-3.8135463684002557E-6</v>
      </c>
      <c r="AG21" s="8">
        <f t="shared" si="2"/>
        <v>0.10175704956054688</v>
      </c>
      <c r="AH21" s="8">
        <f t="shared" si="3"/>
        <v>2.0431018676880797E-7</v>
      </c>
      <c r="AI21" s="8">
        <f t="shared" si="4"/>
        <v>8.626306012431862E-13</v>
      </c>
      <c r="AJ21" s="8">
        <f t="shared" si="5"/>
        <v>-7.7914637077936565E-13</v>
      </c>
      <c r="AK21" s="8">
        <f t="shared" si="6"/>
        <v>7.62939453125E-6</v>
      </c>
      <c r="AM21" s="8">
        <v>17</v>
      </c>
      <c r="AN21" s="8">
        <f t="shared" si="13"/>
        <v>878.387451171875</v>
      </c>
      <c r="AO21" s="8">
        <v>-4.2819081753577848E-3</v>
      </c>
      <c r="AP21" s="8">
        <f t="shared" si="14"/>
        <v>878.41796875</v>
      </c>
      <c r="AQ21" s="8">
        <v>8.7482305624462242E-3</v>
      </c>
      <c r="AR21" s="8">
        <f t="shared" si="9"/>
        <v>878.4027099609375</v>
      </c>
      <c r="AS21" s="8">
        <v>2.2340279604691204E-3</v>
      </c>
      <c r="AT21" s="8">
        <f t="shared" si="10"/>
        <v>-9.5659025879106048E-6</v>
      </c>
      <c r="AU21" s="8">
        <f t="shared" si="11"/>
        <v>1.9543791681135364E-5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15.289000656746548</v>
      </c>
      <c r="H22" s="20" t="s">
        <v>162</v>
      </c>
      <c r="J22" s="31" t="s">
        <v>88</v>
      </c>
      <c r="K22" s="20">
        <f xml:space="preserve"> $C$27 * (0.0268 * $C$15)</f>
        <v>18.832841955149199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972.19770198900653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1022.9064872987674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1044.2797270687579</v>
      </c>
      <c r="X22" s="20" t="s">
        <v>29</v>
      </c>
      <c r="AB22" s="8">
        <v>18</v>
      </c>
      <c r="AC22" s="8">
        <f t="shared" si="7"/>
        <v>0.10175704956054688</v>
      </c>
      <c r="AD22" s="8">
        <f t="shared" si="0"/>
        <v>2.0431018676880797E-7</v>
      </c>
      <c r="AE22" s="8">
        <f t="shared" si="8"/>
        <v>0.1017608642578125</v>
      </c>
      <c r="AF22" s="8">
        <f t="shared" si="1"/>
        <v>-3.8135463684002557E-6</v>
      </c>
      <c r="AG22" s="8">
        <f t="shared" si="2"/>
        <v>0.10175895690917969</v>
      </c>
      <c r="AH22" s="8">
        <f t="shared" si="3"/>
        <v>-1.8046174334873655E-6</v>
      </c>
      <c r="AI22" s="8">
        <f t="shared" si="4"/>
        <v>-3.6870172488205055E-13</v>
      </c>
      <c r="AJ22" s="8">
        <f t="shared" si="5"/>
        <v>6.8819922598275329E-12</v>
      </c>
      <c r="AK22" s="8">
        <f t="shared" si="6"/>
        <v>3.814697265625E-6</v>
      </c>
      <c r="AM22" s="8">
        <v>18</v>
      </c>
      <c r="AN22" s="8">
        <f t="shared" si="13"/>
        <v>878.387451171875</v>
      </c>
      <c r="AO22" s="8">
        <v>-4.2819081753577848E-3</v>
      </c>
      <c r="AP22" s="8">
        <f t="shared" si="14"/>
        <v>878.4027099609375</v>
      </c>
      <c r="AQ22" s="8">
        <v>2.2340279604691204E-3</v>
      </c>
      <c r="AR22" s="8">
        <f t="shared" si="9"/>
        <v>878.39508056640625</v>
      </c>
      <c r="AS22" s="8">
        <v>-1.0241973274105476E-3</v>
      </c>
      <c r="AT22" s="8">
        <f t="shared" si="10"/>
        <v>4.3855189094188176E-6</v>
      </c>
      <c r="AU22" s="8">
        <f t="shared" si="11"/>
        <v>-2.2880854664729097E-6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107.02300459722584</v>
      </c>
      <c r="H23" s="20" t="s">
        <v>162</v>
      </c>
      <c r="J23" s="31" t="s">
        <v>89</v>
      </c>
      <c r="K23" s="20">
        <f xml:space="preserve"> $C$27 * (11.5 * ($C$15*2.20462/1000)^0.4 * 0.453592)</f>
        <v>5.4357959177017525</v>
      </c>
      <c r="L23" s="20" t="s">
        <v>12</v>
      </c>
      <c r="N23" s="20" t="s">
        <v>47</v>
      </c>
      <c r="O23" s="34">
        <f>AG69</f>
        <v>0.12836088193580508</v>
      </c>
      <c r="R23" s="20" t="s">
        <v>47</v>
      </c>
      <c r="S23" s="34">
        <f>AG34</f>
        <v>0.10175724374130368</v>
      </c>
      <c r="V23" s="20" t="s">
        <v>47</v>
      </c>
      <c r="W23" s="34">
        <f>AG104</f>
        <v>8.6185777094215155E-2</v>
      </c>
      <c r="AB23" s="8">
        <v>19</v>
      </c>
      <c r="AC23" s="8">
        <f t="shared" si="7"/>
        <v>0.10175704956054688</v>
      </c>
      <c r="AD23" s="8">
        <f t="shared" si="0"/>
        <v>2.0431018676880797E-7</v>
      </c>
      <c r="AE23" s="8">
        <f t="shared" si="8"/>
        <v>0.10175895690917969</v>
      </c>
      <c r="AF23" s="8">
        <f t="shared" si="1"/>
        <v>-1.8046174334873655E-6</v>
      </c>
      <c r="AG23" s="8">
        <f t="shared" si="2"/>
        <v>0.10175800323486328</v>
      </c>
      <c r="AH23" s="8">
        <f t="shared" si="3"/>
        <v>-8.0015345903239332E-7</v>
      </c>
      <c r="AI23" s="8">
        <f t="shared" si="4"/>
        <v>-1.6347950265861601E-13</v>
      </c>
      <c r="AJ23" s="8">
        <f t="shared" si="5"/>
        <v>1.4439708816350755E-12</v>
      </c>
      <c r="AK23" s="8">
        <f t="shared" si="6"/>
        <v>1.9073486328125E-6</v>
      </c>
      <c r="AM23" s="8">
        <v>19</v>
      </c>
      <c r="AN23" s="8">
        <f t="shared" si="13"/>
        <v>878.39508056640625</v>
      </c>
      <c r="AO23" s="8">
        <v>-1.0241973274105476E-3</v>
      </c>
      <c r="AP23" s="8">
        <f t="shared" si="14"/>
        <v>878.4027099609375</v>
      </c>
      <c r="AQ23" s="8">
        <v>2.2340279604691204E-3</v>
      </c>
      <c r="AR23" s="8">
        <f t="shared" si="9"/>
        <v>878.39889526367188</v>
      </c>
      <c r="AS23" s="8">
        <v>6.0564996300627172E-4</v>
      </c>
      <c r="AT23" s="8">
        <f t="shared" si="10"/>
        <v>-6.2030507345732049E-7</v>
      </c>
      <c r="AU23" s="8">
        <f t="shared" si="11"/>
        <v>1.3530389516130996E-6</v>
      </c>
      <c r="AV23" s="8">
        <f t="shared" si="12"/>
        <v>7.62939453125E-3</v>
      </c>
    </row>
    <row r="24" spans="2:48" x14ac:dyDescent="0.2">
      <c r="B24" s="37" t="s">
        <v>97</v>
      </c>
      <c r="C24" s="38"/>
      <c r="D24" s="38"/>
      <c r="F24" s="25" t="s">
        <v>121</v>
      </c>
      <c r="G24" s="20">
        <f xml:space="preserve"> ($C$22-G15-G31)/$C$17</f>
        <v>680.68911094850387</v>
      </c>
      <c r="H24" s="20" t="s">
        <v>22</v>
      </c>
      <c r="J24" s="31" t="s">
        <v>90</v>
      </c>
      <c r="K24" s="20">
        <f xml:space="preserve"> $C$27 * (8 * ($C$15/1000))</f>
        <v>5.6217438672087159</v>
      </c>
      <c r="L24" s="20" t="s">
        <v>12</v>
      </c>
      <c r="N24" s="20" t="s">
        <v>48</v>
      </c>
      <c r="O24" s="20">
        <f xml:space="preserve"> O19 * $C$16 * O23 - $C$17 * SIN(O17/180*PI())</f>
        <v>5.1864736772504223</v>
      </c>
      <c r="P24" s="20" t="s">
        <v>16</v>
      </c>
      <c r="R24" s="20" t="s">
        <v>48</v>
      </c>
      <c r="S24" s="20">
        <f xml:space="preserve"> S19 * $C$16 * S23 - $C$17 * SIN(S17/180*PI())</f>
        <v>5.1828890180017471</v>
      </c>
      <c r="T24" s="20" t="s">
        <v>16</v>
      </c>
      <c r="V24" s="20" t="s">
        <v>48</v>
      </c>
      <c r="W24" s="20">
        <f xml:space="preserve"> W19 * $C$16 * W23 - $C$17 * SIN(W17/180*PI())</f>
        <v>5.1814363671309476</v>
      </c>
      <c r="X24" s="20" t="s">
        <v>16</v>
      </c>
      <c r="AB24" s="8">
        <v>20</v>
      </c>
      <c r="AC24" s="8">
        <f t="shared" si="7"/>
        <v>0.10175704956054688</v>
      </c>
      <c r="AD24" s="8">
        <f t="shared" si="0"/>
        <v>2.0431018676880797E-7</v>
      </c>
      <c r="AE24" s="8">
        <f t="shared" si="8"/>
        <v>0.10175800323486328</v>
      </c>
      <c r="AF24" s="8">
        <f t="shared" si="1"/>
        <v>-8.0015345903239332E-7</v>
      </c>
      <c r="AG24" s="8">
        <f t="shared" si="2"/>
        <v>0.10175752639770508</v>
      </c>
      <c r="AH24" s="8">
        <f t="shared" si="3"/>
        <v>-2.9792159503272408E-7</v>
      </c>
      <c r="AI24" s="8">
        <f t="shared" si="4"/>
        <v>-6.0868416723597034E-14</v>
      </c>
      <c r="AJ24" s="8">
        <f t="shared" si="5"/>
        <v>2.3838299478588206E-13</v>
      </c>
      <c r="AK24" s="8">
        <f t="shared" si="6"/>
        <v>9.5367431640625E-7</v>
      </c>
      <c r="AM24" s="8">
        <v>20</v>
      </c>
      <c r="AN24" s="8">
        <f t="shared" si="13"/>
        <v>878.39508056640625</v>
      </c>
      <c r="AO24" s="8">
        <v>-1.0241973274105476E-3</v>
      </c>
      <c r="AP24" s="8">
        <f t="shared" si="14"/>
        <v>878.39889526367188</v>
      </c>
      <c r="AQ24" s="8">
        <v>6.0564996300627172E-4</v>
      </c>
      <c r="AR24" s="8">
        <f t="shared" si="9"/>
        <v>878.39698791503906</v>
      </c>
      <c r="AS24" s="8">
        <v>-2.0917329345593316E-4</v>
      </c>
      <c r="AT24" s="8">
        <f t="shared" si="10"/>
        <v>2.1423472812322893E-7</v>
      </c>
      <c r="AU24" s="8">
        <f t="shared" si="11"/>
        <v>-1.2668579744348594E-7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11.138609958478254</v>
      </c>
      <c r="L25" s="20" t="s">
        <v>12</v>
      </c>
      <c r="N25" s="20" t="s">
        <v>49</v>
      </c>
      <c r="O25" s="20">
        <f xml:space="preserve"> 1/$C$7 - O22 * SQRT( (2*$C$25*PI()*$C$16^2) / O18^3 )</f>
        <v>1.2733006641089946</v>
      </c>
      <c r="R25" s="20" t="s">
        <v>49</v>
      </c>
      <c r="S25" s="20">
        <f xml:space="preserve"> 1/$C$7 - S22 * SQRT( (2*$C$25*PI()*$C$16^2) / S18^3 )</f>
        <v>1.2688917285740524</v>
      </c>
      <c r="V25" s="20" t="s">
        <v>49</v>
      </c>
      <c r="W25" s="20">
        <f xml:space="preserve"> 1/$C$7 - W22 * SQRT( (2*$C$25*PI()*$C$16^2) / W18^3 )</f>
        <v>1.266732544546475</v>
      </c>
      <c r="AB25" s="8">
        <v>21</v>
      </c>
      <c r="AC25" s="8">
        <f t="shared" si="7"/>
        <v>0.10175704956054688</v>
      </c>
      <c r="AD25" s="8">
        <f t="shared" si="0"/>
        <v>2.0431018676880797E-7</v>
      </c>
      <c r="AE25" s="8">
        <f t="shared" si="8"/>
        <v>0.10175752639770508</v>
      </c>
      <c r="AF25" s="8">
        <f t="shared" si="1"/>
        <v>-2.9792159503272408E-7</v>
      </c>
      <c r="AG25" s="8">
        <f t="shared" si="2"/>
        <v>0.10175728797912598</v>
      </c>
      <c r="AH25" s="8">
        <f t="shared" si="3"/>
        <v>-4.6805693848517294E-8</v>
      </c>
      <c r="AI25" s="8">
        <f t="shared" si="4"/>
        <v>-9.5628800520342148E-15</v>
      </c>
      <c r="AJ25" s="8">
        <f t="shared" si="5"/>
        <v>1.3944426967963634E-14</v>
      </c>
      <c r="AK25" s="8">
        <f t="shared" si="6"/>
        <v>4.76837158203125E-7</v>
      </c>
      <c r="AM25" s="8">
        <v>21</v>
      </c>
      <c r="AN25" s="8">
        <f t="shared" si="13"/>
        <v>878.39698791503906</v>
      </c>
      <c r="AO25" s="8">
        <v>-2.0917329345593316E-4</v>
      </c>
      <c r="AP25" s="8">
        <f t="shared" si="14"/>
        <v>878.39889526367188</v>
      </c>
      <c r="AQ25" s="8">
        <v>6.0564996300627172E-4</v>
      </c>
      <c r="AR25" s="8">
        <f t="shared" si="9"/>
        <v>878.39794158935547</v>
      </c>
      <c r="AS25" s="8">
        <v>1.9750597266465775E-4</v>
      </c>
      <c r="AT25" s="8">
        <f t="shared" si="10"/>
        <v>-4.1312974779483968E-8</v>
      </c>
      <c r="AU25" s="8">
        <f t="shared" si="11"/>
        <v>1.1961948503786769E-7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3" t="s">
        <v>131</v>
      </c>
      <c r="G26" s="44"/>
      <c r="H26" s="44"/>
      <c r="J26" s="26" t="s">
        <v>78</v>
      </c>
      <c r="K26" s="26">
        <f>$C$15 - $C$21 - SUM(K14:K25)</f>
        <v>6.9235284172464162E-10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0.10175704956054688</v>
      </c>
      <c r="AD26" s="8">
        <f t="shared" si="0"/>
        <v>2.0431018676880797E-7</v>
      </c>
      <c r="AE26" s="8">
        <f t="shared" si="8"/>
        <v>0.10175728797912598</v>
      </c>
      <c r="AF26" s="8">
        <f t="shared" si="1"/>
        <v>-4.6805693848517294E-8</v>
      </c>
      <c r="AG26" s="8">
        <f t="shared" si="2"/>
        <v>0.10175716876983643</v>
      </c>
      <c r="AH26" s="8">
        <f t="shared" si="3"/>
        <v>7.8752249027536081E-8</v>
      </c>
      <c r="AI26" s="8">
        <f t="shared" si="4"/>
        <v>1.6089886707279573E-14</v>
      </c>
      <c r="AJ26" s="8">
        <f t="shared" si="5"/>
        <v>-3.6860536578650475E-15</v>
      </c>
      <c r="AK26" s="8">
        <f t="shared" si="6"/>
        <v>2.384185791015625E-7</v>
      </c>
      <c r="AM26" s="8">
        <v>22</v>
      </c>
      <c r="AN26" s="8">
        <f t="shared" si="13"/>
        <v>878.39698791503906</v>
      </c>
      <c r="AO26" s="8">
        <v>-2.0917329345593316E-4</v>
      </c>
      <c r="AP26" s="8">
        <f t="shared" si="14"/>
        <v>878.39794158935547</v>
      </c>
      <c r="AQ26" s="8">
        <v>1.9750597266465775E-4</v>
      </c>
      <c r="AR26" s="8">
        <f t="shared" si="9"/>
        <v>878.39746475219727</v>
      </c>
      <c r="AS26" s="8">
        <v>-5.8336266306469042E-6</v>
      </c>
      <c r="AT26" s="8">
        <f t="shared" si="10"/>
        <v>1.2202388951246514E-9</v>
      </c>
      <c r="AU26" s="8">
        <f t="shared" si="11"/>
        <v>-1.152176101848367E-9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30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1.2741155475615811</v>
      </c>
      <c r="R27" s="20" t="s">
        <v>51</v>
      </c>
      <c r="S27" s="20">
        <f xml:space="preserve"> 1/$C$30 * LN( EXP($C$30 * S25) + EXP($C$30 * S26) )</f>
        <v>1.2698202570608708</v>
      </c>
      <c r="V27" s="20" t="s">
        <v>51</v>
      </c>
      <c r="W27" s="20">
        <f xml:space="preserve"> 1/$C$30 * LN( EXP($C$30 * W25) + EXP($C$30 * W26) )</f>
        <v>1.2677222959790471</v>
      </c>
      <c r="AB27" s="8">
        <v>23</v>
      </c>
      <c r="AC27" s="8">
        <f t="shared" si="7"/>
        <v>0.10175716876983643</v>
      </c>
      <c r="AD27" s="8">
        <f t="shared" si="0"/>
        <v>7.8752249027536081E-8</v>
      </c>
      <c r="AE27" s="8">
        <f t="shared" si="8"/>
        <v>0.10175728797912598</v>
      </c>
      <c r="AF27" s="8">
        <f t="shared" si="1"/>
        <v>-4.6805693848517294E-8</v>
      </c>
      <c r="AG27" s="8">
        <f t="shared" si="2"/>
        <v>0.1017572283744812</v>
      </c>
      <c r="AH27" s="8">
        <f t="shared" si="3"/>
        <v>1.5973278227887633E-8</v>
      </c>
      <c r="AI27" s="8">
        <f t="shared" si="4"/>
        <v>1.2579315847887271E-15</v>
      </c>
      <c r="AJ27" s="8">
        <f t="shared" si="5"/>
        <v>-7.4764037049169541E-16</v>
      </c>
      <c r="AK27" s="8">
        <f t="shared" si="6"/>
        <v>1.1920928955078125E-7</v>
      </c>
      <c r="AM27" s="8">
        <v>23</v>
      </c>
      <c r="AN27" s="8">
        <f t="shared" si="13"/>
        <v>878.39746475219727</v>
      </c>
      <c r="AO27" s="8">
        <v>-5.8336266306469042E-6</v>
      </c>
      <c r="AP27" s="8">
        <f t="shared" si="14"/>
        <v>878.39794158935547</v>
      </c>
      <c r="AQ27" s="8">
        <v>1.9750597266465775E-4</v>
      </c>
      <c r="AR27" s="8">
        <f t="shared" si="9"/>
        <v>878.39770317077637</v>
      </c>
      <c r="AS27" s="8">
        <v>9.5836181458253122E-5</v>
      </c>
      <c r="AT27" s="8">
        <f t="shared" si="10"/>
        <v>-5.5907250033437451E-10</v>
      </c>
      <c r="AU27" s="8">
        <f t="shared" si="11"/>
        <v>1.8928218235378921E-8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0.1017572283744812</v>
      </c>
      <c r="AD28" s="8">
        <f t="shared" si="0"/>
        <v>1.5973278227887633E-8</v>
      </c>
      <c r="AE28" s="8">
        <f t="shared" si="8"/>
        <v>0.10175728797912598</v>
      </c>
      <c r="AF28" s="8">
        <f t="shared" si="1"/>
        <v>-4.6805693848517294E-8</v>
      </c>
      <c r="AG28" s="8">
        <f t="shared" si="2"/>
        <v>0.10175725817680359</v>
      </c>
      <c r="AH28" s="8">
        <f t="shared" si="3"/>
        <v>-1.5416207657659164E-8</v>
      </c>
      <c r="AI28" s="8">
        <f t="shared" si="4"/>
        <v>-2.4624737413468175E-16</v>
      </c>
      <c r="AJ28" s="8">
        <f t="shared" si="5"/>
        <v>7.2156629592956271E-16</v>
      </c>
      <c r="AK28" s="8">
        <f t="shared" si="6"/>
        <v>5.9604644775390625E-8</v>
      </c>
      <c r="AM28" s="8">
        <v>24</v>
      </c>
      <c r="AN28" s="8">
        <f t="shared" si="13"/>
        <v>878.39746475219727</v>
      </c>
      <c r="AO28" s="8">
        <v>-5.8336266306469042E-6</v>
      </c>
      <c r="AP28" s="8">
        <f t="shared" si="14"/>
        <v>878.39770317077637</v>
      </c>
      <c r="AQ28" s="8">
        <v>9.5836181458253122E-5</v>
      </c>
      <c r="AR28" s="8">
        <f t="shared" si="9"/>
        <v>878.39758396148682</v>
      </c>
      <c r="AS28" s="8">
        <v>4.5633923264176701E-5</v>
      </c>
      <c r="AT28" s="8">
        <f t="shared" si="10"/>
        <v>-2.6621127001479849E-10</v>
      </c>
      <c r="AU28" s="8">
        <f t="shared" si="11"/>
        <v>4.3733809505976367E-9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AB29" s="8">
        <v>25</v>
      </c>
      <c r="AC29" s="8">
        <f t="shared" si="7"/>
        <v>0.1017572283744812</v>
      </c>
      <c r="AD29" s="8">
        <f t="shared" si="0"/>
        <v>1.5973278227887633E-8</v>
      </c>
      <c r="AE29" s="8">
        <f t="shared" si="8"/>
        <v>0.10175725817680359</v>
      </c>
      <c r="AF29" s="8">
        <f t="shared" si="1"/>
        <v>-1.5416207657659164E-8</v>
      </c>
      <c r="AG29" s="8">
        <f t="shared" si="2"/>
        <v>0.1017572432756424</v>
      </c>
      <c r="AH29" s="8">
        <f t="shared" si="3"/>
        <v>2.7853531980870372E-10</v>
      </c>
      <c r="AI29" s="8">
        <f t="shared" si="4"/>
        <v>4.4491221595980864E-18</v>
      </c>
      <c r="AJ29" s="8">
        <f t="shared" si="5"/>
        <v>-4.2939583301634824E-18</v>
      </c>
      <c r="AK29" s="8">
        <f t="shared" si="6"/>
        <v>2.9802322387695312E-8</v>
      </c>
      <c r="AM29" s="8">
        <v>25</v>
      </c>
      <c r="AN29" s="8">
        <f t="shared" si="13"/>
        <v>878.39746475219727</v>
      </c>
      <c r="AO29" s="8">
        <v>-5.8336266306469042E-6</v>
      </c>
      <c r="AP29" s="8">
        <f t="shared" si="14"/>
        <v>878.39758396148682</v>
      </c>
      <c r="AQ29" s="8">
        <v>4.5633923264176701E-5</v>
      </c>
      <c r="AR29" s="8">
        <f t="shared" si="9"/>
        <v>878.39752435684204</v>
      </c>
      <c r="AS29" s="8">
        <v>2.0000001029529813E-5</v>
      </c>
      <c r="AT29" s="8">
        <f t="shared" si="10"/>
        <v>-1.1667253861883062E-10</v>
      </c>
      <c r="AU29" s="8">
        <f t="shared" si="11"/>
        <v>9.126785122650185E-10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29.96126539383809</v>
      </c>
      <c r="H30" t="s">
        <v>16</v>
      </c>
      <c r="J30" s="37" t="s">
        <v>80</v>
      </c>
      <c r="K30" s="37"/>
      <c r="L30" s="37"/>
      <c r="AB30" s="8">
        <v>26</v>
      </c>
      <c r="AC30" s="8">
        <f t="shared" si="7"/>
        <v>0.1017572432756424</v>
      </c>
      <c r="AD30" s="8">
        <f t="shared" si="0"/>
        <v>2.7853531980870372E-10</v>
      </c>
      <c r="AE30" s="8">
        <f t="shared" si="8"/>
        <v>0.10175725817680359</v>
      </c>
      <c r="AF30" s="8">
        <f t="shared" si="1"/>
        <v>-1.5416207657659164E-8</v>
      </c>
      <c r="AG30" s="8">
        <f t="shared" si="2"/>
        <v>0.10175725072622299</v>
      </c>
      <c r="AH30" s="8">
        <f t="shared" si="3"/>
        <v>-7.5688361550474426E-9</v>
      </c>
      <c r="AI30" s="8">
        <f t="shared" si="4"/>
        <v>-2.108188199025819E-18</v>
      </c>
      <c r="AJ30" s="8">
        <f t="shared" si="5"/>
        <v>1.1668274989300993E-16</v>
      </c>
      <c r="AK30" s="8">
        <f t="shared" si="6"/>
        <v>1.4901161193847656E-8</v>
      </c>
      <c r="AM30" s="8">
        <v>26</v>
      </c>
      <c r="AN30" s="8">
        <f t="shared" si="13"/>
        <v>878.39746475219727</v>
      </c>
      <c r="AO30" s="8">
        <v>-5.8336266306469042E-6</v>
      </c>
      <c r="AP30" s="8">
        <f t="shared" si="14"/>
        <v>878.39752435684204</v>
      </c>
      <c r="AQ30" s="8">
        <v>2.0000001029529813E-5</v>
      </c>
      <c r="AR30" s="8">
        <f t="shared" si="9"/>
        <v>878.39749455451965</v>
      </c>
      <c r="AS30" s="8">
        <v>6.5827745743263222E-6</v>
      </c>
      <c r="AT30" s="8">
        <f t="shared" si="10"/>
        <v>-3.8401449060335375E-11</v>
      </c>
      <c r="AU30" s="8">
        <f t="shared" si="11"/>
        <v>1.3165549826368911E-10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5992.2530787676178</v>
      </c>
      <c r="H31" t="s">
        <v>14</v>
      </c>
      <c r="J31" s="20" t="s">
        <v>81</v>
      </c>
      <c r="K31" s="20">
        <f>ROUND($C$21/$C$15 * 100, 2)</f>
        <v>45.54</v>
      </c>
      <c r="L31" s="20" t="s">
        <v>82</v>
      </c>
      <c r="AB31" s="8">
        <v>27</v>
      </c>
      <c r="AC31" s="8">
        <f t="shared" si="7"/>
        <v>0.1017572432756424</v>
      </c>
      <c r="AD31" s="8">
        <f t="shared" si="0"/>
        <v>2.7853531980870372E-10</v>
      </c>
      <c r="AE31" s="8">
        <f t="shared" si="8"/>
        <v>0.10175725072622299</v>
      </c>
      <c r="AF31" s="8">
        <f t="shared" si="1"/>
        <v>-7.5688361550474426E-9</v>
      </c>
      <c r="AG31" s="8">
        <f t="shared" si="2"/>
        <v>0.10175724700093269</v>
      </c>
      <c r="AH31" s="8">
        <f t="shared" si="3"/>
        <v>-3.6451504176193694E-9</v>
      </c>
      <c r="AI31" s="8">
        <f t="shared" si="4"/>
        <v>-1.015303137322441E-18</v>
      </c>
      <c r="AJ31" s="8">
        <f t="shared" si="5"/>
        <v>2.7589546271463769E-17</v>
      </c>
      <c r="AK31" s="8">
        <f t="shared" si="6"/>
        <v>7.4505805969238281E-9</v>
      </c>
      <c r="AM31" s="8">
        <v>27</v>
      </c>
      <c r="AN31" s="8">
        <f t="shared" si="13"/>
        <v>878.39746475219727</v>
      </c>
      <c r="AO31" s="8">
        <v>-5.8336266306469042E-6</v>
      </c>
      <c r="AP31" s="8">
        <f t="shared" si="14"/>
        <v>878.39749455451965</v>
      </c>
      <c r="AQ31" s="8">
        <v>6.5827745743263222E-6</v>
      </c>
      <c r="AR31" s="8">
        <f t="shared" si="9"/>
        <v>878.39747965335846</v>
      </c>
      <c r="AS31" s="8">
        <v>2.0860619542872882E-7</v>
      </c>
      <c r="AT31" s="8">
        <f t="shared" si="10"/>
        <v>-1.216930656970965E-12</v>
      </c>
      <c r="AU31" s="8">
        <f t="shared" si="11"/>
        <v>1.373207559315184E-12</v>
      </c>
      <c r="AV31" s="8">
        <f t="shared" si="12"/>
        <v>2.9802322387695312E-5</v>
      </c>
    </row>
    <row r="32" spans="2:48" x14ac:dyDescent="0.2">
      <c r="F32" t="s">
        <v>152</v>
      </c>
      <c r="G32" s="20">
        <f>ATAN(G28/G30)/PI()*180</f>
        <v>2.9118789347687013</v>
      </c>
      <c r="H32" t="s">
        <v>62</v>
      </c>
      <c r="J32" s="27" t="s">
        <v>74</v>
      </c>
      <c r="K32" s="20">
        <f>ROUND(K14/$C$15 * 100, 2)</f>
        <v>24.41</v>
      </c>
      <c r="L32" s="20" t="s">
        <v>82</v>
      </c>
      <c r="AB32" s="8">
        <v>28</v>
      </c>
      <c r="AC32" s="8">
        <f t="shared" si="7"/>
        <v>0.1017572432756424</v>
      </c>
      <c r="AD32" s="8">
        <f t="shared" si="0"/>
        <v>2.7853531980870372E-10</v>
      </c>
      <c r="AE32" s="8">
        <f t="shared" si="8"/>
        <v>0.10175724700093269</v>
      </c>
      <c r="AF32" s="8">
        <f t="shared" si="1"/>
        <v>-3.6451504176193694E-9</v>
      </c>
      <c r="AG32" s="8">
        <f t="shared" si="2"/>
        <v>0.10175724513828754</v>
      </c>
      <c r="AH32" s="8">
        <f t="shared" si="3"/>
        <v>-1.6833075489053329E-9</v>
      </c>
      <c r="AI32" s="8">
        <f t="shared" si="4"/>
        <v>-4.6886060647075206E-19</v>
      </c>
      <c r="AJ32" s="8">
        <f t="shared" si="5"/>
        <v>6.1359092148741112E-18</v>
      </c>
      <c r="AK32" s="8">
        <f t="shared" si="6"/>
        <v>3.7252902984619141E-9</v>
      </c>
      <c r="AM32" s="8">
        <v>28</v>
      </c>
      <c r="AN32" s="8">
        <f t="shared" si="13"/>
        <v>878.39746475219727</v>
      </c>
      <c r="AO32" s="8">
        <v>-5.8336266306469042E-6</v>
      </c>
      <c r="AP32" s="8">
        <f t="shared" si="14"/>
        <v>878.39747965335846</v>
      </c>
      <c r="AQ32" s="8">
        <v>2.0860619542872882E-7</v>
      </c>
      <c r="AR32" s="8">
        <f t="shared" si="9"/>
        <v>878.39747220277786</v>
      </c>
      <c r="AS32" s="8">
        <v>-2.1798666125505406E-6</v>
      </c>
      <c r="AT32" s="8">
        <f t="shared" si="10"/>
        <v>1.2716527922232891E-11</v>
      </c>
      <c r="AU32" s="8">
        <f t="shared" si="11"/>
        <v>-4.5473368058627917E-13</v>
      </c>
      <c r="AV32" s="8">
        <f t="shared" si="12"/>
        <v>1.4901161193847656E-5</v>
      </c>
    </row>
    <row r="33" spans="6:48" x14ac:dyDescent="0.2">
      <c r="F33" t="s">
        <v>155</v>
      </c>
      <c r="G33" s="20">
        <f xml:space="preserve"> 1/1000 * (W22 + W18 * (W27 * W24 + $G$27 * SIN(W17/180*PI())))</f>
        <v>13.35232301795765</v>
      </c>
      <c r="H33" t="s">
        <v>162</v>
      </c>
      <c r="J33" s="35" t="s">
        <v>94</v>
      </c>
      <c r="K33" s="20">
        <f>ROUND(SUM(K15:K17)/$C$15 * 100, 2)</f>
        <v>10.62</v>
      </c>
      <c r="L33" s="20" t="s">
        <v>82</v>
      </c>
      <c r="AB33" s="8">
        <v>29</v>
      </c>
      <c r="AC33" s="8">
        <f t="shared" si="7"/>
        <v>0.1017572432756424</v>
      </c>
      <c r="AD33" s="8">
        <f t="shared" si="0"/>
        <v>2.7853531980870372E-10</v>
      </c>
      <c r="AE33" s="8">
        <f t="shared" si="8"/>
        <v>0.10175724513828754</v>
      </c>
      <c r="AF33" s="8">
        <f t="shared" si="1"/>
        <v>-1.6833075489053329E-9</v>
      </c>
      <c r="AG33" s="8">
        <f t="shared" si="2"/>
        <v>0.10175724420696497</v>
      </c>
      <c r="AH33" s="8">
        <f t="shared" si="3"/>
        <v>-7.0238612148720847E-10</v>
      </c>
      <c r="AI33" s="8">
        <f t="shared" si="4"/>
        <v>-1.9563934297763463E-19</v>
      </c>
      <c r="AJ33" s="8">
        <f t="shared" si="5"/>
        <v>1.1823318605457562E-18</v>
      </c>
      <c r="AK33" s="8">
        <f t="shared" si="6"/>
        <v>1.862645149230957E-9</v>
      </c>
      <c r="AM33" s="8">
        <v>29</v>
      </c>
      <c r="AN33" s="8">
        <f t="shared" si="13"/>
        <v>878.39747220277786</v>
      </c>
      <c r="AO33" s="8">
        <v>-2.1798666125505406E-6</v>
      </c>
      <c r="AP33" s="8">
        <f t="shared" si="14"/>
        <v>878.39747965335846</v>
      </c>
      <c r="AQ33" s="8">
        <v>2.0860619542872882E-7</v>
      </c>
      <c r="AR33" s="8">
        <f t="shared" si="9"/>
        <v>878.39747592806816</v>
      </c>
      <c r="AS33" s="8">
        <v>-1.3861908314538596E-6</v>
      </c>
      <c r="AT33" s="8">
        <f t="shared" si="10"/>
        <v>3.0217111121099422E-12</v>
      </c>
      <c r="AU33" s="8">
        <f t="shared" si="11"/>
        <v>-2.8916799548777593E-13</v>
      </c>
      <c r="AV33" s="8">
        <f t="shared" si="12"/>
        <v>7.4505805969238281E-6</v>
      </c>
    </row>
    <row r="34" spans="6:48" x14ac:dyDescent="0.2">
      <c r="F34" t="s">
        <v>133</v>
      </c>
      <c r="G34" s="20">
        <f>$C$5*G33</f>
        <v>93.466261125703554</v>
      </c>
      <c r="H34" t="s">
        <v>162</v>
      </c>
      <c r="J34" s="36" t="s">
        <v>95</v>
      </c>
      <c r="K34" s="20">
        <f>ROUND(SUM(K18:K21)/$C$15 * 100, 2)</f>
        <v>14.75</v>
      </c>
      <c r="L34" s="20" t="s">
        <v>82</v>
      </c>
      <c r="AB34" s="8">
        <v>30</v>
      </c>
      <c r="AC34" s="8">
        <f t="shared" si="7"/>
        <v>0.1017572432756424</v>
      </c>
      <c r="AD34" s="8">
        <f t="shared" si="0"/>
        <v>2.7853531980870372E-10</v>
      </c>
      <c r="AE34" s="8">
        <f t="shared" si="8"/>
        <v>0.10175724420696497</v>
      </c>
      <c r="AF34" s="8">
        <f t="shared" si="1"/>
        <v>-7.0238612148720847E-10</v>
      </c>
      <c r="AG34" s="8">
        <f t="shared" si="2"/>
        <v>0.10175724374130368</v>
      </c>
      <c r="AH34" s="8">
        <f t="shared" si="3"/>
        <v>-2.1192539390035847E-10</v>
      </c>
      <c r="AI34" s="8">
        <f t="shared" si="4"/>
        <v>-5.9028707365621855E-20</v>
      </c>
      <c r="AJ34" s="8">
        <f t="shared" si="5"/>
        <v>1.4885345546632169E-19</v>
      </c>
      <c r="AK34" s="8">
        <f t="shared" si="6"/>
        <v>9.3132257461547852E-10</v>
      </c>
      <c r="AM34" s="8">
        <v>30</v>
      </c>
      <c r="AN34" s="8">
        <f t="shared" si="13"/>
        <v>878.39747592806816</v>
      </c>
      <c r="AO34" s="8">
        <v>-1.3861908314538596E-6</v>
      </c>
      <c r="AP34" s="8">
        <f t="shared" si="14"/>
        <v>878.39747965335846</v>
      </c>
      <c r="AQ34" s="8">
        <v>2.0860619542872882E-7</v>
      </c>
      <c r="AR34" s="8">
        <f t="shared" si="9"/>
        <v>878.39747779071331</v>
      </c>
      <c r="AS34" s="8">
        <v>-7.5476009442354552E-7</v>
      </c>
      <c r="AT34" s="8">
        <f t="shared" si="10"/>
        <v>1.0462415228371681E-12</v>
      </c>
      <c r="AU34" s="8">
        <f t="shared" si="11"/>
        <v>-1.5744763175912396E-13</v>
      </c>
      <c r="AV34" s="8">
        <f t="shared" si="12"/>
        <v>3.7252902984619141E-6</v>
      </c>
    </row>
    <row r="35" spans="6:48" x14ac:dyDescent="0.2">
      <c r="F35" t="s">
        <v>132</v>
      </c>
      <c r="G35" s="20">
        <f>$G$29/$G$28</f>
        <v>200</v>
      </c>
      <c r="H35" t="s">
        <v>22</v>
      </c>
      <c r="J35" s="31" t="s">
        <v>96</v>
      </c>
      <c r="K35" s="20">
        <f>ROUND(SUM(K22:K25)/$C$15*100, 2)</f>
        <v>4.67</v>
      </c>
      <c r="L35" s="20" t="s">
        <v>82</v>
      </c>
      <c r="AM35" s="8">
        <v>31</v>
      </c>
      <c r="AN35" s="8">
        <f t="shared" si="13"/>
        <v>878.39747779071331</v>
      </c>
      <c r="AO35" s="20">
        <v>-7.5476009442354552E-7</v>
      </c>
      <c r="AP35" s="8">
        <f t="shared" si="14"/>
        <v>878.39747965335846</v>
      </c>
      <c r="AQ35" s="20">
        <v>2.0860619542872882E-7</v>
      </c>
      <c r="AR35" s="8">
        <f t="shared" si="9"/>
        <v>878.39747872203588</v>
      </c>
      <c r="AS35" s="20">
        <v>-2.7307692107569892E-7</v>
      </c>
      <c r="AT35" s="8">
        <f t="shared" si="10"/>
        <v>2.0610756273598561E-13</v>
      </c>
      <c r="AU35" s="8">
        <f t="shared" si="11"/>
        <v>-5.6965537564992806E-14</v>
      </c>
      <c r="AV35" s="8">
        <f t="shared" si="12"/>
        <v>1.862645149230957E-6</v>
      </c>
    </row>
    <row r="36" spans="6:48" x14ac:dyDescent="0.2">
      <c r="J36" s="26" t="s">
        <v>83</v>
      </c>
      <c r="K36" s="26">
        <f>SUM(K31:K35)</f>
        <v>99.990000000000009</v>
      </c>
      <c r="L36" s="26" t="s">
        <v>82</v>
      </c>
      <c r="AM36" s="8">
        <v>32</v>
      </c>
      <c r="AN36" s="8">
        <f t="shared" si="13"/>
        <v>878.39747872203588</v>
      </c>
      <c r="AO36" s="20">
        <v>-2.7307692107569892E-7</v>
      </c>
      <c r="AP36" s="8">
        <f t="shared" si="14"/>
        <v>878.39747965335846</v>
      </c>
      <c r="AQ36" s="20">
        <v>2.0860619542872882E-7</v>
      </c>
      <c r="AR36" s="8">
        <f t="shared" si="9"/>
        <v>878.39747918769717</v>
      </c>
      <c r="AS36" s="20">
        <v>-3.2235220714937896E-8</v>
      </c>
      <c r="AT36" s="8">
        <f t="shared" si="10"/>
        <v>8.8026948230308306E-15</v>
      </c>
      <c r="AU36" s="8">
        <f t="shared" si="11"/>
        <v>-6.7244667521485423E-15</v>
      </c>
      <c r="AV36" s="8">
        <f t="shared" si="12"/>
        <v>9.3132257461547852E-7</v>
      </c>
    </row>
    <row r="37" spans="6:48" x14ac:dyDescent="0.2">
      <c r="F37" s="39" t="s">
        <v>111</v>
      </c>
      <c r="G37" s="40"/>
      <c r="H37" s="40"/>
      <c r="AB37" s="32" t="s">
        <v>142</v>
      </c>
      <c r="AM37" s="8">
        <v>33</v>
      </c>
      <c r="AN37" s="8">
        <f t="shared" si="13"/>
        <v>878.39747918769717</v>
      </c>
      <c r="AO37" s="20">
        <v>-3.2235220714937896E-8</v>
      </c>
      <c r="AP37" s="8">
        <f t="shared" si="14"/>
        <v>878.39747965335846</v>
      </c>
      <c r="AQ37" s="20">
        <v>2.0860619542872882E-7</v>
      </c>
      <c r="AR37" s="8">
        <f t="shared" si="9"/>
        <v>878.39747942052782</v>
      </c>
      <c r="AS37" s="20">
        <v>8.8185572622023756E-8</v>
      </c>
      <c r="AT37" s="8">
        <f t="shared" si="10"/>
        <v>-2.8426813973441203E-15</v>
      </c>
      <c r="AU37" s="8">
        <f t="shared" si="11"/>
        <v>1.8396056796384246E-14</v>
      </c>
      <c r="AV37" s="8">
        <f t="shared" si="12"/>
        <v>4.6566128730773926E-7</v>
      </c>
    </row>
    <row r="38" spans="6:48" x14ac:dyDescent="0.2">
      <c r="F38" t="s">
        <v>117</v>
      </c>
      <c r="G38" s="1">
        <v>1.524</v>
      </c>
      <c r="H38" t="s">
        <v>16</v>
      </c>
      <c r="K38" s="20">
        <f>SUM(K15:K17)</f>
        <v>93.308723748348271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878.39747918769717</v>
      </c>
      <c r="AO38" s="20">
        <v>-3.2235220714937896E-8</v>
      </c>
      <c r="AP38" s="8">
        <f t="shared" si="14"/>
        <v>878.39747942052782</v>
      </c>
      <c r="AQ38" s="20">
        <v>8.8185572622023756E-8</v>
      </c>
      <c r="AR38" s="8">
        <f t="shared" si="9"/>
        <v>878.39747930411249</v>
      </c>
      <c r="AS38" s="20">
        <v>2.7975090688414639E-8</v>
      </c>
      <c r="AT38" s="8">
        <f t="shared" si="10"/>
        <v>-9.017832228614498E-16</v>
      </c>
      <c r="AU38" s="8">
        <f t="shared" si="11"/>
        <v>2.4669993915108897E-15</v>
      </c>
      <c r="AV38" s="8">
        <f t="shared" si="12"/>
        <v>2.3283064365386963E-7</v>
      </c>
    </row>
    <row r="39" spans="6:48" x14ac:dyDescent="0.2">
      <c r="F39" t="s">
        <v>123</v>
      </c>
      <c r="G39" s="1">
        <v>152.4</v>
      </c>
      <c r="H39" t="s">
        <v>14</v>
      </c>
      <c r="K39" s="20">
        <f>SUM(K18:K21)</f>
        <v>129.60713688536072</v>
      </c>
      <c r="AB39" s="8">
        <v>0</v>
      </c>
      <c r="AC39" s="9">
        <v>0</v>
      </c>
      <c r="AD39" s="8">
        <f xml:space="preserve"> $C$18 * TAN($O$17/180*PI()) + $O$20 / (2 * SQRT($C$18^2 + AC39^2)) - AC39</f>
        <v>0.13304858978915454</v>
      </c>
      <c r="AE39" s="9">
        <v>1</v>
      </c>
      <c r="AF39" s="8">
        <f xml:space="preserve"> $C$18 * TAN($O$17/180*PI()) + $O$20 / (2 * SQRT($C$18^2 + AE39^2)) - AE39</f>
        <v>-0.9083883039208529</v>
      </c>
      <c r="AG39" s="8">
        <f xml:space="preserve"> (AC39 + AE39)/2</f>
        <v>0.5</v>
      </c>
      <c r="AH39" s="8">
        <f xml:space="preserve"> $C$18 * TAN($O$17/180*PI()) + $O$20 / (2 * SQRT($C$18^2 + AG39^2)) - AG39</f>
        <v>-0.39518087500952165</v>
      </c>
      <c r="AI39" s="8">
        <f>AD39*AH39</f>
        <v>-5.2578258131660997E-2</v>
      </c>
      <c r="AJ39" s="8">
        <f>AF39*AH39</f>
        <v>0.35897768479185793</v>
      </c>
      <c r="AK39" s="8">
        <f>AE39-AC39</f>
        <v>1</v>
      </c>
      <c r="AM39" s="8">
        <v>35</v>
      </c>
      <c r="AN39" s="8">
        <f t="shared" si="13"/>
        <v>878.39747918769717</v>
      </c>
      <c r="AO39" s="20">
        <v>-3.2235220714937896E-8</v>
      </c>
      <c r="AP39" s="8">
        <f t="shared" si="14"/>
        <v>878.39747930411249</v>
      </c>
      <c r="AQ39" s="20">
        <v>2.7975090688414639E-8</v>
      </c>
      <c r="AR39" s="8">
        <f t="shared" si="9"/>
        <v>878.39747924590483</v>
      </c>
      <c r="AS39" s="20">
        <v>-2.1300934349710587E-9</v>
      </c>
      <c r="AT39" s="8">
        <f t="shared" si="10"/>
        <v>6.866403201973229E-17</v>
      </c>
      <c r="AU39" s="8">
        <f t="shared" si="11"/>
        <v>-5.9589557018112018E-17</v>
      </c>
      <c r="AV39" s="8">
        <f t="shared" si="12"/>
        <v>1.1641532182693481E-7</v>
      </c>
    </row>
    <row r="40" spans="6:48" x14ac:dyDescent="0.2"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145.22767098815279</v>
      </c>
      <c r="H40" t="s">
        <v>162</v>
      </c>
      <c r="K40" s="20">
        <f>SUM(K22:K25)</f>
        <v>41.028991698537922</v>
      </c>
      <c r="AB40" s="8">
        <v>1</v>
      </c>
      <c r="AC40" s="8">
        <f>IF(AI39&gt;0, AG39, AC39)</f>
        <v>0</v>
      </c>
      <c r="AD40" s="8">
        <f t="shared" ref="AD40:AD69" si="15" xml:space="preserve"> $C$18 * TAN($O$17/180*PI()) + $O$20 / (2 * SQRT($C$18^2 + AC40^2)) - AC40</f>
        <v>0.13304858978915454</v>
      </c>
      <c r="AE40" s="8">
        <f>IF(AJ39&gt;0, AG39, AE39)</f>
        <v>0.5</v>
      </c>
      <c r="AF40" s="8">
        <f t="shared" ref="AF40:AF69" si="16" xml:space="preserve"> $C$18 * TAN($O$17/180*PI()) + $O$20 / (2 * SQRT($C$18^2 + AE40^2)) - AE40</f>
        <v>-0.39518087500952165</v>
      </c>
      <c r="AG40" s="8">
        <f t="shared" ref="AG40:AG69" si="17" xml:space="preserve"> (AC40 + AE40)/2</f>
        <v>0.25</v>
      </c>
      <c r="AH40" s="8">
        <f t="shared" ref="AH40:AH69" si="18" xml:space="preserve"> $C$18 * TAN($O$17/180*PI()) + $O$20 / (2 * SQRT($C$18^2 + AG40^2)) - AG40</f>
        <v>-0.13042809821477783</v>
      </c>
      <c r="AI40" s="8">
        <f t="shared" ref="AI40:AI69" si="19">AD40*AH40</f>
        <v>-1.7353274536357537E-2</v>
      </c>
      <c r="AJ40" s="8">
        <f t="shared" ref="AJ40:AJ69" si="20">AF40*AH40</f>
        <v>5.1542689978343728E-2</v>
      </c>
      <c r="AK40" s="8">
        <f t="shared" ref="AK40:AK69" si="21">AE40-AC40</f>
        <v>0.5</v>
      </c>
      <c r="AM40" s="8">
        <v>36</v>
      </c>
      <c r="AN40" s="8">
        <f t="shared" si="13"/>
        <v>878.39747924590483</v>
      </c>
      <c r="AO40" s="20">
        <v>-2.1300934349710587E-9</v>
      </c>
      <c r="AP40" s="8">
        <f t="shared" si="14"/>
        <v>878.39747930411249</v>
      </c>
      <c r="AQ40" s="20">
        <v>2.7975090688414639E-8</v>
      </c>
      <c r="AR40" s="8">
        <f t="shared" si="9"/>
        <v>878.39747927500866</v>
      </c>
      <c r="AS40" s="20">
        <v>1.2922328096465208E-8</v>
      </c>
      <c r="AT40" s="8">
        <f t="shared" si="10"/>
        <v>-2.7525766242822597E-17</v>
      </c>
      <c r="AU40" s="8">
        <f t="shared" si="11"/>
        <v>3.615033004040627E-16</v>
      </c>
      <c r="AV40" s="8">
        <f t="shared" si="12"/>
        <v>5.8207660913467407E-8</v>
      </c>
    </row>
    <row r="41" spans="6:48" x14ac:dyDescent="0.2">
      <c r="F41" t="s">
        <v>30</v>
      </c>
      <c r="G41" s="20">
        <f xml:space="preserve"> $C$15 * $C$26 / $C$5</f>
        <v>1230.5909485571954</v>
      </c>
      <c r="H41" t="s">
        <v>31</v>
      </c>
      <c r="AB41" s="8">
        <v>2</v>
      </c>
      <c r="AC41" s="8">
        <f t="shared" ref="AC41:AC69" si="22">IF(AI40&gt;0, AG40, AC40)</f>
        <v>0</v>
      </c>
      <c r="AD41" s="8">
        <f t="shared" si="15"/>
        <v>0.13304858978915454</v>
      </c>
      <c r="AE41" s="8">
        <f t="shared" ref="AE41:AE69" si="23">IF(AJ40&gt;0, AG40, AE40)</f>
        <v>0.25</v>
      </c>
      <c r="AF41" s="8">
        <f t="shared" si="16"/>
        <v>-0.13042809821477783</v>
      </c>
      <c r="AG41" s="8">
        <f t="shared" si="17"/>
        <v>0.125</v>
      </c>
      <c r="AH41" s="8">
        <f t="shared" si="18"/>
        <v>3.5759259216778527E-3</v>
      </c>
      <c r="AI41" s="8">
        <f t="shared" si="19"/>
        <v>4.75771901069721E-4</v>
      </c>
      <c r="AJ41" s="8">
        <f t="shared" si="20"/>
        <v>-4.6640121732136888E-4</v>
      </c>
      <c r="AK41" s="8">
        <f t="shared" si="21"/>
        <v>0.25</v>
      </c>
      <c r="AM41" s="8">
        <v>37</v>
      </c>
      <c r="AN41" s="8">
        <f t="shared" si="13"/>
        <v>878.39747924590483</v>
      </c>
      <c r="AO41" s="20">
        <v>-2.1300934349710587E-9</v>
      </c>
      <c r="AP41" s="8">
        <f t="shared" si="14"/>
        <v>878.39747927500866</v>
      </c>
      <c r="AQ41" s="20">
        <v>1.2922328096465208E-8</v>
      </c>
      <c r="AR41" s="8">
        <f t="shared" si="9"/>
        <v>878.39747926045675</v>
      </c>
      <c r="AS41" s="20">
        <v>5.3963162827130873E-9</v>
      </c>
      <c r="AT41" s="8">
        <f t="shared" si="10"/>
        <v>-1.1494657886834575E-17</v>
      </c>
      <c r="AU41" s="8">
        <f t="shared" si="11"/>
        <v>6.9732969517516014E-17</v>
      </c>
      <c r="AV41" s="8">
        <f t="shared" si="12"/>
        <v>2.9103830456733704E-8</v>
      </c>
    </row>
    <row r="42" spans="6:48" x14ac:dyDescent="0.2"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3.5759259216778527E-3</v>
      </c>
      <c r="AE42" s="8">
        <f t="shared" si="23"/>
        <v>0.25</v>
      </c>
      <c r="AF42" s="8">
        <f t="shared" si="16"/>
        <v>-0.13042809821477783</v>
      </c>
      <c r="AG42" s="8">
        <f t="shared" si="17"/>
        <v>0.1875</v>
      </c>
      <c r="AH42" s="8">
        <f t="shared" si="18"/>
        <v>-6.3289492625976496E-2</v>
      </c>
      <c r="AI42" s="8">
        <f t="shared" si="19"/>
        <v>-2.2631853725106868E-4</v>
      </c>
      <c r="AJ42" s="8">
        <f t="shared" si="20"/>
        <v>8.25472816018432E-3</v>
      </c>
      <c r="AK42" s="8">
        <f t="shared" si="21"/>
        <v>0.125</v>
      </c>
      <c r="AM42" s="8">
        <v>38</v>
      </c>
      <c r="AN42" s="8">
        <f t="shared" si="13"/>
        <v>878.39747924590483</v>
      </c>
      <c r="AO42" s="20">
        <v>-2.1300934349710587E-9</v>
      </c>
      <c r="AP42" s="8">
        <f t="shared" si="14"/>
        <v>878.39747926045675</v>
      </c>
      <c r="AQ42" s="20">
        <v>5.3963162827130873E-9</v>
      </c>
      <c r="AR42" s="8">
        <f t="shared" si="9"/>
        <v>878.39747925318079</v>
      </c>
      <c r="AS42" s="20">
        <v>1.6329977370332927E-9</v>
      </c>
      <c r="AT42" s="8">
        <f t="shared" si="10"/>
        <v>-3.478437758977212E-18</v>
      </c>
      <c r="AU42" s="8">
        <f t="shared" si="11"/>
        <v>8.8121722779863814E-18</v>
      </c>
      <c r="AV42" s="8">
        <f t="shared" si="12"/>
        <v>1.4551915228366852E-8</v>
      </c>
    </row>
    <row r="43" spans="6:48" x14ac:dyDescent="0.2">
      <c r="AB43" s="8">
        <v>4</v>
      </c>
      <c r="AC43" s="8">
        <f t="shared" si="22"/>
        <v>0.125</v>
      </c>
      <c r="AD43" s="8">
        <f t="shared" si="15"/>
        <v>3.5759259216778527E-3</v>
      </c>
      <c r="AE43" s="8">
        <f t="shared" si="23"/>
        <v>0.1875</v>
      </c>
      <c r="AF43" s="8">
        <f t="shared" si="16"/>
        <v>-6.3289492625976496E-2</v>
      </c>
      <c r="AG43" s="8">
        <f t="shared" si="17"/>
        <v>0.15625</v>
      </c>
      <c r="AH43" s="8">
        <f t="shared" si="18"/>
        <v>-2.9776748976514639E-2</v>
      </c>
      <c r="AI43" s="8">
        <f t="shared" si="19"/>
        <v>-1.0647944852841316E-4</v>
      </c>
      <c r="AJ43" s="8">
        <f t="shared" si="20"/>
        <v>1.8845553347746763E-3</v>
      </c>
      <c r="AK43" s="8">
        <f t="shared" si="21"/>
        <v>6.25E-2</v>
      </c>
      <c r="AM43" s="8">
        <v>39</v>
      </c>
      <c r="AN43" s="8">
        <f t="shared" si="13"/>
        <v>878.39747924590483</v>
      </c>
      <c r="AO43" s="20">
        <v>-2.1300934349710587E-9</v>
      </c>
      <c r="AP43" s="8">
        <f t="shared" si="14"/>
        <v>878.39747925318079</v>
      </c>
      <c r="AQ43" s="20">
        <v>1.6329977370332927E-9</v>
      </c>
      <c r="AR43" s="8">
        <f t="shared" si="9"/>
        <v>878.39747924954281</v>
      </c>
      <c r="AS43" s="20">
        <v>-2.4851942725945264E-10</v>
      </c>
      <c r="AT43" s="8">
        <f t="shared" si="10"/>
        <v>5.2936960046812765E-19</v>
      </c>
      <c r="AU43" s="8">
        <f t="shared" si="11"/>
        <v>-4.0583166232349615E-19</v>
      </c>
      <c r="AV43" s="8">
        <f t="shared" si="12"/>
        <v>7.2759576141834259E-9</v>
      </c>
    </row>
    <row r="44" spans="6:48" x14ac:dyDescent="0.2">
      <c r="AB44" s="8">
        <v>5</v>
      </c>
      <c r="AC44" s="8">
        <f t="shared" si="22"/>
        <v>0.125</v>
      </c>
      <c r="AD44" s="8">
        <f t="shared" si="15"/>
        <v>3.5759259216778527E-3</v>
      </c>
      <c r="AE44" s="8">
        <f t="shared" si="23"/>
        <v>0.15625</v>
      </c>
      <c r="AF44" s="8">
        <f t="shared" si="16"/>
        <v>-2.9776748976514639E-2</v>
      </c>
      <c r="AG44" s="8">
        <f t="shared" si="17"/>
        <v>0.140625</v>
      </c>
      <c r="AH44" s="8">
        <f t="shared" si="18"/>
        <v>-1.307346542552984E-2</v>
      </c>
      <c r="AI44" s="8">
        <f t="shared" si="19"/>
        <v>-4.6749743901311335E-5</v>
      </c>
      <c r="AJ44" s="8">
        <f t="shared" si="20"/>
        <v>3.8928529822914517E-4</v>
      </c>
      <c r="AK44" s="8">
        <f t="shared" si="21"/>
        <v>3.125E-2</v>
      </c>
      <c r="AM44" s="8">
        <v>40</v>
      </c>
      <c r="AN44" s="8">
        <f t="shared" si="13"/>
        <v>878.39747924954281</v>
      </c>
      <c r="AO44" s="20">
        <v>-2.4851942725945264E-10</v>
      </c>
      <c r="AP44" s="8">
        <f t="shared" si="14"/>
        <v>878.39747925318079</v>
      </c>
      <c r="AQ44" s="20">
        <v>1.6329977370332927E-9</v>
      </c>
      <c r="AR44" s="11">
        <f t="shared" si="9"/>
        <v>878.3974792513618</v>
      </c>
      <c r="AS44" s="20">
        <v>6.9235284172464162E-10</v>
      </c>
      <c r="AT44" s="8">
        <f t="shared" si="10"/>
        <v>-1.720631316868624E-19</v>
      </c>
      <c r="AU44" s="8">
        <f t="shared" si="11"/>
        <v>1.1306106237649092E-18</v>
      </c>
      <c r="AV44" s="8">
        <f t="shared" si="12"/>
        <v>3.637978807091713E-9</v>
      </c>
    </row>
    <row r="45" spans="6:48" x14ac:dyDescent="0.2">
      <c r="AB45" s="8">
        <v>6</v>
      </c>
      <c r="AC45" s="8">
        <f t="shared" si="22"/>
        <v>0.125</v>
      </c>
      <c r="AD45" s="8">
        <f t="shared" si="15"/>
        <v>3.5759259216778527E-3</v>
      </c>
      <c r="AE45" s="8">
        <f t="shared" si="23"/>
        <v>0.140625</v>
      </c>
      <c r="AF45" s="8">
        <f t="shared" si="16"/>
        <v>-1.307346542552984E-2</v>
      </c>
      <c r="AG45" s="8">
        <f t="shared" si="17"/>
        <v>0.1328125</v>
      </c>
      <c r="AH45" s="8">
        <f t="shared" si="18"/>
        <v>-4.7411043902588212E-3</v>
      </c>
      <c r="AI45" s="8">
        <f t="shared" si="19"/>
        <v>-1.6953838086507188E-5</v>
      </c>
      <c r="AJ45" s="8">
        <f t="shared" si="20"/>
        <v>6.1982664324876431E-5</v>
      </c>
      <c r="AK45" s="8">
        <f t="shared" si="21"/>
        <v>1.5625E-2</v>
      </c>
    </row>
    <row r="46" spans="6:48" x14ac:dyDescent="0.2">
      <c r="AB46" s="8">
        <v>7</v>
      </c>
      <c r="AC46" s="8">
        <f t="shared" si="22"/>
        <v>0.125</v>
      </c>
      <c r="AD46" s="8">
        <f t="shared" si="15"/>
        <v>3.5759259216778527E-3</v>
      </c>
      <c r="AE46" s="8">
        <f t="shared" si="23"/>
        <v>0.1328125</v>
      </c>
      <c r="AF46" s="8">
        <f t="shared" si="16"/>
        <v>-4.7411043902588212E-3</v>
      </c>
      <c r="AG46" s="8">
        <f t="shared" si="17"/>
        <v>0.12890625</v>
      </c>
      <c r="AH46" s="8">
        <f t="shared" si="18"/>
        <v>-5.8055373139362376E-4</v>
      </c>
      <c r="AI46" s="8">
        <f t="shared" si="19"/>
        <v>-2.0760171370172608E-6</v>
      </c>
      <c r="AJ46" s="8">
        <f t="shared" si="20"/>
        <v>2.75246584469145E-6</v>
      </c>
      <c r="AK46" s="8">
        <f t="shared" si="21"/>
        <v>7.8125E-3</v>
      </c>
    </row>
    <row r="47" spans="6:48" x14ac:dyDescent="0.2">
      <c r="AB47" s="8">
        <v>8</v>
      </c>
      <c r="AC47" s="8">
        <f t="shared" si="22"/>
        <v>0.125</v>
      </c>
      <c r="AD47" s="8">
        <f t="shared" si="15"/>
        <v>3.5759259216778527E-3</v>
      </c>
      <c r="AE47" s="8">
        <f t="shared" si="23"/>
        <v>0.12890625</v>
      </c>
      <c r="AF47" s="8">
        <f t="shared" si="16"/>
        <v>-5.8055373139362376E-4</v>
      </c>
      <c r="AG47" s="8">
        <f t="shared" si="17"/>
        <v>0.126953125</v>
      </c>
      <c r="AH47" s="8">
        <f t="shared" si="18"/>
        <v>1.498210025764668E-3</v>
      </c>
      <c r="AI47" s="8">
        <f t="shared" si="19"/>
        <v>5.3574880672495198E-6</v>
      </c>
      <c r="AJ47" s="8">
        <f t="shared" si="20"/>
        <v>-8.6979142086901517E-7</v>
      </c>
      <c r="AK47" s="8">
        <f t="shared" si="21"/>
        <v>3.90625E-3</v>
      </c>
    </row>
    <row r="48" spans="6:48" x14ac:dyDescent="0.2">
      <c r="AB48" s="8">
        <v>9</v>
      </c>
      <c r="AC48" s="8">
        <f t="shared" si="22"/>
        <v>0.126953125</v>
      </c>
      <c r="AD48" s="8">
        <f t="shared" si="15"/>
        <v>1.498210025764668E-3</v>
      </c>
      <c r="AE48" s="8">
        <f t="shared" si="23"/>
        <v>0.12890625</v>
      </c>
      <c r="AF48" s="8">
        <f t="shared" si="16"/>
        <v>-5.8055373139362376E-4</v>
      </c>
      <c r="AG48" s="8">
        <f t="shared" si="17"/>
        <v>0.1279296875</v>
      </c>
      <c r="AH48" s="8">
        <f t="shared" si="18"/>
        <v>4.5895724152650308E-4</v>
      </c>
      <c r="AI48" s="8">
        <f t="shared" si="19"/>
        <v>6.8761434065230316E-7</v>
      </c>
      <c r="AJ48" s="8">
        <f t="shared" si="20"/>
        <v>-2.66449339118336E-7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0.1279296875</v>
      </c>
      <c r="AD49" s="8">
        <f t="shared" si="15"/>
        <v>4.5895724152650308E-4</v>
      </c>
      <c r="AE49" s="8">
        <f t="shared" si="23"/>
        <v>0.12890625</v>
      </c>
      <c r="AF49" s="8">
        <f t="shared" si="16"/>
        <v>-5.8055373139362376E-4</v>
      </c>
      <c r="AG49" s="8">
        <f t="shared" si="17"/>
        <v>0.12841796875</v>
      </c>
      <c r="AH49" s="8">
        <f t="shared" si="18"/>
        <v>-6.0766206844253823E-5</v>
      </c>
      <c r="AI49" s="8">
        <f t="shared" si="19"/>
        <v>-2.7889090671267646E-8</v>
      </c>
      <c r="AJ49" s="8">
        <f t="shared" si="20"/>
        <v>3.5278048126068316E-8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0.1279296875</v>
      </c>
      <c r="AD50" s="8">
        <f t="shared" si="15"/>
        <v>4.5895724152650308E-4</v>
      </c>
      <c r="AE50" s="8">
        <f t="shared" si="23"/>
        <v>0.12841796875</v>
      </c>
      <c r="AF50" s="8">
        <f t="shared" si="16"/>
        <v>-6.0766206844253823E-5</v>
      </c>
      <c r="AG50" s="8">
        <f t="shared" si="17"/>
        <v>0.128173828125</v>
      </c>
      <c r="AH50" s="8">
        <f t="shared" si="18"/>
        <v>1.9910355627550391E-4</v>
      </c>
      <c r="AI50" s="8">
        <f t="shared" si="19"/>
        <v>9.1380018966322146E-8</v>
      </c>
      <c r="AJ50" s="8">
        <f t="shared" si="20"/>
        <v>-1.2098767884063802E-8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0.128173828125</v>
      </c>
      <c r="AD51" s="8">
        <f t="shared" si="15"/>
        <v>1.9910355627550391E-4</v>
      </c>
      <c r="AE51" s="8">
        <f t="shared" si="23"/>
        <v>0.12841796875</v>
      </c>
      <c r="AF51" s="8">
        <f t="shared" si="16"/>
        <v>-6.0766206844253823E-5</v>
      </c>
      <c r="AG51" s="8">
        <f t="shared" si="17"/>
        <v>0.1282958984375</v>
      </c>
      <c r="AH51" s="8">
        <f t="shared" si="18"/>
        <v>6.9170680771141191E-5</v>
      </c>
      <c r="AI51" s="8">
        <f t="shared" si="19"/>
        <v>1.3772128531531826E-8</v>
      </c>
      <c r="AJ51" s="8">
        <f t="shared" si="20"/>
        <v>-4.2032398952970158E-9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0.1282958984375</v>
      </c>
      <c r="AD52" s="8">
        <f t="shared" si="15"/>
        <v>6.9170680771141191E-5</v>
      </c>
      <c r="AE52" s="8">
        <f t="shared" si="23"/>
        <v>0.12841796875</v>
      </c>
      <c r="AF52" s="8">
        <f t="shared" si="16"/>
        <v>-6.0766206844253823E-5</v>
      </c>
      <c r="AG52" s="8">
        <f t="shared" si="17"/>
        <v>0.12835693359375</v>
      </c>
      <c r="AH52" s="8">
        <f t="shared" si="18"/>
        <v>4.202738017711205E-6</v>
      </c>
      <c r="AI52" s="8">
        <f t="shared" si="19"/>
        <v>2.9070624978784049E-10</v>
      </c>
      <c r="AJ52" s="8">
        <f t="shared" si="20"/>
        <v>-2.5538444769644838E-10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0.12835693359375</v>
      </c>
      <c r="AD53" s="8">
        <f t="shared" si="15"/>
        <v>4.202738017711205E-6</v>
      </c>
      <c r="AE53" s="8">
        <f t="shared" si="23"/>
        <v>0.12841796875</v>
      </c>
      <c r="AF53" s="8">
        <f t="shared" si="16"/>
        <v>-6.0766206844253823E-5</v>
      </c>
      <c r="AG53" s="8">
        <f t="shared" si="17"/>
        <v>0.128387451171875</v>
      </c>
      <c r="AH53" s="8">
        <f t="shared" si="18"/>
        <v>-2.8281609207148062E-5</v>
      </c>
      <c r="AI53" s="8">
        <f t="shared" si="19"/>
        <v>-1.1886019421693242E-10</v>
      </c>
      <c r="AJ53" s="8">
        <f t="shared" si="20"/>
        <v>1.7185661149699125E-9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0.12835693359375</v>
      </c>
      <c r="AD54" s="8">
        <f t="shared" si="15"/>
        <v>4.202738017711205E-6</v>
      </c>
      <c r="AE54" s="8">
        <f t="shared" si="23"/>
        <v>0.128387451171875</v>
      </c>
      <c r="AF54" s="8">
        <f t="shared" si="16"/>
        <v>-2.8281609207148062E-5</v>
      </c>
      <c r="AG54" s="8">
        <f t="shared" si="17"/>
        <v>0.1283721923828125</v>
      </c>
      <c r="AH54" s="8">
        <f t="shared" si="18"/>
        <v>-1.20394042860128E-5</v>
      </c>
      <c r="AI54" s="8">
        <f t="shared" si="19"/>
        <v>-5.0598462103421225E-11</v>
      </c>
      <c r="AJ54" s="8">
        <f t="shared" si="20"/>
        <v>3.4049372710387746E-10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0.12835693359375</v>
      </c>
      <c r="AD55" s="8">
        <f t="shared" si="15"/>
        <v>4.202738017711205E-6</v>
      </c>
      <c r="AE55" s="8">
        <f t="shared" si="23"/>
        <v>0.1283721923828125</v>
      </c>
      <c r="AF55" s="8">
        <f t="shared" si="16"/>
        <v>-1.20394042860128E-5</v>
      </c>
      <c r="AG55" s="8">
        <f t="shared" si="17"/>
        <v>0.12836456298828125</v>
      </c>
      <c r="AH55" s="8">
        <f t="shared" si="18"/>
        <v>-3.9183253060792733E-6</v>
      </c>
      <c r="AI55" s="8">
        <f t="shared" si="19"/>
        <v>-1.6467694729619256E-11</v>
      </c>
      <c r="AJ55" s="8">
        <f t="shared" si="20"/>
        <v>4.7174302484003221E-11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0.12835693359375</v>
      </c>
      <c r="AD56" s="8">
        <f t="shared" si="15"/>
        <v>4.202738017711205E-6</v>
      </c>
      <c r="AE56" s="8">
        <f t="shared" si="23"/>
        <v>0.12836456298828125</v>
      </c>
      <c r="AF56" s="8">
        <f t="shared" si="16"/>
        <v>-3.9183253060792733E-6</v>
      </c>
      <c r="AG56" s="8">
        <f t="shared" si="17"/>
        <v>0.12836074829101562</v>
      </c>
      <c r="AH56" s="8">
        <f t="shared" si="18"/>
        <v>1.4220831295874703E-7</v>
      </c>
      <c r="AI56" s="8">
        <f t="shared" si="19"/>
        <v>5.9766428330629916E-13</v>
      </c>
      <c r="AJ56" s="8">
        <f t="shared" si="20"/>
        <v>-5.5721843140109953E-13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0.12836074829101562</v>
      </c>
      <c r="AD57" s="8">
        <f t="shared" si="15"/>
        <v>1.4220831295874703E-7</v>
      </c>
      <c r="AE57" s="8">
        <f t="shared" si="23"/>
        <v>0.12836456298828125</v>
      </c>
      <c r="AF57" s="8">
        <f t="shared" si="16"/>
        <v>-3.9183253060792733E-6</v>
      </c>
      <c r="AG57" s="8">
        <f t="shared" si="17"/>
        <v>0.12836265563964844</v>
      </c>
      <c r="AH57" s="8">
        <f t="shared" si="18"/>
        <v>-1.888058007298854E-6</v>
      </c>
      <c r="AI57" s="8">
        <f t="shared" si="19"/>
        <v>-2.6849754398622369E-13</v>
      </c>
      <c r="AJ57" s="8">
        <f t="shared" si="20"/>
        <v>7.398025469344705E-12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0.12836074829101562</v>
      </c>
      <c r="AD58" s="8">
        <f t="shared" si="15"/>
        <v>1.4220831295874703E-7</v>
      </c>
      <c r="AE58" s="8">
        <f t="shared" si="23"/>
        <v>0.12836265563964844</v>
      </c>
      <c r="AF58" s="8">
        <f t="shared" si="16"/>
        <v>-1.888058007298854E-6</v>
      </c>
      <c r="AG58" s="8">
        <f t="shared" si="17"/>
        <v>0.12836170196533203</v>
      </c>
      <c r="AH58" s="8">
        <f t="shared" si="18"/>
        <v>-8.7292472486510952E-7</v>
      </c>
      <c r="AI58" s="8">
        <f t="shared" si="19"/>
        <v>-1.2413715246304565E-13</v>
      </c>
      <c r="AJ58" s="8">
        <f t="shared" si="20"/>
        <v>1.648132516550719E-12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0.12836074829101562</v>
      </c>
      <c r="AD59" s="8">
        <f t="shared" si="15"/>
        <v>1.4220831295874703E-7</v>
      </c>
      <c r="AE59" s="8">
        <f t="shared" si="23"/>
        <v>0.12836170196533203</v>
      </c>
      <c r="AF59" s="8">
        <f t="shared" si="16"/>
        <v>-8.7292472486510952E-7</v>
      </c>
      <c r="AG59" s="8">
        <f t="shared" si="17"/>
        <v>0.12836122512817383</v>
      </c>
      <c r="AH59" s="8">
        <f t="shared" si="18"/>
        <v>-3.6535817538041471E-7</v>
      </c>
      <c r="AI59" s="8">
        <f t="shared" si="19"/>
        <v>-5.1956969746534797E-14</v>
      </c>
      <c r="AJ59" s="8">
        <f t="shared" si="20"/>
        <v>3.1893018472116695E-13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0.12836074829101562</v>
      </c>
      <c r="AD60" s="8">
        <f t="shared" si="15"/>
        <v>1.4220831295874703E-7</v>
      </c>
      <c r="AE60" s="8">
        <f t="shared" si="23"/>
        <v>0.12836122512817383</v>
      </c>
      <c r="AF60" s="8">
        <f t="shared" si="16"/>
        <v>-3.6535817538041471E-7</v>
      </c>
      <c r="AG60" s="8">
        <f t="shared" si="17"/>
        <v>0.12836098670959473</v>
      </c>
      <c r="AH60" s="8">
        <f t="shared" si="18"/>
        <v>-1.1157492357805054E-7</v>
      </c>
      <c r="AI60" s="8">
        <f t="shared" si="19"/>
        <v>-1.5866881650535694E-14</v>
      </c>
      <c r="AJ60" s="8">
        <f t="shared" si="20"/>
        <v>4.0764810496685758E-14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0.12836074829101562</v>
      </c>
      <c r="AD61" s="8">
        <f t="shared" si="15"/>
        <v>1.4220831295874703E-7</v>
      </c>
      <c r="AE61" s="8">
        <f t="shared" si="23"/>
        <v>0.12836098670959473</v>
      </c>
      <c r="AF61" s="8">
        <f t="shared" si="16"/>
        <v>-1.1157492357805054E-7</v>
      </c>
      <c r="AG61" s="8">
        <f t="shared" si="17"/>
        <v>0.12836086750030518</v>
      </c>
      <c r="AH61" s="8">
        <f t="shared" si="18"/>
        <v>1.531669660548296E-8</v>
      </c>
      <c r="AI61" s="8">
        <f t="shared" si="19"/>
        <v>2.1781615843666989E-15</v>
      </c>
      <c r="AJ61" s="8">
        <f t="shared" si="20"/>
        <v>-1.7089592532249474E-15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0.12836086750030518</v>
      </c>
      <c r="AD62" s="8">
        <f t="shared" si="15"/>
        <v>1.531669660548296E-8</v>
      </c>
      <c r="AE62" s="8">
        <f t="shared" si="23"/>
        <v>0.12836098670959473</v>
      </c>
      <c r="AF62" s="8">
        <f t="shared" si="16"/>
        <v>-1.1157492357805054E-7</v>
      </c>
      <c r="AG62" s="8">
        <f t="shared" si="17"/>
        <v>0.12836092710494995</v>
      </c>
      <c r="AH62" s="8">
        <f t="shared" si="18"/>
        <v>-4.8129113000561219E-8</v>
      </c>
      <c r="AI62" s="8">
        <f t="shared" si="19"/>
        <v>-7.3717902172060183E-16</v>
      </c>
      <c r="AJ62" s="8">
        <f t="shared" si="20"/>
        <v>5.3700021049169768E-15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0.12836086750030518</v>
      </c>
      <c r="AD63" s="8">
        <f t="shared" si="15"/>
        <v>1.531669660548296E-8</v>
      </c>
      <c r="AE63" s="8">
        <f t="shared" si="23"/>
        <v>0.12836092710494995</v>
      </c>
      <c r="AF63" s="8">
        <f t="shared" si="16"/>
        <v>-4.8129113000561219E-8</v>
      </c>
      <c r="AG63" s="8">
        <f t="shared" si="17"/>
        <v>0.12836089730262756</v>
      </c>
      <c r="AH63" s="8">
        <f t="shared" si="18"/>
        <v>-1.6406208086516827E-8</v>
      </c>
      <c r="AI63" s="8">
        <f t="shared" si="19"/>
        <v>-2.5128891170759936E-16</v>
      </c>
      <c r="AJ63" s="8">
        <f t="shared" si="20"/>
        <v>7.8961624290668963E-16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0.12836086750030518</v>
      </c>
      <c r="AD64" s="8">
        <f t="shared" si="15"/>
        <v>1.531669660548296E-8</v>
      </c>
      <c r="AE64" s="8">
        <f t="shared" si="23"/>
        <v>0.12836089730262756</v>
      </c>
      <c r="AF64" s="8">
        <f t="shared" si="16"/>
        <v>-1.6406208086516827E-8</v>
      </c>
      <c r="AG64" s="8">
        <f t="shared" si="17"/>
        <v>0.12836088240146637</v>
      </c>
      <c r="AH64" s="8">
        <f t="shared" si="18"/>
        <v>-5.4475571276135781E-10</v>
      </c>
      <c r="AI64" s="8">
        <f t="shared" si="19"/>
        <v>-8.3438579764693389E-18</v>
      </c>
      <c r="AJ64" s="8">
        <f t="shared" si="20"/>
        <v>8.9373755798816256E-18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0.12836086750030518</v>
      </c>
      <c r="AD65" s="8">
        <f t="shared" si="15"/>
        <v>1.531669660548296E-8</v>
      </c>
      <c r="AE65" s="8">
        <f t="shared" si="23"/>
        <v>0.12836088240146637</v>
      </c>
      <c r="AF65" s="8">
        <f t="shared" si="16"/>
        <v>-5.4475571276135781E-10</v>
      </c>
      <c r="AG65" s="8">
        <f t="shared" si="17"/>
        <v>0.12836087495088577</v>
      </c>
      <c r="AH65" s="8">
        <f t="shared" si="18"/>
        <v>7.3859704463608011E-9</v>
      </c>
      <c r="AI65" s="8">
        <f t="shared" si="19"/>
        <v>1.1312866846397195E-16</v>
      </c>
      <c r="AJ65" s="8">
        <f t="shared" si="20"/>
        <v>-4.0235495949416023E-18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0.12836087495088577</v>
      </c>
      <c r="AD66" s="8">
        <f t="shared" si="15"/>
        <v>7.3859704463608011E-9</v>
      </c>
      <c r="AE66" s="8">
        <f t="shared" si="23"/>
        <v>0.12836088240146637</v>
      </c>
      <c r="AF66" s="8">
        <f t="shared" si="16"/>
        <v>-5.4475571276135781E-10</v>
      </c>
      <c r="AG66" s="8">
        <f t="shared" si="17"/>
        <v>0.12836087867617607</v>
      </c>
      <c r="AH66" s="8">
        <f t="shared" si="18"/>
        <v>3.4206073806775095E-9</v>
      </c>
      <c r="AI66" s="8">
        <f t="shared" si="19"/>
        <v>2.5264505022287717E-17</v>
      </c>
      <c r="AJ66" s="8">
        <f t="shared" si="20"/>
        <v>-1.8633954117377379E-18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0.12836087867617607</v>
      </c>
      <c r="AD67" s="8">
        <f t="shared" si="15"/>
        <v>3.4206073806775095E-9</v>
      </c>
      <c r="AE67" s="8">
        <f t="shared" si="23"/>
        <v>0.12836088240146637</v>
      </c>
      <c r="AF67" s="8">
        <f t="shared" si="16"/>
        <v>-5.4475571276135781E-10</v>
      </c>
      <c r="AG67" s="8">
        <f t="shared" si="17"/>
        <v>0.12836088053882122</v>
      </c>
      <c r="AH67" s="8">
        <f t="shared" si="18"/>
        <v>1.4379258339580758E-9</v>
      </c>
      <c r="AI67" s="8">
        <f t="shared" si="19"/>
        <v>4.9185797205038572E-18</v>
      </c>
      <c r="AJ67" s="8">
        <f t="shared" si="20"/>
        <v>-7.8331831257580144E-19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0.12836088053882122</v>
      </c>
      <c r="AD68" s="8">
        <f t="shared" si="15"/>
        <v>1.4379258339580758E-9</v>
      </c>
      <c r="AE68" s="8">
        <f t="shared" si="23"/>
        <v>0.12836088240146637</v>
      </c>
      <c r="AF68" s="8">
        <f t="shared" si="16"/>
        <v>-5.4475571276135781E-10</v>
      </c>
      <c r="AG68" s="8">
        <f t="shared" si="17"/>
        <v>0.1283608814701438</v>
      </c>
      <c r="AH68" s="8">
        <f t="shared" si="18"/>
        <v>4.4658507447614681E-10</v>
      </c>
      <c r="AI68" s="8">
        <f t="shared" si="19"/>
        <v>6.4215621564934281E-19</v>
      </c>
      <c r="AJ68" s="8">
        <f t="shared" si="20"/>
        <v>-2.4327977055483742E-19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0.1283608814701438</v>
      </c>
      <c r="AD69" s="8">
        <f t="shared" si="15"/>
        <v>4.4658507447614681E-10</v>
      </c>
      <c r="AE69" s="8">
        <f t="shared" si="23"/>
        <v>0.12836088240146637</v>
      </c>
      <c r="AF69" s="8">
        <f t="shared" si="16"/>
        <v>-5.4475571276135781E-10</v>
      </c>
      <c r="AG69" s="8">
        <f t="shared" si="17"/>
        <v>0.12836088193580508</v>
      </c>
      <c r="AH69" s="8">
        <f t="shared" si="18"/>
        <v>-4.9085319142605499E-11</v>
      </c>
      <c r="AI69" s="8">
        <f t="shared" si="19"/>
        <v>-2.1920770904985912E-20</v>
      </c>
      <c r="AJ69" s="8">
        <f t="shared" si="20"/>
        <v>2.6739508015648779E-20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8.8295040538197062E-2</v>
      </c>
      <c r="AE74" s="9">
        <v>1</v>
      </c>
      <c r="AF74" s="8">
        <f xml:space="preserve"> $C$18 * TAN($W$17/180*PI()) + $W$20 / (2 * SQRT($C$18^2 + AE74^2)) - AE74</f>
        <v>-0.95037067444897305</v>
      </c>
      <c r="AG74" s="8">
        <f xml:space="preserve"> (AC74 + AE74)/2</f>
        <v>0.5</v>
      </c>
      <c r="AH74" s="8">
        <f xml:space="preserve"> $C$18 * TAN($W$17/180*PI()) + $W$20 / (2 * SQRT($C$18^2 + AG74^2)) - AG74</f>
        <v>-0.43804651990271881</v>
      </c>
      <c r="AI74" s="8">
        <f>AD74*AH74</f>
        <v>-3.8677335232426703E-2</v>
      </c>
      <c r="AJ74" s="8">
        <f>AF74*AH74</f>
        <v>0.41630656655997239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8.8295040538197062E-2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-0.43804651990271881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-0.1742803658370452</v>
      </c>
      <c r="AI75" s="8">
        <f t="shared" ref="AI75:AI104" si="28">AD75*AH75</f>
        <v>-1.5388091966593721E-2</v>
      </c>
      <c r="AJ75" s="8">
        <f t="shared" ref="AJ75:AJ104" si="29">AF75*AH75</f>
        <v>7.6342907742290342E-2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8.8295040538197062E-2</v>
      </c>
      <c r="AE76" s="8">
        <f t="shared" ref="AE76:AE104" si="32">IF(AJ75&gt;0, AG75, AE75)</f>
        <v>0.25</v>
      </c>
      <c r="AF76" s="8">
        <f t="shared" si="25"/>
        <v>-0.1742803658370452</v>
      </c>
      <c r="AG76" s="8">
        <f t="shared" si="26"/>
        <v>0.125</v>
      </c>
      <c r="AH76" s="8">
        <f t="shared" si="27"/>
        <v>-4.0878504601155441E-2</v>
      </c>
      <c r="AI76" s="8">
        <f t="shared" si="28"/>
        <v>-3.6093692208998946E-3</v>
      </c>
      <c r="AJ76" s="8">
        <f t="shared" si="29"/>
        <v>7.1243207367607062E-3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8.8295040538197062E-2</v>
      </c>
      <c r="AE77" s="8">
        <f t="shared" si="32"/>
        <v>0.125</v>
      </c>
      <c r="AF77" s="8">
        <f t="shared" si="25"/>
        <v>-4.0878504601155441E-2</v>
      </c>
      <c r="AG77" s="8">
        <f t="shared" si="26"/>
        <v>6.25E-2</v>
      </c>
      <c r="AH77" s="8">
        <f t="shared" si="27"/>
        <v>2.4654600366737542E-2</v>
      </c>
      <c r="AI77" s="8">
        <f t="shared" si="28"/>
        <v>2.1768789388341395E-3</v>
      </c>
      <c r="AJ77" s="8">
        <f t="shared" si="29"/>
        <v>-1.0078431945313292E-3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6.25E-2</v>
      </c>
      <c r="AD78" s="8">
        <f t="shared" si="24"/>
        <v>2.4654600366737542E-2</v>
      </c>
      <c r="AE78" s="8">
        <f t="shared" si="32"/>
        <v>0.125</v>
      </c>
      <c r="AF78" s="8">
        <f t="shared" si="25"/>
        <v>-4.0878504601155441E-2</v>
      </c>
      <c r="AG78" s="8">
        <f t="shared" si="26"/>
        <v>9.375E-2</v>
      </c>
      <c r="AH78" s="8">
        <f t="shared" si="27"/>
        <v>-7.9246977251994921E-3</v>
      </c>
      <c r="AI78" s="8">
        <f t="shared" si="28"/>
        <v>-1.9538025544198757E-4</v>
      </c>
      <c r="AJ78" s="8">
        <f t="shared" si="29"/>
        <v>3.2394979242233351E-4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6.25E-2</v>
      </c>
      <c r="AD79" s="8">
        <f t="shared" si="24"/>
        <v>2.4654600366737542E-2</v>
      </c>
      <c r="AE79" s="8">
        <f t="shared" si="32"/>
        <v>9.375E-2</v>
      </c>
      <c r="AF79" s="8">
        <f t="shared" si="25"/>
        <v>-7.9246977251994921E-3</v>
      </c>
      <c r="AG79" s="8">
        <f t="shared" si="26"/>
        <v>7.8125E-2</v>
      </c>
      <c r="AH79" s="8">
        <f t="shared" si="27"/>
        <v>8.4188838046463099E-3</v>
      </c>
      <c r="AI79" s="8">
        <f t="shared" si="28"/>
        <v>2.0756421573755367E-4</v>
      </c>
      <c r="AJ79" s="8">
        <f t="shared" si="29"/>
        <v>-6.6717109335399463E-5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7.8125E-2</v>
      </c>
      <c r="AD80" s="8">
        <f t="shared" si="24"/>
        <v>8.4188838046463099E-3</v>
      </c>
      <c r="AE80" s="8">
        <f t="shared" si="32"/>
        <v>9.375E-2</v>
      </c>
      <c r="AF80" s="8">
        <f t="shared" si="25"/>
        <v>-7.9246977251994921E-3</v>
      </c>
      <c r="AG80" s="8">
        <f t="shared" si="26"/>
        <v>8.59375E-2</v>
      </c>
      <c r="AH80" s="8">
        <f t="shared" si="27"/>
        <v>2.5971693211704339E-4</v>
      </c>
      <c r="AI80" s="8">
        <f t="shared" si="28"/>
        <v>2.1865266735926014E-6</v>
      </c>
      <c r="AJ80" s="8">
        <f t="shared" si="29"/>
        <v>-2.0581781811437245E-6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8.59375E-2</v>
      </c>
      <c r="AD81" s="8">
        <f t="shared" si="24"/>
        <v>2.5971693211704339E-4</v>
      </c>
      <c r="AE81" s="8">
        <f t="shared" si="32"/>
        <v>9.375E-2</v>
      </c>
      <c r="AF81" s="8">
        <f t="shared" si="25"/>
        <v>-7.9246977251994921E-3</v>
      </c>
      <c r="AG81" s="8">
        <f t="shared" si="26"/>
        <v>8.984375E-2</v>
      </c>
      <c r="AH81" s="8">
        <f t="shared" si="27"/>
        <v>-3.8294455313723635E-3</v>
      </c>
      <c r="AI81" s="8">
        <f t="shared" si="28"/>
        <v>-9.9457184511735135E-7</v>
      </c>
      <c r="AJ81" s="8">
        <f t="shared" si="29"/>
        <v>3.0347198291241929E-5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8.59375E-2</v>
      </c>
      <c r="AD82" s="8">
        <f t="shared" si="24"/>
        <v>2.5971693211704339E-4</v>
      </c>
      <c r="AE82" s="8">
        <f t="shared" si="32"/>
        <v>8.984375E-2</v>
      </c>
      <c r="AF82" s="8">
        <f t="shared" si="25"/>
        <v>-3.8294455313723635E-3</v>
      </c>
      <c r="AG82" s="8">
        <f t="shared" si="26"/>
        <v>8.7890625E-2</v>
      </c>
      <c r="AH82" s="8">
        <f t="shared" si="27"/>
        <v>-1.7840890635689444E-3</v>
      </c>
      <c r="AI82" s="8">
        <f t="shared" si="28"/>
        <v>-4.6335813821369504E-7</v>
      </c>
      <c r="AJ82" s="8">
        <f t="shared" si="29"/>
        <v>6.8320718920543985E-6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8.59375E-2</v>
      </c>
      <c r="AD83" s="8">
        <f t="shared" si="24"/>
        <v>2.5971693211704339E-4</v>
      </c>
      <c r="AE83" s="8">
        <f t="shared" si="32"/>
        <v>8.7890625E-2</v>
      </c>
      <c r="AF83" s="8">
        <f t="shared" si="25"/>
        <v>-1.7840890635689444E-3</v>
      </c>
      <c r="AG83" s="8">
        <f t="shared" si="26"/>
        <v>8.69140625E-2</v>
      </c>
      <c r="AH83" s="8">
        <f t="shared" si="27"/>
        <v>-7.619905147090017E-4</v>
      </c>
      <c r="AI83" s="8">
        <f t="shared" si="28"/>
        <v>-1.9790183878250875E-7</v>
      </c>
      <c r="AJ83" s="8">
        <f t="shared" si="29"/>
        <v>1.3594589438356009E-6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8.59375E-2</v>
      </c>
      <c r="AD84" s="8">
        <f t="shared" si="24"/>
        <v>2.5971693211704339E-4</v>
      </c>
      <c r="AE84" s="8">
        <f t="shared" si="32"/>
        <v>8.69140625E-2</v>
      </c>
      <c r="AF84" s="8">
        <f t="shared" si="25"/>
        <v>-7.619905147090017E-4</v>
      </c>
      <c r="AG84" s="8">
        <f t="shared" si="26"/>
        <v>8.642578125E-2</v>
      </c>
      <c r="AH84" s="8">
        <f t="shared" si="27"/>
        <v>-2.5108768649842461E-4</v>
      </c>
      <c r="AI84" s="8">
        <f t="shared" si="28"/>
        <v>-6.5211723629736812E-8</v>
      </c>
      <c r="AJ84" s="8">
        <f t="shared" si="29"/>
        <v>1.9132643547202702E-7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8.59375E-2</v>
      </c>
      <c r="AD85" s="8">
        <f t="shared" si="24"/>
        <v>2.5971693211704339E-4</v>
      </c>
      <c r="AE85" s="8">
        <f t="shared" si="32"/>
        <v>8.642578125E-2</v>
      </c>
      <c r="AF85" s="8">
        <f t="shared" si="25"/>
        <v>-2.5108768649842461E-4</v>
      </c>
      <c r="AG85" s="8">
        <f t="shared" si="26"/>
        <v>8.6181640625E-2</v>
      </c>
      <c r="AH85" s="8">
        <f t="shared" si="27"/>
        <v>4.3269260932843334E-6</v>
      </c>
      <c r="AI85" s="8">
        <f t="shared" si="28"/>
        <v>1.123775970444991E-9</v>
      </c>
      <c r="AJ85" s="8">
        <f t="shared" si="29"/>
        <v>-1.0864378624124299E-9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8.6181640625E-2</v>
      </c>
      <c r="AD86" s="8">
        <f t="shared" si="24"/>
        <v>4.3269260932843334E-6</v>
      </c>
      <c r="AE86" s="8">
        <f t="shared" si="32"/>
        <v>8.642578125E-2</v>
      </c>
      <c r="AF86" s="8">
        <f t="shared" si="25"/>
        <v>-2.5108768649842461E-4</v>
      </c>
      <c r="AG86" s="8">
        <f t="shared" si="26"/>
        <v>8.63037109375E-2</v>
      </c>
      <c r="AH86" s="8">
        <f t="shared" si="27"/>
        <v>-1.2337730776507128E-4</v>
      </c>
      <c r="AI86" s="8">
        <f t="shared" si="28"/>
        <v>-5.3384449228785867E-10</v>
      </c>
      <c r="AJ86" s="8">
        <f t="shared" si="29"/>
        <v>3.0978522773135863E-8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8.6181640625E-2</v>
      </c>
      <c r="AD87" s="8">
        <f t="shared" si="24"/>
        <v>4.3269260932843334E-6</v>
      </c>
      <c r="AE87" s="8">
        <f t="shared" si="32"/>
        <v>8.63037109375E-2</v>
      </c>
      <c r="AF87" s="8">
        <f t="shared" si="25"/>
        <v>-1.2337730776507128E-4</v>
      </c>
      <c r="AG87" s="8">
        <f t="shared" si="26"/>
        <v>8.624267578125E-2</v>
      </c>
      <c r="AH87" s="8">
        <f t="shared" si="27"/>
        <v>-5.9524422303475211E-5</v>
      </c>
      <c r="AI87" s="8">
        <f t="shared" si="28"/>
        <v>-2.5755777605258283E-10</v>
      </c>
      <c r="AJ87" s="8">
        <f t="shared" si="29"/>
        <v>7.343962970073934E-9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8.6181640625E-2</v>
      </c>
      <c r="AD88" s="8">
        <f t="shared" si="24"/>
        <v>4.3269260932843334E-6</v>
      </c>
      <c r="AE88" s="8">
        <f t="shared" si="32"/>
        <v>8.624267578125E-2</v>
      </c>
      <c r="AF88" s="8">
        <f t="shared" si="25"/>
        <v>-5.9524422303475211E-5</v>
      </c>
      <c r="AG88" s="8">
        <f t="shared" si="26"/>
        <v>8.6212158203125E-2</v>
      </c>
      <c r="AH88" s="8">
        <f t="shared" si="27"/>
        <v>-2.7598555919119971E-5</v>
      </c>
      <c r="AI88" s="8">
        <f t="shared" si="28"/>
        <v>-1.1941691174340698E-10</v>
      </c>
      <c r="AJ88" s="8">
        <f t="shared" si="29"/>
        <v>1.6427880974957726E-9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8.6181640625E-2</v>
      </c>
      <c r="AD89" s="8">
        <f t="shared" si="24"/>
        <v>4.3269260932843334E-6</v>
      </c>
      <c r="AE89" s="8">
        <f t="shared" si="32"/>
        <v>8.6212158203125E-2</v>
      </c>
      <c r="AF89" s="8">
        <f t="shared" si="25"/>
        <v>-2.7598555919119971E-5</v>
      </c>
      <c r="AG89" s="8">
        <f t="shared" si="26"/>
        <v>8.61968994140625E-2</v>
      </c>
      <c r="AH89" s="8">
        <f t="shared" si="27"/>
        <v>-1.1635766859821595E-5</v>
      </c>
      <c r="AI89" s="8">
        <f t="shared" si="28"/>
        <v>-5.0347103241135169E-11</v>
      </c>
      <c r="AJ89" s="8">
        <f t="shared" si="29"/>
        <v>3.2113036234262927E-10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8.6181640625E-2</v>
      </c>
      <c r="AD90" s="8">
        <f t="shared" si="24"/>
        <v>4.3269260932843334E-6</v>
      </c>
      <c r="AE90" s="8">
        <f t="shared" si="32"/>
        <v>8.61968994140625E-2</v>
      </c>
      <c r="AF90" s="8">
        <f t="shared" si="25"/>
        <v>-1.1635766859821595E-5</v>
      </c>
      <c r="AG90" s="8">
        <f t="shared" si="26"/>
        <v>8.618927001953125E-2</v>
      </c>
      <c r="AH90" s="8">
        <f t="shared" si="27"/>
        <v>-3.654408369163642E-6</v>
      </c>
      <c r="AI90" s="8">
        <f t="shared" si="28"/>
        <v>-1.581235492805081E-11</v>
      </c>
      <c r="AJ90" s="8">
        <f t="shared" si="29"/>
        <v>4.2521843794168988E-11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8.6181640625E-2</v>
      </c>
      <c r="AD91" s="8">
        <f t="shared" si="24"/>
        <v>4.3269260932843334E-6</v>
      </c>
      <c r="AE91" s="8">
        <f t="shared" si="32"/>
        <v>8.618927001953125E-2</v>
      </c>
      <c r="AF91" s="8">
        <f t="shared" si="25"/>
        <v>-3.654408369163642E-6</v>
      </c>
      <c r="AG91" s="8">
        <f t="shared" si="26"/>
        <v>8.6185455322265625E-2</v>
      </c>
      <c r="AH91" s="8">
        <f t="shared" si="27"/>
        <v>3.3626186567159433E-7</v>
      </c>
      <c r="AI91" s="8">
        <f t="shared" si="28"/>
        <v>1.454980240750893E-12</v>
      </c>
      <c r="AJ91" s="8">
        <f t="shared" si="29"/>
        <v>-1.2288381761408547E-12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8.6185455322265625E-2</v>
      </c>
      <c r="AD92" s="8">
        <f t="shared" si="24"/>
        <v>3.3626186567159433E-7</v>
      </c>
      <c r="AE92" s="8">
        <f t="shared" si="32"/>
        <v>8.618927001953125E-2</v>
      </c>
      <c r="AF92" s="8">
        <f t="shared" si="25"/>
        <v>-3.654408369163642E-6</v>
      </c>
      <c r="AG92" s="8">
        <f t="shared" si="26"/>
        <v>8.6187362670898438E-2</v>
      </c>
      <c r="AH92" s="8">
        <f t="shared" si="27"/>
        <v>-1.65907250085362E-6</v>
      </c>
      <c r="AI92" s="8">
        <f t="shared" si="28"/>
        <v>-5.5788281442147609E-13</v>
      </c>
      <c r="AJ92" s="8">
        <f t="shared" si="29"/>
        <v>6.0629284321687222E-12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8.6185455322265625E-2</v>
      </c>
      <c r="AD93" s="8">
        <f t="shared" si="24"/>
        <v>3.3626186567159433E-7</v>
      </c>
      <c r="AE93" s="8">
        <f t="shared" si="32"/>
        <v>8.6187362670898438E-2</v>
      </c>
      <c r="AF93" s="8">
        <f t="shared" si="25"/>
        <v>-1.65907250085362E-6</v>
      </c>
      <c r="AG93" s="8">
        <f t="shared" si="26"/>
        <v>8.6186408996582031E-2</v>
      </c>
      <c r="AH93" s="8">
        <f t="shared" si="27"/>
        <v>-6.6140512985923827E-7</v>
      </c>
      <c r="AI93" s="8">
        <f t="shared" si="28"/>
        <v>-2.2240532293123059E-13</v>
      </c>
      <c r="AJ93" s="8">
        <f t="shared" si="29"/>
        <v>1.0973190628729798E-12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8.6185455322265625E-2</v>
      </c>
      <c r="AD94" s="8">
        <f t="shared" si="24"/>
        <v>3.3626186567159433E-7</v>
      </c>
      <c r="AE94" s="8">
        <f t="shared" si="32"/>
        <v>8.6186408996582031E-2</v>
      </c>
      <c r="AF94" s="8">
        <f t="shared" si="25"/>
        <v>-6.6140512985923827E-7</v>
      </c>
      <c r="AG94" s="8">
        <f t="shared" si="26"/>
        <v>8.6185932159423828E-2</v>
      </c>
      <c r="AH94" s="8">
        <f t="shared" si="27"/>
        <v>-1.625715851660825E-7</v>
      </c>
      <c r="AI94" s="8">
        <f t="shared" si="28"/>
        <v>-5.466662453313539E-14</v>
      </c>
      <c r="AJ94" s="8">
        <f t="shared" si="29"/>
        <v>1.0752568039819502E-13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8.6185455322265625E-2</v>
      </c>
      <c r="AD95" s="8">
        <f t="shared" si="24"/>
        <v>3.3626186567159433E-7</v>
      </c>
      <c r="AE95" s="8">
        <f t="shared" si="32"/>
        <v>8.6185932159423828E-2</v>
      </c>
      <c r="AF95" s="8">
        <f t="shared" si="25"/>
        <v>-1.625715851660825E-7</v>
      </c>
      <c r="AG95" s="8">
        <f t="shared" si="26"/>
        <v>8.6185693740844727E-2</v>
      </c>
      <c r="AH95" s="8">
        <f t="shared" si="27"/>
        <v>8.6845151986425506E-8</v>
      </c>
      <c r="AI95" s="8">
        <f t="shared" si="28"/>
        <v>2.9202712831488609E-14</v>
      </c>
      <c r="AJ95" s="8">
        <f t="shared" si="29"/>
        <v>-1.4118554022422553E-14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8.6185693740844727E-2</v>
      </c>
      <c r="AD96" s="8">
        <f t="shared" si="24"/>
        <v>8.6845151986425506E-8</v>
      </c>
      <c r="AE96" s="8">
        <f t="shared" si="32"/>
        <v>8.6185932159423828E-2</v>
      </c>
      <c r="AF96" s="8">
        <f t="shared" si="25"/>
        <v>-1.625715851660825E-7</v>
      </c>
      <c r="AG96" s="8">
        <f t="shared" si="26"/>
        <v>8.6185812950134277E-2</v>
      </c>
      <c r="AH96" s="8">
        <f t="shared" si="27"/>
        <v>-3.7863213647737481E-8</v>
      </c>
      <c r="AI96" s="8">
        <f t="shared" si="28"/>
        <v>-3.288236543932262E-15</v>
      </c>
      <c r="AJ96" s="8">
        <f t="shared" si="29"/>
        <v>6.1554826621947308E-15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8.6185693740844727E-2</v>
      </c>
      <c r="AD97" s="8">
        <f t="shared" si="24"/>
        <v>8.6845151986425506E-8</v>
      </c>
      <c r="AE97" s="8">
        <f t="shared" si="32"/>
        <v>8.6185812950134277E-2</v>
      </c>
      <c r="AF97" s="8">
        <f t="shared" si="25"/>
        <v>-3.7863213647737481E-8</v>
      </c>
      <c r="AG97" s="8">
        <f t="shared" si="26"/>
        <v>8.6185753345489502E-2</v>
      </c>
      <c r="AH97" s="8">
        <f t="shared" si="27"/>
        <v>2.4490969890988978E-8</v>
      </c>
      <c r="AI97" s="8">
        <f t="shared" si="28"/>
        <v>2.1269220024779086E-15</v>
      </c>
      <c r="AJ97" s="8">
        <f t="shared" si="29"/>
        <v>-9.2730682542282161E-16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8.6185753345489502E-2</v>
      </c>
      <c r="AD98" s="8">
        <f t="shared" si="24"/>
        <v>2.4490969890988978E-8</v>
      </c>
      <c r="AE98" s="8">
        <f t="shared" si="32"/>
        <v>8.6185812950134277E-2</v>
      </c>
      <c r="AF98" s="8">
        <f t="shared" si="25"/>
        <v>-3.7863213647737481E-8</v>
      </c>
      <c r="AG98" s="8">
        <f t="shared" si="26"/>
        <v>8.618578314781189E-2</v>
      </c>
      <c r="AH98" s="8">
        <f t="shared" si="27"/>
        <v>-6.6861216840852222E-9</v>
      </c>
      <c r="AI98" s="8">
        <f t="shared" si="28"/>
        <v>-1.637496048524197E-16</v>
      </c>
      <c r="AJ98" s="8">
        <f t="shared" si="29"/>
        <v>2.5315805379928908E-16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8.6185753345489502E-2</v>
      </c>
      <c r="AD99" s="8">
        <f t="shared" si="24"/>
        <v>2.4490969890988978E-8</v>
      </c>
      <c r="AE99" s="8">
        <f t="shared" si="32"/>
        <v>8.618578314781189E-2</v>
      </c>
      <c r="AF99" s="8">
        <f t="shared" si="25"/>
        <v>-6.6861216840852222E-9</v>
      </c>
      <c r="AG99" s="8">
        <f t="shared" si="26"/>
        <v>8.6185768246650696E-2</v>
      </c>
      <c r="AH99" s="8">
        <f t="shared" si="27"/>
        <v>8.9024241589630293E-9</v>
      </c>
      <c r="AI99" s="8">
        <f t="shared" si="28"/>
        <v>2.1802900203397642E-16</v>
      </c>
      <c r="AJ99" s="8">
        <f t="shared" si="29"/>
        <v>-5.9522691210166863E-17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8.6185768246650696E-2</v>
      </c>
      <c r="AD100" s="8">
        <f t="shared" si="24"/>
        <v>8.9024241589630293E-9</v>
      </c>
      <c r="AE100" s="8">
        <f t="shared" si="32"/>
        <v>8.618578314781189E-2</v>
      </c>
      <c r="AF100" s="8">
        <f t="shared" si="25"/>
        <v>-6.6861216840852222E-9</v>
      </c>
      <c r="AG100" s="8">
        <f t="shared" si="26"/>
        <v>8.6185775697231293E-2</v>
      </c>
      <c r="AH100" s="8">
        <f t="shared" si="27"/>
        <v>1.1081512374389035E-9</v>
      </c>
      <c r="AI100" s="8">
        <f t="shared" si="28"/>
        <v>9.865232347960871E-18</v>
      </c>
      <c r="AJ100" s="8">
        <f t="shared" si="29"/>
        <v>-7.4092340178861247E-18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8.6185775697231293E-2</v>
      </c>
      <c r="AD101" s="8">
        <f t="shared" si="24"/>
        <v>1.1081512374389035E-9</v>
      </c>
      <c r="AE101" s="8">
        <f t="shared" si="32"/>
        <v>8.618578314781189E-2</v>
      </c>
      <c r="AF101" s="8">
        <f t="shared" si="25"/>
        <v>-6.6861216840852222E-9</v>
      </c>
      <c r="AG101" s="8">
        <f t="shared" si="26"/>
        <v>8.6185779422521591E-2</v>
      </c>
      <c r="AH101" s="8">
        <f t="shared" si="27"/>
        <v>-2.7889852233231593E-9</v>
      </c>
      <c r="AI101" s="8">
        <f t="shared" si="28"/>
        <v>-3.0906174264243758E-18</v>
      </c>
      <c r="AJ101" s="8">
        <f t="shared" si="29"/>
        <v>1.8647494578254243E-17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8.6185775697231293E-2</v>
      </c>
      <c r="AD102" s="8">
        <f t="shared" si="24"/>
        <v>1.1081512374389035E-9</v>
      </c>
      <c r="AE102" s="8">
        <f t="shared" si="32"/>
        <v>8.6185779422521591E-2</v>
      </c>
      <c r="AF102" s="8">
        <f t="shared" si="25"/>
        <v>-2.7889852233231593E-9</v>
      </c>
      <c r="AG102" s="8">
        <f t="shared" si="26"/>
        <v>8.6185777559876442E-2</v>
      </c>
      <c r="AH102" s="8">
        <f t="shared" si="27"/>
        <v>-8.40416986003234E-10</v>
      </c>
      <c r="AI102" s="8">
        <f t="shared" si="28"/>
        <v>-9.3130912300415743E-19</v>
      </c>
      <c r="AJ102" s="8">
        <f t="shared" si="29"/>
        <v>2.3439105553928061E-18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8.6185775697231293E-2</v>
      </c>
      <c r="AD103" s="8">
        <f t="shared" si="24"/>
        <v>1.1081512374389035E-9</v>
      </c>
      <c r="AE103" s="8">
        <f t="shared" si="32"/>
        <v>8.6185777559876442E-2</v>
      </c>
      <c r="AF103" s="8">
        <f t="shared" si="25"/>
        <v>-8.40416986003234E-10</v>
      </c>
      <c r="AG103" s="8">
        <f t="shared" si="26"/>
        <v>8.6185776628553867E-2</v>
      </c>
      <c r="AH103" s="8">
        <f t="shared" si="27"/>
        <v>1.3386713959562258E-10</v>
      </c>
      <c r="AI103" s="8">
        <f t="shared" si="28"/>
        <v>1.483450363952956E-19</v>
      </c>
      <c r="AJ103" s="8">
        <f t="shared" si="29"/>
        <v>-1.1250421798382731E-19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8.6185776628553867E-2</v>
      </c>
      <c r="AD104" s="8">
        <f t="shared" si="24"/>
        <v>1.3386713959562258E-10</v>
      </c>
      <c r="AE104" s="8">
        <f t="shared" si="32"/>
        <v>8.6185777559876442E-2</v>
      </c>
      <c r="AF104" s="8">
        <f t="shared" si="25"/>
        <v>-8.40416986003234E-10</v>
      </c>
      <c r="AG104" s="8">
        <f t="shared" si="26"/>
        <v>8.6185777094215155E-2</v>
      </c>
      <c r="AH104" s="8">
        <f t="shared" si="27"/>
        <v>-3.5327493708159352E-10</v>
      </c>
      <c r="AI104" s="8">
        <f t="shared" si="28"/>
        <v>-4.7291905317936462E-20</v>
      </c>
      <c r="AJ104" s="8">
        <f t="shared" si="29"/>
        <v>2.9689825785259495E-19</v>
      </c>
      <c r="AK104" s="8">
        <f t="shared" si="30"/>
        <v>9.3132257461547852E-10</v>
      </c>
    </row>
  </sheetData>
  <mergeCells count="25">
    <mergeCell ref="V3:X3"/>
    <mergeCell ref="V11:X11"/>
    <mergeCell ref="V16:X16"/>
    <mergeCell ref="F10:H10"/>
    <mergeCell ref="F26:H26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1:P11"/>
    <mergeCell ref="N16:P16"/>
    <mergeCell ref="J3:L3"/>
    <mergeCell ref="B24:D24"/>
    <mergeCell ref="B29:D29"/>
    <mergeCell ref="J30:L30"/>
    <mergeCell ref="J8:L8"/>
    <mergeCell ref="F37:H37"/>
  </mergeCells>
  <conditionalFormatting sqref="K27">
    <cfRule type="containsText" dxfId="11" priority="1" operator="containsText" text="FALSE">
      <formula>NOT(ISERROR(SEARCH("FALSE",K27)))</formula>
    </cfRule>
    <cfRule type="containsText" dxfId="10" priority="2" operator="containsText" text="TRUE">
      <formula>NOT(ISERROR(SEARCH("TRUE",K27)))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tabSelected="1" workbookViewId="0">
      <selection activeCell="C28" sqref="C28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41" t="s">
        <v>0</v>
      </c>
      <c r="C1" s="41"/>
      <c r="D1" s="41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38"/>
      <c r="D3" s="38"/>
      <c r="F3" s="43" t="s">
        <v>110</v>
      </c>
      <c r="G3" s="44"/>
      <c r="H3" s="44"/>
      <c r="J3" s="37" t="s">
        <v>157</v>
      </c>
      <c r="K3" s="37"/>
      <c r="L3" s="37"/>
      <c r="N3" s="45" t="s">
        <v>136</v>
      </c>
      <c r="O3" s="45"/>
      <c r="P3" s="45"/>
      <c r="R3" s="45" t="s">
        <v>134</v>
      </c>
      <c r="S3" s="45"/>
      <c r="T3" s="45"/>
      <c r="V3" s="45" t="s">
        <v>148</v>
      </c>
      <c r="W3" s="45"/>
      <c r="X3" s="45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325.9886425739644</v>
      </c>
      <c r="L4" t="s">
        <v>162</v>
      </c>
      <c r="N4" t="s">
        <v>36</v>
      </c>
      <c r="O4">
        <f>$C$17*$C$31*COS(G16/180*PI())</f>
        <v>11692.788493728132</v>
      </c>
      <c r="P4" t="s">
        <v>31</v>
      </c>
      <c r="R4" t="s">
        <v>36</v>
      </c>
      <c r="S4">
        <f xml:space="preserve"> $C$17 * $C$31</f>
        <v>11734.924720301116</v>
      </c>
      <c r="T4" t="s">
        <v>31</v>
      </c>
      <c r="V4" t="s">
        <v>36</v>
      </c>
      <c r="W4">
        <f>$C$17*$C$31*COS(G32/180*PI())</f>
        <v>11719.773130721765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1.0921945342097461</v>
      </c>
      <c r="AE4" s="9">
        <v>1</v>
      </c>
      <c r="AF4" s="8">
        <f xml:space="preserve"> $S$19 * TAN($S$16/180*PI()) + $S$20 / (2 * SQRT($S$19^2 + AE4^2)) - AE4</f>
        <v>-0.66140652402501099</v>
      </c>
      <c r="AG4" s="8">
        <f xml:space="preserve"> (AC4 + AE4)/2</f>
        <v>0.5</v>
      </c>
      <c r="AH4" s="8">
        <f xml:space="preserve"> $S$19 * TAN($S$16/180*PI()) + $S$20 / (2 * SQRT($S$19^2 + AG4^2)) - AG4</f>
        <v>-0.13996117563017896</v>
      </c>
      <c r="AI4" s="8">
        <f>AD4*AH4</f>
        <v>-0.15286483102485177</v>
      </c>
      <c r="AJ4" s="8">
        <f>AF4*AH4</f>
        <v>9.2571234672010741E-2</v>
      </c>
      <c r="AK4" s="8">
        <f>AE4-AC4</f>
        <v>1</v>
      </c>
      <c r="AM4" s="8">
        <v>0</v>
      </c>
      <c r="AN4" s="8"/>
      <c r="AO4" s="8">
        <f>K30</f>
        <v>-3.4685854188865051E-10</v>
      </c>
      <c r="AP4" s="8"/>
      <c r="AQ4" s="8">
        <f>K30</f>
        <v>-3.4685854188865051E-10</v>
      </c>
      <c r="AR4" s="8"/>
      <c r="AS4" s="8">
        <f>K30</f>
        <v>-3.4685854188865051E-10</v>
      </c>
      <c r="AT4" s="8"/>
      <c r="AU4" s="8"/>
      <c r="AV4" s="8"/>
    </row>
    <row r="5" spans="2:48" x14ac:dyDescent="0.2">
      <c r="B5" t="s">
        <v>144</v>
      </c>
      <c r="C5" s="1">
        <v>4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81.4971606434911</v>
      </c>
      <c r="L5" t="s">
        <v>162</v>
      </c>
      <c r="N5" t="s">
        <v>37</v>
      </c>
      <c r="O5">
        <f>0.5*$C$30*$G$11^2</f>
        <v>551.25</v>
      </c>
      <c r="P5" t="s">
        <v>38</v>
      </c>
      <c r="R5" t="s">
        <v>37</v>
      </c>
      <c r="S5">
        <f xml:space="preserve"> 0.5 * $C$30 * $C$20^2</f>
        <v>551.25</v>
      </c>
      <c r="T5" t="s">
        <v>38</v>
      </c>
      <c r="V5" t="s">
        <v>37</v>
      </c>
      <c r="W5">
        <f>0.5*$C$30*$G$27^2</f>
        <v>551.25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1.0921945342097461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-0.13996117563017896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0.15258636820717913</v>
      </c>
      <c r="AI5" s="8">
        <f t="shared" ref="AI5:AI34" si="4">AD5*AH5</f>
        <v>0.16665399735079683</v>
      </c>
      <c r="AJ5" s="8">
        <f t="shared" ref="AJ5:AJ34" si="5">AF5*AH5</f>
        <v>-2.1356167479416155E-2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-299.87788860553417</v>
      </c>
      <c r="AP5" s="9">
        <v>2500</v>
      </c>
      <c r="AQ5" s="8">
        <f t="dataTable" ref="AQ5:AQ44" dt2D="0" dtr="0" r1="C17" ca="1"/>
        <v>105.11631758556837</v>
      </c>
      <c r="AR5" s="8">
        <f>(AN5+AP5)/2</f>
        <v>1500</v>
      </c>
      <c r="AS5" s="8">
        <f t="dataTable" ref="AS5:AS44" dt2D="0" dtr="0" r1="C17"/>
        <v>85.955123570641717</v>
      </c>
      <c r="AT5" s="8">
        <f>AO5*AS5</f>
        <v>-25776.040971191822</v>
      </c>
      <c r="AU5" s="8">
        <f>AQ5*AS5</f>
        <v>9035.2860673583473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325.9886425739644</v>
      </c>
      <c r="H6" t="s">
        <v>162</v>
      </c>
      <c r="J6" t="s">
        <v>160</v>
      </c>
      <c r="K6">
        <f>MAX(G18,G23,G34)</f>
        <v>100.932902773311</v>
      </c>
      <c r="L6" t="s">
        <v>162</v>
      </c>
      <c r="N6" t="s">
        <v>55</v>
      </c>
      <c r="O6">
        <f xml:space="preserve"> 1.6 * ($C$17*2.20462/1000)^(2/3) * 0.3048^2</f>
        <v>0.28379984779260853</v>
      </c>
      <c r="P6" t="s">
        <v>18</v>
      </c>
      <c r="R6" t="s">
        <v>55</v>
      </c>
      <c r="S6">
        <f xml:space="preserve"> 1.6 * ($C$17*2.20462/1000)^(2/3) * 0.3048^2</f>
        <v>0.28379984779260853</v>
      </c>
      <c r="T6" t="s">
        <v>18</v>
      </c>
      <c r="V6" t="s">
        <v>55</v>
      </c>
      <c r="W6">
        <f xml:space="preserve"> 1.6 * ($C$17*2.20462/1000)^(2/3) * 0.3048^2</f>
        <v>0.28379984779260853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0.15258636820717913</v>
      </c>
      <c r="AE6" s="8">
        <f t="shared" ref="AE6:AE34" si="8">IF(AJ5&gt;0, AG5, AE5)</f>
        <v>0.5</v>
      </c>
      <c r="AF6" s="8">
        <f t="shared" si="1"/>
        <v>-0.13996117563017896</v>
      </c>
      <c r="AG6" s="8">
        <f t="shared" si="2"/>
        <v>0.375</v>
      </c>
      <c r="AH6" s="8">
        <f t="shared" si="3"/>
        <v>-7.1598778416337439E-4</v>
      </c>
      <c r="AI6" s="8">
        <f t="shared" si="4"/>
        <v>-1.0924997566619494E-4</v>
      </c>
      <c r="AJ6" s="8">
        <f t="shared" si="5"/>
        <v>1.0021049200835271E-4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-299.87788860553417</v>
      </c>
      <c r="AP6" s="8">
        <f>IF(AU5&gt;0,AR5,AP5)</f>
        <v>1500</v>
      </c>
      <c r="AQ6" s="8">
        <v>85.955123570641717</v>
      </c>
      <c r="AR6" s="8">
        <f t="shared" ref="AR6:AR44" si="9">(AN6+AP6)/2</f>
        <v>1000</v>
      </c>
      <c r="AS6" s="8">
        <v>-71.729655406419965</v>
      </c>
      <c r="AT6" s="8">
        <f t="shared" ref="AT6:AT44" si="10">AO6*AS6</f>
        <v>21510.137613679759</v>
      </c>
      <c r="AU6" s="8">
        <f t="shared" ref="AU6:AU44" si="11">AQ6*AS6</f>
        <v>-6165.5313941383765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2933.7311800752791</v>
      </c>
      <c r="H7" t="s">
        <v>31</v>
      </c>
      <c r="J7" t="s">
        <v>161</v>
      </c>
      <c r="K7">
        <f>K6/$C$6</f>
        <v>100.932902773311</v>
      </c>
      <c r="L7" t="s">
        <v>162</v>
      </c>
      <c r="N7" t="s">
        <v>56</v>
      </c>
      <c r="O7">
        <f xml:space="preserve"> O6 / $C$21</f>
        <v>3.5474980974076066E-2</v>
      </c>
      <c r="R7" t="s">
        <v>56</v>
      </c>
      <c r="S7">
        <f xml:space="preserve"> S6 / $C$21</f>
        <v>3.5474980974076066E-2</v>
      </c>
      <c r="V7" t="s">
        <v>56</v>
      </c>
      <c r="W7">
        <f xml:space="preserve"> W6 / $C$21</f>
        <v>3.5474980974076066E-2</v>
      </c>
      <c r="AB7" s="8">
        <v>3</v>
      </c>
      <c r="AC7" s="8">
        <f t="shared" si="7"/>
        <v>0.25</v>
      </c>
      <c r="AD7" s="8">
        <f t="shared" si="0"/>
        <v>0.15258636820717913</v>
      </c>
      <c r="AE7" s="8">
        <f t="shared" si="8"/>
        <v>0.375</v>
      </c>
      <c r="AF7" s="8">
        <f t="shared" si="1"/>
        <v>-7.1598778416337439E-4</v>
      </c>
      <c r="AG7" s="8">
        <f t="shared" si="2"/>
        <v>0.3125</v>
      </c>
      <c r="AH7" s="8">
        <f t="shared" si="3"/>
        <v>7.31390611544388E-2</v>
      </c>
      <c r="AI7" s="8">
        <f t="shared" si="4"/>
        <v>1.1160023715638592E-2</v>
      </c>
      <c r="AJ7" s="8">
        <f t="shared" si="5"/>
        <v>-5.2366674331756165E-5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-71.729655406419965</v>
      </c>
      <c r="AP7" s="8">
        <f t="shared" ref="AP7:AP44" si="14">IF(AU6&gt;0,AR6,AP6)</f>
        <v>1500</v>
      </c>
      <c r="AQ7" s="8">
        <v>85.955123570641717</v>
      </c>
      <c r="AR7" s="8">
        <f t="shared" si="9"/>
        <v>1250</v>
      </c>
      <c r="AS7" s="8">
        <v>17.388375255487404</v>
      </c>
      <c r="AT7" s="8">
        <f t="shared" si="10"/>
        <v>-1247.2621651536313</v>
      </c>
      <c r="AU7" s="8">
        <f t="shared" si="11"/>
        <v>1494.6199437781086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O7</f>
        <v>156.44466609567544</v>
      </c>
      <c r="P8" t="s">
        <v>31</v>
      </c>
      <c r="R8" t="s">
        <v>57</v>
      </c>
      <c r="S8">
        <f xml:space="preserve"> S5 * $C$21 * S7</f>
        <v>156.44466609567544</v>
      </c>
      <c r="T8" t="s">
        <v>31</v>
      </c>
      <c r="V8" t="s">
        <v>57</v>
      </c>
      <c r="W8">
        <f xml:space="preserve"> W5*W7*$C$21</f>
        <v>156.44466609567544</v>
      </c>
      <c r="X8" t="s">
        <v>31</v>
      </c>
      <c r="AB8" s="8">
        <v>4</v>
      </c>
      <c r="AC8" s="8">
        <f t="shared" si="7"/>
        <v>0.3125</v>
      </c>
      <c r="AD8" s="8">
        <f t="shared" si="0"/>
        <v>7.31390611544388E-2</v>
      </c>
      <c r="AE8" s="8">
        <f t="shared" si="8"/>
        <v>0.375</v>
      </c>
      <c r="AF8" s="8">
        <f t="shared" si="1"/>
        <v>-7.1598778416337439E-4</v>
      </c>
      <c r="AG8" s="8">
        <f t="shared" si="2"/>
        <v>0.34375</v>
      </c>
      <c r="AH8" s="8">
        <f t="shared" si="3"/>
        <v>3.5700435717792356E-2</v>
      </c>
      <c r="AI8" s="8">
        <f t="shared" si="4"/>
        <v>2.6110963512037265E-3</v>
      </c>
      <c r="AJ8" s="8">
        <f t="shared" si="5"/>
        <v>-2.5561075863249135E-5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-71.729655406419965</v>
      </c>
      <c r="AP8" s="8">
        <f t="shared" si="14"/>
        <v>1250</v>
      </c>
      <c r="AQ8" s="8">
        <v>17.388375255487404</v>
      </c>
      <c r="AR8" s="8">
        <f t="shared" si="9"/>
        <v>1125</v>
      </c>
      <c r="AS8" s="8">
        <v>-24.765678149824794</v>
      </c>
      <c r="AT8" s="8">
        <f t="shared" si="10"/>
        <v>1776.4335595932369</v>
      </c>
      <c r="AU8" s="8">
        <f t="shared" si="11"/>
        <v>-430.63490512577852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0.75661729604956662</v>
      </c>
      <c r="R9" t="s">
        <v>58</v>
      </c>
      <c r="S9">
        <f xml:space="preserve"> 1.78 * (1 - 0.045 * $C$22^0.68) - 0.64</f>
        <v>0.75661729604956662</v>
      </c>
      <c r="V9" t="s">
        <v>58</v>
      </c>
      <c r="W9">
        <f xml:space="preserve"> 1.78 * (1 - 0.045 * $C$22^0.68) - 0.64</f>
        <v>0.75661729604956662</v>
      </c>
      <c r="AB9" s="8">
        <v>5</v>
      </c>
      <c r="AC9" s="8">
        <f t="shared" si="7"/>
        <v>0.34375</v>
      </c>
      <c r="AD9" s="8">
        <f t="shared" si="0"/>
        <v>3.5700435717792356E-2</v>
      </c>
      <c r="AE9" s="8">
        <f t="shared" si="8"/>
        <v>0.375</v>
      </c>
      <c r="AF9" s="8">
        <f t="shared" si="1"/>
        <v>-7.1598778416337439E-4</v>
      </c>
      <c r="AG9" s="8">
        <f t="shared" si="2"/>
        <v>0.359375</v>
      </c>
      <c r="AH9" s="8">
        <f t="shared" si="3"/>
        <v>1.7380909681138812E-2</v>
      </c>
      <c r="AI9" s="8">
        <f t="shared" si="4"/>
        <v>6.2050604878825094E-4</v>
      </c>
      <c r="AJ9" s="8">
        <f t="shared" si="5"/>
        <v>-1.2444519009342321E-5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-24.765678149824794</v>
      </c>
      <c r="AP9" s="8">
        <f t="shared" si="14"/>
        <v>1250</v>
      </c>
      <c r="AQ9" s="8">
        <v>17.388375255487404</v>
      </c>
      <c r="AR9" s="8">
        <f t="shared" si="9"/>
        <v>1187.5</v>
      </c>
      <c r="AS9" s="8">
        <v>-3.0664019508134288</v>
      </c>
      <c r="AT9" s="8">
        <f t="shared" si="10"/>
        <v>75.941523791840254</v>
      </c>
      <c r="AU9" s="8">
        <f t="shared" si="11"/>
        <v>-53.319747804902526</v>
      </c>
      <c r="AV9" s="8">
        <f t="shared" si="12"/>
        <v>125</v>
      </c>
    </row>
    <row r="10" spans="2:48" x14ac:dyDescent="0.2">
      <c r="F10" s="43" t="s">
        <v>124</v>
      </c>
      <c r="G10" s="44"/>
      <c r="H10" s="44"/>
      <c r="J10" s="37" t="s">
        <v>34</v>
      </c>
      <c r="K10" s="37"/>
      <c r="L10" s="37"/>
      <c r="N10" t="s">
        <v>138</v>
      </c>
      <c r="O10">
        <f>O4/(O5*$C$21)</f>
        <v>2.6514259622966287</v>
      </c>
      <c r="R10" t="s">
        <v>39</v>
      </c>
      <c r="S10">
        <f xml:space="preserve"> S4 / (S5 * $C$21)</f>
        <v>2.6609806621997998</v>
      </c>
      <c r="V10" t="s">
        <v>138</v>
      </c>
      <c r="W10">
        <f>W4 / ( W5 * $C$21)</f>
        <v>2.6575449276013074</v>
      </c>
      <c r="AB10" s="8">
        <v>6</v>
      </c>
      <c r="AC10" s="8">
        <f t="shared" si="7"/>
        <v>0.359375</v>
      </c>
      <c r="AD10" s="8">
        <f t="shared" si="0"/>
        <v>1.7380909681138812E-2</v>
      </c>
      <c r="AE10" s="8">
        <f t="shared" si="8"/>
        <v>0.375</v>
      </c>
      <c r="AF10" s="8">
        <f t="shared" si="1"/>
        <v>-7.1598778416337439E-4</v>
      </c>
      <c r="AG10" s="8">
        <f t="shared" si="2"/>
        <v>0.3671875</v>
      </c>
      <c r="AH10" s="8">
        <f t="shared" si="3"/>
        <v>8.306388125758235E-3</v>
      </c>
      <c r="AI10" s="8">
        <f t="shared" si="4"/>
        <v>1.4437258179028777E-4</v>
      </c>
      <c r="AJ10" s="8">
        <f t="shared" si="5"/>
        <v>-5.9472724285626028E-6</v>
      </c>
      <c r="AK10" s="8">
        <f t="shared" si="6"/>
        <v>1.5625E-2</v>
      </c>
      <c r="AM10" s="8">
        <v>6</v>
      </c>
      <c r="AN10" s="8">
        <f t="shared" si="13"/>
        <v>1187.5</v>
      </c>
      <c r="AO10" s="8">
        <v>-3.0664019508134288</v>
      </c>
      <c r="AP10" s="8">
        <f t="shared" si="14"/>
        <v>1250</v>
      </c>
      <c r="AQ10" s="8">
        <v>17.388375255487404</v>
      </c>
      <c r="AR10" s="8">
        <f t="shared" si="9"/>
        <v>1218.75</v>
      </c>
      <c r="AS10" s="8">
        <v>7.3191217196931575</v>
      </c>
      <c r="AT10" s="8">
        <f t="shared" si="10"/>
        <v>-22.443369119508038</v>
      </c>
      <c r="AU10" s="8">
        <f t="shared" si="11"/>
        <v>127.26763500261291</v>
      </c>
      <c r="AV10" s="8">
        <f t="shared" si="12"/>
        <v>62.5</v>
      </c>
    </row>
    <row r="11" spans="2:48" x14ac:dyDescent="0.2">
      <c r="B11" s="39" t="s">
        <v>6</v>
      </c>
      <c r="C11" s="40"/>
      <c r="D11" s="40"/>
      <c r="F11" s="4" t="s">
        <v>154</v>
      </c>
      <c r="G11" s="1">
        <f>$C$20</f>
        <v>30</v>
      </c>
      <c r="H11" t="s">
        <v>16</v>
      </c>
      <c r="J11" t="s">
        <v>153</v>
      </c>
      <c r="K11">
        <f xml:space="preserve"> (G6*G8 + G18*G19 + G23*G24 + G34*G35 + G40*G42)/3600</f>
        <v>29.352554020723939</v>
      </c>
      <c r="L11" t="s">
        <v>163</v>
      </c>
      <c r="N11" t="s">
        <v>137</v>
      </c>
      <c r="O11">
        <f>O7+O10^2/(PI()*O9*$C$22)</f>
        <v>0.33123050936355325</v>
      </c>
      <c r="R11" t="s">
        <v>59</v>
      </c>
      <c r="S11">
        <f xml:space="preserve"> S7 + S10^2 / ( PI() * S9 * $C$22 )</f>
        <v>0.33336592403942034</v>
      </c>
      <c r="V11" t="s">
        <v>137</v>
      </c>
      <c r="W11">
        <f xml:space="preserve"> W7 + W10^2 / (PI() * W9 * $C$22)</f>
        <v>0.33259717475610817</v>
      </c>
      <c r="AB11" s="8">
        <v>7</v>
      </c>
      <c r="AC11" s="8">
        <f t="shared" si="7"/>
        <v>0.3671875</v>
      </c>
      <c r="AD11" s="8">
        <f t="shared" si="0"/>
        <v>8.306388125758235E-3</v>
      </c>
      <c r="AE11" s="8">
        <f t="shared" si="8"/>
        <v>0.375</v>
      </c>
      <c r="AF11" s="8">
        <f t="shared" si="1"/>
        <v>-7.1598778416337439E-4</v>
      </c>
      <c r="AG11" s="8">
        <f t="shared" si="2"/>
        <v>0.37109375</v>
      </c>
      <c r="AH11" s="8">
        <f t="shared" si="3"/>
        <v>3.7888854931052429E-3</v>
      </c>
      <c r="AI11" s="8">
        <f t="shared" si="4"/>
        <v>3.1471953469787022E-5</v>
      </c>
      <c r="AJ11" s="8">
        <f t="shared" si="5"/>
        <v>-2.7127957286571771E-6</v>
      </c>
      <c r="AK11" s="8">
        <f t="shared" si="6"/>
        <v>7.8125E-3</v>
      </c>
      <c r="AM11" s="8">
        <v>7</v>
      </c>
      <c r="AN11" s="8">
        <f t="shared" si="13"/>
        <v>1187.5</v>
      </c>
      <c r="AO11" s="8">
        <v>-3.0664019508134288</v>
      </c>
      <c r="AP11" s="8">
        <f t="shared" si="14"/>
        <v>1218.75</v>
      </c>
      <c r="AQ11" s="8">
        <v>7.3191217196931575</v>
      </c>
      <c r="AR11" s="8">
        <f t="shared" si="9"/>
        <v>1203.125</v>
      </c>
      <c r="AS11" s="8">
        <v>2.1655742099676445</v>
      </c>
      <c r="AT11" s="8">
        <f t="shared" si="10"/>
        <v>-6.6405209820760351</v>
      </c>
      <c r="AU11" s="8">
        <f t="shared" si="11"/>
        <v>15.850101235781537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19.344818515808399</v>
      </c>
      <c r="L12" t="s">
        <v>164</v>
      </c>
      <c r="N12" t="s">
        <v>139</v>
      </c>
      <c r="O12">
        <f>O5*O11*$C$21</f>
        <v>1460.7265462932698</v>
      </c>
      <c r="P12" t="s">
        <v>31</v>
      </c>
      <c r="R12" t="s">
        <v>60</v>
      </c>
      <c r="S12">
        <f xml:space="preserve"> S5 * S11 * $C$21</f>
        <v>1470.1437250138438</v>
      </c>
      <c r="T12" t="s">
        <v>31</v>
      </c>
      <c r="V12" t="s">
        <v>139</v>
      </c>
      <c r="W12">
        <f xml:space="preserve"> W5 * $C$21 * W11</f>
        <v>1466.7535406744371</v>
      </c>
      <c r="X12" t="s">
        <v>31</v>
      </c>
      <c r="AB12" s="8">
        <v>8</v>
      </c>
      <c r="AC12" s="8">
        <f t="shared" si="7"/>
        <v>0.37109375</v>
      </c>
      <c r="AD12" s="8">
        <f t="shared" si="0"/>
        <v>3.7888854931052429E-3</v>
      </c>
      <c r="AE12" s="8">
        <f t="shared" si="8"/>
        <v>0.375</v>
      </c>
      <c r="AF12" s="8">
        <f t="shared" si="1"/>
        <v>-7.1598778416337439E-4</v>
      </c>
      <c r="AG12" s="8">
        <f t="shared" si="2"/>
        <v>0.373046875</v>
      </c>
      <c r="AH12" s="8">
        <f t="shared" si="3"/>
        <v>1.53489470666901E-3</v>
      </c>
      <c r="AI12" s="8">
        <f t="shared" si="4"/>
        <v>5.8155402875422389E-6</v>
      </c>
      <c r="AJ12" s="8">
        <f t="shared" si="5"/>
        <v>-1.098965859952037E-6</v>
      </c>
      <c r="AK12" s="8">
        <f t="shared" si="6"/>
        <v>3.90625E-3</v>
      </c>
      <c r="AM12" s="8">
        <v>8</v>
      </c>
      <c r="AN12" s="8">
        <f t="shared" si="13"/>
        <v>1187.5</v>
      </c>
      <c r="AO12" s="8">
        <v>-3.0664019508134288</v>
      </c>
      <c r="AP12" s="8">
        <f t="shared" si="14"/>
        <v>1203.125</v>
      </c>
      <c r="AQ12" s="8">
        <v>2.1655742099676445</v>
      </c>
      <c r="AR12" s="8">
        <f t="shared" si="9"/>
        <v>1195.3125</v>
      </c>
      <c r="AS12" s="8">
        <v>-0.44065043728301134</v>
      </c>
      <c r="AT12" s="8">
        <f t="shared" si="10"/>
        <v>1.3512113605114164</v>
      </c>
      <c r="AU12" s="8">
        <f t="shared" si="11"/>
        <v>-0.95426122259105439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8.0047757901023129</v>
      </c>
      <c r="R13" t="s">
        <v>106</v>
      </c>
      <c r="S13">
        <f>S10/S11</f>
        <v>7.9821615537559873</v>
      </c>
      <c r="V13" t="s">
        <v>106</v>
      </c>
      <c r="W13">
        <f>W4/W12</f>
        <v>7.990281124757213</v>
      </c>
      <c r="AB13" s="8">
        <v>9</v>
      </c>
      <c r="AC13" s="8">
        <f t="shared" si="7"/>
        <v>0.373046875</v>
      </c>
      <c r="AD13" s="8">
        <f t="shared" si="0"/>
        <v>1.53489470666901E-3</v>
      </c>
      <c r="AE13" s="8">
        <f t="shared" si="8"/>
        <v>0.375</v>
      </c>
      <c r="AF13" s="8">
        <f t="shared" si="1"/>
        <v>-7.1598778416337439E-4</v>
      </c>
      <c r="AG13" s="8">
        <f t="shared" si="2"/>
        <v>0.3740234375</v>
      </c>
      <c r="AH13" s="8">
        <f t="shared" si="3"/>
        <v>4.0906793425665722E-4</v>
      </c>
      <c r="AI13" s="8">
        <f t="shared" si="4"/>
        <v>6.2787620695856975E-7</v>
      </c>
      <c r="AJ13" s="8">
        <f t="shared" si="5"/>
        <v>-2.9288764382071293E-7</v>
      </c>
      <c r="AK13" s="8">
        <f t="shared" si="6"/>
        <v>1.953125E-3</v>
      </c>
      <c r="AM13" s="8">
        <v>9</v>
      </c>
      <c r="AN13" s="8">
        <f t="shared" si="13"/>
        <v>1195.3125</v>
      </c>
      <c r="AO13" s="8">
        <v>-0.44065043728301134</v>
      </c>
      <c r="AP13" s="8">
        <f t="shared" si="14"/>
        <v>1203.125</v>
      </c>
      <c r="AQ13" s="8">
        <v>2.1655742099676445</v>
      </c>
      <c r="AR13" s="8">
        <f t="shared" si="9"/>
        <v>1199.21875</v>
      </c>
      <c r="AS13" s="8">
        <v>0.86490775005631804</v>
      </c>
      <c r="AT13" s="8">
        <f t="shared" si="10"/>
        <v>-0.38112197827178201</v>
      </c>
      <c r="AU13" s="8">
        <f t="shared" si="11"/>
        <v>1.8730219175231038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29.892279939810546</v>
      </c>
      <c r="H14" t="s">
        <v>16</v>
      </c>
      <c r="AB14" s="8">
        <v>10</v>
      </c>
      <c r="AC14" s="8">
        <f t="shared" si="7"/>
        <v>0.3740234375</v>
      </c>
      <c r="AD14" s="8">
        <f t="shared" si="0"/>
        <v>4.0906793425665722E-4</v>
      </c>
      <c r="AE14" s="8">
        <f t="shared" si="8"/>
        <v>0.375</v>
      </c>
      <c r="AF14" s="8">
        <f t="shared" si="1"/>
        <v>-7.1598778416337439E-4</v>
      </c>
      <c r="AG14" s="8">
        <f t="shared" si="2"/>
        <v>0.37451171875</v>
      </c>
      <c r="AH14" s="8">
        <f t="shared" si="3"/>
        <v>-1.5355593384475119E-4</v>
      </c>
      <c r="AI14" s="8">
        <f t="shared" si="4"/>
        <v>-6.2814808650724289E-8</v>
      </c>
      <c r="AJ14" s="8">
        <f t="shared" si="5"/>
        <v>1.0994417281864111E-7</v>
      </c>
      <c r="AK14" s="8">
        <f t="shared" si="6"/>
        <v>9.765625E-4</v>
      </c>
      <c r="AM14" s="8">
        <v>10</v>
      </c>
      <c r="AN14" s="8">
        <f t="shared" si="13"/>
        <v>1195.3125</v>
      </c>
      <c r="AO14" s="8">
        <v>-0.44065043728301134</v>
      </c>
      <c r="AP14" s="8">
        <f t="shared" si="14"/>
        <v>1199.21875</v>
      </c>
      <c r="AQ14" s="8">
        <v>0.86490775005631804</v>
      </c>
      <c r="AR14" s="8">
        <f t="shared" si="9"/>
        <v>1197.265625</v>
      </c>
      <c r="AS14" s="8">
        <v>0.2127393253823584</v>
      </c>
      <c r="AT14" s="8">
        <f t="shared" si="10"/>
        <v>-9.3743676757029062E-2</v>
      </c>
      <c r="AU14" s="8">
        <f t="shared" si="11"/>
        <v>0.18399989126495456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3587.0735927772657</v>
      </c>
      <c r="H15" t="s">
        <v>14</v>
      </c>
      <c r="J15" s="21" t="s">
        <v>73</v>
      </c>
      <c r="K15" s="21"/>
      <c r="L15" s="21"/>
      <c r="N15" s="43" t="s">
        <v>140</v>
      </c>
      <c r="O15" s="46"/>
      <c r="P15" s="46"/>
      <c r="R15" s="43" t="s">
        <v>135</v>
      </c>
      <c r="S15" s="46"/>
      <c r="T15" s="46"/>
      <c r="V15" s="43" t="s">
        <v>149</v>
      </c>
      <c r="W15" s="46"/>
      <c r="X15" s="46"/>
      <c r="AB15" s="8">
        <v>11</v>
      </c>
      <c r="AC15" s="8">
        <f t="shared" si="7"/>
        <v>0.3740234375</v>
      </c>
      <c r="AD15" s="8">
        <f t="shared" si="0"/>
        <v>4.0906793425665722E-4</v>
      </c>
      <c r="AE15" s="8">
        <f t="shared" si="8"/>
        <v>0.37451171875</v>
      </c>
      <c r="AF15" s="8">
        <f t="shared" si="1"/>
        <v>-1.5355593384475119E-4</v>
      </c>
      <c r="AG15" s="8">
        <f t="shared" si="2"/>
        <v>0.374267578125</v>
      </c>
      <c r="AH15" s="8">
        <f t="shared" si="3"/>
        <v>1.277319515258224E-4</v>
      </c>
      <c r="AI15" s="8">
        <f t="shared" si="4"/>
        <v>5.2251045549239642E-8</v>
      </c>
      <c r="AJ15" s="8">
        <f t="shared" si="5"/>
        <v>-1.9613999098360148E-8</v>
      </c>
      <c r="AK15" s="8">
        <f t="shared" si="6"/>
        <v>4.8828125E-4</v>
      </c>
      <c r="AM15" s="8">
        <v>11</v>
      </c>
      <c r="AN15" s="8">
        <f t="shared" si="13"/>
        <v>1195.3125</v>
      </c>
      <c r="AO15" s="8">
        <v>-0.44065043728301134</v>
      </c>
      <c r="AP15" s="8">
        <f t="shared" si="14"/>
        <v>1197.265625</v>
      </c>
      <c r="AQ15" s="8">
        <v>0.2127393253823584</v>
      </c>
      <c r="AR15" s="8">
        <f t="shared" si="9"/>
        <v>1196.2890625</v>
      </c>
      <c r="AS15" s="8">
        <v>-0.11380304827116561</v>
      </c>
      <c r="AT15" s="8">
        <f t="shared" si="10"/>
        <v>5.0147362984828775E-2</v>
      </c>
      <c r="AU15" s="8">
        <f t="shared" si="11"/>
        <v>-2.4210383715663739E-2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4.8568571798064104</v>
      </c>
      <c r="H16" t="s">
        <v>62</v>
      </c>
      <c r="J16" s="3" t="s">
        <v>109</v>
      </c>
      <c r="K16" s="5">
        <f>C17</f>
        <v>1196.629299536653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0.374267578125</v>
      </c>
      <c r="AD16" s="8">
        <f t="shared" si="0"/>
        <v>1.277319515258224E-4</v>
      </c>
      <c r="AE16" s="8">
        <f t="shared" si="8"/>
        <v>0.37451171875</v>
      </c>
      <c r="AF16" s="8">
        <f t="shared" si="1"/>
        <v>-1.5355593384475119E-4</v>
      </c>
      <c r="AG16" s="8">
        <f t="shared" si="2"/>
        <v>0.3743896484375</v>
      </c>
      <c r="AH16" s="8">
        <f t="shared" si="3"/>
        <v>-1.2917997512962298E-5</v>
      </c>
      <c r="AI16" s="8">
        <f t="shared" si="4"/>
        <v>-1.6500410321363946E-9</v>
      </c>
      <c r="AJ16" s="8">
        <f t="shared" si="5"/>
        <v>1.9836351715070993E-9</v>
      </c>
      <c r="AK16" s="8">
        <f t="shared" si="6"/>
        <v>2.44140625E-4</v>
      </c>
      <c r="AM16" s="8">
        <v>12</v>
      </c>
      <c r="AN16" s="8">
        <f t="shared" si="13"/>
        <v>1196.2890625</v>
      </c>
      <c r="AO16" s="8">
        <v>-0.11380304827116561</v>
      </c>
      <c r="AP16" s="8">
        <f t="shared" si="14"/>
        <v>1197.265625</v>
      </c>
      <c r="AQ16" s="8">
        <v>0.2127393253823584</v>
      </c>
      <c r="AR16" s="8">
        <f t="shared" si="9"/>
        <v>1196.77734375</v>
      </c>
      <c r="AS16" s="8">
        <v>4.9506416516123863E-2</v>
      </c>
      <c r="AT16" s="8">
        <f t="shared" si="10"/>
        <v>-5.633981108516874E-3</v>
      </c>
      <c r="AU16" s="8">
        <f t="shared" si="11"/>
        <v>1.0531961651738237E-2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1196.629299536653</v>
      </c>
      <c r="D17" s="3" t="s">
        <v>12</v>
      </c>
      <c r="F17" t="s">
        <v>143</v>
      </c>
      <c r="G17">
        <f xml:space="preserve"> 1/1000 * (O22 + O17 * (O27 * O24 + $G$11 * SIN(O16/180*PI())))</f>
        <v>100.932902773311</v>
      </c>
      <c r="H17" t="s">
        <v>162</v>
      </c>
      <c r="J17" s="16" t="s">
        <v>74</v>
      </c>
      <c r="K17">
        <f xml:space="preserve"> 1000 * K11 / ($C$12 * $C$13 * $C$14)</f>
        <v>172.6620824748467</v>
      </c>
      <c r="L17" t="s">
        <v>12</v>
      </c>
      <c r="N17" t="s">
        <v>30</v>
      </c>
      <c r="O17">
        <f>(O12+$C$17*$C$31*SIN(G16/180*PI()))/$C$6</f>
        <v>2454.283505945431</v>
      </c>
      <c r="P17" t="s">
        <v>31</v>
      </c>
      <c r="R17" t="s">
        <v>30</v>
      </c>
      <c r="S17">
        <f xml:space="preserve"> S12 / $C$6</f>
        <v>1470.1437250138438</v>
      </c>
      <c r="T17" t="s">
        <v>31</v>
      </c>
      <c r="V17" t="s">
        <v>30</v>
      </c>
      <c r="W17">
        <f>(W12-$C$17*$C$31*SIN(G32/180*PI()))/$C$6</f>
        <v>870.61936488314029</v>
      </c>
      <c r="X17" t="s">
        <v>31</v>
      </c>
      <c r="AB17" s="8">
        <v>13</v>
      </c>
      <c r="AC17" s="8">
        <f t="shared" si="7"/>
        <v>0.374267578125</v>
      </c>
      <c r="AD17" s="8">
        <f t="shared" si="0"/>
        <v>1.277319515258224E-4</v>
      </c>
      <c r="AE17" s="8">
        <f t="shared" si="8"/>
        <v>0.3743896484375</v>
      </c>
      <c r="AF17" s="8">
        <f t="shared" si="1"/>
        <v>-1.2917997512962298E-5</v>
      </c>
      <c r="AG17" s="8">
        <f t="shared" si="2"/>
        <v>0.37432861328125</v>
      </c>
      <c r="AH17" s="8">
        <f t="shared" si="3"/>
        <v>5.7405474691574199E-5</v>
      </c>
      <c r="AI17" s="8">
        <f t="shared" si="4"/>
        <v>7.3325133106209798E-9</v>
      </c>
      <c r="AJ17" s="8">
        <f t="shared" si="5"/>
        <v>-7.4156377929617565E-10</v>
      </c>
      <c r="AK17" s="8">
        <f t="shared" si="6"/>
        <v>1.220703125E-4</v>
      </c>
      <c r="AM17" s="8">
        <v>13</v>
      </c>
      <c r="AN17" s="8">
        <f t="shared" si="13"/>
        <v>1196.2890625</v>
      </c>
      <c r="AO17" s="8">
        <v>-0.11380304827116561</v>
      </c>
      <c r="AP17" s="8">
        <f t="shared" si="14"/>
        <v>1196.77734375</v>
      </c>
      <c r="AQ17" s="8">
        <v>4.9506416516123863E-2</v>
      </c>
      <c r="AR17" s="8">
        <f t="shared" si="9"/>
        <v>1196.533203125</v>
      </c>
      <c r="AS17" s="8">
        <v>-3.2138711961579247E-2</v>
      </c>
      <c r="AT17" s="8">
        <f t="shared" si="10"/>
        <v>3.6574833887366904E-3</v>
      </c>
      <c r="AU17" s="8">
        <f t="shared" si="11"/>
        <v>-1.5910724606616744E-3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100.932902773311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73.094592336171786</v>
      </c>
      <c r="L18" t="s">
        <v>12</v>
      </c>
      <c r="N18" t="s">
        <v>42</v>
      </c>
      <c r="O18">
        <f xml:space="preserve"> PI() * $G$11 / ($C$19 * $C$23)</f>
        <v>94.247779607693786</v>
      </c>
      <c r="P18" t="s">
        <v>43</v>
      </c>
      <c r="R18" t="s">
        <v>42</v>
      </c>
      <c r="S18">
        <f xml:space="preserve"> PI() * $C$20 / ($C$19 * $C$23)</f>
        <v>94.247779607693786</v>
      </c>
      <c r="T18" t="s">
        <v>43</v>
      </c>
      <c r="V18" t="s">
        <v>42</v>
      </c>
      <c r="W18">
        <f xml:space="preserve"> PI() * $G$27 / ($C$19 * $C$23)</f>
        <v>94.247779607693786</v>
      </c>
      <c r="X18" t="s">
        <v>43</v>
      </c>
      <c r="AB18" s="8">
        <v>14</v>
      </c>
      <c r="AC18" s="8">
        <f t="shared" si="7"/>
        <v>0.37432861328125</v>
      </c>
      <c r="AD18" s="8">
        <f t="shared" si="0"/>
        <v>5.7405474691574199E-5</v>
      </c>
      <c r="AE18" s="8">
        <f t="shared" si="8"/>
        <v>0.3743896484375</v>
      </c>
      <c r="AF18" s="8">
        <f t="shared" si="1"/>
        <v>-1.2917997512962298E-5</v>
      </c>
      <c r="AG18" s="8">
        <f t="shared" si="2"/>
        <v>0.374359130859375</v>
      </c>
      <c r="AH18" s="8">
        <f t="shared" si="3"/>
        <v>2.224336310141517E-5</v>
      </c>
      <c r="AI18" s="8">
        <f t="shared" si="4"/>
        <v>1.276890817573784E-9</v>
      </c>
      <c r="AJ18" s="8">
        <f t="shared" si="5"/>
        <v>-2.8733970922399851E-10</v>
      </c>
      <c r="AK18" s="8">
        <f t="shared" si="6"/>
        <v>6.103515625E-5</v>
      </c>
      <c r="AM18" s="8">
        <v>14</v>
      </c>
      <c r="AN18" s="8">
        <f t="shared" si="13"/>
        <v>1196.533203125</v>
      </c>
      <c r="AO18" s="8">
        <v>-3.2138711961579247E-2</v>
      </c>
      <c r="AP18" s="8">
        <f t="shared" si="14"/>
        <v>1196.77734375</v>
      </c>
      <c r="AQ18" s="8">
        <v>4.9506416516123863E-2</v>
      </c>
      <c r="AR18" s="8">
        <f t="shared" si="9"/>
        <v>1196.6552734375</v>
      </c>
      <c r="AS18" s="8">
        <v>8.6862580199067452E-3</v>
      </c>
      <c r="AT18" s="8">
        <f t="shared" si="10"/>
        <v>-2.7916514452574055E-4</v>
      </c>
      <c r="AU18" s="8">
        <f t="shared" si="11"/>
        <v>4.3002550750002465E-4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91.275826395247478</v>
      </c>
      <c r="L19" t="s">
        <v>12</v>
      </c>
      <c r="N19" t="s">
        <v>44</v>
      </c>
      <c r="O19">
        <f xml:space="preserve"> $G$11 * COS(O16/180*PI()) / (O18 * $C$19)</f>
        <v>2.7742534554270875E-2</v>
      </c>
      <c r="R19" t="s">
        <v>44</v>
      </c>
      <c r="S19">
        <f xml:space="preserve"> $C$20 * COS(S16/180*PI()) / (S18 * $C$19)</f>
        <v>2.7742534554270875E-2</v>
      </c>
      <c r="V19" t="s">
        <v>44</v>
      </c>
      <c r="W19">
        <f xml:space="preserve"> $G$27 * COS(W16/180*PI()) / (W18 * $C$19)</f>
        <v>2.7742534554270875E-2</v>
      </c>
      <c r="AB19" s="8">
        <v>15</v>
      </c>
      <c r="AC19" s="8">
        <f t="shared" si="7"/>
        <v>0.374359130859375</v>
      </c>
      <c r="AD19" s="8">
        <f t="shared" si="0"/>
        <v>2.224336310141517E-5</v>
      </c>
      <c r="AE19" s="8">
        <f t="shared" si="8"/>
        <v>0.3743896484375</v>
      </c>
      <c r="AF19" s="8">
        <f t="shared" si="1"/>
        <v>-1.2917997512962298E-5</v>
      </c>
      <c r="AG19" s="8">
        <f t="shared" si="2"/>
        <v>0.3743743896484375</v>
      </c>
      <c r="AH19" s="8">
        <f t="shared" si="3"/>
        <v>4.6625889336127102E-6</v>
      </c>
      <c r="AI19" s="8">
        <f t="shared" si="4"/>
        <v>1.0371165864298766E-10</v>
      </c>
      <c r="AJ19" s="8">
        <f t="shared" si="5"/>
        <v>-6.0231312248374527E-11</v>
      </c>
      <c r="AK19" s="8">
        <f t="shared" si="6"/>
        <v>3.0517578125E-5</v>
      </c>
      <c r="AM19" s="8">
        <v>15</v>
      </c>
      <c r="AN19" s="8">
        <f t="shared" si="13"/>
        <v>1196.533203125</v>
      </c>
      <c r="AO19" s="8">
        <v>-3.2138711961579247E-2</v>
      </c>
      <c r="AP19" s="8">
        <f t="shared" si="14"/>
        <v>1196.6552734375</v>
      </c>
      <c r="AQ19" s="8">
        <v>8.6862580199067452E-3</v>
      </c>
      <c r="AR19" s="8">
        <f t="shared" si="9"/>
        <v>1196.59423828125</v>
      </c>
      <c r="AS19" s="8">
        <v>-1.1725637710355841E-2</v>
      </c>
      <c r="AT19" s="8">
        <f t="shared" si="10"/>
        <v>3.7684689293895793E-4</v>
      </c>
      <c r="AU19" s="8">
        <f t="shared" si="11"/>
        <v>-1.0185191460009939E-4</v>
      </c>
      <c r="AV19" s="8">
        <f t="shared" si="12"/>
        <v>0.1220703125</v>
      </c>
    </row>
    <row r="20" spans="2:48" x14ac:dyDescent="0.2">
      <c r="B20" t="s">
        <v>15</v>
      </c>
      <c r="C20" s="1">
        <v>30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52.772218597693524</v>
      </c>
      <c r="L20" t="s">
        <v>12</v>
      </c>
      <c r="N20" t="s">
        <v>45</v>
      </c>
      <c r="O20">
        <f xml:space="preserve"> O17 / ( $C$30 * PI() * $C$19^2 * O18^2 * $C$19^2)</f>
        <v>7.1795382313680406E-2</v>
      </c>
      <c r="R20" t="s">
        <v>45</v>
      </c>
      <c r="S20">
        <f xml:space="preserve"> S17 / ( $C$30 * PI() * $C$19^2 * S18^2 * $C$19^2)</f>
        <v>4.3006250312050937E-2</v>
      </c>
      <c r="V20" t="s">
        <v>45</v>
      </c>
      <c r="W20">
        <f xml:space="preserve"> W17 / ( $C$30 * PI() * $C$19^2 * W18^2 * $C$19^2)</f>
        <v>2.5468308775273358E-2</v>
      </c>
      <c r="AB20" s="8">
        <v>16</v>
      </c>
      <c r="AC20" s="8">
        <f t="shared" si="7"/>
        <v>0.3743743896484375</v>
      </c>
      <c r="AD20" s="8">
        <f t="shared" si="0"/>
        <v>4.6625889336127102E-6</v>
      </c>
      <c r="AE20" s="8">
        <f t="shared" si="8"/>
        <v>0.3743896484375</v>
      </c>
      <c r="AF20" s="8">
        <f t="shared" si="1"/>
        <v>-1.2917997512962298E-5</v>
      </c>
      <c r="AG20" s="8">
        <f t="shared" si="2"/>
        <v>0.37438201904296875</v>
      </c>
      <c r="AH20" s="8">
        <f t="shared" si="3"/>
        <v>-4.1277277534335077E-6</v>
      </c>
      <c r="AI20" s="8">
        <f t="shared" si="4"/>
        <v>-1.9245897744125128E-11</v>
      </c>
      <c r="AJ20" s="8">
        <f t="shared" si="5"/>
        <v>5.3321976853039506E-11</v>
      </c>
      <c r="AK20" s="8">
        <f t="shared" si="6"/>
        <v>1.52587890625E-5</v>
      </c>
      <c r="AM20" s="8">
        <v>16</v>
      </c>
      <c r="AN20" s="8">
        <f t="shared" si="13"/>
        <v>1196.59423828125</v>
      </c>
      <c r="AO20" s="8">
        <v>-1.1725637710355841E-2</v>
      </c>
      <c r="AP20" s="8">
        <f t="shared" si="14"/>
        <v>1196.6552734375</v>
      </c>
      <c r="AQ20" s="8">
        <v>8.6862580199067452E-3</v>
      </c>
      <c r="AR20" s="8">
        <f t="shared" si="9"/>
        <v>1196.624755859375</v>
      </c>
      <c r="AS20" s="8">
        <v>-1.5194688112387666E-3</v>
      </c>
      <c r="AT20" s="8">
        <f t="shared" si="10"/>
        <v>1.7816740792770842E-5</v>
      </c>
      <c r="AU20" s="8">
        <f t="shared" si="11"/>
        <v>-1.3198498147620906E-5</v>
      </c>
      <c r="AV20" s="8">
        <f t="shared" si="12"/>
        <v>6.103515625E-2</v>
      </c>
    </row>
    <row r="21" spans="2:48" x14ac:dyDescent="0.2">
      <c r="B21" t="s">
        <v>17</v>
      </c>
      <c r="C21" s="1">
        <v>8</v>
      </c>
      <c r="D21" t="s">
        <v>18</v>
      </c>
      <c r="F21" s="43" t="s">
        <v>118</v>
      </c>
      <c r="G21" s="44"/>
      <c r="H21" s="44"/>
      <c r="J21" s="14" t="s">
        <v>84</v>
      </c>
      <c r="K21">
        <f xml:space="preserve"> $C$33 * (14.86 * ($C$17*2.20462)^0.144 * ($C$45/(PI()*$C$46))^0.778 * ($C$45*3.28084)^0.383 * $C$44^0.455 * 0.453592)</f>
        <v>165.3830294480795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0.3743743896484375</v>
      </c>
      <c r="AD21" s="8">
        <f t="shared" si="0"/>
        <v>4.6625889336127102E-6</v>
      </c>
      <c r="AE21" s="8">
        <f t="shared" si="8"/>
        <v>0.37438201904296875</v>
      </c>
      <c r="AF21" s="8">
        <f t="shared" si="1"/>
        <v>-4.1277277534335077E-6</v>
      </c>
      <c r="AG21" s="8">
        <f t="shared" si="2"/>
        <v>0.37437820434570312</v>
      </c>
      <c r="AH21" s="8">
        <f t="shared" si="3"/>
        <v>2.6742472397645045E-7</v>
      </c>
      <c r="AI21" s="8">
        <f t="shared" si="4"/>
        <v>1.2468915585870314E-12</v>
      </c>
      <c r="AJ21" s="8">
        <f t="shared" si="5"/>
        <v>-1.1038564551118898E-12</v>
      </c>
      <c r="AK21" s="8">
        <f t="shared" si="6"/>
        <v>7.62939453125E-6</v>
      </c>
      <c r="AM21" s="8">
        <v>17</v>
      </c>
      <c r="AN21" s="8">
        <f t="shared" si="13"/>
        <v>1196.624755859375</v>
      </c>
      <c r="AO21" s="8">
        <v>-1.5194688112387666E-3</v>
      </c>
      <c r="AP21" s="8">
        <f t="shared" si="14"/>
        <v>1196.6552734375</v>
      </c>
      <c r="AQ21" s="8">
        <v>8.6862580199067452E-3</v>
      </c>
      <c r="AR21" s="8">
        <f t="shared" si="9"/>
        <v>1196.6400146484375</v>
      </c>
      <c r="AS21" s="8">
        <v>3.5834304466106914E-3</v>
      </c>
      <c r="AT21" s="8">
        <f t="shared" si="10"/>
        <v>-5.4449108008683498E-6</v>
      </c>
      <c r="AU21" s="8">
        <f t="shared" si="11"/>
        <v>3.1126601455650129E-5</v>
      </c>
      <c r="AV21" s="8">
        <f t="shared" si="12"/>
        <v>3.0517578125E-2</v>
      </c>
    </row>
    <row r="22" spans="2:48" x14ac:dyDescent="0.2">
      <c r="B22" t="s">
        <v>5</v>
      </c>
      <c r="C22" s="1">
        <v>10</v>
      </c>
      <c r="F22" s="4" t="s">
        <v>114</v>
      </c>
      <c r="G22">
        <f xml:space="preserve"> 1/1000 * (S22 + S17 * (S27 * S24 + $C$20 * SIN(S16/180*PI())))</f>
        <v>54.905512329222958</v>
      </c>
      <c r="H22" t="s">
        <v>162</v>
      </c>
      <c r="J22" s="14" t="s">
        <v>85</v>
      </c>
      <c r="K22">
        <f xml:space="preserve"> $C$33 * (0.054 * ($C$49*3.28084)^0.501 * ($C$17*2.20462*$C$50)^0.684 * 0.453592)</f>
        <v>13.991957019077498</v>
      </c>
      <c r="L22" t="s">
        <v>12</v>
      </c>
      <c r="N22" t="s">
        <v>46</v>
      </c>
      <c r="O22">
        <f xml:space="preserve"> ($C$8 * $O$21 / 8) * (1 + 4.65 * O19^2) * ( PI() * $C$30 * O18^3 * $C$19^ 5)</f>
        <v>630.50053776545394</v>
      </c>
      <c r="P22" t="s">
        <v>29</v>
      </c>
      <c r="R22" t="s">
        <v>46</v>
      </c>
      <c r="S22">
        <f xml:space="preserve"> ($C$8 * $S$21 / 8) * (1 + 4.65 * S19^2) * ( PI() * $C$30 * S18^3 * $C$19^5)</f>
        <v>630.50053776545394</v>
      </c>
      <c r="T22" t="s">
        <v>29</v>
      </c>
      <c r="V22" t="s">
        <v>46</v>
      </c>
      <c r="W22">
        <f xml:space="preserve"> ($C$8 * $W$21 / 8) * (1 + 4.65 * W19^2) * ( PI() * $C$30 * W18^3 * $C$19^ 5)</f>
        <v>630.50053776545394</v>
      </c>
      <c r="X22" t="s">
        <v>29</v>
      </c>
      <c r="AB22" s="8">
        <v>18</v>
      </c>
      <c r="AC22" s="8">
        <f t="shared" si="7"/>
        <v>0.37437820434570312</v>
      </c>
      <c r="AD22" s="8">
        <f t="shared" si="0"/>
        <v>2.6742472397645045E-7</v>
      </c>
      <c r="AE22" s="8">
        <f t="shared" si="8"/>
        <v>0.37438201904296875</v>
      </c>
      <c r="AF22" s="8">
        <f t="shared" si="1"/>
        <v>-4.1277277534335077E-6</v>
      </c>
      <c r="AG22" s="8">
        <f t="shared" si="2"/>
        <v>0.37438011169433594</v>
      </c>
      <c r="AH22" s="8">
        <f t="shared" si="3"/>
        <v>-1.9301529812221219E-6</v>
      </c>
      <c r="AI22" s="8">
        <f t="shared" si="4"/>
        <v>-5.1617062823564891E-13</v>
      </c>
      <c r="AJ22" s="8">
        <f t="shared" si="5"/>
        <v>7.967146028962976E-12</v>
      </c>
      <c r="AK22" s="8">
        <f t="shared" si="6"/>
        <v>3.814697265625E-6</v>
      </c>
      <c r="AM22" s="8">
        <v>18</v>
      </c>
      <c r="AN22" s="8">
        <f t="shared" si="13"/>
        <v>1196.624755859375</v>
      </c>
      <c r="AO22" s="8">
        <v>-1.5194688112387666E-3</v>
      </c>
      <c r="AP22" s="8">
        <f t="shared" si="14"/>
        <v>1196.6400146484375</v>
      </c>
      <c r="AQ22" s="8">
        <v>3.5834304466106914E-3</v>
      </c>
      <c r="AR22" s="8">
        <f t="shared" si="9"/>
        <v>1196.6323852539062</v>
      </c>
      <c r="AS22" s="8">
        <v>1.0320030197590313E-3</v>
      </c>
      <c r="AT22" s="8">
        <f t="shared" si="10"/>
        <v>-1.5680964016280726E-6</v>
      </c>
      <c r="AU22" s="8">
        <f t="shared" si="11"/>
        <v>3.6981110419986878E-6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54.905512329222958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153.36855355081843</v>
      </c>
      <c r="L23" t="s">
        <v>12</v>
      </c>
      <c r="N23" t="s">
        <v>47</v>
      </c>
      <c r="O23" s="5">
        <f>AG69</f>
        <v>0.40543355094268918</v>
      </c>
      <c r="R23" t="s">
        <v>47</v>
      </c>
      <c r="S23" s="5">
        <f>AG34</f>
        <v>0.37437843671068549</v>
      </c>
      <c r="V23" t="s">
        <v>47</v>
      </c>
      <c r="W23" s="5">
        <f>AG104</f>
        <v>0.3530561369843781</v>
      </c>
      <c r="AB23" s="8">
        <v>19</v>
      </c>
      <c r="AC23" s="8">
        <f t="shared" si="7"/>
        <v>0.37437820434570312</v>
      </c>
      <c r="AD23" s="8">
        <f t="shared" si="0"/>
        <v>2.6742472397645045E-7</v>
      </c>
      <c r="AE23" s="8">
        <f t="shared" si="8"/>
        <v>0.37438011169433594</v>
      </c>
      <c r="AF23" s="8">
        <f t="shared" si="1"/>
        <v>-1.9301529812221219E-6</v>
      </c>
      <c r="AG23" s="8">
        <f t="shared" si="2"/>
        <v>0.37437915802001953</v>
      </c>
      <c r="AH23" s="8">
        <f t="shared" si="3"/>
        <v>-8.3136449524623401E-7</v>
      </c>
      <c r="AI23" s="8">
        <f t="shared" si="4"/>
        <v>-2.2232742066504519E-13</v>
      </c>
      <c r="AJ23" s="8">
        <f t="shared" si="5"/>
        <v>1.6046606589817431E-12</v>
      </c>
      <c r="AK23" s="8">
        <f t="shared" si="6"/>
        <v>1.9073486328125E-6</v>
      </c>
      <c r="AM23" s="8">
        <v>19</v>
      </c>
      <c r="AN23" s="8">
        <f t="shared" si="13"/>
        <v>1196.624755859375</v>
      </c>
      <c r="AO23" s="8">
        <v>-1.5194688112387666E-3</v>
      </c>
      <c r="AP23" s="8">
        <f t="shared" si="14"/>
        <v>1196.6323852539062</v>
      </c>
      <c r="AQ23" s="8">
        <v>1.0320030197590313E-3</v>
      </c>
      <c r="AR23" s="8">
        <f t="shared" si="9"/>
        <v>1196.6285705566406</v>
      </c>
      <c r="AS23" s="8">
        <v>-2.4382670721934119E-4</v>
      </c>
      <c r="AT23" s="8">
        <f t="shared" si="10"/>
        <v>3.7048707696683518E-7</v>
      </c>
      <c r="AU23" s="8">
        <f t="shared" si="11"/>
        <v>-2.516298981482613E-7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680.68911094850387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12.022582913558791</v>
      </c>
      <c r="L24" t="s">
        <v>12</v>
      </c>
      <c r="N24" t="s">
        <v>48</v>
      </c>
      <c r="O24">
        <f xml:space="preserve"> O18 * $C$19 * O23 - $G$11 * SIN(O16/180*PI())</f>
        <v>8.3253710120588948</v>
      </c>
      <c r="P24" t="s">
        <v>16</v>
      </c>
      <c r="R24" t="s">
        <v>48</v>
      </c>
      <c r="S24">
        <f xml:space="preserve"> S18 * $C$19 * S23 - $C$20 * SIN(S16/180*PI())</f>
        <v>5.3984954502292553</v>
      </c>
      <c r="T24" t="s">
        <v>16</v>
      </c>
      <c r="V24" t="s">
        <v>48</v>
      </c>
      <c r="W24">
        <f xml:space="preserve"> W18 * $C$19 * W23 - $G$27 * SIN(W16/180*PI())</f>
        <v>3.3889160448950477</v>
      </c>
      <c r="X24" t="s">
        <v>16</v>
      </c>
      <c r="AB24" s="8">
        <v>20</v>
      </c>
      <c r="AC24" s="8">
        <f t="shared" si="7"/>
        <v>0.37437820434570312</v>
      </c>
      <c r="AD24" s="8">
        <f t="shared" si="0"/>
        <v>2.6742472397645045E-7</v>
      </c>
      <c r="AE24" s="8">
        <f t="shared" si="8"/>
        <v>0.37437915802001953</v>
      </c>
      <c r="AF24" s="8">
        <f t="shared" si="1"/>
        <v>-8.3136449524623401E-7</v>
      </c>
      <c r="AG24" s="8">
        <f t="shared" si="2"/>
        <v>0.37437868118286133</v>
      </c>
      <c r="AH24" s="8">
        <f t="shared" si="3"/>
        <v>-2.8196997731155804E-7</v>
      </c>
      <c r="AI24" s="8">
        <f t="shared" si="4"/>
        <v>-7.5405743352189406E-14</v>
      </c>
      <c r="AJ24" s="8">
        <f t="shared" si="5"/>
        <v>2.3441982786221549E-13</v>
      </c>
      <c r="AK24" s="8">
        <f t="shared" si="6"/>
        <v>9.5367431640625E-7</v>
      </c>
      <c r="AM24" s="8">
        <v>20</v>
      </c>
      <c r="AN24" s="8">
        <f t="shared" si="13"/>
        <v>1196.6285705566406</v>
      </c>
      <c r="AO24" s="8">
        <v>-2.4382670721934119E-4</v>
      </c>
      <c r="AP24" s="8">
        <f t="shared" si="14"/>
        <v>1196.6323852539062</v>
      </c>
      <c r="AQ24" s="8">
        <v>1.0320030197590313E-3</v>
      </c>
      <c r="AR24" s="8">
        <f t="shared" si="9"/>
        <v>1196.6304779052734</v>
      </c>
      <c r="AS24" s="8">
        <v>3.9420057964889565E-4</v>
      </c>
      <c r="AT24" s="8">
        <f t="shared" si="10"/>
        <v>-9.6116629319745862E-8</v>
      </c>
      <c r="AU24" s="8">
        <f t="shared" si="11"/>
        <v>4.0681618858842085E-7</v>
      </c>
      <c r="AV24" s="8">
        <f t="shared" si="12"/>
        <v>3.814697265625E-3</v>
      </c>
    </row>
    <row r="25" spans="2:48" x14ac:dyDescent="0.2">
      <c r="B25" s="45" t="s">
        <v>20</v>
      </c>
      <c r="C25" s="45"/>
      <c r="D25" s="45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5.9442535331194115</v>
      </c>
      <c r="L25" t="s">
        <v>12</v>
      </c>
      <c r="N25" t="s">
        <v>49</v>
      </c>
      <c r="O25">
        <f xml:space="preserve"> 1/$C$9 - O22 * SQRT( (2*$C$30*PI()*$C$19^2) / O17^3 )</f>
        <v>1.3189467936896213</v>
      </c>
      <c r="R25" t="s">
        <v>49</v>
      </c>
      <c r="S25">
        <f xml:space="preserve"> 1/$C$9 - S22 * SQRT( (2*$C$30*PI()*$C$19^2) / S17^3 )</f>
        <v>1.3023017633810059</v>
      </c>
      <c r="V25" t="s">
        <v>49</v>
      </c>
      <c r="W25">
        <f xml:space="preserve"> 1/$C$9 - W22 * SQRT( (2*$C$30*PI()*$C$19^2) / W17^3 )</f>
        <v>1.2652405705263301</v>
      </c>
      <c r="AB25" s="8">
        <v>21</v>
      </c>
      <c r="AC25" s="8">
        <f t="shared" si="7"/>
        <v>0.37437820434570312</v>
      </c>
      <c r="AD25" s="8">
        <f t="shared" si="0"/>
        <v>2.6742472397645045E-7</v>
      </c>
      <c r="AE25" s="8">
        <f t="shared" si="8"/>
        <v>0.37437868118286133</v>
      </c>
      <c r="AF25" s="8">
        <f t="shared" si="1"/>
        <v>-2.8196997731155804E-7</v>
      </c>
      <c r="AG25" s="8">
        <f t="shared" si="2"/>
        <v>0.37437844276428223</v>
      </c>
      <c r="AH25" s="8">
        <f t="shared" si="3"/>
        <v>-7.2726495936592528E-9</v>
      </c>
      <c r="AI25" s="8">
        <f t="shared" si="4"/>
        <v>-1.9448863101617703E-15</v>
      </c>
      <c r="AJ25" s="8">
        <f t="shared" si="5"/>
        <v>2.0506688409190112E-15</v>
      </c>
      <c r="AK25" s="8">
        <f t="shared" si="6"/>
        <v>4.76837158203125E-7</v>
      </c>
      <c r="AM25" s="8">
        <v>21</v>
      </c>
      <c r="AN25" s="8">
        <f t="shared" si="13"/>
        <v>1196.6285705566406</v>
      </c>
      <c r="AO25" s="8">
        <v>-2.4382670721934119E-4</v>
      </c>
      <c r="AP25" s="8">
        <f t="shared" si="14"/>
        <v>1196.6304779052734</v>
      </c>
      <c r="AQ25" s="8">
        <v>3.9420057964889565E-4</v>
      </c>
      <c r="AR25" s="8">
        <f t="shared" si="9"/>
        <v>1196.629524230957</v>
      </c>
      <c r="AS25" s="8">
        <v>7.5283127557668195E-5</v>
      </c>
      <c r="AT25" s="8">
        <f t="shared" si="10"/>
        <v>-1.835603710155988E-8</v>
      </c>
      <c r="AU25" s="8">
        <f t="shared" si="11"/>
        <v>2.9676652521014552E-8</v>
      </c>
      <c r="AV25" s="8">
        <f t="shared" si="12"/>
        <v>1.9073486328125E-3</v>
      </c>
    </row>
    <row r="26" spans="2:48" x14ac:dyDescent="0.2">
      <c r="B26" t="s">
        <v>92</v>
      </c>
      <c r="C26" s="47">
        <f>C44*100</f>
        <v>400</v>
      </c>
      <c r="D26" t="s">
        <v>12</v>
      </c>
      <c r="F26" s="43" t="s">
        <v>131</v>
      </c>
      <c r="G26" s="44"/>
      <c r="H26" s="44"/>
      <c r="J26" s="15" t="s">
        <v>88</v>
      </c>
      <c r="K26">
        <f xml:space="preserve"> $C$33 * (0.0268 * $C$17)</f>
        <v>25.65573218206584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0.37437820434570312</v>
      </c>
      <c r="AD26" s="8">
        <f t="shared" si="0"/>
        <v>2.6742472397645045E-7</v>
      </c>
      <c r="AE26" s="8">
        <f t="shared" si="8"/>
        <v>0.37437844276428223</v>
      </c>
      <c r="AF26" s="8">
        <f t="shared" si="1"/>
        <v>-7.2726495936592528E-9</v>
      </c>
      <c r="AG26" s="8">
        <f t="shared" si="2"/>
        <v>0.37437832355499268</v>
      </c>
      <c r="AH26" s="8">
        <f t="shared" si="3"/>
        <v>1.300760315015026E-7</v>
      </c>
      <c r="AI26" s="8">
        <f t="shared" si="4"/>
        <v>3.4785546820241404E-14</v>
      </c>
      <c r="AJ26" s="8">
        <f t="shared" si="5"/>
        <v>-9.4599739764421094E-16</v>
      </c>
      <c r="AK26" s="8">
        <f t="shared" si="6"/>
        <v>2.384185791015625E-7</v>
      </c>
      <c r="AM26" s="8">
        <v>22</v>
      </c>
      <c r="AN26" s="8">
        <f t="shared" si="13"/>
        <v>1196.6285705566406</v>
      </c>
      <c r="AO26" s="8">
        <v>-2.4382670721934119E-4</v>
      </c>
      <c r="AP26" s="8">
        <f t="shared" si="14"/>
        <v>1196.629524230957</v>
      </c>
      <c r="AQ26" s="8">
        <v>7.5283127557668195E-5</v>
      </c>
      <c r="AR26" s="8">
        <f t="shared" si="9"/>
        <v>1196.6290473937988</v>
      </c>
      <c r="AS26" s="8">
        <v>-8.4461287656267814E-5</v>
      </c>
      <c r="AT26" s="8">
        <f t="shared" si="10"/>
        <v>2.0593917656733369E-8</v>
      </c>
      <c r="AU26" s="8">
        <f t="shared" si="11"/>
        <v>-6.3585098923117162E-9</v>
      </c>
      <c r="AV26" s="8">
        <f t="shared" si="12"/>
        <v>9.5367431640625E-4</v>
      </c>
    </row>
    <row r="27" spans="2:48" x14ac:dyDescent="0.2">
      <c r="B27" t="s">
        <v>21</v>
      </c>
      <c r="C27" s="1">
        <v>30000</v>
      </c>
      <c r="D27" t="s">
        <v>14</v>
      </c>
      <c r="F27" s="4" t="s">
        <v>154</v>
      </c>
      <c r="G27" s="1">
        <f>$C$20</f>
        <v>30</v>
      </c>
      <c r="H27" t="s">
        <v>16</v>
      </c>
      <c r="J27" s="15" t="s">
        <v>89</v>
      </c>
      <c r="K27">
        <f xml:space="preserve"> $C$33 * (11.5 * ($C$17*2.20462/1000)^0.4 * 0.453592)</f>
        <v>6.1513517779440274</v>
      </c>
      <c r="L27" t="s">
        <v>12</v>
      </c>
      <c r="N27" t="s">
        <v>51</v>
      </c>
      <c r="O27">
        <f xml:space="preserve"> 1/$C$36 * LN( EXP($C$36 * O25) + EXP($C$36 * O26) )</f>
        <v>1.3191558850642338</v>
      </c>
      <c r="R27" t="s">
        <v>51</v>
      </c>
      <c r="S27">
        <f xml:space="preserve"> 1/$C$36 * LN( EXP($C$36 * S25) + EXP($C$36 * S26) )</f>
        <v>1.3026455766348668</v>
      </c>
      <c r="V27" t="s">
        <v>51</v>
      </c>
      <c r="W27">
        <f xml:space="preserve"> 1/$C$36 * LN( EXP($C$36 * W25) + EXP($C$36 * W26) )</f>
        <v>1.2662749329529661</v>
      </c>
      <c r="AB27" s="8">
        <v>23</v>
      </c>
      <c r="AC27" s="8">
        <f t="shared" si="7"/>
        <v>0.37437832355499268</v>
      </c>
      <c r="AD27" s="8">
        <f t="shared" si="0"/>
        <v>1.300760315015026E-7</v>
      </c>
      <c r="AE27" s="8">
        <f t="shared" si="8"/>
        <v>0.37437844276428223</v>
      </c>
      <c r="AF27" s="8">
        <f t="shared" si="1"/>
        <v>-7.2726495936592528E-9</v>
      </c>
      <c r="AG27" s="8">
        <f t="shared" si="2"/>
        <v>0.37437838315963745</v>
      </c>
      <c r="AH27" s="8">
        <f t="shared" si="3"/>
        <v>6.1401689510631741E-8</v>
      </c>
      <c r="AI27" s="8">
        <f t="shared" si="4"/>
        <v>7.9868880990304152E-15</v>
      </c>
      <c r="AJ27" s="8">
        <f t="shared" si="5"/>
        <v>-4.4655297226948753E-16</v>
      </c>
      <c r="AK27" s="8">
        <f t="shared" si="6"/>
        <v>1.1920928955078125E-7</v>
      </c>
      <c r="AM27" s="8">
        <v>23</v>
      </c>
      <c r="AN27" s="8">
        <f t="shared" si="13"/>
        <v>1196.6290473937988</v>
      </c>
      <c r="AO27" s="8">
        <v>-8.4461287656267814E-5</v>
      </c>
      <c r="AP27" s="8">
        <f t="shared" si="14"/>
        <v>1196.629524230957</v>
      </c>
      <c r="AQ27" s="8">
        <v>7.5283127557668195E-5</v>
      </c>
      <c r="AR27" s="8">
        <f t="shared" si="9"/>
        <v>1196.6292858123779</v>
      </c>
      <c r="AS27" s="8">
        <v>-4.6825525714666583E-6</v>
      </c>
      <c r="AT27" s="8">
        <f t="shared" si="10"/>
        <v>3.9549441970424197E-10</v>
      </c>
      <c r="AU27" s="8">
        <f t="shared" si="11"/>
        <v>-3.5251720253321165E-10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90</v>
      </c>
      <c r="K28">
        <f xml:space="preserve"> $C$33 * (8 * ($C$17/1000))</f>
        <v>7.6584275170345792</v>
      </c>
      <c r="L28" t="s">
        <v>12</v>
      </c>
      <c r="AB28" s="8">
        <v>24</v>
      </c>
      <c r="AC28" s="8">
        <f t="shared" si="7"/>
        <v>0.37437838315963745</v>
      </c>
      <c r="AD28" s="8">
        <f t="shared" si="0"/>
        <v>6.1401689510631741E-8</v>
      </c>
      <c r="AE28" s="8">
        <f t="shared" si="8"/>
        <v>0.37437844276428223</v>
      </c>
      <c r="AF28" s="8">
        <f t="shared" si="1"/>
        <v>-7.2726495936592528E-9</v>
      </c>
      <c r="AG28" s="8">
        <f t="shared" si="2"/>
        <v>0.37437841296195984</v>
      </c>
      <c r="AH28" s="8">
        <f t="shared" si="3"/>
        <v>2.7064519625419337E-8</v>
      </c>
      <c r="AI28" s="8">
        <f t="shared" si="4"/>
        <v>1.6618072307943973E-15</v>
      </c>
      <c r="AJ28" s="8">
        <f t="shared" si="5"/>
        <v>-1.9683076765638881E-16</v>
      </c>
      <c r="AK28" s="8">
        <f t="shared" si="6"/>
        <v>5.9604644775390625E-8</v>
      </c>
      <c r="AM28" s="8">
        <v>24</v>
      </c>
      <c r="AN28" s="8">
        <f t="shared" si="13"/>
        <v>1196.6292858123779</v>
      </c>
      <c r="AO28" s="8">
        <v>-4.6825525714666583E-6</v>
      </c>
      <c r="AP28" s="8">
        <f t="shared" si="14"/>
        <v>1196.629524230957</v>
      </c>
      <c r="AQ28" s="8">
        <v>7.5283127557668195E-5</v>
      </c>
      <c r="AR28" s="8">
        <f t="shared" si="9"/>
        <v>1196.6294050216675</v>
      </c>
      <c r="AS28" s="8">
        <v>3.5281908026263409E-5</v>
      </c>
      <c r="AT28" s="8">
        <f t="shared" si="10"/>
        <v>-1.6520938915462985E-10</v>
      </c>
      <c r="AU28" s="8">
        <f t="shared" si="11"/>
        <v>2.6561323824191057E-9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91</v>
      </c>
      <c r="K29">
        <f xml:space="preserve"> $C$33 * (13 * ($C$17*2.20462/1000)^1.3 * 0.453592)</f>
        <v>16.648691791342085</v>
      </c>
      <c r="L29" t="s">
        <v>12</v>
      </c>
      <c r="AB29" s="8">
        <v>25</v>
      </c>
      <c r="AC29" s="8">
        <f t="shared" si="7"/>
        <v>0.37437841296195984</v>
      </c>
      <c r="AD29" s="8">
        <f t="shared" si="0"/>
        <v>2.7064519625419337E-8</v>
      </c>
      <c r="AE29" s="8">
        <f t="shared" si="8"/>
        <v>0.37437844276428223</v>
      </c>
      <c r="AF29" s="8">
        <f t="shared" si="1"/>
        <v>-7.2726495936592528E-9</v>
      </c>
      <c r="AG29" s="8">
        <f t="shared" si="2"/>
        <v>0.37437842786312103</v>
      </c>
      <c r="AH29" s="8">
        <f t="shared" si="3"/>
        <v>9.8959349048577394E-9</v>
      </c>
      <c r="AI29" s="8">
        <f t="shared" si="4"/>
        <v>2.678287244443945E-16</v>
      </c>
      <c r="AJ29" s="8">
        <f t="shared" si="5"/>
        <v>-7.1969666964692055E-17</v>
      </c>
      <c r="AK29" s="8">
        <f t="shared" si="6"/>
        <v>2.9802322387695312E-8</v>
      </c>
      <c r="AM29" s="8">
        <v>25</v>
      </c>
      <c r="AN29" s="8">
        <f t="shared" si="13"/>
        <v>1196.6292858123779</v>
      </c>
      <c r="AO29" s="8">
        <v>-4.6825525714666583E-6</v>
      </c>
      <c r="AP29" s="8">
        <f t="shared" si="14"/>
        <v>1196.6294050216675</v>
      </c>
      <c r="AQ29" s="8">
        <v>3.5281908026263409E-5</v>
      </c>
      <c r="AR29" s="8">
        <f t="shared" si="9"/>
        <v>1196.6293454170227</v>
      </c>
      <c r="AS29" s="8">
        <v>1.5222008300952439E-5</v>
      </c>
      <c r="AT29" s="8">
        <f t="shared" si="10"/>
        <v>-7.127785411251166E-11</v>
      </c>
      <c r="AU29" s="8">
        <f t="shared" si="11"/>
        <v>5.3706149684922207E-10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29.96126539383809</v>
      </c>
      <c r="H30" t="s">
        <v>16</v>
      </c>
      <c r="J30" s="3" t="s">
        <v>78</v>
      </c>
      <c r="K30" s="3">
        <f>$C$17 - $C$26 - SUM(K17:K29)</f>
        <v>-3.4685854188865051E-10</v>
      </c>
      <c r="L30" s="3" t="s">
        <v>12</v>
      </c>
      <c r="AB30" s="8">
        <v>26</v>
      </c>
      <c r="AC30" s="8">
        <f>IF(AI29&gt;0, AG29, AC29)</f>
        <v>0.37437842786312103</v>
      </c>
      <c r="AD30" s="8">
        <f t="shared" si="0"/>
        <v>9.8959349048577394E-9</v>
      </c>
      <c r="AE30" s="8">
        <f t="shared" si="8"/>
        <v>0.37437844276428223</v>
      </c>
      <c r="AF30" s="8">
        <f t="shared" si="1"/>
        <v>-7.2726495936592528E-9</v>
      </c>
      <c r="AG30" s="8">
        <f t="shared" si="2"/>
        <v>0.37437843531370163</v>
      </c>
      <c r="AH30" s="8">
        <f t="shared" si="3"/>
        <v>1.3116426833548189E-9</v>
      </c>
      <c r="AI30" s="8">
        <f t="shared" si="4"/>
        <v>1.297993061291222E-17</v>
      </c>
      <c r="AJ30" s="8">
        <f t="shared" si="5"/>
        <v>-9.5391176281265558E-18</v>
      </c>
      <c r="AK30" s="8">
        <f t="shared" si="6"/>
        <v>1.4901161193847656E-8</v>
      </c>
      <c r="AM30" s="8">
        <v>26</v>
      </c>
      <c r="AN30" s="8">
        <f t="shared" si="13"/>
        <v>1196.6292858123779</v>
      </c>
      <c r="AO30" s="8">
        <v>-4.6825525714666583E-6</v>
      </c>
      <c r="AP30" s="8">
        <f t="shared" si="14"/>
        <v>1196.6293454170227</v>
      </c>
      <c r="AQ30" s="8">
        <v>1.5222008300952439E-5</v>
      </c>
      <c r="AR30" s="8">
        <f t="shared" si="9"/>
        <v>1196.6293156147003</v>
      </c>
      <c r="AS30" s="8">
        <v>5.3632094250133377E-6</v>
      </c>
      <c r="AT30" s="8">
        <f t="shared" si="10"/>
        <v>-2.5113510084410422E-11</v>
      </c>
      <c r="AU30" s="8">
        <f t="shared" si="11"/>
        <v>8.1638818387299383E-11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5992.2530787676178</v>
      </c>
      <c r="H31" t="s">
        <v>14</v>
      </c>
      <c r="J31" t="s">
        <v>79</v>
      </c>
      <c r="K31" s="10" t="str">
        <f>IF(ABS(K30)&lt;0.00001, "TRUE", "FALSE")</f>
        <v>TRUE</v>
      </c>
      <c r="AB31" s="8">
        <v>27</v>
      </c>
      <c r="AC31" s="8">
        <f t="shared" si="7"/>
        <v>0.37437843531370163</v>
      </c>
      <c r="AD31" s="8">
        <f t="shared" si="0"/>
        <v>1.3116426833548189E-9</v>
      </c>
      <c r="AE31" s="8">
        <f t="shared" si="8"/>
        <v>0.37437844276428223</v>
      </c>
      <c r="AF31" s="8">
        <f t="shared" si="1"/>
        <v>-7.2726495936592528E-9</v>
      </c>
      <c r="AG31" s="8">
        <f t="shared" si="2"/>
        <v>0.37437843903899193</v>
      </c>
      <c r="AH31" s="8">
        <f t="shared" si="3"/>
        <v>-2.9805034551522169E-9</v>
      </c>
      <c r="AI31" s="8">
        <f t="shared" si="4"/>
        <v>-3.909355549664163E-18</v>
      </c>
      <c r="AJ31" s="8">
        <f t="shared" si="5"/>
        <v>2.1676157242012769E-17</v>
      </c>
      <c r="AK31" s="8">
        <f t="shared" si="6"/>
        <v>7.4505805969238281E-9</v>
      </c>
      <c r="AM31" s="8">
        <v>27</v>
      </c>
      <c r="AN31" s="8">
        <f t="shared" si="13"/>
        <v>1196.6292858123779</v>
      </c>
      <c r="AO31" s="8">
        <v>-4.6825525714666583E-6</v>
      </c>
      <c r="AP31" s="8">
        <f t="shared" si="14"/>
        <v>1196.6293156147003</v>
      </c>
      <c r="AQ31" s="8">
        <v>5.3632094250133377E-6</v>
      </c>
      <c r="AR31" s="8">
        <f t="shared" si="9"/>
        <v>1196.6293007135391</v>
      </c>
      <c r="AS31" s="8">
        <v>4.3638010538415983E-7</v>
      </c>
      <c r="AT31" s="8">
        <f t="shared" si="10"/>
        <v>-2.043372784603489E-12</v>
      </c>
      <c r="AU31" s="8">
        <f t="shared" si="11"/>
        <v>2.3403978940846396E-12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2.9118789347687013</v>
      </c>
      <c r="H32" t="s">
        <v>62</v>
      </c>
      <c r="AB32" s="8">
        <v>28</v>
      </c>
      <c r="AC32" s="8">
        <f t="shared" si="7"/>
        <v>0.37437843531370163</v>
      </c>
      <c r="AD32" s="8">
        <f t="shared" si="0"/>
        <v>1.3116426833548189E-9</v>
      </c>
      <c r="AE32" s="8">
        <f t="shared" si="8"/>
        <v>0.37437843903899193</v>
      </c>
      <c r="AF32" s="8">
        <f t="shared" si="1"/>
        <v>-2.9805034551522169E-9</v>
      </c>
      <c r="AG32" s="8">
        <f t="shared" si="2"/>
        <v>0.37437843717634678</v>
      </c>
      <c r="AH32" s="8">
        <f t="shared" si="3"/>
        <v>-8.3443041365427462E-10</v>
      </c>
      <c r="AI32" s="8">
        <f t="shared" si="4"/>
        <v>-1.0944745468383643E-18</v>
      </c>
      <c r="AJ32" s="8">
        <f t="shared" si="5"/>
        <v>2.4870227309806591E-18</v>
      </c>
      <c r="AK32" s="8">
        <f t="shared" si="6"/>
        <v>3.7252902984619141E-9</v>
      </c>
      <c r="AM32" s="8">
        <v>28</v>
      </c>
      <c r="AN32" s="8">
        <f t="shared" si="13"/>
        <v>1196.6292858123779</v>
      </c>
      <c r="AO32" s="8">
        <v>-4.6825525714666583E-6</v>
      </c>
      <c r="AP32" s="8">
        <f t="shared" si="14"/>
        <v>1196.6293007135391</v>
      </c>
      <c r="AQ32" s="8">
        <v>4.3638010538415983E-7</v>
      </c>
      <c r="AR32" s="8">
        <f t="shared" si="9"/>
        <v>1196.6292932629585</v>
      </c>
      <c r="AS32" s="8">
        <v>-2.1414681441456196E-6</v>
      </c>
      <c r="AT32" s="8">
        <f t="shared" si="10"/>
        <v>1.0027537165083003E-11</v>
      </c>
      <c r="AU32" s="8">
        <f t="shared" si="11"/>
        <v>-9.3449409441908666E-13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30.385780789171172</v>
      </c>
      <c r="H33" t="s">
        <v>162</v>
      </c>
      <c r="J33" s="2" t="s">
        <v>80</v>
      </c>
      <c r="K33" s="2"/>
      <c r="L33" s="2"/>
      <c r="AB33" s="8">
        <v>29</v>
      </c>
      <c r="AC33" s="8">
        <f t="shared" si="7"/>
        <v>0.37437843531370163</v>
      </c>
      <c r="AD33" s="8">
        <f t="shared" si="0"/>
        <v>1.3116426833548189E-9</v>
      </c>
      <c r="AE33" s="8">
        <f t="shared" si="8"/>
        <v>0.37437843717634678</v>
      </c>
      <c r="AF33" s="8">
        <f t="shared" si="1"/>
        <v>-8.3443041365427462E-10</v>
      </c>
      <c r="AG33" s="8">
        <f t="shared" si="2"/>
        <v>0.3743784362450242</v>
      </c>
      <c r="AH33" s="8">
        <f t="shared" si="3"/>
        <v>2.3860613485027216E-10</v>
      </c>
      <c r="AI33" s="8">
        <f t="shared" si="4"/>
        <v>3.1296599097993275E-19</v>
      </c>
      <c r="AJ33" s="8">
        <f t="shared" si="5"/>
        <v>-1.9910021580356023E-19</v>
      </c>
      <c r="AK33" s="8">
        <f t="shared" si="6"/>
        <v>1.862645149230957E-9</v>
      </c>
      <c r="AM33" s="8">
        <v>29</v>
      </c>
      <c r="AN33" s="8">
        <f t="shared" si="13"/>
        <v>1196.6292932629585</v>
      </c>
      <c r="AO33" s="8">
        <v>-2.1414681441456196E-6</v>
      </c>
      <c r="AP33" s="8">
        <f t="shared" si="14"/>
        <v>1196.6293007135391</v>
      </c>
      <c r="AQ33" s="8">
        <v>4.3638010538415983E-7</v>
      </c>
      <c r="AR33" s="8">
        <f t="shared" si="9"/>
        <v>1196.6292969882488</v>
      </c>
      <c r="AS33" s="8">
        <v>-9.4602523859066423E-7</v>
      </c>
      <c r="AT33" s="8">
        <f t="shared" si="10"/>
        <v>2.0258829119996667E-12</v>
      </c>
      <c r="AU33" s="8">
        <f t="shared" si="11"/>
        <v>-4.1282659331226901E-13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30.385780789171172</v>
      </c>
      <c r="H34" t="s">
        <v>162</v>
      </c>
      <c r="J34" t="s">
        <v>81</v>
      </c>
      <c r="K34">
        <f>ROUND($C$26/$C$17 * 100, 2)</f>
        <v>33.43</v>
      </c>
      <c r="L34" t="s">
        <v>82</v>
      </c>
      <c r="AB34" s="8">
        <v>30</v>
      </c>
      <c r="AC34" s="8">
        <f t="shared" si="7"/>
        <v>0.3743784362450242</v>
      </c>
      <c r="AD34" s="8">
        <f t="shared" si="0"/>
        <v>2.3860613485027216E-10</v>
      </c>
      <c r="AE34" s="8">
        <f t="shared" si="8"/>
        <v>0.37437843717634678</v>
      </c>
      <c r="AF34" s="8">
        <f t="shared" si="1"/>
        <v>-8.3443041365427462E-10</v>
      </c>
      <c r="AG34" s="8">
        <f t="shared" si="2"/>
        <v>0.37437843671068549</v>
      </c>
      <c r="AH34" s="8">
        <f t="shared" si="3"/>
        <v>-2.9791213940200123E-10</v>
      </c>
      <c r="AI34" s="8">
        <f t="shared" si="4"/>
        <v>-7.1083664107686982E-20</v>
      </c>
      <c r="AJ34" s="8">
        <f t="shared" si="5"/>
        <v>2.4858694971384181E-19</v>
      </c>
      <c r="AK34" s="8">
        <f t="shared" si="6"/>
        <v>9.3132257461547852E-10</v>
      </c>
      <c r="AM34" s="8">
        <v>30</v>
      </c>
      <c r="AN34" s="8">
        <f t="shared" si="13"/>
        <v>1196.6292969882488</v>
      </c>
      <c r="AO34" s="8">
        <v>-9.4602523859066423E-7</v>
      </c>
      <c r="AP34" s="8">
        <f t="shared" si="14"/>
        <v>1196.6293007135391</v>
      </c>
      <c r="AQ34" s="8">
        <v>4.3638010538415983E-7</v>
      </c>
      <c r="AR34" s="8">
        <f t="shared" si="9"/>
        <v>1196.629298850894</v>
      </c>
      <c r="AS34" s="8">
        <v>-2.5482268029008992E-7</v>
      </c>
      <c r="AT34" s="8">
        <f t="shared" si="10"/>
        <v>2.4106868691974487E-13</v>
      </c>
      <c r="AU34" s="8">
        <f t="shared" si="11"/>
        <v>-1.1119954807926351E-13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s="16" t="s">
        <v>74</v>
      </c>
      <c r="K35">
        <f>ROUND(K17/$C$17 * 100, 2)</f>
        <v>14.43</v>
      </c>
      <c r="L35" t="s">
        <v>82</v>
      </c>
      <c r="AM35" s="8">
        <v>31</v>
      </c>
      <c r="AN35" s="8">
        <f t="shared" si="13"/>
        <v>1196.629298850894</v>
      </c>
      <c r="AO35">
        <v>-2.5482268029008992E-7</v>
      </c>
      <c r="AP35" s="8">
        <f t="shared" si="14"/>
        <v>1196.6293007135391</v>
      </c>
      <c r="AQ35">
        <v>4.3638010538415983E-7</v>
      </c>
      <c r="AR35" s="8">
        <f t="shared" si="9"/>
        <v>1196.6292997822165</v>
      </c>
      <c r="AS35">
        <v>9.0778598860197235E-8</v>
      </c>
      <c r="AT35" s="8">
        <f t="shared" si="10"/>
        <v>-2.3132445874534361E-14</v>
      </c>
      <c r="AU35" s="8">
        <f t="shared" si="11"/>
        <v>3.9613974537239241E-14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8" t="s">
        <v>108</v>
      </c>
      <c r="K36">
        <f>ROUND(SUM(K18:K20)/$C$17 * 100, 2)</f>
        <v>18.149999999999999</v>
      </c>
      <c r="L36" t="s">
        <v>82</v>
      </c>
      <c r="AM36" s="8">
        <v>32</v>
      </c>
      <c r="AN36" s="8">
        <f t="shared" si="13"/>
        <v>1196.629298850894</v>
      </c>
      <c r="AO36">
        <v>-2.5482268029008992E-7</v>
      </c>
      <c r="AP36" s="8">
        <f t="shared" si="14"/>
        <v>1196.6292997822165</v>
      </c>
      <c r="AQ36">
        <v>9.0778598860197235E-8</v>
      </c>
      <c r="AR36" s="8">
        <f t="shared" si="9"/>
        <v>1196.6292993165553</v>
      </c>
      <c r="AS36">
        <v>-8.2022097558365203E-8</v>
      </c>
      <c r="AT36" s="8">
        <f t="shared" si="10"/>
        <v>2.0901090742837861E-14</v>
      </c>
      <c r="AU36" s="8">
        <f t="shared" si="11"/>
        <v>-7.4458510919227979E-15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7" t="s">
        <v>95</v>
      </c>
      <c r="K37">
        <f>ROUND(SUM(K21:K25)/$C$17 * 100, 2)</f>
        <v>29.31</v>
      </c>
      <c r="L37" t="s">
        <v>82</v>
      </c>
      <c r="AB37" s="6" t="s">
        <v>142</v>
      </c>
      <c r="AM37" s="8">
        <v>33</v>
      </c>
      <c r="AN37" s="8">
        <f t="shared" si="13"/>
        <v>1196.6292993165553</v>
      </c>
      <c r="AO37">
        <v>-8.2022097558365203E-8</v>
      </c>
      <c r="AP37" s="8">
        <f t="shared" si="14"/>
        <v>1196.6292997822165</v>
      </c>
      <c r="AQ37">
        <v>9.0778598860197235E-8</v>
      </c>
      <c r="AR37" s="8">
        <f t="shared" si="9"/>
        <v>1196.6292995493859</v>
      </c>
      <c r="AS37">
        <v>4.3783074943348765E-9</v>
      </c>
      <c r="AT37" s="8">
        <f t="shared" si="10"/>
        <v>-3.5911796444085675E-16</v>
      </c>
      <c r="AU37" s="8">
        <f t="shared" si="11"/>
        <v>3.9745661971482103E-16</v>
      </c>
      <c r="AV37" s="8">
        <f t="shared" si="12"/>
        <v>4.6566128730773926E-7</v>
      </c>
    </row>
    <row r="38" spans="2:48" x14ac:dyDescent="0.2">
      <c r="B38" s="45" t="s">
        <v>184</v>
      </c>
      <c r="C38" s="45"/>
      <c r="D38" s="45"/>
      <c r="F38" t="s">
        <v>117</v>
      </c>
      <c r="G38" s="1">
        <v>1.524</v>
      </c>
      <c r="H38" t="s">
        <v>16</v>
      </c>
      <c r="J38" s="15" t="s">
        <v>96</v>
      </c>
      <c r="K38">
        <f>ROUND(SUM(K26:K29)/$C$17*100, 2)</f>
        <v>4.6900000000000004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1196.6292993165553</v>
      </c>
      <c r="AO38">
        <v>-8.2022097558365203E-8</v>
      </c>
      <c r="AP38" s="8">
        <f t="shared" si="14"/>
        <v>1196.6292995493859</v>
      </c>
      <c r="AQ38">
        <v>4.3783074943348765E-9</v>
      </c>
      <c r="AR38" s="8">
        <f t="shared" si="9"/>
        <v>1196.6292994329706</v>
      </c>
      <c r="AS38">
        <v>-3.8821781345177442E-8</v>
      </c>
      <c r="AT38" s="8">
        <f t="shared" si="10"/>
        <v>3.1842439368836665E-15</v>
      </c>
      <c r="AU38" s="8">
        <f t="shared" si="11"/>
        <v>-1.699736962070203E-16</v>
      </c>
      <c r="AV38" s="8">
        <f t="shared" si="12"/>
        <v>2.3283064365386963E-7</v>
      </c>
    </row>
    <row r="39" spans="2:48" x14ac:dyDescent="0.2">
      <c r="B39" t="s">
        <v>182</v>
      </c>
      <c r="C39" s="1">
        <v>3</v>
      </c>
      <c r="F39" t="s">
        <v>123</v>
      </c>
      <c r="G39" s="1">
        <v>152.4</v>
      </c>
      <c r="H39" t="s">
        <v>14</v>
      </c>
      <c r="J39" s="3" t="s">
        <v>83</v>
      </c>
      <c r="K39" s="3">
        <f>SUM(K34:K38)</f>
        <v>100.00999999999999</v>
      </c>
      <c r="L39" s="3" t="s">
        <v>82</v>
      </c>
      <c r="AB39" s="8">
        <v>0</v>
      </c>
      <c r="AC39" s="9">
        <v>0</v>
      </c>
      <c r="AD39" s="8">
        <f xml:space="preserve"> $O$19 * TAN($O$16/180*PI()) + $O$20 / (2 * SQRT($O$19^2 + AC39^2)) - AC39</f>
        <v>1.6110572204093649</v>
      </c>
      <c r="AE39" s="9">
        <v>1</v>
      </c>
      <c r="AF39" s="8">
        <f xml:space="preserve"> $O$19 * TAN($O$16/180*PI()) + $O$20 / (2 * SQRT($O$19^2 + AE39^2)) - AE39</f>
        <v>-0.64701749420479282</v>
      </c>
      <c r="AG39" s="8">
        <f xml:space="preserve"> (AC39 + AE39)/2</f>
        <v>0.5</v>
      </c>
      <c r="AH39" s="8">
        <f xml:space="preserve"> $O$19 * TAN($O$16/180*PI()) + $O$20 / (2 * SQRT($O$19^2 + AG39^2)) - AG39</f>
        <v>-0.11121625657804707</v>
      </c>
      <c r="AI39" s="8">
        <f>AD39*AH39</f>
        <v>-0.17917575318696327</v>
      </c>
      <c r="AJ39" s="8">
        <f>AF39*AH39</f>
        <v>7.1958863645965321E-2</v>
      </c>
      <c r="AK39" s="8">
        <f>AE39-AC39</f>
        <v>1</v>
      </c>
      <c r="AM39" s="8">
        <v>35</v>
      </c>
      <c r="AN39" s="8">
        <f t="shared" si="13"/>
        <v>1196.6292994329706</v>
      </c>
      <c r="AO39">
        <v>-3.8821781345177442E-8</v>
      </c>
      <c r="AP39" s="8">
        <f t="shared" si="14"/>
        <v>1196.6292995493859</v>
      </c>
      <c r="AQ39">
        <v>4.3783074943348765E-9</v>
      </c>
      <c r="AR39" s="8">
        <f t="shared" si="9"/>
        <v>1196.6292994911782</v>
      </c>
      <c r="AS39">
        <v>-1.7221850612259004E-8</v>
      </c>
      <c r="AT39" s="8">
        <f t="shared" si="10"/>
        <v>6.6858291882842932E-16</v>
      </c>
      <c r="AU39" s="8">
        <f t="shared" si="11"/>
        <v>-7.540255760196928E-17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305.47187055985864</v>
      </c>
      <c r="H40" t="s">
        <v>162</v>
      </c>
      <c r="AB40" s="8">
        <v>1</v>
      </c>
      <c r="AC40" s="8">
        <f>IF(AI39&gt;0, AG39, AC39)</f>
        <v>0</v>
      </c>
      <c r="AD40" s="8">
        <f t="shared" ref="AD40:AD69" si="15" xml:space="preserve"> $O$19 * TAN($O$16/180*PI()) + $O$20 / (2 * SQRT($O$19^2 + AC40^2)) - AC40</f>
        <v>1.6110572204093649</v>
      </c>
      <c r="AE40" s="8">
        <f>IF(AJ39&gt;0, AG39, AE39)</f>
        <v>0.5</v>
      </c>
      <c r="AF40" s="8">
        <f t="shared" ref="AF40:AF69" si="16" xml:space="preserve"> $O$19 * TAN($O$16/180*PI()) + $O$20 / (2 * SQRT($O$19^2 + AE40^2)) - AE40</f>
        <v>-0.11121625657804707</v>
      </c>
      <c r="AG40" s="8">
        <f t="shared" ref="AG40:AG69" si="17" xml:space="preserve"> (AC40 + AE40)/2</f>
        <v>0.25</v>
      </c>
      <c r="AH40" s="8">
        <f t="shared" ref="AH40:AH69" si="18" xml:space="preserve"> $O$19 * TAN($O$16/180*PI()) + $O$20 / (2 * SQRT($O$19^2 + AG40^2)) - AG40</f>
        <v>0.20981335316812566</v>
      </c>
      <c r="AI40" s="8">
        <f t="shared" ref="AI40:AI69" si="19">AD40*AH40</f>
        <v>0.33802131755980896</v>
      </c>
      <c r="AJ40" s="8">
        <f t="shared" ref="AJ40:AJ69" si="20">AF40*AH40</f>
        <v>-2.3334655719446668E-2</v>
      </c>
      <c r="AK40" s="8">
        <f t="shared" ref="AK40:AK69" si="21">AE40-AC40</f>
        <v>0.5</v>
      </c>
      <c r="AM40" s="8">
        <v>36</v>
      </c>
      <c r="AN40" s="8">
        <f t="shared" si="13"/>
        <v>1196.6292994911782</v>
      </c>
      <c r="AO40">
        <v>-1.7221850612259004E-8</v>
      </c>
      <c r="AP40" s="8">
        <f t="shared" si="14"/>
        <v>1196.6292995493859</v>
      </c>
      <c r="AQ40">
        <v>4.3783074943348765E-9</v>
      </c>
      <c r="AR40" s="8">
        <f t="shared" si="9"/>
        <v>1196.6292995202821</v>
      </c>
      <c r="AS40">
        <v>-6.4216010287054814E-9</v>
      </c>
      <c r="AT40" s="8">
        <f t="shared" si="10"/>
        <v>1.1059185360789455E-16</v>
      </c>
      <c r="AU40" s="8">
        <f t="shared" si="11"/>
        <v>-2.8115743909609762E-17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2933.7311800752791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0.20981335316812566</v>
      </c>
      <c r="AE41" s="8">
        <f t="shared" ref="AE41:AE69" si="23">IF(AJ40&gt;0, AG40, AE40)</f>
        <v>0.5</v>
      </c>
      <c r="AF41" s="8">
        <f t="shared" si="16"/>
        <v>-0.11121625657804707</v>
      </c>
      <c r="AG41" s="8">
        <f t="shared" si="17"/>
        <v>0.375</v>
      </c>
      <c r="AH41" s="8">
        <f t="shared" si="18"/>
        <v>3.756490779024696E-2</v>
      </c>
      <c r="AI41" s="8">
        <f t="shared" si="19"/>
        <v>7.881619264923161E-3</v>
      </c>
      <c r="AJ41" s="8">
        <f t="shared" si="20"/>
        <v>-4.1778284231307854E-3</v>
      </c>
      <c r="AK41" s="8">
        <f t="shared" si="21"/>
        <v>0.25</v>
      </c>
      <c r="AM41" s="8">
        <v>37</v>
      </c>
      <c r="AN41" s="8">
        <f t="shared" si="13"/>
        <v>1196.6292995202821</v>
      </c>
      <c r="AO41">
        <v>-6.4216010287054814E-9</v>
      </c>
      <c r="AP41" s="8">
        <f t="shared" si="14"/>
        <v>1196.6292995493859</v>
      </c>
      <c r="AQ41">
        <v>4.3783074943348765E-9</v>
      </c>
      <c r="AR41" s="8">
        <f t="shared" si="9"/>
        <v>1196.629299534834</v>
      </c>
      <c r="AS41">
        <v>-1.0219309842796065E-9</v>
      </c>
      <c r="AT41" s="8">
        <f t="shared" si="10"/>
        <v>6.5624330599159262E-18</v>
      </c>
      <c r="AU41" s="8">
        <f t="shared" si="11"/>
        <v>-4.474328087164418E-18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AB42" s="8">
        <v>3</v>
      </c>
      <c r="AC42" s="8">
        <f>IF(AI41&gt;0, AG41, AC41)</f>
        <v>0.375</v>
      </c>
      <c r="AD42" s="8">
        <f t="shared" si="15"/>
        <v>3.756490779024696E-2</v>
      </c>
      <c r="AE42" s="8">
        <f t="shared" si="23"/>
        <v>0.5</v>
      </c>
      <c r="AF42" s="8">
        <f t="shared" si="16"/>
        <v>-0.11121625657804707</v>
      </c>
      <c r="AG42" s="8">
        <f t="shared" si="17"/>
        <v>0.4375</v>
      </c>
      <c r="AH42" s="8">
        <f t="shared" si="18"/>
        <v>-3.8513983761552573E-2</v>
      </c>
      <c r="AI42" s="8">
        <f t="shared" si="19"/>
        <v>-1.4467742486377912E-3</v>
      </c>
      <c r="AJ42" s="8">
        <f t="shared" si="20"/>
        <v>4.2833810998675692E-3</v>
      </c>
      <c r="AK42" s="8">
        <f t="shared" si="21"/>
        <v>0.125</v>
      </c>
      <c r="AM42" s="8">
        <v>38</v>
      </c>
      <c r="AN42" s="8">
        <f t="shared" si="13"/>
        <v>1196.629299534834</v>
      </c>
      <c r="AO42">
        <v>-1.0219309842796065E-9</v>
      </c>
      <c r="AP42" s="8">
        <f t="shared" si="14"/>
        <v>1196.6292995493859</v>
      </c>
      <c r="AQ42">
        <v>4.3783074943348765E-9</v>
      </c>
      <c r="AR42" s="8">
        <f t="shared" si="9"/>
        <v>1196.6292995421099</v>
      </c>
      <c r="AS42">
        <v>1.6783587852842174E-9</v>
      </c>
      <c r="AT42" s="8">
        <f t="shared" si="10"/>
        <v>-1.7151668454198251E-18</v>
      </c>
      <c r="AU42" s="8">
        <f t="shared" si="11"/>
        <v>7.3483708477926691E-18</v>
      </c>
      <c r="AV42" s="8">
        <f t="shared" si="12"/>
        <v>1.4551915228366852E-8</v>
      </c>
    </row>
    <row r="43" spans="2:48" x14ac:dyDescent="0.2">
      <c r="B43" s="45" t="s">
        <v>165</v>
      </c>
      <c r="C43" s="45"/>
      <c r="D43" s="45"/>
      <c r="AB43" s="8">
        <v>4</v>
      </c>
      <c r="AC43" s="8">
        <f t="shared" si="22"/>
        <v>0.375</v>
      </c>
      <c r="AD43" s="8">
        <f t="shared" si="15"/>
        <v>3.756490779024696E-2</v>
      </c>
      <c r="AE43" s="8">
        <f t="shared" si="23"/>
        <v>0.4375</v>
      </c>
      <c r="AF43" s="8">
        <f t="shared" si="16"/>
        <v>-3.8513983761552573E-2</v>
      </c>
      <c r="AG43" s="8">
        <f t="shared" si="17"/>
        <v>0.40625</v>
      </c>
      <c r="AH43" s="8">
        <f t="shared" si="18"/>
        <v>-9.9315236255526074E-4</v>
      </c>
      <c r="AI43" s="8">
        <f t="shared" si="19"/>
        <v>-3.7307676921054285E-5</v>
      </c>
      <c r="AJ43" s="8">
        <f t="shared" si="20"/>
        <v>3.8250253964200887E-5</v>
      </c>
      <c r="AK43" s="8">
        <f t="shared" si="21"/>
        <v>6.25E-2</v>
      </c>
      <c r="AM43" s="8">
        <v>39</v>
      </c>
      <c r="AN43" s="8">
        <f t="shared" si="13"/>
        <v>1196.629299534834</v>
      </c>
      <c r="AO43">
        <v>-1.0219309842796065E-9</v>
      </c>
      <c r="AP43" s="8">
        <f t="shared" si="14"/>
        <v>1196.6292995421099</v>
      </c>
      <c r="AQ43">
        <v>1.6783587852842174E-9</v>
      </c>
      <c r="AR43" s="8">
        <f t="shared" si="9"/>
        <v>1196.629299538472</v>
      </c>
      <c r="AS43">
        <v>3.2832758734002709E-10</v>
      </c>
      <c r="AT43" s="8">
        <f t="shared" si="10"/>
        <v>-3.3552813449654236E-19</v>
      </c>
      <c r="AU43" s="8">
        <f t="shared" si="11"/>
        <v>5.5105149066330568E-19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AB44" s="8">
        <v>5</v>
      </c>
      <c r="AC44" s="8">
        <f t="shared" si="22"/>
        <v>0.375</v>
      </c>
      <c r="AD44" s="8">
        <f t="shared" si="15"/>
        <v>3.756490779024696E-2</v>
      </c>
      <c r="AE44" s="8">
        <f t="shared" si="23"/>
        <v>0.40625</v>
      </c>
      <c r="AF44" s="8">
        <f t="shared" si="16"/>
        <v>-9.9315236255526074E-4</v>
      </c>
      <c r="AG44" s="8">
        <f t="shared" si="17"/>
        <v>0.390625</v>
      </c>
      <c r="AH44" s="8">
        <f t="shared" si="18"/>
        <v>1.8140817975201007E-2</v>
      </c>
      <c r="AI44" s="8">
        <f t="shared" si="19"/>
        <v>6.8145815447808041E-4</v>
      </c>
      <c r="AJ44" s="8">
        <f t="shared" si="20"/>
        <v>-1.8016596230755822E-5</v>
      </c>
      <c r="AK44" s="8">
        <f t="shared" si="21"/>
        <v>3.125E-2</v>
      </c>
      <c r="AM44" s="8">
        <v>40</v>
      </c>
      <c r="AN44" s="8">
        <f t="shared" si="13"/>
        <v>1196.629299534834</v>
      </c>
      <c r="AO44">
        <v>-1.0219309842796065E-9</v>
      </c>
      <c r="AP44" s="8">
        <f t="shared" si="14"/>
        <v>1196.629299538472</v>
      </c>
      <c r="AQ44">
        <v>3.2832758734002709E-10</v>
      </c>
      <c r="AR44" s="11">
        <f t="shared" si="9"/>
        <v>1196.629299536653</v>
      </c>
      <c r="AS44">
        <v>-3.4685854188865051E-10</v>
      </c>
      <c r="AT44" s="8">
        <f t="shared" si="10"/>
        <v>3.5446549111805773E-19</v>
      </c>
      <c r="AU44" s="8">
        <f t="shared" si="11"/>
        <v>-1.1388322820658035E-19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AB45" s="8">
        <v>6</v>
      </c>
      <c r="AC45" s="8">
        <f t="shared" si="22"/>
        <v>0.390625</v>
      </c>
      <c r="AD45" s="8">
        <f t="shared" si="15"/>
        <v>1.8140817975201007E-2</v>
      </c>
      <c r="AE45" s="8">
        <f t="shared" si="23"/>
        <v>0.40625</v>
      </c>
      <c r="AF45" s="8">
        <f t="shared" si="16"/>
        <v>-9.9315236255526074E-4</v>
      </c>
      <c r="AG45" s="8">
        <f t="shared" si="17"/>
        <v>0.3984375</v>
      </c>
      <c r="AH45" s="8">
        <f t="shared" si="18"/>
        <v>8.5396801669347377E-3</v>
      </c>
      <c r="AI45" s="8">
        <f t="shared" si="19"/>
        <v>1.5491678347479722E-4</v>
      </c>
      <c r="AJ45" s="8">
        <f t="shared" si="20"/>
        <v>-8.481203533257538E-6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AB46" s="8">
        <v>7</v>
      </c>
      <c r="AC46" s="8">
        <f t="shared" si="22"/>
        <v>0.3984375</v>
      </c>
      <c r="AD46" s="8">
        <f t="shared" si="15"/>
        <v>8.5396801669347377E-3</v>
      </c>
      <c r="AE46" s="8">
        <f t="shared" si="23"/>
        <v>0.40625</v>
      </c>
      <c r="AF46" s="8">
        <f t="shared" si="16"/>
        <v>-9.9315236255526074E-4</v>
      </c>
      <c r="AG46" s="8">
        <f t="shared" si="17"/>
        <v>0.40234375</v>
      </c>
      <c r="AH46" s="8">
        <f t="shared" si="18"/>
        <v>3.7649720524713937E-3</v>
      </c>
      <c r="AI46" s="8">
        <f t="shared" si="19"/>
        <v>3.2151657165553533E-5</v>
      </c>
      <c r="AJ46" s="8">
        <f t="shared" si="20"/>
        <v>-3.7391908888664936E-6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0.40234375</v>
      </c>
      <c r="AD47" s="8">
        <f t="shared" si="15"/>
        <v>3.7649720524713937E-3</v>
      </c>
      <c r="AE47" s="8">
        <f t="shared" si="23"/>
        <v>0.40625</v>
      </c>
      <c r="AF47" s="8">
        <f t="shared" si="16"/>
        <v>-9.9315236255526074E-4</v>
      </c>
      <c r="AG47" s="8">
        <f t="shared" si="17"/>
        <v>0.404296875</v>
      </c>
      <c r="AH47" s="8">
        <f t="shared" si="18"/>
        <v>1.3838666424935697E-3</v>
      </c>
      <c r="AI47" s="8">
        <f t="shared" si="19"/>
        <v>5.2102192333357117E-6</v>
      </c>
      <c r="AJ47" s="8">
        <f t="shared" si="20"/>
        <v>-1.3743904254539051E-6</v>
      </c>
      <c r="AK47" s="8">
        <f t="shared" si="21"/>
        <v>3.90625E-3</v>
      </c>
    </row>
    <row r="48" spans="2:48" x14ac:dyDescent="0.2">
      <c r="B48" s="45" t="s">
        <v>169</v>
      </c>
      <c r="C48" s="45"/>
      <c r="D48" s="45"/>
      <c r="AB48" s="8">
        <v>9</v>
      </c>
      <c r="AC48" s="8">
        <f t="shared" si="22"/>
        <v>0.404296875</v>
      </c>
      <c r="AD48" s="8">
        <f t="shared" si="15"/>
        <v>1.3838666424935697E-3</v>
      </c>
      <c r="AE48" s="8">
        <f t="shared" si="23"/>
        <v>0.40625</v>
      </c>
      <c r="AF48" s="8">
        <f t="shared" si="16"/>
        <v>-9.9315236255526074E-4</v>
      </c>
      <c r="AG48" s="8">
        <f t="shared" si="17"/>
        <v>0.4052734375</v>
      </c>
      <c r="AH48" s="8">
        <f t="shared" si="18"/>
        <v>1.9484999733965225E-4</v>
      </c>
      <c r="AI48" s="8">
        <f t="shared" si="19"/>
        <v>2.6964641160830554E-7</v>
      </c>
      <c r="AJ48" s="8">
        <f t="shared" si="20"/>
        <v>-1.9351573520176189E-7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AB49" s="8">
        <v>10</v>
      </c>
      <c r="AC49" s="8">
        <f t="shared" si="22"/>
        <v>0.4052734375</v>
      </c>
      <c r="AD49" s="8">
        <f t="shared" si="15"/>
        <v>1.9484999733965225E-4</v>
      </c>
      <c r="AE49" s="8">
        <f t="shared" si="23"/>
        <v>0.40625</v>
      </c>
      <c r="AF49" s="8">
        <f t="shared" si="16"/>
        <v>-9.9315236255526074E-4</v>
      </c>
      <c r="AG49" s="8">
        <f t="shared" si="17"/>
        <v>0.40576171875</v>
      </c>
      <c r="AH49" s="8">
        <f t="shared" si="18"/>
        <v>-3.9927751482349283E-4</v>
      </c>
      <c r="AI49" s="8">
        <f t="shared" si="19"/>
        <v>-7.779922270114054E-8</v>
      </c>
      <c r="AJ49" s="8">
        <f t="shared" si="20"/>
        <v>3.9654340716214503E-7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AB50" s="8">
        <v>11</v>
      </c>
      <c r="AC50" s="8">
        <f t="shared" si="22"/>
        <v>0.4052734375</v>
      </c>
      <c r="AD50" s="8">
        <f t="shared" si="15"/>
        <v>1.9484999733965225E-4</v>
      </c>
      <c r="AE50" s="8">
        <f t="shared" si="23"/>
        <v>0.40576171875</v>
      </c>
      <c r="AF50" s="8">
        <f t="shared" si="16"/>
        <v>-3.9927751482349283E-4</v>
      </c>
      <c r="AG50" s="8">
        <f t="shared" si="17"/>
        <v>0.405517578125</v>
      </c>
      <c r="AH50" s="8">
        <f t="shared" si="18"/>
        <v>-1.0224539830744339E-4</v>
      </c>
      <c r="AI50" s="8">
        <f t="shared" si="19"/>
        <v>-1.992251558819703E-8</v>
      </c>
      <c r="AJ50" s="8">
        <f t="shared" si="20"/>
        <v>4.082428853833416E-8</v>
      </c>
      <c r="AK50" s="8">
        <f t="shared" si="21"/>
        <v>4.8828125E-4</v>
      </c>
    </row>
    <row r="51" spans="2:39" x14ac:dyDescent="0.2">
      <c r="AB51" s="8">
        <v>12</v>
      </c>
      <c r="AC51" s="8">
        <f t="shared" si="22"/>
        <v>0.4052734375</v>
      </c>
      <c r="AD51" s="8">
        <f t="shared" si="15"/>
        <v>1.9484999733965225E-4</v>
      </c>
      <c r="AE51" s="8">
        <f t="shared" si="23"/>
        <v>0.405517578125</v>
      </c>
      <c r="AF51" s="8">
        <f t="shared" si="16"/>
        <v>-1.0224539830744339E-4</v>
      </c>
      <c r="AG51" s="8">
        <f t="shared" si="17"/>
        <v>0.4053955078125</v>
      </c>
      <c r="AH51" s="8">
        <f t="shared" si="18"/>
        <v>4.629438254605267E-5</v>
      </c>
      <c r="AI51" s="8">
        <f t="shared" si="19"/>
        <v>9.0204603159392065E-9</v>
      </c>
      <c r="AJ51" s="8">
        <f t="shared" si="20"/>
        <v>-4.733387582818311E-9</v>
      </c>
      <c r="AK51" s="8">
        <f t="shared" si="21"/>
        <v>2.44140625E-4</v>
      </c>
    </row>
    <row r="52" spans="2:39" x14ac:dyDescent="0.2">
      <c r="B52" s="45" t="s">
        <v>181</v>
      </c>
      <c r="C52" s="45"/>
      <c r="D52" s="45"/>
      <c r="AB52" s="8">
        <v>13</v>
      </c>
      <c r="AC52" s="8">
        <f t="shared" si="22"/>
        <v>0.4053955078125</v>
      </c>
      <c r="AD52" s="8">
        <f t="shared" si="15"/>
        <v>4.629438254605267E-5</v>
      </c>
      <c r="AE52" s="8">
        <f t="shared" si="23"/>
        <v>0.405517578125</v>
      </c>
      <c r="AF52" s="8">
        <f t="shared" si="16"/>
        <v>-1.0224539830744339E-4</v>
      </c>
      <c r="AG52" s="8">
        <f t="shared" si="17"/>
        <v>0.40545654296875</v>
      </c>
      <c r="AH52" s="8">
        <f t="shared" si="18"/>
        <v>-2.797748623772911E-5</v>
      </c>
      <c r="AI52" s="8">
        <f t="shared" si="19"/>
        <v>-1.2952004505663552E-9</v>
      </c>
      <c r="AJ52" s="8">
        <f t="shared" si="20"/>
        <v>2.8605692240176287E-9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AB53" s="8">
        <v>14</v>
      </c>
      <c r="AC53" s="8">
        <f t="shared" si="22"/>
        <v>0.4053955078125</v>
      </c>
      <c r="AD53" s="8">
        <f t="shared" si="15"/>
        <v>4.629438254605267E-5</v>
      </c>
      <c r="AE53" s="8">
        <f t="shared" si="23"/>
        <v>0.40545654296875</v>
      </c>
      <c r="AF53" s="8">
        <f t="shared" si="16"/>
        <v>-2.797748623772911E-5</v>
      </c>
      <c r="AG53" s="8">
        <f t="shared" si="17"/>
        <v>0.405426025390625</v>
      </c>
      <c r="AH53" s="8">
        <f t="shared" si="18"/>
        <v>9.157953454297374E-6</v>
      </c>
      <c r="AI53" s="8">
        <f t="shared" si="19"/>
        <v>4.2396180055218711E-10</v>
      </c>
      <c r="AJ53" s="8">
        <f t="shared" si="20"/>
        <v>-2.5621651673336856E-10</v>
      </c>
      <c r="AK53" s="8">
        <f t="shared" si="21"/>
        <v>6.103515625E-5</v>
      </c>
    </row>
    <row r="54" spans="2:39" x14ac:dyDescent="0.2">
      <c r="AB54" s="8">
        <v>15</v>
      </c>
      <c r="AC54" s="8">
        <f t="shared" si="22"/>
        <v>0.405426025390625</v>
      </c>
      <c r="AD54" s="8">
        <f t="shared" si="15"/>
        <v>9.157953454297374E-6</v>
      </c>
      <c r="AE54" s="8">
        <f t="shared" si="23"/>
        <v>0.40545654296875</v>
      </c>
      <c r="AF54" s="8">
        <f t="shared" si="16"/>
        <v>-2.797748623772911E-5</v>
      </c>
      <c r="AG54" s="8">
        <f t="shared" si="17"/>
        <v>0.4054412841796875</v>
      </c>
      <c r="AH54" s="8">
        <f t="shared" si="18"/>
        <v>-9.4098900528249985E-6</v>
      </c>
      <c r="AI54" s="8">
        <f t="shared" si="19"/>
        <v>-8.6175335113827195E-11</v>
      </c>
      <c r="AJ54" s="8">
        <f t="shared" si="20"/>
        <v>2.6326506945145546E-10</v>
      </c>
      <c r="AK54" s="8">
        <f t="shared" si="21"/>
        <v>3.0517578125E-5</v>
      </c>
    </row>
    <row r="55" spans="2:39" x14ac:dyDescent="0.2">
      <c r="B55" s="45" t="s">
        <v>172</v>
      </c>
      <c r="C55" s="45"/>
      <c r="D55" s="45"/>
      <c r="AB55" s="8">
        <v>16</v>
      </c>
      <c r="AC55" s="8">
        <f t="shared" si="22"/>
        <v>0.405426025390625</v>
      </c>
      <c r="AD55" s="8">
        <f t="shared" si="15"/>
        <v>9.157953454297374E-6</v>
      </c>
      <c r="AE55" s="8">
        <f t="shared" si="23"/>
        <v>0.4054412841796875</v>
      </c>
      <c r="AF55" s="8">
        <f t="shared" si="16"/>
        <v>-9.4098900528249985E-6</v>
      </c>
      <c r="AG55" s="8">
        <f t="shared" si="17"/>
        <v>0.40543365478515625</v>
      </c>
      <c r="AH55" s="8">
        <f t="shared" si="18"/>
        <v>-1.2599921628275723E-7</v>
      </c>
      <c r="AI55" s="8">
        <f t="shared" si="19"/>
        <v>-1.1538949579954386E-12</v>
      </c>
      <c r="AJ55" s="8">
        <f t="shared" si="20"/>
        <v>1.1856387719628629E-12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AB56" s="8">
        <v>17</v>
      </c>
      <c r="AC56" s="8">
        <f t="shared" si="22"/>
        <v>0.405426025390625</v>
      </c>
      <c r="AD56" s="8">
        <f t="shared" si="15"/>
        <v>9.157953454297374E-6</v>
      </c>
      <c r="AE56" s="8">
        <f t="shared" si="23"/>
        <v>0.40543365478515625</v>
      </c>
      <c r="AF56" s="8">
        <f t="shared" si="16"/>
        <v>-1.2599921628275723E-7</v>
      </c>
      <c r="AG56" s="8">
        <f t="shared" si="17"/>
        <v>0.40542984008789062</v>
      </c>
      <c r="AH56" s="8">
        <f t="shared" si="18"/>
        <v>4.5159693895513442E-6</v>
      </c>
      <c r="AI56" s="8">
        <f t="shared" si="19"/>
        <v>4.1357037470542934E-11</v>
      </c>
      <c r="AJ56" s="8">
        <f t="shared" si="20"/>
        <v>-5.6900860384039099E-13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AB57" s="8">
        <v>18</v>
      </c>
      <c r="AC57" s="8">
        <f t="shared" si="22"/>
        <v>0.40542984008789062</v>
      </c>
      <c r="AD57" s="8">
        <f t="shared" si="15"/>
        <v>4.5159693895513442E-6</v>
      </c>
      <c r="AE57" s="8">
        <f t="shared" si="23"/>
        <v>0.40543365478515625</v>
      </c>
      <c r="AF57" s="8">
        <f t="shared" si="16"/>
        <v>-1.2599921628275723E-7</v>
      </c>
      <c r="AG57" s="8">
        <f t="shared" si="17"/>
        <v>0.40543174743652344</v>
      </c>
      <c r="AH57" s="8">
        <f t="shared" si="18"/>
        <v>2.1949831542911191E-6</v>
      </c>
      <c r="AI57" s="8">
        <f t="shared" si="19"/>
        <v>9.9124767353595489E-12</v>
      </c>
      <c r="AJ57" s="8">
        <f t="shared" si="20"/>
        <v>-2.765661571945354E-13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AB58" s="8">
        <v>19</v>
      </c>
      <c r="AC58" s="8">
        <f t="shared" si="22"/>
        <v>0.40543174743652344</v>
      </c>
      <c r="AD58" s="8">
        <f t="shared" si="15"/>
        <v>2.1949831542911191E-6</v>
      </c>
      <c r="AE58" s="8">
        <f t="shared" si="23"/>
        <v>0.40543365478515625</v>
      </c>
      <c r="AF58" s="8">
        <f t="shared" si="16"/>
        <v>-1.2599921628275723E-7</v>
      </c>
      <c r="AG58" s="8">
        <f t="shared" si="17"/>
        <v>0.40543270111083984</v>
      </c>
      <c r="AH58" s="8">
        <f t="shared" si="18"/>
        <v>1.0344914859183874E-6</v>
      </c>
      <c r="AI58" s="8">
        <f t="shared" si="19"/>
        <v>2.2706913848484486E-12</v>
      </c>
      <c r="AJ58" s="8">
        <f t="shared" si="20"/>
        <v>-1.303451164769018E-13</v>
      </c>
      <c r="AK58" s="8">
        <f t="shared" si="21"/>
        <v>1.9073486328125E-6</v>
      </c>
    </row>
    <row r="59" spans="2:39" x14ac:dyDescent="0.2">
      <c r="AB59" s="8">
        <v>20</v>
      </c>
      <c r="AC59" s="8">
        <f t="shared" si="22"/>
        <v>0.40543270111083984</v>
      </c>
      <c r="AD59" s="8">
        <f t="shared" si="15"/>
        <v>1.0344914859183874E-6</v>
      </c>
      <c r="AE59" s="8">
        <f t="shared" si="23"/>
        <v>0.40543365478515625</v>
      </c>
      <c r="AF59" s="8">
        <f t="shared" si="16"/>
        <v>-1.2599921628275723E-7</v>
      </c>
      <c r="AG59" s="8">
        <f t="shared" si="17"/>
        <v>0.40543317794799805</v>
      </c>
      <c r="AH59" s="8">
        <f t="shared" si="18"/>
        <v>4.5424601402554998E-7</v>
      </c>
      <c r="AI59" s="8">
        <f t="shared" si="19"/>
        <v>4.6991363402179584E-13</v>
      </c>
      <c r="AJ59" s="8">
        <f t="shared" si="20"/>
        <v>-5.7234641766785652E-14</v>
      </c>
      <c r="AK59" s="8">
        <f t="shared" si="21"/>
        <v>9.5367431640625E-7</v>
      </c>
    </row>
    <row r="60" spans="2:39" x14ac:dyDescent="0.2">
      <c r="B60" s="45" t="s">
        <v>176</v>
      </c>
      <c r="C60" s="45"/>
      <c r="D60" s="45"/>
      <c r="AB60" s="8">
        <v>21</v>
      </c>
      <c r="AC60" s="8">
        <f t="shared" si="22"/>
        <v>0.40543317794799805</v>
      </c>
      <c r="AD60" s="8">
        <f t="shared" si="15"/>
        <v>4.5424601402554998E-7</v>
      </c>
      <c r="AE60" s="8">
        <f t="shared" si="23"/>
        <v>0.40543365478515625</v>
      </c>
      <c r="AF60" s="8">
        <f t="shared" si="16"/>
        <v>-1.2599921628275723E-7</v>
      </c>
      <c r="AG60" s="8">
        <f t="shared" si="17"/>
        <v>0.40543341636657715</v>
      </c>
      <c r="AH60" s="8">
        <f t="shared" si="18"/>
        <v>1.6412336867333011E-7</v>
      </c>
      <c r="AI60" s="8">
        <f t="shared" si="19"/>
        <v>7.4552386028306016E-14</v>
      </c>
      <c r="AJ60" s="8">
        <f t="shared" si="20"/>
        <v>-2.0679415826525623E-14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AB61" s="8">
        <v>22</v>
      </c>
      <c r="AC61" s="8">
        <f t="shared" si="22"/>
        <v>0.40543341636657715</v>
      </c>
      <c r="AD61" s="8">
        <f t="shared" si="15"/>
        <v>1.6412336867333011E-7</v>
      </c>
      <c r="AE61" s="8">
        <f t="shared" si="23"/>
        <v>0.40543365478515625</v>
      </c>
      <c r="AF61" s="8">
        <f t="shared" si="16"/>
        <v>-1.2599921628275723E-7</v>
      </c>
      <c r="AG61" s="8">
        <f t="shared" si="17"/>
        <v>0.4054335355758667</v>
      </c>
      <c r="AH61" s="8">
        <f t="shared" si="18"/>
        <v>1.906206864576987E-8</v>
      </c>
      <c r="AI61" s="8">
        <f t="shared" si="19"/>
        <v>3.1285309200260145E-15</v>
      </c>
      <c r="AJ61" s="8">
        <f t="shared" si="20"/>
        <v>-2.4018057100951231E-15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AB62" s="8">
        <v>23</v>
      </c>
      <c r="AC62" s="8">
        <f t="shared" si="22"/>
        <v>0.4054335355758667</v>
      </c>
      <c r="AD62" s="8">
        <f t="shared" si="15"/>
        <v>1.906206864576987E-8</v>
      </c>
      <c r="AE62" s="8">
        <f t="shared" si="23"/>
        <v>0.40543365478515625</v>
      </c>
      <c r="AF62" s="8">
        <f t="shared" si="16"/>
        <v>-1.2599921628275723E-7</v>
      </c>
      <c r="AG62" s="8">
        <f t="shared" si="17"/>
        <v>0.40543359518051147</v>
      </c>
      <c r="AH62" s="8">
        <f t="shared" si="18"/>
        <v>-5.3468575733628398E-8</v>
      </c>
      <c r="AI62" s="8">
        <f t="shared" si="19"/>
        <v>-1.0192216610259695E-15</v>
      </c>
      <c r="AJ62" s="8">
        <f t="shared" si="20"/>
        <v>6.7369986381924292E-15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AB63" s="8">
        <v>24</v>
      </c>
      <c r="AC63" s="8">
        <f t="shared" si="22"/>
        <v>0.4054335355758667</v>
      </c>
      <c r="AD63" s="8">
        <f t="shared" si="15"/>
        <v>1.906206864576987E-8</v>
      </c>
      <c r="AE63" s="8">
        <f t="shared" si="23"/>
        <v>0.40543359518051147</v>
      </c>
      <c r="AF63" s="8">
        <f t="shared" si="16"/>
        <v>-5.3468575733628398E-8</v>
      </c>
      <c r="AG63" s="8">
        <f t="shared" si="17"/>
        <v>0.40543356537818909</v>
      </c>
      <c r="AH63" s="8">
        <f t="shared" si="18"/>
        <v>-1.7203253988018474E-8</v>
      </c>
      <c r="AI63" s="8">
        <f t="shared" si="19"/>
        <v>-3.2792960845022241E-16</v>
      </c>
      <c r="AJ63" s="8">
        <f t="shared" si="20"/>
        <v>9.1983348872321064E-16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AB64" s="8">
        <v>25</v>
      </c>
      <c r="AC64" s="8">
        <f t="shared" si="22"/>
        <v>0.4054335355758667</v>
      </c>
      <c r="AD64" s="8">
        <f t="shared" si="15"/>
        <v>1.906206864576987E-8</v>
      </c>
      <c r="AE64" s="8">
        <f t="shared" si="23"/>
        <v>0.40543356537818909</v>
      </c>
      <c r="AF64" s="8">
        <f t="shared" si="16"/>
        <v>-1.7203253988018474E-8</v>
      </c>
      <c r="AG64" s="8">
        <f t="shared" si="17"/>
        <v>0.40543355047702789</v>
      </c>
      <c r="AH64" s="8">
        <f t="shared" si="18"/>
        <v>9.294072178533952E-10</v>
      </c>
      <c r="AI64" s="8">
        <f t="shared" si="19"/>
        <v>1.7716424186595411E-17</v>
      </c>
      <c r="AJ64" s="8">
        <f t="shared" si="20"/>
        <v>-1.5988828427029576E-17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0.40543355047702789</v>
      </c>
      <c r="AD65" s="8">
        <f t="shared" si="15"/>
        <v>9.294072178533952E-10</v>
      </c>
      <c r="AE65" s="8">
        <f t="shared" si="23"/>
        <v>0.40543356537818909</v>
      </c>
      <c r="AF65" s="8">
        <f t="shared" si="16"/>
        <v>-1.7203253988018474E-8</v>
      </c>
      <c r="AG65" s="8">
        <f t="shared" si="17"/>
        <v>0.40543355792760849</v>
      </c>
      <c r="AH65" s="8">
        <f t="shared" si="18"/>
        <v>-8.1369234128381152E-9</v>
      </c>
      <c r="AI65" s="8">
        <f t="shared" si="19"/>
        <v>-7.562515351012026E-18</v>
      </c>
      <c r="AJ65" s="8">
        <f t="shared" si="20"/>
        <v>1.3998156015210821E-16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0.40543355047702789</v>
      </c>
      <c r="AD66" s="8">
        <f t="shared" si="15"/>
        <v>9.294072178533952E-10</v>
      </c>
      <c r="AE66" s="8">
        <f t="shared" si="23"/>
        <v>0.40543355792760849</v>
      </c>
      <c r="AF66" s="8">
        <f t="shared" si="16"/>
        <v>-8.1369234128381152E-9</v>
      </c>
      <c r="AG66" s="8">
        <f t="shared" si="17"/>
        <v>0.40543355420231819</v>
      </c>
      <c r="AH66" s="8">
        <f t="shared" si="18"/>
        <v>-3.6037581252479356E-9</v>
      </c>
      <c r="AI66" s="8">
        <f t="shared" si="19"/>
        <v>-3.3493588130032511E-18</v>
      </c>
      <c r="AJ66" s="8">
        <f t="shared" si="20"/>
        <v>2.9323503863535523E-17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0.40543355047702789</v>
      </c>
      <c r="AD67" s="8">
        <f t="shared" si="15"/>
        <v>9.294072178533952E-10</v>
      </c>
      <c r="AE67" s="8">
        <f t="shared" si="23"/>
        <v>0.40543355420231819</v>
      </c>
      <c r="AF67" s="8">
        <f t="shared" si="16"/>
        <v>-3.6037581252479356E-9</v>
      </c>
      <c r="AG67" s="8">
        <f t="shared" si="17"/>
        <v>0.40543355233967304</v>
      </c>
      <c r="AH67" s="8">
        <f t="shared" si="18"/>
        <v>-1.3371754814528458E-9</v>
      </c>
      <c r="AI67" s="8">
        <f t="shared" si="19"/>
        <v>-1.2427805439988637E-18</v>
      </c>
      <c r="AJ67" s="8">
        <f t="shared" si="20"/>
        <v>4.8188570061680133E-18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0.40543355047702789</v>
      </c>
      <c r="AD68" s="8">
        <f t="shared" si="15"/>
        <v>9.294072178533952E-10</v>
      </c>
      <c r="AE68" s="8">
        <f t="shared" si="23"/>
        <v>0.40543355233967304</v>
      </c>
      <c r="AF68" s="8">
        <f t="shared" si="16"/>
        <v>-1.3371754814528458E-9</v>
      </c>
      <c r="AG68" s="8">
        <f t="shared" si="17"/>
        <v>0.40543355140835047</v>
      </c>
      <c r="AH68" s="8">
        <f t="shared" si="18"/>
        <v>-2.0388413179972531E-10</v>
      </c>
      <c r="AI68" s="8">
        <f t="shared" si="19"/>
        <v>-1.8949138370043764E-19</v>
      </c>
      <c r="AJ68" s="8">
        <f t="shared" si="20"/>
        <v>2.7262886209989316E-19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0.40543355047702789</v>
      </c>
      <c r="AD69" s="8">
        <f t="shared" si="15"/>
        <v>9.294072178533952E-10</v>
      </c>
      <c r="AE69" s="8">
        <f t="shared" si="23"/>
        <v>0.40543355140835047</v>
      </c>
      <c r="AF69" s="8">
        <f t="shared" si="16"/>
        <v>-2.0388413179972531E-10</v>
      </c>
      <c r="AG69" s="8">
        <f t="shared" si="17"/>
        <v>0.40543355094268918</v>
      </c>
      <c r="AH69" s="8">
        <f t="shared" si="18"/>
        <v>3.6276154302683494E-10</v>
      </c>
      <c r="AI69" s="8">
        <f t="shared" si="19"/>
        <v>3.3715319644877538E-19</v>
      </c>
      <c r="AJ69" s="8">
        <f t="shared" si="20"/>
        <v>-7.3961322250354939E-20</v>
      </c>
      <c r="AK69" s="8">
        <f t="shared" si="21"/>
        <v>9.3132257461547852E-10</v>
      </c>
    </row>
    <row r="72" spans="28:37" x14ac:dyDescent="0.2">
      <c r="AB72" s="6" t="s">
        <v>150</v>
      </c>
    </row>
    <row r="73" spans="28:37" x14ac:dyDescent="0.2"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28:37" x14ac:dyDescent="0.2">
      <c r="AB74" s="8">
        <v>0</v>
      </c>
      <c r="AC74" s="9">
        <v>0</v>
      </c>
      <c r="AD74" s="8">
        <f xml:space="preserve"> $W$19 * TAN($W$16/180*PI()) + $W$20 / (2 * SQRT($W$19^2 + AC74^2)) - AC74</f>
        <v>0.77611055308557608</v>
      </c>
      <c r="AE74" s="9">
        <v>1</v>
      </c>
      <c r="AF74" s="8">
        <f xml:space="preserve"> $W$19 * TAN($W$16/180*PI()) + $W$20 / (2 * SQRT($W$19^2 + AE74^2)) - AE74</f>
        <v>-0.67017212222865452</v>
      </c>
      <c r="AG74" s="8">
        <f xml:space="preserve"> (AC74 + AE74)/2</f>
        <v>0.5</v>
      </c>
      <c r="AH74" s="8">
        <f xml:space="preserve"> $W$19 * TAN($W$16/180*PI()) + $W$20 / (2 * SQRT($W$19^2 + AG74^2)) - AG74</f>
        <v>-0.15747218324885809</v>
      </c>
      <c r="AI74" s="8">
        <f>AD74*AH74</f>
        <v>-0.12221582323686445</v>
      </c>
      <c r="AJ74" s="8">
        <f>AF74*AH74</f>
        <v>0.10553346723986681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0.77611055308557608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-0.15747218324885809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0.11772447947380832</v>
      </c>
      <c r="AI75" s="8">
        <f t="shared" ref="AI75:AI104" si="28">AD75*AH75</f>
        <v>9.1367210876128924E-2</v>
      </c>
      <c r="AJ75" s="8">
        <f t="shared" ref="AJ75:AJ104" si="29">AF75*AH75</f>
        <v>-1.8538330804575977E-2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0.11772447947380832</v>
      </c>
      <c r="AE76" s="8">
        <f t="shared" ref="AE76:AE104" si="32">IF(AJ75&gt;0, AG75, AE75)</f>
        <v>0.5</v>
      </c>
      <c r="AF76" s="8">
        <f t="shared" si="25"/>
        <v>-0.15747218324885809</v>
      </c>
      <c r="AG76" s="8">
        <f t="shared" si="26"/>
        <v>0.375</v>
      </c>
      <c r="AH76" s="8">
        <f t="shared" si="27"/>
        <v>-2.4036180575022714E-2</v>
      </c>
      <c r="AI76" s="8">
        <f t="shared" si="28"/>
        <v>-2.8296468467330117E-3</v>
      </c>
      <c r="AJ76" s="8">
        <f t="shared" si="29"/>
        <v>3.7850298321126202E-3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0.25</v>
      </c>
      <c r="AD77" s="8">
        <f t="shared" si="24"/>
        <v>0.11772447947380832</v>
      </c>
      <c r="AE77" s="8">
        <f t="shared" si="32"/>
        <v>0.375</v>
      </c>
      <c r="AF77" s="8">
        <f t="shared" si="25"/>
        <v>-2.4036180575022714E-2</v>
      </c>
      <c r="AG77" s="8">
        <f t="shared" si="26"/>
        <v>0.3125</v>
      </c>
      <c r="AH77" s="8">
        <f t="shared" si="27"/>
        <v>4.5188281344542169E-2</v>
      </c>
      <c r="AI77" s="8">
        <f t="shared" si="28"/>
        <v>5.3197668996022296E-3</v>
      </c>
      <c r="AJ77" s="8">
        <f t="shared" si="29"/>
        <v>-1.0861536902723459E-3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0.3125</v>
      </c>
      <c r="AD78" s="8">
        <f t="shared" si="24"/>
        <v>4.5188281344542169E-2</v>
      </c>
      <c r="AE78" s="8">
        <f t="shared" si="32"/>
        <v>0.375</v>
      </c>
      <c r="AF78" s="8">
        <f t="shared" si="25"/>
        <v>-2.4036180575022714E-2</v>
      </c>
      <c r="AG78" s="8">
        <f t="shared" si="26"/>
        <v>0.34375</v>
      </c>
      <c r="AH78" s="8">
        <f t="shared" si="27"/>
        <v>1.0273376304661075E-2</v>
      </c>
      <c r="AI78" s="8">
        <f t="shared" si="28"/>
        <v>4.6423621881337761E-4</v>
      </c>
      <c r="AJ78" s="8">
        <f t="shared" si="29"/>
        <v>-2.4693272797399315E-4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0.34375</v>
      </c>
      <c r="AD79" s="8">
        <f t="shared" si="24"/>
        <v>1.0273376304661075E-2</v>
      </c>
      <c r="AE79" s="8">
        <f t="shared" si="32"/>
        <v>0.375</v>
      </c>
      <c r="AF79" s="8">
        <f t="shared" si="25"/>
        <v>-2.4036180575022714E-2</v>
      </c>
      <c r="AG79" s="8">
        <f t="shared" si="26"/>
        <v>0.359375</v>
      </c>
      <c r="AH79" s="8">
        <f t="shared" si="27"/>
        <v>-6.9473224741575246E-3</v>
      </c>
      <c r="AI79" s="8">
        <f t="shared" si="28"/>
        <v>-7.1372458086849263E-5</v>
      </c>
      <c r="AJ79" s="8">
        <f t="shared" si="29"/>
        <v>1.6698709750176383E-4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0.34375</v>
      </c>
      <c r="AD80" s="8">
        <f t="shared" si="24"/>
        <v>1.0273376304661075E-2</v>
      </c>
      <c r="AE80" s="8">
        <f t="shared" si="32"/>
        <v>0.359375</v>
      </c>
      <c r="AF80" s="8">
        <f t="shared" si="25"/>
        <v>-6.9473224741575246E-3</v>
      </c>
      <c r="AG80" s="8">
        <f t="shared" si="26"/>
        <v>0.3515625</v>
      </c>
      <c r="AH80" s="8">
        <f t="shared" si="27"/>
        <v>1.6454615677055084E-3</v>
      </c>
      <c r="AI80" s="8">
        <f t="shared" si="28"/>
        <v>1.6904445879896237E-5</v>
      </c>
      <c r="AJ80" s="8">
        <f t="shared" si="29"/>
        <v>-1.1431552129682953E-5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0.3515625</v>
      </c>
      <c r="AD81" s="8">
        <f t="shared" si="24"/>
        <v>1.6454615677055084E-3</v>
      </c>
      <c r="AE81" s="8">
        <f t="shared" si="32"/>
        <v>0.359375</v>
      </c>
      <c r="AF81" s="8">
        <f t="shared" si="25"/>
        <v>-6.9473224741575246E-3</v>
      </c>
      <c r="AG81" s="8">
        <f t="shared" si="26"/>
        <v>0.35546875</v>
      </c>
      <c r="AH81" s="8">
        <f t="shared" si="27"/>
        <v>-2.6551787914610436E-3</v>
      </c>
      <c r="AI81" s="8">
        <f t="shared" si="28"/>
        <v>-4.3689946567359057E-6</v>
      </c>
      <c r="AJ81" s="8">
        <f t="shared" si="29"/>
        <v>1.8446383290823725E-5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0.3515625</v>
      </c>
      <c r="AD82" s="8">
        <f t="shared" si="24"/>
        <v>1.6454615677055084E-3</v>
      </c>
      <c r="AE82" s="8">
        <f t="shared" si="32"/>
        <v>0.35546875</v>
      </c>
      <c r="AF82" s="8">
        <f t="shared" si="25"/>
        <v>-2.6551787914610436E-3</v>
      </c>
      <c r="AG82" s="8">
        <f t="shared" si="26"/>
        <v>0.353515625</v>
      </c>
      <c r="AH82" s="8">
        <f t="shared" si="27"/>
        <v>-5.0593808509785676E-4</v>
      </c>
      <c r="AI82" s="8">
        <f t="shared" si="28"/>
        <v>-8.3250167466704237E-7</v>
      </c>
      <c r="AJ82" s="8">
        <f t="shared" si="29"/>
        <v>1.3433560733442419E-6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0.3515625</v>
      </c>
      <c r="AD83" s="8">
        <f t="shared" si="24"/>
        <v>1.6454615677055084E-3</v>
      </c>
      <c r="AE83" s="8">
        <f t="shared" si="32"/>
        <v>0.353515625</v>
      </c>
      <c r="AF83" s="8">
        <f t="shared" si="25"/>
        <v>-5.0593808509785676E-4</v>
      </c>
      <c r="AG83" s="8">
        <f t="shared" si="26"/>
        <v>0.3525390625</v>
      </c>
      <c r="AH83" s="8">
        <f t="shared" si="27"/>
        <v>5.6948965791703277E-4</v>
      </c>
      <c r="AI83" s="8">
        <f t="shared" si="28"/>
        <v>9.3707334530823441E-7</v>
      </c>
      <c r="AJ83" s="8">
        <f t="shared" si="29"/>
        <v>-2.8812650700957704E-7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0.3525390625</v>
      </c>
      <c r="AD84" s="8">
        <f t="shared" si="24"/>
        <v>5.6948965791703277E-4</v>
      </c>
      <c r="AE84" s="8">
        <f t="shared" si="32"/>
        <v>0.353515625</v>
      </c>
      <c r="AF84" s="8">
        <f t="shared" si="25"/>
        <v>-5.0593808509785676E-4</v>
      </c>
      <c r="AG84" s="8">
        <f t="shared" si="26"/>
        <v>0.35302734375</v>
      </c>
      <c r="AH84" s="8">
        <f t="shared" si="27"/>
        <v>3.1708044333444985E-5</v>
      </c>
      <c r="AI84" s="8">
        <f t="shared" si="28"/>
        <v>1.8057403320671692E-8</v>
      </c>
      <c r="AJ84" s="8">
        <f t="shared" si="29"/>
        <v>-1.6042307232261104E-8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0.35302734375</v>
      </c>
      <c r="AD85" s="8">
        <f t="shared" si="24"/>
        <v>3.1708044333444985E-5</v>
      </c>
      <c r="AE85" s="8">
        <f t="shared" si="32"/>
        <v>0.353515625</v>
      </c>
      <c r="AF85" s="8">
        <f t="shared" si="25"/>
        <v>-5.0593808509785676E-4</v>
      </c>
      <c r="AG85" s="8">
        <f t="shared" si="26"/>
        <v>0.353271484375</v>
      </c>
      <c r="AH85" s="8">
        <f t="shared" si="27"/>
        <v>-2.3713192122087889E-4</v>
      </c>
      <c r="AI85" s="8">
        <f t="shared" si="28"/>
        <v>-7.5189894709466121E-9</v>
      </c>
      <c r="AJ85" s="8">
        <f t="shared" si="29"/>
        <v>1.199740701380673E-7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0.35302734375</v>
      </c>
      <c r="AD86" s="8">
        <f t="shared" si="24"/>
        <v>3.1708044333444985E-5</v>
      </c>
      <c r="AE86" s="8">
        <f t="shared" si="32"/>
        <v>0.353271484375</v>
      </c>
      <c r="AF86" s="8">
        <f t="shared" si="25"/>
        <v>-2.3713192122087889E-4</v>
      </c>
      <c r="AG86" s="8">
        <f t="shared" si="26"/>
        <v>0.3531494140625</v>
      </c>
      <c r="AH86" s="8">
        <f t="shared" si="27"/>
        <v>-1.0271616798102068E-4</v>
      </c>
      <c r="AI86" s="8">
        <f t="shared" si="28"/>
        <v>-3.2569288081037858E-9</v>
      </c>
      <c r="AJ86" s="8">
        <f t="shared" si="29"/>
        <v>2.4357282253785958E-8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0.35302734375</v>
      </c>
      <c r="AD87" s="8">
        <f t="shared" si="24"/>
        <v>3.1708044333444985E-5</v>
      </c>
      <c r="AE87" s="8">
        <f t="shared" si="32"/>
        <v>0.3531494140625</v>
      </c>
      <c r="AF87" s="8">
        <f t="shared" si="25"/>
        <v>-1.0271616798102068E-4</v>
      </c>
      <c r="AG87" s="8">
        <f t="shared" si="26"/>
        <v>0.35308837890625</v>
      </c>
      <c r="AH87" s="8">
        <f t="shared" si="27"/>
        <v>-3.5505119749701386E-5</v>
      </c>
      <c r="AI87" s="8">
        <f t="shared" si="28"/>
        <v>-1.1257979110878047E-9</v>
      </c>
      <c r="AJ87" s="8">
        <f t="shared" si="29"/>
        <v>3.6469498443965822E-9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0.35302734375</v>
      </c>
      <c r="AD88" s="8">
        <f t="shared" si="24"/>
        <v>3.1708044333444985E-5</v>
      </c>
      <c r="AE88" s="8">
        <f t="shared" si="32"/>
        <v>0.35308837890625</v>
      </c>
      <c r="AF88" s="8">
        <f t="shared" si="25"/>
        <v>-3.5505119749701386E-5</v>
      </c>
      <c r="AG88" s="8">
        <f t="shared" si="26"/>
        <v>0.353057861328125</v>
      </c>
      <c r="AH88" s="8">
        <f t="shared" si="27"/>
        <v>-1.8988022573718233E-6</v>
      </c>
      <c r="AI88" s="8">
        <f t="shared" si="28"/>
        <v>-6.0207306157191187E-11</v>
      </c>
      <c r="AJ88" s="8">
        <f t="shared" si="29"/>
        <v>6.7417201528989903E-11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0.35302734375</v>
      </c>
      <c r="AD89" s="8">
        <f t="shared" si="24"/>
        <v>3.1708044333444985E-5</v>
      </c>
      <c r="AE89" s="8">
        <f t="shared" si="32"/>
        <v>0.353057861328125</v>
      </c>
      <c r="AF89" s="8">
        <f t="shared" si="25"/>
        <v>-1.8988022573718233E-6</v>
      </c>
      <c r="AG89" s="8">
        <f t="shared" si="26"/>
        <v>0.3530426025390625</v>
      </c>
      <c r="AH89" s="8">
        <f t="shared" si="27"/>
        <v>1.4904554892281041E-5</v>
      </c>
      <c r="AI89" s="8">
        <f t="shared" si="28"/>
        <v>4.725942872947116E-10</v>
      </c>
      <c r="AJ89" s="8">
        <f t="shared" si="29"/>
        <v>-2.8300802474585493E-11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0.3530426025390625</v>
      </c>
      <c r="AD90" s="8">
        <f t="shared" si="24"/>
        <v>1.4904554892281041E-5</v>
      </c>
      <c r="AE90" s="8">
        <f t="shared" si="32"/>
        <v>0.353057861328125</v>
      </c>
      <c r="AF90" s="8">
        <f t="shared" si="25"/>
        <v>-1.8988022573718233E-6</v>
      </c>
      <c r="AG90" s="8">
        <f t="shared" si="26"/>
        <v>0.35305023193359375</v>
      </c>
      <c r="AH90" s="8">
        <f t="shared" si="27"/>
        <v>6.5028597820981915E-6</v>
      </c>
      <c r="AI90" s="8">
        <f t="shared" si="28"/>
        <v>9.6922230579089225E-11</v>
      </c>
      <c r="AJ90" s="8">
        <f t="shared" si="29"/>
        <v>-1.2347644833620488E-11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0.35305023193359375</v>
      </c>
      <c r="AD91" s="8">
        <f t="shared" si="24"/>
        <v>6.5028597820981915E-6</v>
      </c>
      <c r="AE91" s="8">
        <f t="shared" si="32"/>
        <v>0.353057861328125</v>
      </c>
      <c r="AF91" s="8">
        <f t="shared" si="25"/>
        <v>-1.8988022573718233E-6</v>
      </c>
      <c r="AG91" s="8">
        <f t="shared" si="26"/>
        <v>0.35305404663085938</v>
      </c>
      <c r="AH91" s="8">
        <f t="shared" si="27"/>
        <v>2.3020246286420409E-6</v>
      </c>
      <c r="AI91" s="8">
        <f t="shared" si="28"/>
        <v>1.4969743374995854E-11</v>
      </c>
      <c r="AJ91" s="8">
        <f t="shared" si="29"/>
        <v>-4.3710895613910402E-12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0.35305404663085938</v>
      </c>
      <c r="AD92" s="8">
        <f t="shared" si="24"/>
        <v>2.3020246286420409E-6</v>
      </c>
      <c r="AE92" s="8">
        <f t="shared" si="32"/>
        <v>0.353057861328125</v>
      </c>
      <c r="AF92" s="8">
        <f t="shared" si="25"/>
        <v>-1.8988022573718233E-6</v>
      </c>
      <c r="AG92" s="8">
        <f t="shared" si="26"/>
        <v>0.35305595397949219</v>
      </c>
      <c r="AH92" s="8">
        <f t="shared" si="27"/>
        <v>2.016101522395175E-7</v>
      </c>
      <c r="AI92" s="8">
        <f t="shared" si="28"/>
        <v>4.6411153583964061E-13</v>
      </c>
      <c r="AJ92" s="8">
        <f t="shared" si="29"/>
        <v>-3.8281781218147279E-13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0.35305595397949219</v>
      </c>
      <c r="AD93" s="8">
        <f t="shared" si="24"/>
        <v>2.016101522395175E-7</v>
      </c>
      <c r="AE93" s="8">
        <f t="shared" si="32"/>
        <v>0.353057861328125</v>
      </c>
      <c r="AF93" s="8">
        <f t="shared" si="25"/>
        <v>-1.8988022573718233E-6</v>
      </c>
      <c r="AG93" s="8">
        <f t="shared" si="26"/>
        <v>0.35305690765380859</v>
      </c>
      <c r="AH93" s="8">
        <f t="shared" si="27"/>
        <v>-8.4859631088729515E-7</v>
      </c>
      <c r="AI93" s="8">
        <f t="shared" si="28"/>
        <v>-1.7108563142788049E-13</v>
      </c>
      <c r="AJ93" s="8">
        <f t="shared" si="29"/>
        <v>1.6113165907101976E-12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0.35305595397949219</v>
      </c>
      <c r="AD94" s="8">
        <f t="shared" si="24"/>
        <v>2.016101522395175E-7</v>
      </c>
      <c r="AE94" s="8">
        <f t="shared" si="32"/>
        <v>0.35305690765380859</v>
      </c>
      <c r="AF94" s="8">
        <f t="shared" si="25"/>
        <v>-8.4859631088729515E-7</v>
      </c>
      <c r="AG94" s="8">
        <f t="shared" si="26"/>
        <v>0.35305643081665039</v>
      </c>
      <c r="AH94" s="8">
        <f t="shared" si="27"/>
        <v>-3.2349314393886885E-7</v>
      </c>
      <c r="AI94" s="8">
        <f t="shared" si="28"/>
        <v>-6.52195019979555E-14</v>
      </c>
      <c r="AJ94" s="8">
        <f t="shared" si="29"/>
        <v>2.7451508854385687E-13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0.35305595397949219</v>
      </c>
      <c r="AD95" s="8">
        <f t="shared" si="24"/>
        <v>2.016101522395175E-7</v>
      </c>
      <c r="AE95" s="8">
        <f t="shared" si="32"/>
        <v>0.35305643081665039</v>
      </c>
      <c r="AF95" s="8">
        <f t="shared" si="25"/>
        <v>-3.2349314393886885E-7</v>
      </c>
      <c r="AG95" s="8">
        <f t="shared" si="26"/>
        <v>0.35305619239807129</v>
      </c>
      <c r="AH95" s="8">
        <f t="shared" si="27"/>
        <v>-6.0941512003420684E-8</v>
      </c>
      <c r="AI95" s="8">
        <f t="shared" si="28"/>
        <v>-1.2286427512716028E-14</v>
      </c>
      <c r="AJ95" s="8">
        <f t="shared" si="29"/>
        <v>1.971416131437487E-14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0.35305595397949219</v>
      </c>
      <c r="AD96" s="8">
        <f t="shared" si="24"/>
        <v>2.016101522395175E-7</v>
      </c>
      <c r="AE96" s="8">
        <f t="shared" si="32"/>
        <v>0.35305619239807129</v>
      </c>
      <c r="AF96" s="8">
        <f t="shared" si="25"/>
        <v>-6.0941512003420684E-8</v>
      </c>
      <c r="AG96" s="8">
        <f t="shared" si="26"/>
        <v>0.35305607318878174</v>
      </c>
      <c r="AH96" s="8">
        <f t="shared" si="27"/>
        <v>7.0334316093489946E-8</v>
      </c>
      <c r="AI96" s="8">
        <f t="shared" si="28"/>
        <v>1.4180112175270854E-14</v>
      </c>
      <c r="AJ96" s="8">
        <f t="shared" si="29"/>
        <v>-4.2862795684638022E-15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0.35305607318878174</v>
      </c>
      <c r="AD97" s="8">
        <f t="shared" si="24"/>
        <v>7.0334316093489946E-8</v>
      </c>
      <c r="AE97" s="8">
        <f t="shared" si="32"/>
        <v>0.35305619239807129</v>
      </c>
      <c r="AF97" s="8">
        <f t="shared" si="25"/>
        <v>-6.0941512003420684E-8</v>
      </c>
      <c r="AG97" s="8">
        <f t="shared" si="26"/>
        <v>0.35305613279342651</v>
      </c>
      <c r="AH97" s="8">
        <f t="shared" si="27"/>
        <v>4.6964010458339089E-9</v>
      </c>
      <c r="AI97" s="8">
        <f t="shared" si="28"/>
        <v>3.3031815565947889E-16</v>
      </c>
      <c r="AJ97" s="8">
        <f t="shared" si="29"/>
        <v>-2.8620578070756459E-16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0.35305613279342651</v>
      </c>
      <c r="AD98" s="8">
        <f t="shared" si="24"/>
        <v>4.6964010458339089E-9</v>
      </c>
      <c r="AE98" s="8">
        <f t="shared" si="32"/>
        <v>0.35305619239807129</v>
      </c>
      <c r="AF98" s="8">
        <f t="shared" si="25"/>
        <v>-6.0941512003420684E-8</v>
      </c>
      <c r="AG98" s="8">
        <f t="shared" si="26"/>
        <v>0.3530561625957489</v>
      </c>
      <c r="AH98" s="8">
        <f t="shared" si="27"/>
        <v>-2.8122555728593568E-8</v>
      </c>
      <c r="AI98" s="8">
        <f t="shared" si="28"/>
        <v>-1.3207480013528922E-16</v>
      </c>
      <c r="AJ98" s="8">
        <f t="shared" si="29"/>
        <v>1.713831067500952E-15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0.35305613279342651</v>
      </c>
      <c r="AD99" s="8">
        <f t="shared" si="24"/>
        <v>4.6964010458339089E-9</v>
      </c>
      <c r="AE99" s="8">
        <f t="shared" si="32"/>
        <v>0.3530561625957489</v>
      </c>
      <c r="AF99" s="8">
        <f t="shared" si="25"/>
        <v>-2.8122555728593568E-8</v>
      </c>
      <c r="AG99" s="8">
        <f t="shared" si="26"/>
        <v>0.35305614769458771</v>
      </c>
      <c r="AH99" s="8">
        <f t="shared" si="27"/>
        <v>-1.1713077396890981E-8</v>
      </c>
      <c r="AI99" s="8">
        <f t="shared" si="28"/>
        <v>-5.5009308936692321E-17</v>
      </c>
      <c r="AJ99" s="8">
        <f t="shared" si="29"/>
        <v>3.2940167184739626E-16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0.35305613279342651</v>
      </c>
      <c r="AD100" s="8">
        <f t="shared" si="24"/>
        <v>4.6964010458339089E-9</v>
      </c>
      <c r="AE100" s="8">
        <f t="shared" si="32"/>
        <v>0.35305614769458771</v>
      </c>
      <c r="AF100" s="8">
        <f t="shared" si="25"/>
        <v>-1.1713077396890981E-8</v>
      </c>
      <c r="AG100" s="8">
        <f t="shared" si="26"/>
        <v>0.35305614024400711</v>
      </c>
      <c r="AH100" s="8">
        <f t="shared" si="27"/>
        <v>-3.5083381755285359E-9</v>
      </c>
      <c r="AI100" s="8">
        <f t="shared" si="28"/>
        <v>-1.6476563076691244E-17</v>
      </c>
      <c r="AJ100" s="8">
        <f t="shared" si="29"/>
        <v>4.1093436584433036E-17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0.35305613279342651</v>
      </c>
      <c r="AD101" s="8">
        <f t="shared" si="24"/>
        <v>4.6964010458339089E-9</v>
      </c>
      <c r="AE101" s="8">
        <f t="shared" si="32"/>
        <v>0.35305614024400711</v>
      </c>
      <c r="AF101" s="8">
        <f t="shared" si="25"/>
        <v>-3.5083381755285359E-9</v>
      </c>
      <c r="AG101" s="8">
        <f t="shared" si="26"/>
        <v>0.35305613651871681</v>
      </c>
      <c r="AH101" s="8">
        <f t="shared" si="27"/>
        <v>5.9403143515268653E-10</v>
      </c>
      <c r="AI101" s="8">
        <f t="shared" si="28"/>
        <v>2.7898098533092949E-18</v>
      </c>
      <c r="AJ101" s="8">
        <f t="shared" si="29"/>
        <v>-2.084063161410174E-18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0.35305613651871681</v>
      </c>
      <c r="AD102" s="8">
        <f t="shared" si="24"/>
        <v>5.9403143515268653E-10</v>
      </c>
      <c r="AE102" s="8">
        <f t="shared" si="32"/>
        <v>0.35305614024400711</v>
      </c>
      <c r="AF102" s="8">
        <f t="shared" si="25"/>
        <v>-3.5083381755285359E-9</v>
      </c>
      <c r="AG102" s="8">
        <f t="shared" si="26"/>
        <v>0.35305613838136196</v>
      </c>
      <c r="AH102" s="8">
        <f t="shared" si="27"/>
        <v>-1.4571533979435003E-9</v>
      </c>
      <c r="AI102" s="8">
        <f t="shared" si="28"/>
        <v>-8.6559492421799122E-19</v>
      </c>
      <c r="AJ102" s="8">
        <f t="shared" si="29"/>
        <v>5.1121868936063064E-18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0.35305613651871681</v>
      </c>
      <c r="AD103" s="8">
        <f t="shared" si="24"/>
        <v>5.9403143515268653E-10</v>
      </c>
      <c r="AE103" s="8">
        <f t="shared" si="32"/>
        <v>0.35305613838136196</v>
      </c>
      <c r="AF103" s="8">
        <f t="shared" si="25"/>
        <v>-1.4571533979435003E-9</v>
      </c>
      <c r="AG103" s="8">
        <f t="shared" si="26"/>
        <v>0.35305613745003939</v>
      </c>
      <c r="AH103" s="8">
        <f t="shared" si="27"/>
        <v>-4.315610091509825E-10</v>
      </c>
      <c r="AI103" s="8">
        <f t="shared" si="28"/>
        <v>-2.5636080562189982E-19</v>
      </c>
      <c r="AJ103" s="8">
        <f t="shared" si="29"/>
        <v>6.2885059090428017E-19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0.35305613651871681</v>
      </c>
      <c r="AD104" s="8">
        <f t="shared" si="24"/>
        <v>5.9403143515268653E-10</v>
      </c>
      <c r="AE104" s="8">
        <f t="shared" si="32"/>
        <v>0.35305613745003939</v>
      </c>
      <c r="AF104" s="8">
        <f t="shared" si="25"/>
        <v>-4.315610091509825E-10</v>
      </c>
      <c r="AG104" s="8">
        <f t="shared" si="26"/>
        <v>0.3530561369843781</v>
      </c>
      <c r="AH104" s="8">
        <f t="shared" si="27"/>
        <v>8.1235185245276398E-11</v>
      </c>
      <c r="AI104" s="8">
        <f t="shared" si="28"/>
        <v>4.8256253676145884E-20</v>
      </c>
      <c r="AJ104" s="8">
        <f t="shared" si="29"/>
        <v>-3.5057938523018486E-20</v>
      </c>
      <c r="AK104" s="8">
        <f t="shared" si="30"/>
        <v>9.3132257461547852E-10</v>
      </c>
    </row>
  </sheetData>
  <mergeCells count="24">
    <mergeCell ref="B38:D38"/>
    <mergeCell ref="B43:D43"/>
    <mergeCell ref="B48:D48"/>
    <mergeCell ref="B55:D55"/>
    <mergeCell ref="B60:D60"/>
    <mergeCell ref="B52:D52"/>
    <mergeCell ref="R15:T15"/>
    <mergeCell ref="N15:P15"/>
    <mergeCell ref="V15:X15"/>
    <mergeCell ref="B1:D1"/>
    <mergeCell ref="B3:D3"/>
    <mergeCell ref="F3:H3"/>
    <mergeCell ref="N3:P3"/>
    <mergeCell ref="R3:T3"/>
    <mergeCell ref="V3:X3"/>
    <mergeCell ref="J10:L10"/>
    <mergeCell ref="J3:L3"/>
    <mergeCell ref="F21:H21"/>
    <mergeCell ref="B25:D25"/>
    <mergeCell ref="F26:H26"/>
    <mergeCell ref="B35:D35"/>
    <mergeCell ref="F10:H10"/>
    <mergeCell ref="B11:D11"/>
    <mergeCell ref="B16:D1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2024-08-17T19:44:50Z</dcterms:modified>
</cp:coreProperties>
</file>