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fiyandyhr/Github_Repos/MCEVS/examples/2_singleobjective_optimizations/"/>
    </mc:Choice>
  </mc:AlternateContent>
  <xr:revisionPtr revIDLastSave="0" documentId="13_ncr:1_{F93ABB68-7C34-8340-A2BA-239865833DC3}" xr6:coauthVersionLast="47" xr6:coauthVersionMax="47" xr10:uidLastSave="{00000000-0000-0000-0000-000000000000}"/>
  <bookViews>
    <workbookView xWindow="15320" yWindow="740" windowWidth="14920" windowHeight="18900" firstSheet="2" activeTab="5" xr2:uid="{843CD013-835A-1741-B375-CD508AE79BD2}"/>
  </bookViews>
  <sheets>
    <sheet name="multirotor_opt_weight" sheetId="16" r:id="rId1"/>
    <sheet name="multirotor_opt_energy" sheetId="17" r:id="rId2"/>
    <sheet name="multirotor_opt_time" sheetId="18" r:id="rId3"/>
    <sheet name="liftcruise_opt_weight" sheetId="19" r:id="rId4"/>
    <sheet name="liftcruise_opt_energy" sheetId="20" r:id="rId5"/>
    <sheet name="liftcruise_opt_time" sheetId="2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21" l="1"/>
  <c r="C7" i="20"/>
  <c r="C7" i="19"/>
  <c r="C8" i="17"/>
  <c r="C8" i="18"/>
  <c r="C8" i="16"/>
  <c r="C56" i="21"/>
  <c r="C55" i="21"/>
  <c r="C51" i="21"/>
  <c r="C50" i="21"/>
  <c r="AN44" i="21"/>
  <c r="AM44" i="21"/>
  <c r="AN43" i="21"/>
  <c r="AM43" i="21"/>
  <c r="AN42" i="21"/>
  <c r="AM42" i="21"/>
  <c r="AN41" i="21"/>
  <c r="AM41" i="21"/>
  <c r="C41" i="21"/>
  <c r="K21" i="21" s="1"/>
  <c r="AN40" i="21"/>
  <c r="AM40" i="21"/>
  <c r="AN39" i="21"/>
  <c r="AM39" i="21"/>
  <c r="AN38" i="21"/>
  <c r="AM38" i="21"/>
  <c r="AN37" i="21"/>
  <c r="AM37" i="21"/>
  <c r="AN36" i="21"/>
  <c r="AM36" i="21"/>
  <c r="AN35" i="21"/>
  <c r="AM35" i="21"/>
  <c r="AN34" i="21"/>
  <c r="AM34" i="21"/>
  <c r="AN33" i="21"/>
  <c r="AM33" i="21"/>
  <c r="AN32" i="21"/>
  <c r="AM32" i="21"/>
  <c r="G32" i="21"/>
  <c r="AN31" i="21"/>
  <c r="AM31" i="21"/>
  <c r="AN30" i="21"/>
  <c r="AM30" i="21"/>
  <c r="AN29" i="21"/>
  <c r="AM29" i="21"/>
  <c r="K29" i="21"/>
  <c r="G29" i="21"/>
  <c r="G27" i="21" s="1"/>
  <c r="AN28" i="21"/>
  <c r="AM28" i="21"/>
  <c r="K28" i="21"/>
  <c r="AN27" i="21"/>
  <c r="AM27" i="21"/>
  <c r="K27" i="21"/>
  <c r="AN26" i="21"/>
  <c r="AM26" i="21"/>
  <c r="K26" i="21"/>
  <c r="G26" i="21"/>
  <c r="AN25" i="21"/>
  <c r="AM25" i="21"/>
  <c r="G25" i="21"/>
  <c r="AN24" i="21"/>
  <c r="AM24" i="21"/>
  <c r="K24" i="21"/>
  <c r="G24" i="21"/>
  <c r="AN23" i="21"/>
  <c r="AM23" i="21"/>
  <c r="K23" i="21"/>
  <c r="G23" i="21"/>
  <c r="C23" i="21"/>
  <c r="AN22" i="21"/>
  <c r="AM22" i="21"/>
  <c r="K22" i="21"/>
  <c r="AN21" i="21"/>
  <c r="AM21" i="21"/>
  <c r="O21" i="21"/>
  <c r="AN20" i="21"/>
  <c r="AM20" i="21"/>
  <c r="K20" i="21"/>
  <c r="AN19" i="21"/>
  <c r="AM19" i="21"/>
  <c r="O19" i="21"/>
  <c r="AN18" i="21"/>
  <c r="AM18" i="21"/>
  <c r="AN17" i="21"/>
  <c r="AM17" i="21"/>
  <c r="C17" i="21"/>
  <c r="AN16" i="21"/>
  <c r="AM16" i="21"/>
  <c r="C16" i="21"/>
  <c r="AN15" i="21"/>
  <c r="AM15" i="21"/>
  <c r="AN14" i="21"/>
  <c r="AM14" i="21"/>
  <c r="K14" i="21"/>
  <c r="G14" i="21"/>
  <c r="G15" i="21" s="1"/>
  <c r="AN13" i="21"/>
  <c r="AM13" i="21"/>
  <c r="AN12" i="21"/>
  <c r="AM12" i="21"/>
  <c r="AN11" i="21"/>
  <c r="AM11" i="21"/>
  <c r="O11" i="21"/>
  <c r="C11" i="21"/>
  <c r="C30" i="21" s="1"/>
  <c r="AN10" i="21"/>
  <c r="AM10" i="21"/>
  <c r="AN9" i="21"/>
  <c r="AM9" i="21"/>
  <c r="O9" i="21"/>
  <c r="C9" i="21"/>
  <c r="AN8" i="21"/>
  <c r="AM8" i="21"/>
  <c r="AN7" i="21"/>
  <c r="AM7" i="21"/>
  <c r="G7" i="21"/>
  <c r="AN6" i="21"/>
  <c r="AM6" i="21"/>
  <c r="O6" i="21"/>
  <c r="AO5" i="21"/>
  <c r="AN5" i="21"/>
  <c r="AI6" i="21" s="1"/>
  <c r="AM5" i="21"/>
  <c r="AG6" i="21" s="1"/>
  <c r="AK5" i="21"/>
  <c r="G5" i="21"/>
  <c r="G6" i="21" s="1"/>
  <c r="AD4" i="21"/>
  <c r="Z4" i="21"/>
  <c r="O4" i="21"/>
  <c r="G4" i="21"/>
  <c r="G10" i="21" s="1"/>
  <c r="C56" i="20"/>
  <c r="C55" i="20"/>
  <c r="C51" i="20"/>
  <c r="C50" i="20"/>
  <c r="AN44" i="20"/>
  <c r="AM44" i="20"/>
  <c r="AN43" i="20"/>
  <c r="AM43" i="20"/>
  <c r="AN42" i="20"/>
  <c r="AM42" i="20"/>
  <c r="AN41" i="20"/>
  <c r="AM41" i="20"/>
  <c r="C41" i="20"/>
  <c r="K21" i="20" s="1"/>
  <c r="AN40" i="20"/>
  <c r="AM40" i="20"/>
  <c r="AN39" i="20"/>
  <c r="AM39" i="20"/>
  <c r="AN38" i="20"/>
  <c r="AM38" i="20"/>
  <c r="AN37" i="20"/>
  <c r="AM37" i="20"/>
  <c r="AN36" i="20"/>
  <c r="AM36" i="20"/>
  <c r="AN35" i="20"/>
  <c r="AM35" i="20"/>
  <c r="AN34" i="20"/>
  <c r="AM34" i="20"/>
  <c r="AN33" i="20"/>
  <c r="AM33" i="20"/>
  <c r="AN32" i="20"/>
  <c r="AM32" i="20"/>
  <c r="G32" i="20"/>
  <c r="AN31" i="20"/>
  <c r="AM31" i="20"/>
  <c r="AN30" i="20"/>
  <c r="AM30" i="20"/>
  <c r="AN29" i="20"/>
  <c r="AM29" i="20"/>
  <c r="K29" i="20"/>
  <c r="G29" i="20"/>
  <c r="G27" i="20" s="1"/>
  <c r="AN28" i="20"/>
  <c r="AM28" i="20"/>
  <c r="K28" i="20"/>
  <c r="AN27" i="20"/>
  <c r="AM27" i="20"/>
  <c r="K27" i="20"/>
  <c r="AN26" i="20"/>
  <c r="AM26" i="20"/>
  <c r="K26" i="20"/>
  <c r="G26" i="20"/>
  <c r="AN25" i="20"/>
  <c r="AM25" i="20"/>
  <c r="G25" i="20"/>
  <c r="AN24" i="20"/>
  <c r="AM24" i="20"/>
  <c r="K24" i="20"/>
  <c r="G24" i="20"/>
  <c r="AN23" i="20"/>
  <c r="AM23" i="20"/>
  <c r="K23" i="20"/>
  <c r="G23" i="20"/>
  <c r="C23" i="20"/>
  <c r="AN22" i="20"/>
  <c r="AM22" i="20"/>
  <c r="O22" i="20"/>
  <c r="K22" i="20"/>
  <c r="AN21" i="20"/>
  <c r="AM21" i="20"/>
  <c r="O21" i="20"/>
  <c r="AN20" i="20"/>
  <c r="AM20" i="20"/>
  <c r="K20" i="20"/>
  <c r="AN19" i="20"/>
  <c r="AM19" i="20"/>
  <c r="O19" i="20"/>
  <c r="AN18" i="20"/>
  <c r="AM18" i="20"/>
  <c r="AN17" i="20"/>
  <c r="AM17" i="20"/>
  <c r="C17" i="20"/>
  <c r="AN16" i="20"/>
  <c r="AM16" i="20"/>
  <c r="C16" i="20"/>
  <c r="AN15" i="20"/>
  <c r="AM15" i="20"/>
  <c r="AN14" i="20"/>
  <c r="AM14" i="20"/>
  <c r="K14" i="20"/>
  <c r="G14" i="20"/>
  <c r="G15" i="20" s="1"/>
  <c r="AN13" i="20"/>
  <c r="AM13" i="20"/>
  <c r="AN12" i="20"/>
  <c r="AM12" i="20"/>
  <c r="AN11" i="20"/>
  <c r="AM11" i="20"/>
  <c r="O11" i="20"/>
  <c r="C11" i="20"/>
  <c r="C30" i="20" s="1"/>
  <c r="AN10" i="20"/>
  <c r="AM10" i="20"/>
  <c r="AN9" i="20"/>
  <c r="AM9" i="20"/>
  <c r="O9" i="20"/>
  <c r="C9" i="20"/>
  <c r="AN8" i="20"/>
  <c r="AM8" i="20"/>
  <c r="AN7" i="20"/>
  <c r="AM7" i="20"/>
  <c r="G7" i="20"/>
  <c r="AN6" i="20"/>
  <c r="AM6" i="20"/>
  <c r="O6" i="20"/>
  <c r="AO5" i="20"/>
  <c r="AN5" i="20"/>
  <c r="AI6" i="20" s="1"/>
  <c r="AM5" i="20"/>
  <c r="AG6" i="20" s="1"/>
  <c r="AK5" i="20"/>
  <c r="G5" i="20"/>
  <c r="AD4" i="20"/>
  <c r="Z4" i="20"/>
  <c r="O4" i="20"/>
  <c r="G4" i="20"/>
  <c r="G10" i="20" s="1"/>
  <c r="C17" i="19"/>
  <c r="C56" i="19"/>
  <c r="C55" i="19"/>
  <c r="C51" i="19"/>
  <c r="C50" i="19"/>
  <c r="AN44" i="19"/>
  <c r="AM44" i="19"/>
  <c r="AN43" i="19"/>
  <c r="AM43" i="19"/>
  <c r="AN42" i="19"/>
  <c r="AM42" i="19"/>
  <c r="AN41" i="19"/>
  <c r="AM41" i="19"/>
  <c r="C41" i="19"/>
  <c r="K21" i="19" s="1"/>
  <c r="AN40" i="19"/>
  <c r="AM40" i="19"/>
  <c r="AN39" i="19"/>
  <c r="AM39" i="19"/>
  <c r="AN38" i="19"/>
  <c r="AM38" i="19"/>
  <c r="AN37" i="19"/>
  <c r="AM37" i="19"/>
  <c r="AN36" i="19"/>
  <c r="AM36" i="19"/>
  <c r="AN35" i="19"/>
  <c r="AM35" i="19"/>
  <c r="AN34" i="19"/>
  <c r="AM34" i="19"/>
  <c r="AN33" i="19"/>
  <c r="AM33" i="19"/>
  <c r="AN32" i="19"/>
  <c r="AM32" i="19"/>
  <c r="G32" i="19"/>
  <c r="AN31" i="19"/>
  <c r="AM31" i="19"/>
  <c r="AN30" i="19"/>
  <c r="AM30" i="19"/>
  <c r="AN29" i="19"/>
  <c r="AM29" i="19"/>
  <c r="K29" i="19"/>
  <c r="G29" i="19"/>
  <c r="G27" i="19" s="1"/>
  <c r="AN28" i="19"/>
  <c r="AM28" i="19"/>
  <c r="K28" i="19"/>
  <c r="AN27" i="19"/>
  <c r="AM27" i="19"/>
  <c r="K27" i="19"/>
  <c r="AN26" i="19"/>
  <c r="AM26" i="19"/>
  <c r="K26" i="19"/>
  <c r="G26" i="19"/>
  <c r="AN25" i="19"/>
  <c r="AM25" i="19"/>
  <c r="G25" i="19"/>
  <c r="AN24" i="19"/>
  <c r="AM24" i="19"/>
  <c r="K24" i="19"/>
  <c r="G24" i="19"/>
  <c r="AN23" i="19"/>
  <c r="AM23" i="19"/>
  <c r="K23" i="19"/>
  <c r="G23" i="19"/>
  <c r="C23" i="19"/>
  <c r="AN22" i="19"/>
  <c r="AM22" i="19"/>
  <c r="O22" i="19"/>
  <c r="K22" i="19"/>
  <c r="AN21" i="19"/>
  <c r="AM21" i="19"/>
  <c r="O21" i="19"/>
  <c r="AN20" i="19"/>
  <c r="AM20" i="19"/>
  <c r="K20" i="19"/>
  <c r="AN19" i="19"/>
  <c r="AM19" i="19"/>
  <c r="O19" i="19"/>
  <c r="AN18" i="19"/>
  <c r="AM18" i="19"/>
  <c r="AN17" i="19"/>
  <c r="AM17" i="19"/>
  <c r="AN16" i="19"/>
  <c r="AM16" i="19"/>
  <c r="C16" i="19"/>
  <c r="AN15" i="19"/>
  <c r="AM15" i="19"/>
  <c r="AN14" i="19"/>
  <c r="AM14" i="19"/>
  <c r="K14" i="19"/>
  <c r="G14" i="19"/>
  <c r="G15" i="19" s="1"/>
  <c r="AN13" i="19"/>
  <c r="AM13" i="19"/>
  <c r="AN12" i="19"/>
  <c r="AM12" i="19"/>
  <c r="AN11" i="19"/>
  <c r="AM11" i="19"/>
  <c r="O11" i="19"/>
  <c r="C11" i="19"/>
  <c r="C30" i="19" s="1"/>
  <c r="AN10" i="19"/>
  <c r="AM10" i="19"/>
  <c r="AN9" i="19"/>
  <c r="AM9" i="19"/>
  <c r="O9" i="19"/>
  <c r="C9" i="19"/>
  <c r="AN8" i="19"/>
  <c r="AM8" i="19"/>
  <c r="AN7" i="19"/>
  <c r="AM7" i="19"/>
  <c r="G7" i="19"/>
  <c r="AN6" i="19"/>
  <c r="AM6" i="19"/>
  <c r="O6" i="19"/>
  <c r="AO5" i="19"/>
  <c r="AN5" i="19"/>
  <c r="AI6" i="19" s="1"/>
  <c r="AM5" i="19"/>
  <c r="AG6" i="19" s="1"/>
  <c r="AK5" i="19"/>
  <c r="G5" i="19"/>
  <c r="AD4" i="19"/>
  <c r="Z4" i="19"/>
  <c r="O4" i="19"/>
  <c r="G4" i="19"/>
  <c r="G10" i="19" s="1"/>
  <c r="C14" i="18"/>
  <c r="C14" i="17"/>
  <c r="C14" i="16"/>
  <c r="O45" i="18"/>
  <c r="AN44" i="18"/>
  <c r="AM44" i="18"/>
  <c r="O44" i="18"/>
  <c r="AN43" i="18"/>
  <c r="AM43" i="18"/>
  <c r="AN42" i="18"/>
  <c r="AM42" i="18"/>
  <c r="AN41" i="18"/>
  <c r="AM41" i="18"/>
  <c r="AN40" i="18"/>
  <c r="AM40" i="18"/>
  <c r="AN39" i="18"/>
  <c r="AM39" i="18"/>
  <c r="AN38" i="18"/>
  <c r="AM38" i="18"/>
  <c r="AN37" i="18"/>
  <c r="AM37" i="18"/>
  <c r="AN36" i="18"/>
  <c r="AM36" i="18"/>
  <c r="AN35" i="18"/>
  <c r="AM35" i="18"/>
  <c r="AN34" i="18"/>
  <c r="AM34" i="18"/>
  <c r="G34" i="18"/>
  <c r="AN33" i="18"/>
  <c r="AM33" i="18"/>
  <c r="C33" i="18"/>
  <c r="AN32" i="18"/>
  <c r="AM32" i="18"/>
  <c r="AN31" i="18"/>
  <c r="AM31" i="18"/>
  <c r="K31" i="18"/>
  <c r="C31" i="18"/>
  <c r="AN30" i="18"/>
  <c r="AM30" i="18"/>
  <c r="AN29" i="18"/>
  <c r="AM29" i="18"/>
  <c r="AN28" i="18"/>
  <c r="AM28" i="18"/>
  <c r="G28" i="18"/>
  <c r="AN27" i="18"/>
  <c r="AM27" i="18"/>
  <c r="AN26" i="18"/>
  <c r="AM26" i="18"/>
  <c r="K26" i="18"/>
  <c r="G26" i="18"/>
  <c r="AN25" i="18"/>
  <c r="AM25" i="18"/>
  <c r="K25" i="18"/>
  <c r="G25" i="18"/>
  <c r="G27" i="18" s="1"/>
  <c r="AN24" i="18"/>
  <c r="AM24" i="18"/>
  <c r="K24" i="18"/>
  <c r="AN23" i="18"/>
  <c r="AM23" i="18"/>
  <c r="K23" i="18"/>
  <c r="AN22" i="18"/>
  <c r="AM22" i="18"/>
  <c r="AN21" i="18"/>
  <c r="AM21" i="18"/>
  <c r="K21" i="18"/>
  <c r="AN20" i="18"/>
  <c r="AM20" i="18"/>
  <c r="K20" i="18"/>
  <c r="AN19" i="18"/>
  <c r="AM19" i="18"/>
  <c r="O19" i="18"/>
  <c r="G16" i="18" s="1"/>
  <c r="G17" i="18" s="1"/>
  <c r="K19" i="18"/>
  <c r="AN18" i="18"/>
  <c r="AM18" i="18"/>
  <c r="K18" i="18"/>
  <c r="AN17" i="18"/>
  <c r="AM17" i="18"/>
  <c r="AN16" i="18"/>
  <c r="AM16" i="18"/>
  <c r="AN15" i="18"/>
  <c r="AM15" i="18"/>
  <c r="AN14" i="18"/>
  <c r="AM14" i="18"/>
  <c r="G15" i="18"/>
  <c r="AN13" i="18"/>
  <c r="AM13" i="18"/>
  <c r="C13" i="18"/>
  <c r="K39" i="18" s="1"/>
  <c r="AN12" i="18"/>
  <c r="AM12" i="18"/>
  <c r="K12" i="18"/>
  <c r="G12" i="18"/>
  <c r="AN11" i="18"/>
  <c r="AM11" i="18"/>
  <c r="AN10" i="18"/>
  <c r="AM10" i="18"/>
  <c r="C10" i="18"/>
  <c r="C20" i="18" s="1"/>
  <c r="AN9" i="18"/>
  <c r="AM9" i="18"/>
  <c r="G9" i="18"/>
  <c r="AN8" i="18"/>
  <c r="AM8" i="18"/>
  <c r="AN7" i="18"/>
  <c r="AM7" i="18"/>
  <c r="G7" i="18"/>
  <c r="G8" i="18" s="1"/>
  <c r="AN6" i="18"/>
  <c r="AM6" i="18"/>
  <c r="AO5" i="18"/>
  <c r="AN5" i="18"/>
  <c r="AM5" i="18"/>
  <c r="AK5" i="18"/>
  <c r="O5" i="18"/>
  <c r="O7" i="18" s="1"/>
  <c r="O10" i="18" s="1"/>
  <c r="G5" i="18"/>
  <c r="G6" i="18" s="1"/>
  <c r="AD4" i="18"/>
  <c r="Z4" i="18"/>
  <c r="O4" i="18"/>
  <c r="G4" i="18"/>
  <c r="O45" i="17"/>
  <c r="AN44" i="17"/>
  <c r="AM44" i="17"/>
  <c r="O44" i="17"/>
  <c r="AN43" i="17"/>
  <c r="AM43" i="17"/>
  <c r="AN42" i="17"/>
  <c r="AM42" i="17"/>
  <c r="AN41" i="17"/>
  <c r="AM41" i="17"/>
  <c r="AN40" i="17"/>
  <c r="AM40" i="17"/>
  <c r="AN39" i="17"/>
  <c r="AM39" i="17"/>
  <c r="AN38" i="17"/>
  <c r="AM38" i="17"/>
  <c r="AN37" i="17"/>
  <c r="AM37" i="17"/>
  <c r="AN36" i="17"/>
  <c r="AM36" i="17"/>
  <c r="AN35" i="17"/>
  <c r="AM35" i="17"/>
  <c r="AN34" i="17"/>
  <c r="AM34" i="17"/>
  <c r="G34" i="17"/>
  <c r="AN33" i="17"/>
  <c r="AM33" i="17"/>
  <c r="C33" i="17"/>
  <c r="AN32" i="17"/>
  <c r="AM32" i="17"/>
  <c r="AN31" i="17"/>
  <c r="AM31" i="17"/>
  <c r="K31" i="17"/>
  <c r="C31" i="17"/>
  <c r="AN30" i="17"/>
  <c r="AM30" i="17"/>
  <c r="AN29" i="17"/>
  <c r="AM29" i="17"/>
  <c r="AN28" i="17"/>
  <c r="AM28" i="17"/>
  <c r="G28" i="17"/>
  <c r="AN27" i="17"/>
  <c r="AM27" i="17"/>
  <c r="AN26" i="17"/>
  <c r="AM26" i="17"/>
  <c r="K26" i="17"/>
  <c r="G26" i="17"/>
  <c r="AN25" i="17"/>
  <c r="AM25" i="17"/>
  <c r="K25" i="17"/>
  <c r="G25" i="17"/>
  <c r="G27" i="17" s="1"/>
  <c r="AN24" i="17"/>
  <c r="AM24" i="17"/>
  <c r="K24" i="17"/>
  <c r="AN23" i="17"/>
  <c r="AM23" i="17"/>
  <c r="K23" i="17"/>
  <c r="AN22" i="17"/>
  <c r="AM22" i="17"/>
  <c r="AN21" i="17"/>
  <c r="AM21" i="17"/>
  <c r="K21" i="17"/>
  <c r="AN20" i="17"/>
  <c r="AM20" i="17"/>
  <c r="K20" i="17"/>
  <c r="AN19" i="17"/>
  <c r="AM19" i="17"/>
  <c r="O19" i="17"/>
  <c r="G16" i="17" s="1"/>
  <c r="G17" i="17" s="1"/>
  <c r="K19" i="17"/>
  <c r="AN18" i="17"/>
  <c r="AM18" i="17"/>
  <c r="K18" i="17"/>
  <c r="AN17" i="17"/>
  <c r="AM17" i="17"/>
  <c r="AN16" i="17"/>
  <c r="AM16" i="17"/>
  <c r="AN15" i="17"/>
  <c r="AM15" i="17"/>
  <c r="AN14" i="17"/>
  <c r="AM14" i="17"/>
  <c r="G15" i="17"/>
  <c r="AN13" i="17"/>
  <c r="AM13" i="17"/>
  <c r="C13" i="17"/>
  <c r="K39" i="17" s="1"/>
  <c r="AN12" i="17"/>
  <c r="AM12" i="17"/>
  <c r="K12" i="17"/>
  <c r="AN11" i="17"/>
  <c r="AM11" i="17"/>
  <c r="AN10" i="17"/>
  <c r="AM10" i="17"/>
  <c r="C10" i="17"/>
  <c r="C20" i="17" s="1"/>
  <c r="AN9" i="17"/>
  <c r="AM9" i="17"/>
  <c r="G9" i="17"/>
  <c r="AN8" i="17"/>
  <c r="AM8" i="17"/>
  <c r="AN7" i="17"/>
  <c r="AM7" i="17"/>
  <c r="G7" i="17"/>
  <c r="G8" i="17" s="1"/>
  <c r="AN6" i="17"/>
  <c r="AM6" i="17"/>
  <c r="AO5" i="17"/>
  <c r="AN5" i="17"/>
  <c r="AI6" i="17" s="1"/>
  <c r="AM5" i="17"/>
  <c r="AK5" i="17"/>
  <c r="O5" i="17"/>
  <c r="O7" i="17" s="1"/>
  <c r="O10" i="17" s="1"/>
  <c r="G5" i="17"/>
  <c r="AD4" i="17"/>
  <c r="Z4" i="17"/>
  <c r="O4" i="17"/>
  <c r="G4" i="17"/>
  <c r="G12" i="17" s="1"/>
  <c r="K22" i="17" s="1"/>
  <c r="O45" i="16"/>
  <c r="AN44" i="16"/>
  <c r="AM44" i="16"/>
  <c r="O44" i="16"/>
  <c r="AN43" i="16"/>
  <c r="AM43" i="16"/>
  <c r="AN42" i="16"/>
  <c r="AM42" i="16"/>
  <c r="AN41" i="16"/>
  <c r="AM41" i="16"/>
  <c r="AN40" i="16"/>
  <c r="AM40" i="16"/>
  <c r="AN39" i="16"/>
  <c r="AM39" i="16"/>
  <c r="AN38" i="16"/>
  <c r="AM38" i="16"/>
  <c r="AN37" i="16"/>
  <c r="AM37" i="16"/>
  <c r="AN36" i="16"/>
  <c r="AM36" i="16"/>
  <c r="AN35" i="16"/>
  <c r="AM35" i="16"/>
  <c r="AN34" i="16"/>
  <c r="AM34" i="16"/>
  <c r="G34" i="16"/>
  <c r="AN33" i="16"/>
  <c r="AM33" i="16"/>
  <c r="C33" i="16"/>
  <c r="AN32" i="16"/>
  <c r="AM32" i="16"/>
  <c r="AN31" i="16"/>
  <c r="AM31" i="16"/>
  <c r="K31" i="16"/>
  <c r="C31" i="16"/>
  <c r="AN30" i="16"/>
  <c r="AM30" i="16"/>
  <c r="AN29" i="16"/>
  <c r="AM29" i="16"/>
  <c r="AN28" i="16"/>
  <c r="AM28" i="16"/>
  <c r="G28" i="16"/>
  <c r="AN27" i="16"/>
  <c r="AM27" i="16"/>
  <c r="G27" i="16"/>
  <c r="AN26" i="16"/>
  <c r="AM26" i="16"/>
  <c r="K26" i="16"/>
  <c r="G26" i="16"/>
  <c r="AN25" i="16"/>
  <c r="AM25" i="16"/>
  <c r="K25" i="16"/>
  <c r="G25" i="16"/>
  <c r="G31" i="16" s="1"/>
  <c r="G29" i="16" s="1"/>
  <c r="AN24" i="16"/>
  <c r="AM24" i="16"/>
  <c r="K24" i="16"/>
  <c r="AN23" i="16"/>
  <c r="AM23" i="16"/>
  <c r="K23" i="16"/>
  <c r="AN22" i="16"/>
  <c r="AM22" i="16"/>
  <c r="AN21" i="16"/>
  <c r="AM21" i="16"/>
  <c r="K21" i="16"/>
  <c r="AN20" i="16"/>
  <c r="AM20" i="16"/>
  <c r="K20" i="16"/>
  <c r="AN19" i="16"/>
  <c r="AM19" i="16"/>
  <c r="O19" i="16"/>
  <c r="G16" i="16" s="1"/>
  <c r="G17" i="16" s="1"/>
  <c r="K19" i="16"/>
  <c r="AN18" i="16"/>
  <c r="AM18" i="16"/>
  <c r="K18" i="16"/>
  <c r="AN17" i="16"/>
  <c r="AM17" i="16"/>
  <c r="AN16" i="16"/>
  <c r="AM16" i="16"/>
  <c r="AN15" i="16"/>
  <c r="AM15" i="16"/>
  <c r="AN14" i="16"/>
  <c r="AM14" i="16"/>
  <c r="AN13" i="16"/>
  <c r="AM13" i="16"/>
  <c r="C13" i="16"/>
  <c r="K39" i="16" s="1"/>
  <c r="AN12" i="16"/>
  <c r="AM12" i="16"/>
  <c r="K12" i="16"/>
  <c r="AN11" i="16"/>
  <c r="AM11" i="16"/>
  <c r="AN10" i="16"/>
  <c r="AM10" i="16"/>
  <c r="C10" i="16"/>
  <c r="C20" i="16" s="1"/>
  <c r="AN9" i="16"/>
  <c r="AM9" i="16"/>
  <c r="G9" i="16"/>
  <c r="AN8" i="16"/>
  <c r="AM8" i="16"/>
  <c r="AN7" i="16"/>
  <c r="AM7" i="16"/>
  <c r="G7" i="16"/>
  <c r="G8" i="16" s="1"/>
  <c r="AN6" i="16"/>
  <c r="AM6" i="16"/>
  <c r="AO5" i="16"/>
  <c r="AN5" i="16"/>
  <c r="AI6" i="16" s="1"/>
  <c r="AM5" i="16"/>
  <c r="AK5" i="16"/>
  <c r="O5" i="16"/>
  <c r="O7" i="16" s="1"/>
  <c r="O10" i="16" s="1"/>
  <c r="G5" i="16"/>
  <c r="AD4" i="16"/>
  <c r="Z4" i="16"/>
  <c r="O4" i="16"/>
  <c r="G4" i="16"/>
  <c r="G12" i="16" s="1"/>
  <c r="O25" i="19" l="1"/>
  <c r="AK6" i="21"/>
  <c r="AK6" i="20"/>
  <c r="AK6" i="19"/>
  <c r="AI7" i="19" s="1"/>
  <c r="K46" i="21"/>
  <c r="AG7" i="21"/>
  <c r="K38" i="21"/>
  <c r="K46" i="20"/>
  <c r="K4" i="21"/>
  <c r="K25" i="21"/>
  <c r="K37" i="21" s="1"/>
  <c r="G8" i="21"/>
  <c r="G9" i="21" s="1"/>
  <c r="G28" i="21"/>
  <c r="O5" i="21"/>
  <c r="G13" i="21"/>
  <c r="O22" i="21"/>
  <c r="O25" i="21" s="1"/>
  <c r="K11" i="21"/>
  <c r="AI7" i="21"/>
  <c r="AO6" i="21"/>
  <c r="K34" i="21"/>
  <c r="K42" i="21"/>
  <c r="AG7" i="20"/>
  <c r="AI7" i="20"/>
  <c r="K38" i="20"/>
  <c r="G28" i="20"/>
  <c r="O25" i="20"/>
  <c r="K25" i="20"/>
  <c r="K37" i="20" s="1"/>
  <c r="G8" i="20"/>
  <c r="G9" i="20" s="1"/>
  <c r="K4" i="20"/>
  <c r="K42" i="20"/>
  <c r="K34" i="20"/>
  <c r="AO6" i="20"/>
  <c r="G6" i="20"/>
  <c r="O5" i="20"/>
  <c r="O12" i="20" s="1"/>
  <c r="O13" i="20" s="1"/>
  <c r="O16" i="20" s="1"/>
  <c r="G13" i="20"/>
  <c r="K46" i="19"/>
  <c r="G28" i="19"/>
  <c r="K38" i="19"/>
  <c r="AO6" i="19"/>
  <c r="G13" i="19"/>
  <c r="O5" i="19"/>
  <c r="O12" i="19" s="1"/>
  <c r="O13" i="19" s="1"/>
  <c r="O16" i="19" s="1"/>
  <c r="K25" i="19"/>
  <c r="K37" i="19" s="1"/>
  <c r="K4" i="19"/>
  <c r="G8" i="19"/>
  <c r="G9" i="19" s="1"/>
  <c r="G6" i="19"/>
  <c r="AG7" i="19"/>
  <c r="AK7" i="19" s="1"/>
  <c r="AI8" i="19" s="1"/>
  <c r="K42" i="19"/>
  <c r="K34" i="19"/>
  <c r="AG6" i="16"/>
  <c r="AO6" i="16" s="1"/>
  <c r="AG6" i="17"/>
  <c r="AO6" i="17" s="1"/>
  <c r="AI6" i="18"/>
  <c r="O8" i="17"/>
  <c r="O9" i="17" s="1"/>
  <c r="O13" i="17" s="1"/>
  <c r="O14" i="17" s="1"/>
  <c r="O17" i="17" s="1"/>
  <c r="O20" i="17" s="1"/>
  <c r="O23" i="17" s="1"/>
  <c r="K35" i="18"/>
  <c r="K43" i="18"/>
  <c r="O8" i="18"/>
  <c r="O9" i="18" s="1"/>
  <c r="O13" i="18" s="1"/>
  <c r="K9" i="18"/>
  <c r="AG6" i="18"/>
  <c r="G10" i="18"/>
  <c r="G11" i="18" s="1"/>
  <c r="O46" i="18"/>
  <c r="O47" i="18" s="1"/>
  <c r="K22" i="18"/>
  <c r="K34" i="18" s="1"/>
  <c r="G31" i="18"/>
  <c r="G29" i="18" s="1"/>
  <c r="G30" i="18" s="1"/>
  <c r="K47" i="18"/>
  <c r="K43" i="17"/>
  <c r="K35" i="17"/>
  <c r="O46" i="17"/>
  <c r="O47" i="17" s="1"/>
  <c r="G10" i="17"/>
  <c r="G11" i="17" s="1"/>
  <c r="K34" i="17"/>
  <c r="K42" i="17"/>
  <c r="G6" i="17"/>
  <c r="K9" i="17" s="1"/>
  <c r="G31" i="17"/>
  <c r="G29" i="17" s="1"/>
  <c r="G30" i="17" s="1"/>
  <c r="K47" i="17"/>
  <c r="O8" i="16"/>
  <c r="O9" i="16" s="1"/>
  <c r="O13" i="16" s="1"/>
  <c r="O14" i="16" s="1"/>
  <c r="O17" i="16" s="1"/>
  <c r="O20" i="16" s="1"/>
  <c r="O23" i="16" s="1"/>
  <c r="K35" i="16"/>
  <c r="K43" i="16"/>
  <c r="O46" i="16"/>
  <c r="O47" i="16" s="1"/>
  <c r="G10" i="16"/>
  <c r="G11" i="16" s="1"/>
  <c r="K22" i="16"/>
  <c r="K42" i="16" s="1"/>
  <c r="G30" i="16"/>
  <c r="G6" i="16"/>
  <c r="G15" i="16"/>
  <c r="K47" i="16"/>
  <c r="AO7" i="21" l="1"/>
  <c r="AK6" i="16"/>
  <c r="AI7" i="16" s="1"/>
  <c r="AO7" i="20"/>
  <c r="O10" i="21"/>
  <c r="K5" i="21"/>
  <c r="AK7" i="21"/>
  <c r="O12" i="21"/>
  <c r="O13" i="21" s="1"/>
  <c r="O16" i="21" s="1"/>
  <c r="K45" i="21"/>
  <c r="AK7" i="20"/>
  <c r="AI8" i="20" s="1"/>
  <c r="K45" i="20"/>
  <c r="K5" i="20"/>
  <c r="O10" i="20"/>
  <c r="O14" i="20"/>
  <c r="K11" i="20"/>
  <c r="AG8" i="19"/>
  <c r="AO8" i="19" s="1"/>
  <c r="AG7" i="16"/>
  <c r="AK7" i="16" s="1"/>
  <c r="AI8" i="16" s="1"/>
  <c r="AK6" i="18"/>
  <c r="AI7" i="18" s="1"/>
  <c r="AK6" i="17"/>
  <c r="AI7" i="17" s="1"/>
  <c r="K45" i="19"/>
  <c r="O14" i="19"/>
  <c r="O10" i="19"/>
  <c r="K5" i="19"/>
  <c r="K11" i="19"/>
  <c r="AO7" i="19"/>
  <c r="O18" i="16"/>
  <c r="O21" i="16" s="1"/>
  <c r="G21" i="16" s="1"/>
  <c r="O18" i="17"/>
  <c r="O21" i="17" s="1"/>
  <c r="G21" i="17" s="1"/>
  <c r="O14" i="18"/>
  <c r="O17" i="18" s="1"/>
  <c r="O20" i="18" s="1"/>
  <c r="O23" i="18" s="1"/>
  <c r="O18" i="18"/>
  <c r="AG7" i="18"/>
  <c r="K42" i="18"/>
  <c r="AO6" i="18"/>
  <c r="K34" i="16"/>
  <c r="K9" i="16"/>
  <c r="AI8" i="21" l="1"/>
  <c r="AG8" i="21"/>
  <c r="AK8" i="21" s="1"/>
  <c r="AI9" i="21" s="1"/>
  <c r="AG8" i="20"/>
  <c r="AK8" i="20" s="1"/>
  <c r="AG7" i="17"/>
  <c r="AK7" i="17" s="1"/>
  <c r="AG8" i="17" s="1"/>
  <c r="O14" i="21"/>
  <c r="O20" i="21" s="1"/>
  <c r="AO7" i="16"/>
  <c r="AK8" i="19"/>
  <c r="AI9" i="19" s="1"/>
  <c r="O20" i="20"/>
  <c r="O15" i="20"/>
  <c r="O20" i="19"/>
  <c r="O15" i="19"/>
  <c r="O26" i="17"/>
  <c r="O28" i="17" s="1"/>
  <c r="O26" i="16"/>
  <c r="O28" i="16" s="1"/>
  <c r="K14" i="17"/>
  <c r="K15" i="17" s="1"/>
  <c r="G18" i="17"/>
  <c r="K14" i="16"/>
  <c r="K15" i="16" s="1"/>
  <c r="G18" i="16"/>
  <c r="AI8" i="17"/>
  <c r="AA4" i="17"/>
  <c r="Y4" i="17"/>
  <c r="K14" i="18"/>
  <c r="K15" i="18" s="1"/>
  <c r="G18" i="18"/>
  <c r="O21" i="18"/>
  <c r="O26" i="18"/>
  <c r="O28" i="18" s="1"/>
  <c r="AK7" i="18"/>
  <c r="AI8" i="18" s="1"/>
  <c r="AO7" i="18"/>
  <c r="Y4" i="16"/>
  <c r="W4" i="16"/>
  <c r="AA4" i="16"/>
  <c r="W4" i="17"/>
  <c r="AG8" i="16"/>
  <c r="AO8" i="16" s="1"/>
  <c r="AO7" i="17" l="1"/>
  <c r="O15" i="21"/>
  <c r="AG9" i="21"/>
  <c r="AK9" i="21" s="1"/>
  <c r="AI10" i="21" s="1"/>
  <c r="AO8" i="21"/>
  <c r="AI9" i="20"/>
  <c r="AG9" i="20"/>
  <c r="AO8" i="20"/>
  <c r="AG9" i="19"/>
  <c r="AO9" i="19" s="1"/>
  <c r="G16" i="21"/>
  <c r="O23" i="21"/>
  <c r="K16" i="21"/>
  <c r="O28" i="21"/>
  <c r="O30" i="21" s="1"/>
  <c r="O23" i="20"/>
  <c r="G16" i="20"/>
  <c r="K16" i="20"/>
  <c r="O28" i="20"/>
  <c r="O30" i="20" s="1"/>
  <c r="O23" i="19"/>
  <c r="G16" i="19"/>
  <c r="K16" i="19"/>
  <c r="O28" i="19"/>
  <c r="O30" i="19" s="1"/>
  <c r="AK8" i="17"/>
  <c r="AI9" i="17" s="1"/>
  <c r="AB4" i="17"/>
  <c r="V5" i="17" s="1"/>
  <c r="W5" i="17" s="1"/>
  <c r="AG8" i="18"/>
  <c r="AO8" i="18" s="1"/>
  <c r="AC4" i="17"/>
  <c r="X5" i="17" s="1"/>
  <c r="Y5" i="17" s="1"/>
  <c r="AB4" i="16"/>
  <c r="V5" i="16" s="1"/>
  <c r="W5" i="16" s="1"/>
  <c r="AO8" i="17"/>
  <c r="AC4" i="16"/>
  <c r="X5" i="16" s="1"/>
  <c r="W4" i="18"/>
  <c r="Y4" i="18"/>
  <c r="G21" i="18"/>
  <c r="AA4" i="18"/>
  <c r="AK8" i="16"/>
  <c r="AI9" i="16" s="1"/>
  <c r="AK9" i="20" l="1"/>
  <c r="AO9" i="21"/>
  <c r="AG10" i="21"/>
  <c r="AK10" i="21" s="1"/>
  <c r="AK9" i="19"/>
  <c r="AI10" i="20"/>
  <c r="AG10" i="20"/>
  <c r="AO9" i="20"/>
  <c r="G19" i="21"/>
  <c r="AA4" i="21"/>
  <c r="W4" i="21"/>
  <c r="Y4" i="21"/>
  <c r="AO10" i="21"/>
  <c r="G19" i="20"/>
  <c r="W4" i="20"/>
  <c r="AA4" i="20"/>
  <c r="Y4" i="20"/>
  <c r="AG10" i="19"/>
  <c r="AI10" i="19"/>
  <c r="G19" i="19"/>
  <c r="W4" i="19"/>
  <c r="AA4" i="19"/>
  <c r="Y4" i="19"/>
  <c r="AG9" i="16"/>
  <c r="AK9" i="16" s="1"/>
  <c r="AG10" i="16" s="1"/>
  <c r="AG9" i="17"/>
  <c r="AK9" i="17" s="1"/>
  <c r="AG10" i="17" s="1"/>
  <c r="AD5" i="16"/>
  <c r="AK8" i="18"/>
  <c r="AI9" i="18" s="1"/>
  <c r="AD5" i="17"/>
  <c r="AG9" i="18"/>
  <c r="Z5" i="16"/>
  <c r="AA5" i="16" s="1"/>
  <c r="AB5" i="16" s="1"/>
  <c r="V6" i="16" s="1"/>
  <c r="W6" i="16" s="1"/>
  <c r="Y5" i="16"/>
  <c r="Z5" i="17"/>
  <c r="AA5" i="17" s="1"/>
  <c r="AC5" i="17" s="1"/>
  <c r="X6" i="17" s="1"/>
  <c r="Y6" i="17" s="1"/>
  <c r="AC4" i="18"/>
  <c r="X5" i="18" s="1"/>
  <c r="AB4" i="18"/>
  <c r="V5" i="18" s="1"/>
  <c r="AC4" i="21" l="1"/>
  <c r="X5" i="21" s="1"/>
  <c r="AK10" i="20"/>
  <c r="AI11" i="20"/>
  <c r="AG11" i="20"/>
  <c r="AO10" i="20"/>
  <c r="AI10" i="17"/>
  <c r="AK10" i="17" s="1"/>
  <c r="AB4" i="21"/>
  <c r="V5" i="21" s="1"/>
  <c r="Z5" i="21" s="1"/>
  <c r="AA5" i="21" s="1"/>
  <c r="AI11" i="21"/>
  <c r="AG11" i="21"/>
  <c r="Y5" i="21"/>
  <c r="AB4" i="20"/>
  <c r="V5" i="20" s="1"/>
  <c r="AC4" i="20"/>
  <c r="X5" i="20" s="1"/>
  <c r="AO10" i="19"/>
  <c r="AK10" i="19"/>
  <c r="AO9" i="16"/>
  <c r="AB4" i="19"/>
  <c r="V5" i="19" s="1"/>
  <c r="AC4" i="19"/>
  <c r="X5" i="19" s="1"/>
  <c r="AO9" i="17"/>
  <c r="AO9" i="18"/>
  <c r="AK9" i="18"/>
  <c r="AG10" i="18" s="1"/>
  <c r="AC5" i="16"/>
  <c r="X6" i="16" s="1"/>
  <c r="AD6" i="16" s="1"/>
  <c r="AI10" i="16"/>
  <c r="AK10" i="16" s="1"/>
  <c r="AI11" i="16" s="1"/>
  <c r="AB5" i="17"/>
  <c r="V6" i="17" s="1"/>
  <c r="AD6" i="17" s="1"/>
  <c r="Z5" i="18"/>
  <c r="AA5" i="18" s="1"/>
  <c r="W5" i="18"/>
  <c r="AD5" i="18"/>
  <c r="Y5" i="18"/>
  <c r="AO10" i="17" l="1"/>
  <c r="W5" i="21"/>
  <c r="AD5" i="21"/>
  <c r="AK11" i="20"/>
  <c r="AO11" i="20"/>
  <c r="AI10" i="18"/>
  <c r="AK10" i="18" s="1"/>
  <c r="AG11" i="18" s="1"/>
  <c r="AC5" i="21"/>
  <c r="X6" i="21" s="1"/>
  <c r="Y6" i="21" s="1"/>
  <c r="AB5" i="21"/>
  <c r="V6" i="21" s="1"/>
  <c r="AK11" i="21"/>
  <c r="AG12" i="21"/>
  <c r="AI12" i="21"/>
  <c r="AO11" i="21"/>
  <c r="AD5" i="20"/>
  <c r="Y5" i="20"/>
  <c r="Z5" i="20"/>
  <c r="AA5" i="20" s="1"/>
  <c r="W5" i="20"/>
  <c r="AG11" i="19"/>
  <c r="AI11" i="19"/>
  <c r="AD5" i="19"/>
  <c r="Y5" i="19"/>
  <c r="Z5" i="19"/>
  <c r="AA5" i="19" s="1"/>
  <c r="W5" i="19"/>
  <c r="AO10" i="16"/>
  <c r="Z6" i="16"/>
  <c r="AA6" i="16" s="1"/>
  <c r="AB6" i="16" s="1"/>
  <c r="V7" i="16" s="1"/>
  <c r="W7" i="16" s="1"/>
  <c r="Y6" i="16"/>
  <c r="AC5" i="18"/>
  <c r="X6" i="18" s="1"/>
  <c r="Y6" i="18" s="1"/>
  <c r="AG11" i="16"/>
  <c r="AK11" i="16" s="1"/>
  <c r="AG12" i="16" s="1"/>
  <c r="Z6" i="17"/>
  <c r="AA6" i="17" s="1"/>
  <c r="AC6" i="17" s="1"/>
  <c r="X7" i="17" s="1"/>
  <c r="Y7" i="17" s="1"/>
  <c r="W6" i="17"/>
  <c r="AG11" i="17"/>
  <c r="AI11" i="17"/>
  <c r="AB5" i="18"/>
  <c r="V6" i="18" s="1"/>
  <c r="Z6" i="21" l="1"/>
  <c r="AA6" i="21" s="1"/>
  <c r="AD6" i="21"/>
  <c r="AO10" i="18"/>
  <c r="AI12" i="20"/>
  <c r="AG12" i="20"/>
  <c r="W6" i="21"/>
  <c r="AO12" i="21"/>
  <c r="AC6" i="21"/>
  <c r="X7" i="21" s="1"/>
  <c r="AK12" i="21"/>
  <c r="AB5" i="20"/>
  <c r="V6" i="20" s="1"/>
  <c r="W6" i="20" s="1"/>
  <c r="AC5" i="20"/>
  <c r="X6" i="20" s="1"/>
  <c r="AO11" i="19"/>
  <c r="AK11" i="19"/>
  <c r="AB5" i="19"/>
  <c r="V6" i="19" s="1"/>
  <c r="W6" i="19" s="1"/>
  <c r="AI11" i="18"/>
  <c r="AO11" i="18" s="1"/>
  <c r="AC5" i="19"/>
  <c r="X6" i="19" s="1"/>
  <c r="AC6" i="16"/>
  <c r="X7" i="16" s="1"/>
  <c r="Y7" i="16" s="1"/>
  <c r="AO11" i="16"/>
  <c r="AB6" i="17"/>
  <c r="V7" i="17" s="1"/>
  <c r="Z7" i="17" s="1"/>
  <c r="AA7" i="17" s="1"/>
  <c r="AC7" i="17" s="1"/>
  <c r="X8" i="17" s="1"/>
  <c r="Y8" i="17" s="1"/>
  <c r="AO11" i="17"/>
  <c r="AK11" i="17"/>
  <c r="AI12" i="17" s="1"/>
  <c r="AI12" i="16"/>
  <c r="AO12" i="16" s="1"/>
  <c r="W6" i="18"/>
  <c r="Z6" i="18"/>
  <c r="AA6" i="18" s="1"/>
  <c r="AC6" i="18" s="1"/>
  <c r="X7" i="18" s="1"/>
  <c r="AD6" i="18"/>
  <c r="AO12" i="20" l="1"/>
  <c r="AB6" i="21"/>
  <c r="V7" i="21" s="1"/>
  <c r="W7" i="21" s="1"/>
  <c r="AK12" i="20"/>
  <c r="AG12" i="17"/>
  <c r="AI13" i="21"/>
  <c r="AG13" i="21"/>
  <c r="Y7" i="21"/>
  <c r="AK11" i="18"/>
  <c r="AI12" i="18" s="1"/>
  <c r="AD6" i="20"/>
  <c r="Y6" i="20"/>
  <c r="Z6" i="20"/>
  <c r="AA6" i="20" s="1"/>
  <c r="AB6" i="20" s="1"/>
  <c r="V7" i="20" s="1"/>
  <c r="AG12" i="19"/>
  <c r="AI12" i="19"/>
  <c r="AD6" i="19"/>
  <c r="Y6" i="19"/>
  <c r="Z6" i="19"/>
  <c r="AA6" i="19" s="1"/>
  <c r="AB6" i="19" s="1"/>
  <c r="V7" i="19" s="1"/>
  <c r="AD7" i="16"/>
  <c r="Z7" i="16"/>
  <c r="AA7" i="16" s="1"/>
  <c r="AB7" i="16" s="1"/>
  <c r="V8" i="16" s="1"/>
  <c r="W8" i="16" s="1"/>
  <c r="W7" i="17"/>
  <c r="AB7" i="17" s="1"/>
  <c r="V8" i="17" s="1"/>
  <c r="AD7" i="17"/>
  <c r="AK12" i="16"/>
  <c r="AI13" i="16" s="1"/>
  <c r="AK12" i="17"/>
  <c r="AI13" i="17" s="1"/>
  <c r="AO12" i="17"/>
  <c r="Y7" i="18"/>
  <c r="AB6" i="18"/>
  <c r="V7" i="18" s="1"/>
  <c r="AK13" i="21" l="1"/>
  <c r="AD7" i="21"/>
  <c r="Z7" i="21"/>
  <c r="AA7" i="21" s="1"/>
  <c r="AB7" i="21" s="1"/>
  <c r="V8" i="21" s="1"/>
  <c r="W8" i="21" s="1"/>
  <c r="AG13" i="20"/>
  <c r="AI13" i="20"/>
  <c r="AG12" i="18"/>
  <c r="AO12" i="18" s="1"/>
  <c r="AO12" i="19"/>
  <c r="AI14" i="21"/>
  <c r="AG14" i="21"/>
  <c r="AO13" i="21"/>
  <c r="AK12" i="18"/>
  <c r="W7" i="20"/>
  <c r="AC6" i="20"/>
  <c r="X7" i="20" s="1"/>
  <c r="AK12" i="19"/>
  <c r="W7" i="19"/>
  <c r="AC6" i="19"/>
  <c r="X7" i="19" s="1"/>
  <c r="AG13" i="16"/>
  <c r="AK13" i="16" s="1"/>
  <c r="AI14" i="16" s="1"/>
  <c r="AC7" i="16"/>
  <c r="X8" i="16" s="1"/>
  <c r="AD8" i="16" s="1"/>
  <c r="W8" i="17"/>
  <c r="AD8" i="17"/>
  <c r="Z8" i="17"/>
  <c r="AA8" i="17" s="1"/>
  <c r="AC8" i="17" s="1"/>
  <c r="X9" i="17" s="1"/>
  <c r="AG13" i="17"/>
  <c r="AO13" i="17" s="1"/>
  <c r="Z7" i="18"/>
  <c r="AA7" i="18" s="1"/>
  <c r="AC7" i="18" s="1"/>
  <c r="X8" i="18" s="1"/>
  <c r="W7" i="18"/>
  <c r="AD7" i="18"/>
  <c r="AO13" i="20" l="1"/>
  <c r="AC7" i="21"/>
  <c r="X8" i="21" s="1"/>
  <c r="AK13" i="20"/>
  <c r="AI13" i="18"/>
  <c r="AG13" i="18"/>
  <c r="AK13" i="18" s="1"/>
  <c r="AK14" i="21"/>
  <c r="AI15" i="21"/>
  <c r="AG15" i="21"/>
  <c r="AO14" i="21"/>
  <c r="AD8" i="21"/>
  <c r="Y8" i="21"/>
  <c r="Z8" i="21"/>
  <c r="AA8" i="21" s="1"/>
  <c r="AB8" i="21" s="1"/>
  <c r="V9" i="21" s="1"/>
  <c r="AD7" i="20"/>
  <c r="Y7" i="20"/>
  <c r="Z7" i="20"/>
  <c r="AA7" i="20" s="1"/>
  <c r="AB7" i="20" s="1"/>
  <c r="V8" i="20" s="1"/>
  <c r="AG13" i="19"/>
  <c r="AI13" i="19"/>
  <c r="AD7" i="19"/>
  <c r="Y7" i="19"/>
  <c r="Z7" i="19"/>
  <c r="AA7" i="19" s="1"/>
  <c r="AB7" i="19" s="1"/>
  <c r="V8" i="19" s="1"/>
  <c r="AG14" i="16"/>
  <c r="AO14" i="16" s="1"/>
  <c r="Y8" i="16"/>
  <c r="AO13" i="16"/>
  <c r="Z8" i="16"/>
  <c r="AA8" i="16" s="1"/>
  <c r="AB8" i="16" s="1"/>
  <c r="V9" i="16" s="1"/>
  <c r="W9" i="16" s="1"/>
  <c r="AK13" i="17"/>
  <c r="AG14" i="17" s="1"/>
  <c r="Y9" i="17"/>
  <c r="AB8" i="17"/>
  <c r="V9" i="17" s="1"/>
  <c r="AB7" i="18"/>
  <c r="V8" i="18" s="1"/>
  <c r="Z8" i="18" s="1"/>
  <c r="AA8" i="18" s="1"/>
  <c r="Y8" i="18"/>
  <c r="AK15" i="21" l="1"/>
  <c r="AI14" i="20"/>
  <c r="AG14" i="20"/>
  <c r="AK14" i="20" s="1"/>
  <c r="AG14" i="18"/>
  <c r="AI14" i="18"/>
  <c r="AO13" i="18"/>
  <c r="AI14" i="17"/>
  <c r="AO14" i="17" s="1"/>
  <c r="AK14" i="16"/>
  <c r="AI15" i="16" s="1"/>
  <c r="W9" i="21"/>
  <c r="AC8" i="21"/>
  <c r="X9" i="21" s="1"/>
  <c r="AI16" i="21"/>
  <c r="AG16" i="21"/>
  <c r="AO15" i="21"/>
  <c r="W8" i="20"/>
  <c r="AC7" i="20"/>
  <c r="X8" i="20" s="1"/>
  <c r="AO13" i="19"/>
  <c r="AK13" i="19"/>
  <c r="W8" i="19"/>
  <c r="AC7" i="19"/>
  <c r="X8" i="19" s="1"/>
  <c r="AD8" i="18"/>
  <c r="W8" i="18"/>
  <c r="AB8" i="18" s="1"/>
  <c r="V9" i="18" s="1"/>
  <c r="W9" i="18" s="1"/>
  <c r="AC8" i="16"/>
  <c r="X9" i="16" s="1"/>
  <c r="Z9" i="16" s="1"/>
  <c r="AA9" i="16" s="1"/>
  <c r="AB9" i="16" s="1"/>
  <c r="V10" i="16" s="1"/>
  <c r="W9" i="17"/>
  <c r="Z9" i="17"/>
  <c r="AA9" i="17" s="1"/>
  <c r="AC9" i="17" s="1"/>
  <c r="X10" i="17" s="1"/>
  <c r="AD9" i="17"/>
  <c r="AC8" i="18"/>
  <c r="X9" i="18" s="1"/>
  <c r="Y9" i="18" s="1"/>
  <c r="AG15" i="16"/>
  <c r="AO14" i="18" l="1"/>
  <c r="AK14" i="18"/>
  <c r="AI15" i="18" s="1"/>
  <c r="AI15" i="20"/>
  <c r="AG15" i="20"/>
  <c r="AO14" i="20"/>
  <c r="AG15" i="18"/>
  <c r="AK14" i="17"/>
  <c r="AG15" i="17" s="1"/>
  <c r="AK16" i="21"/>
  <c r="AG17" i="21" s="1"/>
  <c r="AI17" i="21"/>
  <c r="AO16" i="21"/>
  <c r="AD9" i="21"/>
  <c r="Y9" i="21"/>
  <c r="Z9" i="21"/>
  <c r="AA9" i="21" s="1"/>
  <c r="AB9" i="21" s="1"/>
  <c r="V10" i="21" s="1"/>
  <c r="AD8" i="20"/>
  <c r="Y8" i="20"/>
  <c r="Z8" i="20"/>
  <c r="AA8" i="20" s="1"/>
  <c r="AB8" i="20" s="1"/>
  <c r="V9" i="20" s="1"/>
  <c r="AG14" i="19"/>
  <c r="AI14" i="19"/>
  <c r="AD8" i="19"/>
  <c r="Y8" i="19"/>
  <c r="Z8" i="19"/>
  <c r="AA8" i="19" s="1"/>
  <c r="AB8" i="19" s="1"/>
  <c r="V9" i="19" s="1"/>
  <c r="AD9" i="16"/>
  <c r="Y9" i="16"/>
  <c r="AC9" i="16" s="1"/>
  <c r="X10" i="16" s="1"/>
  <c r="AD9" i="18"/>
  <c r="Z9" i="18"/>
  <c r="AA9" i="18" s="1"/>
  <c r="AC9" i="18" s="1"/>
  <c r="X10" i="18" s="1"/>
  <c r="Y10" i="17"/>
  <c r="AB9" i="17"/>
  <c r="V10" i="17" s="1"/>
  <c r="AK15" i="16"/>
  <c r="AG16" i="16" s="1"/>
  <c r="AI16" i="16"/>
  <c r="AO15" i="16"/>
  <c r="W10" i="16"/>
  <c r="AK15" i="18" l="1"/>
  <c r="AI16" i="18" s="1"/>
  <c r="AI15" i="17"/>
  <c r="AK15" i="17" s="1"/>
  <c r="AK15" i="20"/>
  <c r="AG16" i="20" s="1"/>
  <c r="AO15" i="18"/>
  <c r="AO17" i="21"/>
  <c r="AG16" i="18"/>
  <c r="AO16" i="18" s="1"/>
  <c r="AI16" i="20"/>
  <c r="AO16" i="20" s="1"/>
  <c r="AO15" i="20"/>
  <c r="W10" i="21"/>
  <c r="AC9" i="21"/>
  <c r="X10" i="21" s="1"/>
  <c r="AK17" i="21"/>
  <c r="W9" i="20"/>
  <c r="AC8" i="20"/>
  <c r="X9" i="20" s="1"/>
  <c r="AO14" i="19"/>
  <c r="AK14" i="19"/>
  <c r="AI15" i="19" s="1"/>
  <c r="W9" i="19"/>
  <c r="AC8" i="19"/>
  <c r="X9" i="19" s="1"/>
  <c r="AB9" i="18"/>
  <c r="V10" i="18" s="1"/>
  <c r="AD10" i="18" s="1"/>
  <c r="AK16" i="18"/>
  <c r="AO15" i="17"/>
  <c r="Z10" i="17"/>
  <c r="AA10" i="17" s="1"/>
  <c r="AC10" i="17" s="1"/>
  <c r="X11" i="17" s="1"/>
  <c r="W10" i="17"/>
  <c r="AD10" i="17"/>
  <c r="AK16" i="16"/>
  <c r="AI17" i="16" s="1"/>
  <c r="Y10" i="18"/>
  <c r="AO16" i="16"/>
  <c r="AD10" i="16"/>
  <c r="Y10" i="16"/>
  <c r="Z10" i="16"/>
  <c r="AA10" i="16" s="1"/>
  <c r="AB10" i="16" s="1"/>
  <c r="V11" i="16" s="1"/>
  <c r="AK16" i="20" l="1"/>
  <c r="AD10" i="21"/>
  <c r="Y10" i="21"/>
  <c r="AI18" i="21"/>
  <c r="AG18" i="21"/>
  <c r="Z10" i="21"/>
  <c r="AA10" i="21" s="1"/>
  <c r="AB10" i="21" s="1"/>
  <c r="V11" i="21" s="1"/>
  <c r="AD9" i="20"/>
  <c r="Y9" i="20"/>
  <c r="Z9" i="20"/>
  <c r="AA9" i="20" s="1"/>
  <c r="AB9" i="20" s="1"/>
  <c r="V10" i="20" s="1"/>
  <c r="AG15" i="19"/>
  <c r="AO15" i="19" s="1"/>
  <c r="AD9" i="19"/>
  <c r="Y9" i="19"/>
  <c r="Z9" i="19"/>
  <c r="AA9" i="19" s="1"/>
  <c r="AB9" i="19" s="1"/>
  <c r="V10" i="19" s="1"/>
  <c r="AG17" i="18"/>
  <c r="AI17" i="18"/>
  <c r="Z10" i="18"/>
  <c r="AA10" i="18" s="1"/>
  <c r="AC10" i="18" s="1"/>
  <c r="X11" i="18" s="1"/>
  <c r="W10" i="18"/>
  <c r="AG17" i="16"/>
  <c r="AO17" i="16" s="1"/>
  <c r="AB10" i="17"/>
  <c r="V11" i="17" s="1"/>
  <c r="AD11" i="17" s="1"/>
  <c r="Y11" i="17"/>
  <c r="AG16" i="17"/>
  <c r="AI16" i="17"/>
  <c r="W11" i="16"/>
  <c r="AC10" i="16"/>
  <c r="X11" i="16" s="1"/>
  <c r="AK18" i="21" l="1"/>
  <c r="AI17" i="20"/>
  <c r="AG17" i="20"/>
  <c r="AK17" i="20" s="1"/>
  <c r="AK15" i="19"/>
  <c r="AI16" i="19" s="1"/>
  <c r="W11" i="21"/>
  <c r="AI19" i="21"/>
  <c r="AG19" i="21"/>
  <c r="AO18" i="21"/>
  <c r="AC10" i="21"/>
  <c r="X11" i="21" s="1"/>
  <c r="AO17" i="18"/>
  <c r="W10" i="20"/>
  <c r="AC9" i="20"/>
  <c r="X10" i="20" s="1"/>
  <c r="W11" i="17"/>
  <c r="W10" i="19"/>
  <c r="AC9" i="19"/>
  <c r="X10" i="19" s="1"/>
  <c r="AK17" i="18"/>
  <c r="AI18" i="18" s="1"/>
  <c r="Z11" i="17"/>
  <c r="AA11" i="17" s="1"/>
  <c r="AK17" i="16"/>
  <c r="AG18" i="16" s="1"/>
  <c r="AB10" i="18"/>
  <c r="V11" i="18" s="1"/>
  <c r="W11" i="18" s="1"/>
  <c r="AO16" i="17"/>
  <c r="AK16" i="17"/>
  <c r="AI17" i="17" s="1"/>
  <c r="Y11" i="18"/>
  <c r="AD11" i="16"/>
  <c r="Y11" i="16"/>
  <c r="Z11" i="16"/>
  <c r="AA11" i="16" s="1"/>
  <c r="AB11" i="16" s="1"/>
  <c r="V12" i="16" s="1"/>
  <c r="AI18" i="16" l="1"/>
  <c r="AG18" i="20"/>
  <c r="AI18" i="20"/>
  <c r="AO17" i="20"/>
  <c r="AK19" i="21"/>
  <c r="AI20" i="21" s="1"/>
  <c r="AG16" i="19"/>
  <c r="AO16" i="19"/>
  <c r="AK16" i="19"/>
  <c r="AG17" i="19" s="1"/>
  <c r="AG18" i="18"/>
  <c r="AK18" i="18" s="1"/>
  <c r="AD11" i="21"/>
  <c r="Y11" i="21"/>
  <c r="AO19" i="21"/>
  <c r="Z11" i="21"/>
  <c r="AA11" i="21" s="1"/>
  <c r="AB11" i="21" s="1"/>
  <c r="V12" i="21" s="1"/>
  <c r="AB11" i="17"/>
  <c r="V12" i="17" s="1"/>
  <c r="W12" i="17" s="1"/>
  <c r="AD10" i="20"/>
  <c r="Y10" i="20"/>
  <c r="Z10" i="20"/>
  <c r="AA10" i="20" s="1"/>
  <c r="AB10" i="20" s="1"/>
  <c r="V11" i="20" s="1"/>
  <c r="AI17" i="19"/>
  <c r="AD10" i="19"/>
  <c r="Y10" i="19"/>
  <c r="Z10" i="19"/>
  <c r="AA10" i="19" s="1"/>
  <c r="AB10" i="19" s="1"/>
  <c r="V11" i="19" s="1"/>
  <c r="AC11" i="17"/>
  <c r="X12" i="17" s="1"/>
  <c r="AO18" i="16"/>
  <c r="AG17" i="17"/>
  <c r="AK17" i="17" s="1"/>
  <c r="AG18" i="17" s="1"/>
  <c r="AK18" i="16"/>
  <c r="AI19" i="16" s="1"/>
  <c r="Z11" i="18"/>
  <c r="AA11" i="18" s="1"/>
  <c r="AB11" i="18" s="1"/>
  <c r="V12" i="18" s="1"/>
  <c r="W12" i="18" s="1"/>
  <c r="AD11" i="18"/>
  <c r="W12" i="16"/>
  <c r="AC11" i="16"/>
  <c r="X12" i="16" s="1"/>
  <c r="AO18" i="18" l="1"/>
  <c r="AG20" i="21"/>
  <c r="AO20" i="21" s="1"/>
  <c r="AK18" i="20"/>
  <c r="AO18" i="20"/>
  <c r="AO17" i="19"/>
  <c r="AG19" i="18"/>
  <c r="AI19" i="18"/>
  <c r="AD12" i="17"/>
  <c r="AK20" i="21"/>
  <c r="AI21" i="21" s="1"/>
  <c r="W12" i="21"/>
  <c r="AC11" i="21"/>
  <c r="X12" i="21" s="1"/>
  <c r="AG21" i="21"/>
  <c r="W11" i="20"/>
  <c r="AC10" i="20"/>
  <c r="X11" i="20" s="1"/>
  <c r="AK17" i="19"/>
  <c r="AI18" i="19" s="1"/>
  <c r="AI18" i="17"/>
  <c r="AK18" i="17" s="1"/>
  <c r="Z12" i="17"/>
  <c r="AA12" i="17" s="1"/>
  <c r="AB12" i="17" s="1"/>
  <c r="V13" i="17" s="1"/>
  <c r="W13" i="17" s="1"/>
  <c r="Y12" i="17"/>
  <c r="W11" i="19"/>
  <c r="AC10" i="19"/>
  <c r="X11" i="19" s="1"/>
  <c r="AG19" i="16"/>
  <c r="AO19" i="16" s="1"/>
  <c r="AO17" i="17"/>
  <c r="AC11" i="18"/>
  <c r="X12" i="18" s="1"/>
  <c r="AD12" i="18" s="1"/>
  <c r="AD12" i="16"/>
  <c r="Y12" i="16"/>
  <c r="Z12" i="16"/>
  <c r="AA12" i="16" s="1"/>
  <c r="AB12" i="16" s="1"/>
  <c r="V13" i="16" s="1"/>
  <c r="AK19" i="18" l="1"/>
  <c r="AI20" i="18" s="1"/>
  <c r="AI19" i="20"/>
  <c r="AG19" i="20"/>
  <c r="AG18" i="19"/>
  <c r="AO19" i="18"/>
  <c r="AO21" i="21"/>
  <c r="AC12" i="17"/>
  <c r="X13" i="17" s="1"/>
  <c r="Y13" i="17" s="1"/>
  <c r="AK19" i="16"/>
  <c r="AI20" i="16" s="1"/>
  <c r="AK21" i="21"/>
  <c r="AD12" i="21"/>
  <c r="Y12" i="21"/>
  <c r="Z12" i="21"/>
  <c r="AA12" i="21" s="1"/>
  <c r="AB12" i="21" s="1"/>
  <c r="V13" i="21" s="1"/>
  <c r="AO18" i="17"/>
  <c r="AD11" i="20"/>
  <c r="Y11" i="20"/>
  <c r="Z11" i="20"/>
  <c r="AA11" i="20" s="1"/>
  <c r="AB11" i="20" s="1"/>
  <c r="V12" i="20" s="1"/>
  <c r="AK18" i="19"/>
  <c r="AI19" i="19" s="1"/>
  <c r="AO18" i="19"/>
  <c r="Y12" i="18"/>
  <c r="AD11" i="19"/>
  <c r="Y11" i="19"/>
  <c r="Z11" i="19"/>
  <c r="AA11" i="19" s="1"/>
  <c r="AB11" i="19" s="1"/>
  <c r="V12" i="19" s="1"/>
  <c r="Z12" i="18"/>
  <c r="AA12" i="18" s="1"/>
  <c r="AI19" i="17"/>
  <c r="AG19" i="17"/>
  <c r="W13" i="16"/>
  <c r="AC12" i="16"/>
  <c r="X13" i="16" s="1"/>
  <c r="AG20" i="18" l="1"/>
  <c r="AK20" i="18" s="1"/>
  <c r="AO20" i="18"/>
  <c r="AO19" i="20"/>
  <c r="AK19" i="20"/>
  <c r="Z13" i="17"/>
  <c r="AA13" i="17" s="1"/>
  <c r="AB13" i="17" s="1"/>
  <c r="V14" i="17" s="1"/>
  <c r="W14" i="17" s="1"/>
  <c r="AD13" i="17"/>
  <c r="AG20" i="16"/>
  <c r="AO20" i="16" s="1"/>
  <c r="W13" i="21"/>
  <c r="AC12" i="21"/>
  <c r="X13" i="21" s="1"/>
  <c r="AI22" i="21"/>
  <c r="AG22" i="21"/>
  <c r="AG19" i="19"/>
  <c r="AO19" i="19" s="1"/>
  <c r="W12" i="20"/>
  <c r="AC11" i="20"/>
  <c r="X12" i="20" s="1"/>
  <c r="W12" i="19"/>
  <c r="AC11" i="19"/>
  <c r="X12" i="19" s="1"/>
  <c r="AB12" i="18"/>
  <c r="V13" i="18" s="1"/>
  <c r="W13" i="18" s="1"/>
  <c r="AC12" i="18"/>
  <c r="X13" i="18" s="1"/>
  <c r="AK19" i="17"/>
  <c r="AI20" i="17" s="1"/>
  <c r="AO19" i="17"/>
  <c r="AG21" i="18"/>
  <c r="AI21" i="18"/>
  <c r="AD13" i="16"/>
  <c r="Y13" i="16"/>
  <c r="Z13" i="16"/>
  <c r="AA13" i="16" s="1"/>
  <c r="AB13" i="16" s="1"/>
  <c r="V14" i="16" s="1"/>
  <c r="AK20" i="16" l="1"/>
  <c r="AG21" i="16" s="1"/>
  <c r="AI20" i="20"/>
  <c r="AG20" i="20"/>
  <c r="AC13" i="17"/>
  <c r="X14" i="17" s="1"/>
  <c r="AK22" i="21"/>
  <c r="AK19" i="19"/>
  <c r="AG23" i="21"/>
  <c r="AI23" i="21"/>
  <c r="AO22" i="21"/>
  <c r="AD13" i="21"/>
  <c r="Y13" i="21"/>
  <c r="Z13" i="21"/>
  <c r="AA13" i="21" s="1"/>
  <c r="AB13" i="21" s="1"/>
  <c r="V14" i="21" s="1"/>
  <c r="AI21" i="16"/>
  <c r="AO21" i="16" s="1"/>
  <c r="AD12" i="20"/>
  <c r="Y12" i="20"/>
  <c r="Z12" i="20"/>
  <c r="AA12" i="20" s="1"/>
  <c r="AB12" i="20" s="1"/>
  <c r="V13" i="20" s="1"/>
  <c r="AD12" i="19"/>
  <c r="Y12" i="19"/>
  <c r="Z12" i="19"/>
  <c r="AA12" i="19" s="1"/>
  <c r="AB12" i="19" s="1"/>
  <c r="V13" i="19" s="1"/>
  <c r="Z13" i="18"/>
  <c r="AA13" i="18" s="1"/>
  <c r="AB13" i="18" s="1"/>
  <c r="V14" i="18" s="1"/>
  <c r="W14" i="18" s="1"/>
  <c r="Y13" i="18"/>
  <c r="AD13" i="18"/>
  <c r="AO21" i="18"/>
  <c r="AG20" i="17"/>
  <c r="AK20" i="17" s="1"/>
  <c r="AG21" i="17" s="1"/>
  <c r="AK21" i="18"/>
  <c r="W14" i="16"/>
  <c r="AC13" i="16"/>
  <c r="X14" i="16" s="1"/>
  <c r="AO23" i="21" l="1"/>
  <c r="AK20" i="20"/>
  <c r="AI21" i="20"/>
  <c r="AG21" i="20"/>
  <c r="AO20" i="20"/>
  <c r="AD14" i="17"/>
  <c r="Z14" i="17"/>
  <c r="AA14" i="17" s="1"/>
  <c r="AB14" i="17" s="1"/>
  <c r="V15" i="17" s="1"/>
  <c r="W15" i="17" s="1"/>
  <c r="Y14" i="17"/>
  <c r="AC13" i="18"/>
  <c r="X14" i="18" s="1"/>
  <c r="Z14" i="18" s="1"/>
  <c r="AA14" i="18" s="1"/>
  <c r="AB14" i="18" s="1"/>
  <c r="V15" i="18" s="1"/>
  <c r="AI20" i="19"/>
  <c r="AG20" i="19"/>
  <c r="AK21" i="16"/>
  <c r="AI22" i="16" s="1"/>
  <c r="W14" i="21"/>
  <c r="AK23" i="21"/>
  <c r="AC13" i="21"/>
  <c r="X14" i="21" s="1"/>
  <c r="W13" i="20"/>
  <c r="AC12" i="20"/>
  <c r="X13" i="20" s="1"/>
  <c r="W13" i="19"/>
  <c r="AC12" i="19"/>
  <c r="X13" i="19" s="1"/>
  <c r="AG22" i="16"/>
  <c r="AO20" i="17"/>
  <c r="AI21" i="17"/>
  <c r="AK21" i="17" s="1"/>
  <c r="AG22" i="17" s="1"/>
  <c r="AG22" i="18"/>
  <c r="AI22" i="18"/>
  <c r="AD14" i="16"/>
  <c r="Y14" i="16"/>
  <c r="Z14" i="16"/>
  <c r="AA14" i="16" s="1"/>
  <c r="AB14" i="16" s="1"/>
  <c r="V15" i="16" s="1"/>
  <c r="AD14" i="18" l="1"/>
  <c r="Y14" i="18"/>
  <c r="AO21" i="20"/>
  <c r="AK21" i="20"/>
  <c r="AC14" i="17"/>
  <c r="X15" i="17" s="1"/>
  <c r="AK20" i="19"/>
  <c r="AI21" i="19" s="1"/>
  <c r="AO20" i="19"/>
  <c r="AD14" i="21"/>
  <c r="Y14" i="21"/>
  <c r="AI24" i="21"/>
  <c r="AG24" i="21"/>
  <c r="Z14" i="21"/>
  <c r="AA14" i="21" s="1"/>
  <c r="AB14" i="21" s="1"/>
  <c r="V15" i="21" s="1"/>
  <c r="AD13" i="20"/>
  <c r="Y13" i="20"/>
  <c r="Z13" i="20"/>
  <c r="AA13" i="20" s="1"/>
  <c r="AB13" i="20" s="1"/>
  <c r="V14" i="20" s="1"/>
  <c r="AD13" i="19"/>
  <c r="Y13" i="19"/>
  <c r="Z13" i="19"/>
  <c r="AA13" i="19" s="1"/>
  <c r="AB13" i="19" s="1"/>
  <c r="V14" i="19" s="1"/>
  <c r="AK22" i="16"/>
  <c r="AI23" i="16" s="1"/>
  <c r="AG23" i="16"/>
  <c r="AO22" i="16"/>
  <c r="AC14" i="18"/>
  <c r="X15" i="18" s="1"/>
  <c r="AD15" i="18" s="1"/>
  <c r="W15" i="18"/>
  <c r="AO21" i="17"/>
  <c r="AO22" i="18"/>
  <c r="AI22" i="17"/>
  <c r="AO22" i="17" s="1"/>
  <c r="AK22" i="18"/>
  <c r="W15" i="16"/>
  <c r="AC14" i="16"/>
  <c r="X15" i="16" s="1"/>
  <c r="AG22" i="20" l="1"/>
  <c r="AI22" i="20"/>
  <c r="AD15" i="17"/>
  <c r="Y15" i="17"/>
  <c r="Z15" i="17"/>
  <c r="AA15" i="17" s="1"/>
  <c r="AB15" i="17" s="1"/>
  <c r="V16" i="17" s="1"/>
  <c r="W16" i="17" s="1"/>
  <c r="AK24" i="21"/>
  <c r="AI25" i="21" s="1"/>
  <c r="AG21" i="19"/>
  <c r="AK21" i="19" s="1"/>
  <c r="AI22" i="19" s="1"/>
  <c r="W15" i="21"/>
  <c r="AO24" i="21"/>
  <c r="AG25" i="21"/>
  <c r="AC14" i="21"/>
  <c r="X15" i="21" s="1"/>
  <c r="W14" i="20"/>
  <c r="AC13" i="20"/>
  <c r="X14" i="20" s="1"/>
  <c r="W14" i="19"/>
  <c r="AC13" i="19"/>
  <c r="X14" i="19" s="1"/>
  <c r="Z15" i="18"/>
  <c r="AA15" i="18" s="1"/>
  <c r="AB15" i="18" s="1"/>
  <c r="V16" i="18" s="1"/>
  <c r="W16" i="18" s="1"/>
  <c r="Y15" i="18"/>
  <c r="AK23" i="16"/>
  <c r="AO23" i="16"/>
  <c r="AK22" i="17"/>
  <c r="AG23" i="17" s="1"/>
  <c r="AG23" i="18"/>
  <c r="AI23" i="18"/>
  <c r="AD15" i="16"/>
  <c r="Y15" i="16"/>
  <c r="Z15" i="16"/>
  <c r="AA15" i="16" s="1"/>
  <c r="AB15" i="16" s="1"/>
  <c r="V16" i="16" s="1"/>
  <c r="AK22" i="20" l="1"/>
  <c r="AO22" i="20"/>
  <c r="AO21" i="19"/>
  <c r="AG22" i="19"/>
  <c r="AC15" i="17"/>
  <c r="X16" i="17" s="1"/>
  <c r="AK22" i="19"/>
  <c r="AG23" i="19" s="1"/>
  <c r="AI23" i="17"/>
  <c r="AK23" i="17" s="1"/>
  <c r="AG24" i="17" s="1"/>
  <c r="AI23" i="19"/>
  <c r="AK23" i="19" s="1"/>
  <c r="AI24" i="19" s="1"/>
  <c r="AK25" i="21"/>
  <c r="AI26" i="21" s="1"/>
  <c r="AO22" i="19"/>
  <c r="AD15" i="21"/>
  <c r="Y15" i="21"/>
  <c r="AO25" i="21"/>
  <c r="Z15" i="21"/>
  <c r="AA15" i="21" s="1"/>
  <c r="AB15" i="21" s="1"/>
  <c r="V16" i="21" s="1"/>
  <c r="AD14" i="20"/>
  <c r="Y14" i="20"/>
  <c r="Z14" i="20"/>
  <c r="AA14" i="20" s="1"/>
  <c r="AB14" i="20" s="1"/>
  <c r="V15" i="20" s="1"/>
  <c r="AD14" i="19"/>
  <c r="Y14" i="19"/>
  <c r="Z14" i="19"/>
  <c r="AA14" i="19" s="1"/>
  <c r="AB14" i="19" s="1"/>
  <c r="V15" i="19" s="1"/>
  <c r="AI24" i="16"/>
  <c r="AG24" i="16"/>
  <c r="AC15" i="18"/>
  <c r="X16" i="18" s="1"/>
  <c r="Z16" i="18" s="1"/>
  <c r="AA16" i="18" s="1"/>
  <c r="AB16" i="18" s="1"/>
  <c r="V17" i="18" s="1"/>
  <c r="AO23" i="18"/>
  <c r="AK23" i="18"/>
  <c r="W16" i="16"/>
  <c r="AC15" i="16"/>
  <c r="X16" i="16" s="1"/>
  <c r="AG26" i="21" l="1"/>
  <c r="AG23" i="20"/>
  <c r="AI23" i="20"/>
  <c r="AO23" i="19"/>
  <c r="AD16" i="17"/>
  <c r="Z16" i="17"/>
  <c r="AA16" i="17" s="1"/>
  <c r="AB16" i="17" s="1"/>
  <c r="V17" i="17" s="1"/>
  <c r="W17" i="17" s="1"/>
  <c r="Y16" i="17"/>
  <c r="AO23" i="17"/>
  <c r="Y16" i="18"/>
  <c r="AC16" i="18" s="1"/>
  <c r="X17" i="18" s="1"/>
  <c r="AK24" i="16"/>
  <c r="AI25" i="16" s="1"/>
  <c r="AK26" i="21"/>
  <c r="AG27" i="21" s="1"/>
  <c r="W16" i="21"/>
  <c r="AC15" i="21"/>
  <c r="X16" i="21" s="1"/>
  <c r="AO26" i="21"/>
  <c r="W15" i="20"/>
  <c r="AC14" i="20"/>
  <c r="X15" i="20" s="1"/>
  <c r="AG24" i="19"/>
  <c r="AO24" i="19" s="1"/>
  <c r="AD16" i="18"/>
  <c r="W15" i="19"/>
  <c r="AC14" i="19"/>
  <c r="X15" i="19" s="1"/>
  <c r="AG25" i="16"/>
  <c r="AO24" i="16"/>
  <c r="AI24" i="17"/>
  <c r="AK24" i="17" s="1"/>
  <c r="AI25" i="17" s="1"/>
  <c r="W17" i="18"/>
  <c r="AG24" i="18"/>
  <c r="AI24" i="18"/>
  <c r="AD16" i="16"/>
  <c r="Y16" i="16"/>
  <c r="Z16" i="16"/>
  <c r="AA16" i="16" s="1"/>
  <c r="AB16" i="16" s="1"/>
  <c r="V17" i="16" s="1"/>
  <c r="AO23" i="20" l="1"/>
  <c r="AC16" i="17"/>
  <c r="X17" i="17" s="1"/>
  <c r="Y17" i="17" s="1"/>
  <c r="AI27" i="21"/>
  <c r="AK23" i="20"/>
  <c r="Z17" i="17"/>
  <c r="AA17" i="17" s="1"/>
  <c r="AB17" i="17" s="1"/>
  <c r="V18" i="17" s="1"/>
  <c r="W18" i="17" s="1"/>
  <c r="AD17" i="17"/>
  <c r="AK27" i="21"/>
  <c r="AK24" i="19"/>
  <c r="AG25" i="19" s="1"/>
  <c r="AI28" i="21"/>
  <c r="AG28" i="21"/>
  <c r="AO27" i="21"/>
  <c r="AD16" i="21"/>
  <c r="Y16" i="21"/>
  <c r="Z16" i="21"/>
  <c r="AA16" i="21" s="1"/>
  <c r="AB16" i="21" s="1"/>
  <c r="V17" i="21" s="1"/>
  <c r="AD15" i="20"/>
  <c r="Y15" i="20"/>
  <c r="Z15" i="20"/>
  <c r="AA15" i="20" s="1"/>
  <c r="AB15" i="20" s="1"/>
  <c r="V16" i="20" s="1"/>
  <c r="AO24" i="17"/>
  <c r="AD15" i="19"/>
  <c r="Y15" i="19"/>
  <c r="Z15" i="19"/>
  <c r="AA15" i="19" s="1"/>
  <c r="AB15" i="19" s="1"/>
  <c r="V16" i="19" s="1"/>
  <c r="AO25" i="16"/>
  <c r="AK25" i="16"/>
  <c r="AO24" i="18"/>
  <c r="AD17" i="18"/>
  <c r="Y17" i="18"/>
  <c r="Z17" i="18"/>
  <c r="AA17" i="18" s="1"/>
  <c r="AB17" i="18" s="1"/>
  <c r="V18" i="18" s="1"/>
  <c r="AG25" i="17"/>
  <c r="AK25" i="17" s="1"/>
  <c r="AK24" i="18"/>
  <c r="W17" i="16"/>
  <c r="AC16" i="16"/>
  <c r="X17" i="16" s="1"/>
  <c r="AC17" i="17" l="1"/>
  <c r="X18" i="17" s="1"/>
  <c r="AD18" i="17" s="1"/>
  <c r="AI24" i="20"/>
  <c r="AG24" i="20"/>
  <c r="AK28" i="21"/>
  <c r="AI25" i="19"/>
  <c r="AK25" i="19" s="1"/>
  <c r="W17" i="21"/>
  <c r="AC16" i="21"/>
  <c r="X17" i="21" s="1"/>
  <c r="AG29" i="21"/>
  <c r="AI29" i="21"/>
  <c r="AO28" i="21"/>
  <c r="W16" i="20"/>
  <c r="AC15" i="20"/>
  <c r="X16" i="20" s="1"/>
  <c r="Y18" i="17"/>
  <c r="W16" i="19"/>
  <c r="AC15" i="19"/>
  <c r="X16" i="19" s="1"/>
  <c r="AI26" i="16"/>
  <c r="AG26" i="16"/>
  <c r="W18" i="18"/>
  <c r="AC17" i="18"/>
  <c r="X18" i="18" s="1"/>
  <c r="Z18" i="18" s="1"/>
  <c r="AA18" i="18" s="1"/>
  <c r="AB18" i="18" s="1"/>
  <c r="V19" i="18" s="1"/>
  <c r="AO25" i="17"/>
  <c r="AG26" i="17"/>
  <c r="AI26" i="17"/>
  <c r="AG25" i="18"/>
  <c r="AI25" i="18"/>
  <c r="AD17" i="16"/>
  <c r="Y17" i="16"/>
  <c r="Z17" i="16"/>
  <c r="AA17" i="16" s="1"/>
  <c r="AB17" i="16" s="1"/>
  <c r="V18" i="16" s="1"/>
  <c r="AO25" i="19" l="1"/>
  <c r="Z18" i="17"/>
  <c r="AA18" i="17" s="1"/>
  <c r="AB18" i="17" s="1"/>
  <c r="V19" i="17" s="1"/>
  <c r="W19" i="17" s="1"/>
  <c r="AO24" i="20"/>
  <c r="AK24" i="20"/>
  <c r="AO29" i="21"/>
  <c r="AK29" i="21"/>
  <c r="AD17" i="21"/>
  <c r="Y17" i="21"/>
  <c r="Z17" i="21"/>
  <c r="AA17" i="21" s="1"/>
  <c r="AB17" i="21" s="1"/>
  <c r="V18" i="21" s="1"/>
  <c r="AK26" i="16"/>
  <c r="AG27" i="16" s="1"/>
  <c r="AD16" i="20"/>
  <c r="Y16" i="20"/>
  <c r="Z16" i="20"/>
  <c r="AA16" i="20" s="1"/>
  <c r="AB16" i="20" s="1"/>
  <c r="V17" i="20" s="1"/>
  <c r="AG26" i="19"/>
  <c r="AI26" i="19"/>
  <c r="AD16" i="19"/>
  <c r="Y16" i="19"/>
  <c r="Z16" i="19"/>
  <c r="AA16" i="19" s="1"/>
  <c r="AB16" i="19" s="1"/>
  <c r="V17" i="19" s="1"/>
  <c r="AO26" i="16"/>
  <c r="W19" i="18"/>
  <c r="AD18" i="18"/>
  <c r="Y18" i="18"/>
  <c r="AC18" i="18" s="1"/>
  <c r="X19" i="18" s="1"/>
  <c r="Z19" i="18" s="1"/>
  <c r="AA19" i="18" s="1"/>
  <c r="AB19" i="18" s="1"/>
  <c r="V20" i="18" s="1"/>
  <c r="W20" i="18" s="1"/>
  <c r="AO26" i="17"/>
  <c r="AK26" i="17"/>
  <c r="AG27" i="17" s="1"/>
  <c r="AO25" i="18"/>
  <c r="AK25" i="18"/>
  <c r="W18" i="16"/>
  <c r="AC17" i="16"/>
  <c r="X18" i="16" s="1"/>
  <c r="AC18" i="17" l="1"/>
  <c r="X19" i="17" s="1"/>
  <c r="AD19" i="17" s="1"/>
  <c r="AI25" i="20"/>
  <c r="AG25" i="20"/>
  <c r="Z19" i="17"/>
  <c r="AA19" i="17" s="1"/>
  <c r="AB19" i="17" s="1"/>
  <c r="V20" i="17" s="1"/>
  <c r="Y19" i="17"/>
  <c r="AI27" i="16"/>
  <c r="AO27" i="16" s="1"/>
  <c r="AO26" i="19"/>
  <c r="W18" i="21"/>
  <c r="AC17" i="21"/>
  <c r="X18" i="21" s="1"/>
  <c r="AG30" i="21"/>
  <c r="AI30" i="21"/>
  <c r="W17" i="20"/>
  <c r="AC16" i="20"/>
  <c r="X17" i="20" s="1"/>
  <c r="AK26" i="19"/>
  <c r="W17" i="19"/>
  <c r="AC16" i="19"/>
  <c r="X17" i="19" s="1"/>
  <c r="AI27" i="17"/>
  <c r="AK27" i="17" s="1"/>
  <c r="AI28" i="17" s="1"/>
  <c r="AD19" i="18"/>
  <c r="Y19" i="18"/>
  <c r="AC19" i="18" s="1"/>
  <c r="X20" i="18" s="1"/>
  <c r="Z20" i="18" s="1"/>
  <c r="AA20" i="18" s="1"/>
  <c r="AB20" i="18" s="1"/>
  <c r="V21" i="18" s="1"/>
  <c r="AG26" i="18"/>
  <c r="AI26" i="18"/>
  <c r="W20" i="17"/>
  <c r="AC19" i="17"/>
  <c r="X20" i="17" s="1"/>
  <c r="AD18" i="16"/>
  <c r="Y18" i="16"/>
  <c r="Z18" i="16"/>
  <c r="AA18" i="16" s="1"/>
  <c r="AB18" i="16" s="1"/>
  <c r="V19" i="16" s="1"/>
  <c r="AK25" i="20" l="1"/>
  <c r="AI26" i="20" s="1"/>
  <c r="AG26" i="20"/>
  <c r="AO25" i="20"/>
  <c r="AK27" i="16"/>
  <c r="AO30" i="21"/>
  <c r="AK30" i="21"/>
  <c r="AD18" i="21"/>
  <c r="Y18" i="21"/>
  <c r="Z18" i="21"/>
  <c r="AA18" i="21" s="1"/>
  <c r="AB18" i="21" s="1"/>
  <c r="V19" i="21" s="1"/>
  <c r="AD17" i="20"/>
  <c r="Y17" i="20"/>
  <c r="Z17" i="20"/>
  <c r="AA17" i="20" s="1"/>
  <c r="AB17" i="20" s="1"/>
  <c r="V18" i="20" s="1"/>
  <c r="AG27" i="19"/>
  <c r="AI27" i="19"/>
  <c r="AD17" i="19"/>
  <c r="Y17" i="19"/>
  <c r="Z17" i="19"/>
  <c r="AA17" i="19" s="1"/>
  <c r="AB17" i="19" s="1"/>
  <c r="V18" i="19" s="1"/>
  <c r="AI28" i="16"/>
  <c r="AG28" i="16"/>
  <c r="Y20" i="18"/>
  <c r="AC20" i="18" s="1"/>
  <c r="X21" i="18" s="1"/>
  <c r="AG28" i="17"/>
  <c r="AK28" i="17" s="1"/>
  <c r="AG29" i="17" s="1"/>
  <c r="AO27" i="17"/>
  <c r="AD20" i="18"/>
  <c r="AO26" i="18"/>
  <c r="AK26" i="18"/>
  <c r="W21" i="18"/>
  <c r="AD20" i="17"/>
  <c r="Y20" i="17"/>
  <c r="Z20" i="17"/>
  <c r="AA20" i="17" s="1"/>
  <c r="AB20" i="17" s="1"/>
  <c r="V21" i="17" s="1"/>
  <c r="W19" i="16"/>
  <c r="AC18" i="16"/>
  <c r="X19" i="16" s="1"/>
  <c r="AO26" i="20" l="1"/>
  <c r="AI29" i="17"/>
  <c r="AK26" i="20"/>
  <c r="AO27" i="19"/>
  <c r="W19" i="21"/>
  <c r="AC18" i="21"/>
  <c r="X19" i="21" s="1"/>
  <c r="AI31" i="21"/>
  <c r="AG31" i="21"/>
  <c r="W18" i="20"/>
  <c r="AC17" i="20"/>
  <c r="X18" i="20" s="1"/>
  <c r="AK27" i="19"/>
  <c r="AI28" i="19" s="1"/>
  <c r="AO28" i="17"/>
  <c r="AK28" i="16"/>
  <c r="W18" i="19"/>
  <c r="AC17" i="19"/>
  <c r="X18" i="19" s="1"/>
  <c r="AO28" i="16"/>
  <c r="AK29" i="17"/>
  <c r="AI30" i="17" s="1"/>
  <c r="AG30" i="17"/>
  <c r="AO29" i="17"/>
  <c r="AG27" i="18"/>
  <c r="AI27" i="18"/>
  <c r="AD21" i="18"/>
  <c r="Y21" i="18"/>
  <c r="Z21" i="18"/>
  <c r="AA21" i="18" s="1"/>
  <c r="AB21" i="18" s="1"/>
  <c r="V22" i="18" s="1"/>
  <c r="W21" i="17"/>
  <c r="AC20" i="17"/>
  <c r="X21" i="17" s="1"/>
  <c r="AD19" i="16"/>
  <c r="Y19" i="16"/>
  <c r="Z19" i="16"/>
  <c r="AA19" i="16" s="1"/>
  <c r="AB19" i="16" s="1"/>
  <c r="V20" i="16" s="1"/>
  <c r="AG27" i="20" l="1"/>
  <c r="AI27" i="20"/>
  <c r="AO27" i="20" s="1"/>
  <c r="AK31" i="21"/>
  <c r="AG32" i="21" s="1"/>
  <c r="AI32" i="21"/>
  <c r="AO31" i="21"/>
  <c r="AD19" i="21"/>
  <c r="Y19" i="21"/>
  <c r="Z19" i="21"/>
  <c r="AA19" i="21" s="1"/>
  <c r="AB19" i="21" s="1"/>
  <c r="V20" i="21" s="1"/>
  <c r="AD18" i="20"/>
  <c r="Y18" i="20"/>
  <c r="Z18" i="20"/>
  <c r="AA18" i="20" s="1"/>
  <c r="AB18" i="20" s="1"/>
  <c r="V19" i="20" s="1"/>
  <c r="AG28" i="19"/>
  <c r="AO28" i="19" s="1"/>
  <c r="AI29" i="16"/>
  <c r="AG29" i="16"/>
  <c r="AD18" i="19"/>
  <c r="Y18" i="19"/>
  <c r="Z18" i="19"/>
  <c r="AA18" i="19" s="1"/>
  <c r="AB18" i="19" s="1"/>
  <c r="V19" i="19" s="1"/>
  <c r="AK30" i="17"/>
  <c r="AO30" i="17"/>
  <c r="AK27" i="18"/>
  <c r="AO27" i="18"/>
  <c r="W22" i="18"/>
  <c r="AC21" i="18"/>
  <c r="X22" i="18" s="1"/>
  <c r="AD21" i="17"/>
  <c r="Y21" i="17"/>
  <c r="Z21" i="17"/>
  <c r="AA21" i="17" s="1"/>
  <c r="AB21" i="17" s="1"/>
  <c r="V22" i="17" s="1"/>
  <c r="W20" i="16"/>
  <c r="AC19" i="16"/>
  <c r="X20" i="16" s="1"/>
  <c r="AK27" i="20" l="1"/>
  <c r="AK28" i="19"/>
  <c r="AI29" i="19" s="1"/>
  <c r="AK32" i="21"/>
  <c r="W20" i="21"/>
  <c r="AC19" i="21"/>
  <c r="X20" i="21" s="1"/>
  <c r="AI33" i="21"/>
  <c r="AG33" i="21"/>
  <c r="AO32" i="21"/>
  <c r="AC18" i="20"/>
  <c r="X19" i="20" s="1"/>
  <c r="Z19" i="20" s="1"/>
  <c r="AA19" i="20" s="1"/>
  <c r="W19" i="20"/>
  <c r="AG29" i="19"/>
  <c r="AO29" i="19" s="1"/>
  <c r="AO29" i="16"/>
  <c r="AK29" i="16"/>
  <c r="W19" i="19"/>
  <c r="AC18" i="19"/>
  <c r="X19" i="19" s="1"/>
  <c r="AI31" i="17"/>
  <c r="AG31" i="17"/>
  <c r="AG28" i="18"/>
  <c r="AI28" i="18"/>
  <c r="AD22" i="18"/>
  <c r="Y22" i="18"/>
  <c r="Z22" i="18"/>
  <c r="AA22" i="18" s="1"/>
  <c r="AB22" i="18" s="1"/>
  <c r="V23" i="18" s="1"/>
  <c r="W22" i="17"/>
  <c r="AC21" i="17"/>
  <c r="X22" i="17" s="1"/>
  <c r="AD20" i="16"/>
  <c r="Y20" i="16"/>
  <c r="Z20" i="16"/>
  <c r="AA20" i="16" s="1"/>
  <c r="AB20" i="16" s="1"/>
  <c r="V21" i="16" s="1"/>
  <c r="AK33" i="21" l="1"/>
  <c r="AI28" i="20"/>
  <c r="AG28" i="20"/>
  <c r="Y19" i="20"/>
  <c r="AC19" i="20" s="1"/>
  <c r="X20" i="20" s="1"/>
  <c r="Y20" i="20" s="1"/>
  <c r="AD19" i="20"/>
  <c r="AI34" i="21"/>
  <c r="AG34" i="21"/>
  <c r="AK34" i="21" s="1"/>
  <c r="AO33" i="21"/>
  <c r="AD20" i="21"/>
  <c r="Y20" i="21"/>
  <c r="Z20" i="21"/>
  <c r="AA20" i="21" s="1"/>
  <c r="AB20" i="21" s="1"/>
  <c r="V21" i="21" s="1"/>
  <c r="AB19" i="20"/>
  <c r="V20" i="20" s="1"/>
  <c r="AK29" i="19"/>
  <c r="AI30" i="19" s="1"/>
  <c r="AG30" i="16"/>
  <c r="AI30" i="16"/>
  <c r="AD19" i="19"/>
  <c r="Y19" i="19"/>
  <c r="Z19" i="19"/>
  <c r="AA19" i="19" s="1"/>
  <c r="AB19" i="19" s="1"/>
  <c r="V20" i="19" s="1"/>
  <c r="AK31" i="17"/>
  <c r="AG32" i="17" s="1"/>
  <c r="AO31" i="17"/>
  <c r="AK28" i="18"/>
  <c r="AO28" i="18"/>
  <c r="W23" i="18"/>
  <c r="AC22" i="18"/>
  <c r="X23" i="18" s="1"/>
  <c r="AD22" i="17"/>
  <c r="Y22" i="17"/>
  <c r="Z22" i="17"/>
  <c r="AA22" i="17" s="1"/>
  <c r="AB22" i="17" s="1"/>
  <c r="V23" i="17" s="1"/>
  <c r="W21" i="16"/>
  <c r="AC20" i="16"/>
  <c r="X21" i="16" s="1"/>
  <c r="AI32" i="17" l="1"/>
  <c r="AK28" i="20"/>
  <c r="AI29" i="20" s="1"/>
  <c r="AG29" i="20"/>
  <c r="Z20" i="20"/>
  <c r="AA20" i="20" s="1"/>
  <c r="AC20" i="20" s="1"/>
  <c r="X21" i="20" s="1"/>
  <c r="Y21" i="20" s="1"/>
  <c r="AO28" i="20"/>
  <c r="AO30" i="16"/>
  <c r="AG30" i="19"/>
  <c r="AO30" i="19" s="1"/>
  <c r="AD20" i="20"/>
  <c r="W20" i="20"/>
  <c r="W21" i="21"/>
  <c r="AC20" i="21"/>
  <c r="X21" i="21" s="1"/>
  <c r="AG35" i="21"/>
  <c r="AI35" i="21"/>
  <c r="AO34" i="21"/>
  <c r="AK30" i="16"/>
  <c r="AG31" i="16" s="1"/>
  <c r="AO32" i="17"/>
  <c r="W20" i="19"/>
  <c r="AC19" i="19"/>
  <c r="X20" i="19" s="1"/>
  <c r="AK32" i="17"/>
  <c r="AG29" i="18"/>
  <c r="AI29" i="18"/>
  <c r="AD23" i="18"/>
  <c r="Y23" i="18"/>
  <c r="Z23" i="18"/>
  <c r="AA23" i="18" s="1"/>
  <c r="AB23" i="18" s="1"/>
  <c r="V24" i="18" s="1"/>
  <c r="W23" i="17"/>
  <c r="AC22" i="17"/>
  <c r="X23" i="17" s="1"/>
  <c r="AD21" i="16"/>
  <c r="Y21" i="16"/>
  <c r="Z21" i="16"/>
  <c r="AA21" i="16" s="1"/>
  <c r="AB21" i="16" s="1"/>
  <c r="V22" i="16" s="1"/>
  <c r="AB20" i="20" l="1"/>
  <c r="V21" i="20" s="1"/>
  <c r="W21" i="20" s="1"/>
  <c r="AK29" i="20"/>
  <c r="AI30" i="20" s="1"/>
  <c r="AO35" i="21"/>
  <c r="AG30" i="20"/>
  <c r="AO29" i="20"/>
  <c r="AK30" i="19"/>
  <c r="AI31" i="19" s="1"/>
  <c r="AI31" i="16"/>
  <c r="AO31" i="16" s="1"/>
  <c r="Z21" i="20"/>
  <c r="AA21" i="20" s="1"/>
  <c r="AB21" i="20" s="1"/>
  <c r="V22" i="20" s="1"/>
  <c r="AD21" i="20"/>
  <c r="AK35" i="21"/>
  <c r="AD21" i="21"/>
  <c r="Y21" i="21"/>
  <c r="Z21" i="21"/>
  <c r="AA21" i="21" s="1"/>
  <c r="AB21" i="21" s="1"/>
  <c r="V22" i="21" s="1"/>
  <c r="AO29" i="18"/>
  <c r="AD20" i="19"/>
  <c r="Y20" i="19"/>
  <c r="Z20" i="19"/>
  <c r="AA20" i="19" s="1"/>
  <c r="AB20" i="19" s="1"/>
  <c r="V21" i="19" s="1"/>
  <c r="AI33" i="17"/>
  <c r="AG33" i="17"/>
  <c r="AK29" i="18"/>
  <c r="W24" i="18"/>
  <c r="AC23" i="18"/>
  <c r="X24" i="18" s="1"/>
  <c r="AD23" i="17"/>
  <c r="Y23" i="17"/>
  <c r="Z23" i="17"/>
  <c r="AA23" i="17" s="1"/>
  <c r="AB23" i="17" s="1"/>
  <c r="V24" i="17" s="1"/>
  <c r="W22" i="16"/>
  <c r="AC21" i="16"/>
  <c r="X22" i="16" s="1"/>
  <c r="AK30" i="20" l="1"/>
  <c r="AG31" i="19"/>
  <c r="AO31" i="19" s="1"/>
  <c r="AI31" i="20"/>
  <c r="AG31" i="20"/>
  <c r="AK31" i="20" s="1"/>
  <c r="AO30" i="20"/>
  <c r="AK31" i="16"/>
  <c r="AI32" i="16" s="1"/>
  <c r="AC21" i="20"/>
  <c r="X22" i="20" s="1"/>
  <c r="Z22" i="20" s="1"/>
  <c r="AA22" i="20" s="1"/>
  <c r="W22" i="20"/>
  <c r="W22" i="21"/>
  <c r="AC21" i="21"/>
  <c r="X22" i="21" s="1"/>
  <c r="AG36" i="21"/>
  <c r="AI36" i="21"/>
  <c r="AO36" i="21" s="1"/>
  <c r="AG32" i="16"/>
  <c r="AK31" i="19"/>
  <c r="AI32" i="19" s="1"/>
  <c r="W21" i="19"/>
  <c r="AC20" i="19"/>
  <c r="X21" i="19" s="1"/>
  <c r="AK33" i="17"/>
  <c r="AG34" i="17" s="1"/>
  <c r="AO33" i="17"/>
  <c r="AG30" i="18"/>
  <c r="AI30" i="18"/>
  <c r="AD24" i="18"/>
  <c r="Y24" i="18"/>
  <c r="Z24" i="18"/>
  <c r="AA24" i="18" s="1"/>
  <c r="AB24" i="18" s="1"/>
  <c r="V25" i="18" s="1"/>
  <c r="W24" i="17"/>
  <c r="AC23" i="17"/>
  <c r="X24" i="17" s="1"/>
  <c r="AD22" i="16"/>
  <c r="Y22" i="16"/>
  <c r="Z22" i="16"/>
  <c r="AA22" i="16" s="1"/>
  <c r="AB22" i="16" s="1"/>
  <c r="V23" i="16" s="1"/>
  <c r="AI32" i="20" l="1"/>
  <c r="AG32" i="20"/>
  <c r="AO31" i="20"/>
  <c r="AO32" i="16"/>
  <c r="AG32" i="19"/>
  <c r="AO32" i="19" s="1"/>
  <c r="AI34" i="17"/>
  <c r="AO34" i="17" s="1"/>
  <c r="AB22" i="20"/>
  <c r="V23" i="20" s="1"/>
  <c r="W23" i="20" s="1"/>
  <c r="AD22" i="20"/>
  <c r="Y22" i="20"/>
  <c r="AC22" i="20" s="1"/>
  <c r="X23" i="20" s="1"/>
  <c r="AD23" i="20" s="1"/>
  <c r="AK36" i="21"/>
  <c r="AD22" i="21"/>
  <c r="Y22" i="21"/>
  <c r="Z22" i="21"/>
  <c r="AA22" i="21" s="1"/>
  <c r="AB22" i="21" s="1"/>
  <c r="V23" i="21" s="1"/>
  <c r="AK32" i="16"/>
  <c r="AD21" i="19"/>
  <c r="Y21" i="19"/>
  <c r="Z21" i="19"/>
  <c r="AA21" i="19" s="1"/>
  <c r="AB21" i="19" s="1"/>
  <c r="V22" i="19" s="1"/>
  <c r="AO30" i="18"/>
  <c r="AK30" i="18"/>
  <c r="W25" i="18"/>
  <c r="AC24" i="18"/>
  <c r="X25" i="18" s="1"/>
  <c r="AD24" i="17"/>
  <c r="Y24" i="17"/>
  <c r="Z24" i="17"/>
  <c r="AA24" i="17" s="1"/>
  <c r="AB24" i="17" s="1"/>
  <c r="V25" i="17" s="1"/>
  <c r="W23" i="16"/>
  <c r="AC22" i="16"/>
  <c r="X23" i="16" s="1"/>
  <c r="AK32" i="20" l="1"/>
  <c r="AG33" i="20"/>
  <c r="AI33" i="20"/>
  <c r="AO32" i="20"/>
  <c r="AK34" i="17"/>
  <c r="AK32" i="19"/>
  <c r="AI33" i="19" s="1"/>
  <c r="AG33" i="19"/>
  <c r="Z23" i="20"/>
  <c r="AA23" i="20" s="1"/>
  <c r="AB23" i="20" s="1"/>
  <c r="V24" i="20" s="1"/>
  <c r="Y23" i="20"/>
  <c r="AO33" i="19"/>
  <c r="W23" i="21"/>
  <c r="AI37" i="21"/>
  <c r="AG37" i="21"/>
  <c r="AC22" i="21"/>
  <c r="X23" i="21" s="1"/>
  <c r="AG33" i="16"/>
  <c r="AI33" i="16"/>
  <c r="W22" i="19"/>
  <c r="AC21" i="19"/>
  <c r="X22" i="19" s="1"/>
  <c r="AG35" i="17"/>
  <c r="AI35" i="17"/>
  <c r="AG31" i="18"/>
  <c r="AI31" i="18"/>
  <c r="AD25" i="18"/>
  <c r="Y25" i="18"/>
  <c r="Z25" i="18"/>
  <c r="AA25" i="18" s="1"/>
  <c r="AB25" i="18" s="1"/>
  <c r="V26" i="18" s="1"/>
  <c r="W25" i="17"/>
  <c r="AC24" i="17"/>
  <c r="X25" i="17" s="1"/>
  <c r="AD23" i="16"/>
  <c r="Y23" i="16"/>
  <c r="Z23" i="16"/>
  <c r="AA23" i="16" s="1"/>
  <c r="AB23" i="16" s="1"/>
  <c r="V24" i="16" s="1"/>
  <c r="AK37" i="21" l="1"/>
  <c r="AK33" i="19"/>
  <c r="AI34" i="19" s="1"/>
  <c r="AO33" i="20"/>
  <c r="AK33" i="20"/>
  <c r="AG34" i="19"/>
  <c r="AC23" i="20"/>
  <c r="X24" i="20" s="1"/>
  <c r="Y24" i="20" s="1"/>
  <c r="AK33" i="16"/>
  <c r="AO33" i="16"/>
  <c r="AO34" i="19"/>
  <c r="AG34" i="16"/>
  <c r="AI34" i="16"/>
  <c r="W24" i="20"/>
  <c r="AG38" i="21"/>
  <c r="AI38" i="21"/>
  <c r="AD23" i="21"/>
  <c r="Y23" i="21"/>
  <c r="AO37" i="21"/>
  <c r="Z23" i="21"/>
  <c r="AA23" i="21" s="1"/>
  <c r="AB23" i="21" s="1"/>
  <c r="V24" i="21" s="1"/>
  <c r="AO31" i="18"/>
  <c r="AK34" i="19"/>
  <c r="AD22" i="19"/>
  <c r="Y22" i="19"/>
  <c r="Z22" i="19"/>
  <c r="AA22" i="19" s="1"/>
  <c r="AB22" i="19" s="1"/>
  <c r="V23" i="19" s="1"/>
  <c r="AO35" i="17"/>
  <c r="AK35" i="17"/>
  <c r="AK31" i="18"/>
  <c r="W26" i="18"/>
  <c r="AC25" i="18"/>
  <c r="X26" i="18" s="1"/>
  <c r="AD25" i="17"/>
  <c r="Y25" i="17"/>
  <c r="Z25" i="17"/>
  <c r="AA25" i="17" s="1"/>
  <c r="AB25" i="17" s="1"/>
  <c r="V26" i="17" s="1"/>
  <c r="W24" i="16"/>
  <c r="AC23" i="16"/>
  <c r="X24" i="16" s="1"/>
  <c r="AO34" i="16" l="1"/>
  <c r="Z24" i="20"/>
  <c r="AA24" i="20" s="1"/>
  <c r="AC24" i="20" s="1"/>
  <c r="X25" i="20" s="1"/>
  <c r="Y25" i="20" s="1"/>
  <c r="AI34" i="20"/>
  <c r="AG34" i="20"/>
  <c r="AD24" i="20"/>
  <c r="AK34" i="16"/>
  <c r="AI35" i="16" s="1"/>
  <c r="AB24" i="20"/>
  <c r="V25" i="20" s="1"/>
  <c r="W25" i="20" s="1"/>
  <c r="AO38" i="21"/>
  <c r="AG35" i="16"/>
  <c r="W24" i="21"/>
  <c r="AC23" i="21"/>
  <c r="X24" i="21" s="1"/>
  <c r="AK38" i="21"/>
  <c r="AG35" i="19"/>
  <c r="AI35" i="19"/>
  <c r="W23" i="19"/>
  <c r="AC22" i="19"/>
  <c r="X23" i="19" s="1"/>
  <c r="AG36" i="17"/>
  <c r="AI36" i="17"/>
  <c r="AG32" i="18"/>
  <c r="AI32" i="18"/>
  <c r="AD26" i="18"/>
  <c r="Y26" i="18"/>
  <c r="Z26" i="18"/>
  <c r="AA26" i="18" s="1"/>
  <c r="AB26" i="18" s="1"/>
  <c r="V27" i="18" s="1"/>
  <c r="W26" i="17"/>
  <c r="AC25" i="17"/>
  <c r="X26" i="17" s="1"/>
  <c r="AD24" i="16"/>
  <c r="Y24" i="16"/>
  <c r="Z24" i="16"/>
  <c r="AA24" i="16" s="1"/>
  <c r="AB24" i="16" s="1"/>
  <c r="V25" i="16" s="1"/>
  <c r="AO34" i="20" l="1"/>
  <c r="AK34" i="20"/>
  <c r="AD25" i="20"/>
  <c r="Z25" i="20"/>
  <c r="AA25" i="20" s="1"/>
  <c r="AB25" i="20" s="1"/>
  <c r="V26" i="20" s="1"/>
  <c r="W26" i="20" s="1"/>
  <c r="AK35" i="16"/>
  <c r="AG36" i="16" s="1"/>
  <c r="AO35" i="16"/>
  <c r="AI36" i="16"/>
  <c r="AK36" i="16" s="1"/>
  <c r="AG37" i="16" s="1"/>
  <c r="AO35" i="19"/>
  <c r="AI39" i="21"/>
  <c r="AG39" i="21"/>
  <c r="AD24" i="21"/>
  <c r="Y24" i="21"/>
  <c r="Z24" i="21"/>
  <c r="AA24" i="21" s="1"/>
  <c r="AB24" i="21" s="1"/>
  <c r="V25" i="21" s="1"/>
  <c r="AK35" i="19"/>
  <c r="AI36" i="19" s="1"/>
  <c r="AD23" i="19"/>
  <c r="Y23" i="19"/>
  <c r="Z23" i="19"/>
  <c r="AA23" i="19" s="1"/>
  <c r="AB23" i="19" s="1"/>
  <c r="V24" i="19" s="1"/>
  <c r="AO36" i="17"/>
  <c r="AK36" i="17"/>
  <c r="AO32" i="18"/>
  <c r="AK32" i="18"/>
  <c r="W27" i="18"/>
  <c r="AC26" i="18"/>
  <c r="X27" i="18" s="1"/>
  <c r="AD26" i="17"/>
  <c r="Y26" i="17"/>
  <c r="Z26" i="17"/>
  <c r="AA26" i="17" s="1"/>
  <c r="AB26" i="17" s="1"/>
  <c r="V27" i="17" s="1"/>
  <c r="W25" i="16"/>
  <c r="AC24" i="16"/>
  <c r="X25" i="16" s="1"/>
  <c r="AO36" i="16" l="1"/>
  <c r="AI35" i="20"/>
  <c r="AG35" i="20"/>
  <c r="AK35" i="20" s="1"/>
  <c r="AC25" i="20"/>
  <c r="X26" i="20" s="1"/>
  <c r="AD26" i="20" s="1"/>
  <c r="AK39" i="21"/>
  <c r="AI37" i="16"/>
  <c r="AO37" i="16" s="1"/>
  <c r="W25" i="21"/>
  <c r="AC24" i="21"/>
  <c r="X25" i="21" s="1"/>
  <c r="AO39" i="21"/>
  <c r="AG40" i="21"/>
  <c r="AI40" i="21"/>
  <c r="AG36" i="19"/>
  <c r="AO36" i="19" s="1"/>
  <c r="W24" i="19"/>
  <c r="AC23" i="19"/>
  <c r="X24" i="19" s="1"/>
  <c r="AG37" i="17"/>
  <c r="AI37" i="17"/>
  <c r="AG33" i="18"/>
  <c r="AI33" i="18"/>
  <c r="AO33" i="18" s="1"/>
  <c r="AD27" i="18"/>
  <c r="Y27" i="18"/>
  <c r="Z27" i="18"/>
  <c r="AA27" i="18" s="1"/>
  <c r="AB27" i="18" s="1"/>
  <c r="V28" i="18" s="1"/>
  <c r="W27" i="17"/>
  <c r="AC26" i="17"/>
  <c r="X27" i="17" s="1"/>
  <c r="AD25" i="16"/>
  <c r="Y25" i="16"/>
  <c r="Z25" i="16"/>
  <c r="AA25" i="16" s="1"/>
  <c r="AB25" i="16" s="1"/>
  <c r="V26" i="16" s="1"/>
  <c r="AI36" i="20" l="1"/>
  <c r="AG36" i="20"/>
  <c r="AK36" i="20" s="1"/>
  <c r="AO35" i="20"/>
  <c r="Z26" i="20"/>
  <c r="AA26" i="20" s="1"/>
  <c r="AB26" i="20" s="1"/>
  <c r="V27" i="20" s="1"/>
  <c r="W27" i="20" s="1"/>
  <c r="Y26" i="20"/>
  <c r="AK36" i="19"/>
  <c r="AI37" i="19" s="1"/>
  <c r="AO40" i="21"/>
  <c r="AK37" i="16"/>
  <c r="AG37" i="19"/>
  <c r="AK40" i="21"/>
  <c r="AD25" i="21"/>
  <c r="Y25" i="21"/>
  <c r="Z25" i="21"/>
  <c r="AA25" i="21" s="1"/>
  <c r="AB25" i="21" s="1"/>
  <c r="V26" i="21" s="1"/>
  <c r="AD24" i="19"/>
  <c r="Y24" i="19"/>
  <c r="Z24" i="19"/>
  <c r="AA24" i="19" s="1"/>
  <c r="AB24" i="19" s="1"/>
  <c r="V25" i="19" s="1"/>
  <c r="AO37" i="17"/>
  <c r="AK37" i="17"/>
  <c r="AK33" i="18"/>
  <c r="W28" i="18"/>
  <c r="AC27" i="18"/>
  <c r="X28" i="18" s="1"/>
  <c r="AD27" i="17"/>
  <c r="Y27" i="17"/>
  <c r="Z27" i="17"/>
  <c r="AA27" i="17" s="1"/>
  <c r="AB27" i="17" s="1"/>
  <c r="V28" i="17" s="1"/>
  <c r="W26" i="16"/>
  <c r="AC25" i="16"/>
  <c r="X26" i="16" s="1"/>
  <c r="AK37" i="19" l="1"/>
  <c r="AI38" i="19" s="1"/>
  <c r="AI37" i="20"/>
  <c r="AG37" i="20"/>
  <c r="AO36" i="20"/>
  <c r="AC26" i="20"/>
  <c r="X27" i="20" s="1"/>
  <c r="AD27" i="20" s="1"/>
  <c r="AO37" i="19"/>
  <c r="AI38" i="16"/>
  <c r="AG38" i="16"/>
  <c r="AG38" i="19"/>
  <c r="AO38" i="19" s="1"/>
  <c r="W26" i="21"/>
  <c r="AC25" i="21"/>
  <c r="X26" i="21" s="1"/>
  <c r="AG41" i="21"/>
  <c r="AI41" i="21"/>
  <c r="W25" i="19"/>
  <c r="AC24" i="19"/>
  <c r="X25" i="19" s="1"/>
  <c r="AG38" i="17"/>
  <c r="AI38" i="17"/>
  <c r="AG34" i="18"/>
  <c r="AI34" i="18"/>
  <c r="AD28" i="18"/>
  <c r="Y28" i="18"/>
  <c r="Z28" i="18"/>
  <c r="AA28" i="18" s="1"/>
  <c r="AB28" i="18" s="1"/>
  <c r="V29" i="18" s="1"/>
  <c r="W28" i="17"/>
  <c r="AC27" i="17"/>
  <c r="X28" i="17" s="1"/>
  <c r="AD26" i="16"/>
  <c r="Y26" i="16"/>
  <c r="Z26" i="16"/>
  <c r="AA26" i="16" s="1"/>
  <c r="AB26" i="16" s="1"/>
  <c r="V27" i="16" s="1"/>
  <c r="AK37" i="20" l="1"/>
  <c r="Z27" i="20"/>
  <c r="AA27" i="20" s="1"/>
  <c r="AB27" i="20" s="1"/>
  <c r="V28" i="20" s="1"/>
  <c r="Y27" i="20"/>
  <c r="AG38" i="20"/>
  <c r="AI38" i="20"/>
  <c r="AO37" i="20"/>
  <c r="AK38" i="16"/>
  <c r="AK38" i="19"/>
  <c r="AI39" i="19" s="1"/>
  <c r="AG39" i="19"/>
  <c r="AO41" i="21"/>
  <c r="AG39" i="16"/>
  <c r="AI39" i="16"/>
  <c r="AO38" i="16"/>
  <c r="AD26" i="21"/>
  <c r="Y26" i="21"/>
  <c r="AK41" i="21"/>
  <c r="Z26" i="21"/>
  <c r="AA26" i="21" s="1"/>
  <c r="AB26" i="21" s="1"/>
  <c r="V27" i="21" s="1"/>
  <c r="AO34" i="18"/>
  <c r="W28" i="20"/>
  <c r="AC27" i="20"/>
  <c r="X28" i="20" s="1"/>
  <c r="AD25" i="19"/>
  <c r="Y25" i="19"/>
  <c r="Z25" i="19"/>
  <c r="AA25" i="19" s="1"/>
  <c r="AB25" i="19" s="1"/>
  <c r="V26" i="19" s="1"/>
  <c r="AO38" i="17"/>
  <c r="AK38" i="17"/>
  <c r="AK34" i="18"/>
  <c r="W29" i="18"/>
  <c r="AC28" i="18"/>
  <c r="X29" i="18" s="1"/>
  <c r="AD28" i="17"/>
  <c r="Y28" i="17"/>
  <c r="Z28" i="17"/>
  <c r="AA28" i="17" s="1"/>
  <c r="AB28" i="17" s="1"/>
  <c r="V29" i="17" s="1"/>
  <c r="W27" i="16"/>
  <c r="AC26" i="16"/>
  <c r="X27" i="16" s="1"/>
  <c r="AK39" i="19" l="1"/>
  <c r="AI40" i="19" s="1"/>
  <c r="AO38" i="20"/>
  <c r="AK38" i="20"/>
  <c r="AO39" i="19"/>
  <c r="AK39" i="16"/>
  <c r="AO39" i="16"/>
  <c r="AG40" i="16"/>
  <c r="AI40" i="16"/>
  <c r="AG40" i="19"/>
  <c r="AO40" i="19" s="1"/>
  <c r="W27" i="21"/>
  <c r="AI42" i="21"/>
  <c r="AG42" i="21"/>
  <c r="AC26" i="21"/>
  <c r="X27" i="21" s="1"/>
  <c r="AD28" i="20"/>
  <c r="Y28" i="20"/>
  <c r="Z28" i="20"/>
  <c r="AA28" i="20" s="1"/>
  <c r="AB28" i="20" s="1"/>
  <c r="V29" i="20" s="1"/>
  <c r="W26" i="19"/>
  <c r="AC25" i="19"/>
  <c r="X26" i="19" s="1"/>
  <c r="AI39" i="17"/>
  <c r="AG39" i="17"/>
  <c r="AG35" i="18"/>
  <c r="AI35" i="18"/>
  <c r="AD29" i="18"/>
  <c r="Y29" i="18"/>
  <c r="Z29" i="18"/>
  <c r="AA29" i="18" s="1"/>
  <c r="AB29" i="18" s="1"/>
  <c r="V30" i="18" s="1"/>
  <c r="W29" i="17"/>
  <c r="AC28" i="17"/>
  <c r="X29" i="17" s="1"/>
  <c r="AD27" i="16"/>
  <c r="Y27" i="16"/>
  <c r="Z27" i="16"/>
  <c r="AA27" i="16" s="1"/>
  <c r="AB27" i="16" s="1"/>
  <c r="V28" i="16" s="1"/>
  <c r="AK42" i="21" l="1"/>
  <c r="AO40" i="16"/>
  <c r="AI39" i="20"/>
  <c r="AG39" i="20"/>
  <c r="AK39" i="20" s="1"/>
  <c r="AK40" i="16"/>
  <c r="AK40" i="19"/>
  <c r="AI41" i="19" s="1"/>
  <c r="AG41" i="16"/>
  <c r="AI41" i="16"/>
  <c r="AK41" i="16" s="1"/>
  <c r="AI42" i="16" s="1"/>
  <c r="AG41" i="19"/>
  <c r="AO41" i="19" s="1"/>
  <c r="AO42" i="21"/>
  <c r="AD27" i="21"/>
  <c r="Y27" i="21"/>
  <c r="AG43" i="21"/>
  <c r="AI43" i="21"/>
  <c r="Z27" i="21"/>
  <c r="AA27" i="21" s="1"/>
  <c r="AB27" i="21" s="1"/>
  <c r="V28" i="21" s="1"/>
  <c r="W29" i="20"/>
  <c r="AC28" i="20"/>
  <c r="X29" i="20" s="1"/>
  <c r="AD26" i="19"/>
  <c r="Y26" i="19"/>
  <c r="Z26" i="19"/>
  <c r="AA26" i="19" s="1"/>
  <c r="AB26" i="19" s="1"/>
  <c r="V27" i="19" s="1"/>
  <c r="AO35" i="18"/>
  <c r="AK39" i="17"/>
  <c r="AG40" i="17" s="1"/>
  <c r="AO39" i="17"/>
  <c r="AK35" i="18"/>
  <c r="W30" i="18"/>
  <c r="AC29" i="18"/>
  <c r="X30" i="18" s="1"/>
  <c r="AD29" i="17"/>
  <c r="Y29" i="17"/>
  <c r="Z29" i="17"/>
  <c r="AA29" i="17" s="1"/>
  <c r="AB29" i="17" s="1"/>
  <c r="V30" i="17" s="1"/>
  <c r="W28" i="16"/>
  <c r="AC27" i="16"/>
  <c r="X28" i="16" s="1"/>
  <c r="AO43" i="21" l="1"/>
  <c r="AI40" i="17"/>
  <c r="AI40" i="20"/>
  <c r="AG40" i="20"/>
  <c r="AO39" i="20"/>
  <c r="AO41" i="16"/>
  <c r="AG42" i="16"/>
  <c r="AK42" i="16" s="1"/>
  <c r="AI43" i="16" s="1"/>
  <c r="AK41" i="19"/>
  <c r="AI42" i="19" s="1"/>
  <c r="W28" i="21"/>
  <c r="AK43" i="21"/>
  <c r="AC27" i="21"/>
  <c r="X28" i="21" s="1"/>
  <c r="AD29" i="20"/>
  <c r="Y29" i="20"/>
  <c r="Z29" i="20"/>
  <c r="AA29" i="20" s="1"/>
  <c r="AB29" i="20" s="1"/>
  <c r="V30" i="20" s="1"/>
  <c r="W27" i="19"/>
  <c r="AC26" i="19"/>
  <c r="X27" i="19" s="1"/>
  <c r="AK40" i="17"/>
  <c r="AG41" i="17" s="1"/>
  <c r="AO40" i="17"/>
  <c r="AG36" i="18"/>
  <c r="AI36" i="18"/>
  <c r="AD30" i="18"/>
  <c r="Y30" i="18"/>
  <c r="Z30" i="18"/>
  <c r="AA30" i="18" s="1"/>
  <c r="AB30" i="18" s="1"/>
  <c r="V31" i="18" s="1"/>
  <c r="W30" i="17"/>
  <c r="AC29" i="17"/>
  <c r="X30" i="17" s="1"/>
  <c r="AD28" i="16"/>
  <c r="Y28" i="16"/>
  <c r="Z28" i="16"/>
  <c r="AA28" i="16" s="1"/>
  <c r="AB28" i="16" s="1"/>
  <c r="V29" i="16" s="1"/>
  <c r="AK40" i="20" l="1"/>
  <c r="AO42" i="16"/>
  <c r="AG42" i="19"/>
  <c r="AK42" i="19" s="1"/>
  <c r="AI43" i="19" s="1"/>
  <c r="AI41" i="20"/>
  <c r="AG41" i="20"/>
  <c r="AK41" i="20" s="1"/>
  <c r="AO40" i="20"/>
  <c r="AO36" i="18"/>
  <c r="AG43" i="16"/>
  <c r="AK43" i="16" s="1"/>
  <c r="AO42" i="19"/>
  <c r="AD28" i="21"/>
  <c r="Y28" i="21"/>
  <c r="AI44" i="21"/>
  <c r="AG44" i="21"/>
  <c r="Z28" i="21"/>
  <c r="AA28" i="21" s="1"/>
  <c r="AB28" i="21" s="1"/>
  <c r="V29" i="21" s="1"/>
  <c r="W30" i="20"/>
  <c r="AC29" i="20"/>
  <c r="X30" i="20" s="1"/>
  <c r="AD27" i="19"/>
  <c r="Y27" i="19"/>
  <c r="Z27" i="19"/>
  <c r="AA27" i="19" s="1"/>
  <c r="AB27" i="19" s="1"/>
  <c r="V28" i="19" s="1"/>
  <c r="AI41" i="17"/>
  <c r="AO41" i="17" s="1"/>
  <c r="AK36" i="18"/>
  <c r="W31" i="18"/>
  <c r="AC30" i="18"/>
  <c r="X31" i="18" s="1"/>
  <c r="AD30" i="17"/>
  <c r="Y30" i="17"/>
  <c r="Z30" i="17"/>
  <c r="AA30" i="17" s="1"/>
  <c r="AB30" i="17" s="1"/>
  <c r="V31" i="17" s="1"/>
  <c r="W29" i="16"/>
  <c r="AC28" i="16"/>
  <c r="X29" i="16" s="1"/>
  <c r="AI42" i="20" l="1"/>
  <c r="AG42" i="20"/>
  <c r="AK42" i="20" s="1"/>
  <c r="AO41" i="20"/>
  <c r="AK44" i="21"/>
  <c r="AO43" i="16"/>
  <c r="AG44" i="16"/>
  <c r="AI44" i="16"/>
  <c r="W29" i="21"/>
  <c r="AO44" i="21"/>
  <c r="AC28" i="21"/>
  <c r="X29" i="21" s="1"/>
  <c r="AD30" i="20"/>
  <c r="Y30" i="20"/>
  <c r="Z30" i="20"/>
  <c r="AA30" i="20" s="1"/>
  <c r="AB30" i="20" s="1"/>
  <c r="V31" i="20" s="1"/>
  <c r="AG43" i="19"/>
  <c r="AO43" i="19" s="1"/>
  <c r="W28" i="19"/>
  <c r="AC27" i="19"/>
  <c r="X28" i="19" s="1"/>
  <c r="AK41" i="17"/>
  <c r="AI42" i="17" s="1"/>
  <c r="AG37" i="18"/>
  <c r="AI37" i="18"/>
  <c r="AD31" i="18"/>
  <c r="Y31" i="18"/>
  <c r="Z31" i="18"/>
  <c r="AA31" i="18" s="1"/>
  <c r="AB31" i="18" s="1"/>
  <c r="V32" i="18" s="1"/>
  <c r="W31" i="17"/>
  <c r="AC30" i="17"/>
  <c r="X31" i="17" s="1"/>
  <c r="AD29" i="16"/>
  <c r="Y29" i="16"/>
  <c r="Z29" i="16"/>
  <c r="AA29" i="16" s="1"/>
  <c r="AB29" i="16" s="1"/>
  <c r="V30" i="16" s="1"/>
  <c r="AG43" i="20" l="1"/>
  <c r="AI43" i="20"/>
  <c r="AO42" i="20"/>
  <c r="AG42" i="17"/>
  <c r="AO44" i="16"/>
  <c r="AK44" i="16"/>
  <c r="AK43" i="19"/>
  <c r="AI44" i="19" s="1"/>
  <c r="AD29" i="21"/>
  <c r="Y29" i="21"/>
  <c r="Z29" i="21"/>
  <c r="AA29" i="21" s="1"/>
  <c r="AB29" i="21" s="1"/>
  <c r="V30" i="21" s="1"/>
  <c r="W31" i="20"/>
  <c r="AC30" i="20"/>
  <c r="X31" i="20" s="1"/>
  <c r="AD28" i="19"/>
  <c r="Y28" i="19"/>
  <c r="Z28" i="19"/>
  <c r="AA28" i="19" s="1"/>
  <c r="AB28" i="19" s="1"/>
  <c r="V29" i="19" s="1"/>
  <c r="AO37" i="18"/>
  <c r="AO42" i="17"/>
  <c r="AK42" i="17"/>
  <c r="AK37" i="18"/>
  <c r="W32" i="18"/>
  <c r="AC31" i="18"/>
  <c r="X32" i="18" s="1"/>
  <c r="AD31" i="17"/>
  <c r="Y31" i="17"/>
  <c r="Z31" i="17"/>
  <c r="AA31" i="17" s="1"/>
  <c r="AB31" i="17" s="1"/>
  <c r="V32" i="17" s="1"/>
  <c r="W30" i="16"/>
  <c r="AC29" i="16"/>
  <c r="X30" i="16" s="1"/>
  <c r="AO43" i="20" l="1"/>
  <c r="AG44" i="19"/>
  <c r="AO44" i="19" s="1"/>
  <c r="AK43" i="20"/>
  <c r="W30" i="21"/>
  <c r="AC29" i="21"/>
  <c r="X30" i="21" s="1"/>
  <c r="AD31" i="20"/>
  <c r="Y31" i="20"/>
  <c r="Z31" i="20"/>
  <c r="AA31" i="20" s="1"/>
  <c r="AB31" i="20" s="1"/>
  <c r="V32" i="20" s="1"/>
  <c r="W29" i="19"/>
  <c r="AC28" i="19"/>
  <c r="X29" i="19" s="1"/>
  <c r="AG43" i="17"/>
  <c r="AI43" i="17"/>
  <c r="AG38" i="18"/>
  <c r="AI38" i="18"/>
  <c r="AD32" i="18"/>
  <c r="Y32" i="18"/>
  <c r="Z32" i="18"/>
  <c r="AA32" i="18" s="1"/>
  <c r="AB32" i="18" s="1"/>
  <c r="V33" i="18" s="1"/>
  <c r="W32" i="17"/>
  <c r="AC31" i="17"/>
  <c r="X32" i="17" s="1"/>
  <c r="AD30" i="16"/>
  <c r="Y30" i="16"/>
  <c r="Z30" i="16"/>
  <c r="AA30" i="16" s="1"/>
  <c r="AB30" i="16" s="1"/>
  <c r="V31" i="16" s="1"/>
  <c r="AK44" i="19" l="1"/>
  <c r="AI44" i="20"/>
  <c r="AG44" i="20"/>
  <c r="AK44" i="20" s="1"/>
  <c r="AO38" i="18"/>
  <c r="AD30" i="21"/>
  <c r="Y30" i="21"/>
  <c r="Z30" i="21"/>
  <c r="AA30" i="21" s="1"/>
  <c r="AB30" i="21" s="1"/>
  <c r="V31" i="21" s="1"/>
  <c r="W32" i="20"/>
  <c r="AC31" i="20"/>
  <c r="X32" i="20" s="1"/>
  <c r="AD29" i="19"/>
  <c r="Y29" i="19"/>
  <c r="Z29" i="19"/>
  <c r="AA29" i="19" s="1"/>
  <c r="AB29" i="19" s="1"/>
  <c r="V30" i="19" s="1"/>
  <c r="AO43" i="17"/>
  <c r="AK43" i="17"/>
  <c r="AK38" i="18"/>
  <c r="W33" i="18"/>
  <c r="AC32" i="18"/>
  <c r="X33" i="18" s="1"/>
  <c r="AD32" i="17"/>
  <c r="Y32" i="17"/>
  <c r="Z32" i="17"/>
  <c r="AA32" i="17" s="1"/>
  <c r="AB32" i="17" s="1"/>
  <c r="V33" i="17" s="1"/>
  <c r="W31" i="16"/>
  <c r="AC30" i="16"/>
  <c r="X31" i="16" s="1"/>
  <c r="AO44" i="20" l="1"/>
  <c r="W31" i="21"/>
  <c r="AC30" i="21"/>
  <c r="X31" i="21" s="1"/>
  <c r="AD32" i="20"/>
  <c r="Y32" i="20"/>
  <c r="Z32" i="20"/>
  <c r="AA32" i="20" s="1"/>
  <c r="AB32" i="20" s="1"/>
  <c r="V33" i="20" s="1"/>
  <c r="W30" i="19"/>
  <c r="AC29" i="19"/>
  <c r="X30" i="19" s="1"/>
  <c r="AG44" i="17"/>
  <c r="AI44" i="17"/>
  <c r="AG39" i="18"/>
  <c r="AI39" i="18"/>
  <c r="AD33" i="18"/>
  <c r="Y33" i="18"/>
  <c r="Z33" i="18"/>
  <c r="AA33" i="18" s="1"/>
  <c r="AB33" i="18" s="1"/>
  <c r="V34" i="18" s="1"/>
  <c r="W33" i="17"/>
  <c r="AC32" i="17"/>
  <c r="X33" i="17" s="1"/>
  <c r="AD31" i="16"/>
  <c r="Y31" i="16"/>
  <c r="Z31" i="16"/>
  <c r="AA31" i="16" s="1"/>
  <c r="AB31" i="16" s="1"/>
  <c r="V32" i="16" s="1"/>
  <c r="AO39" i="18" l="1"/>
  <c r="AD31" i="21"/>
  <c r="Y31" i="21"/>
  <c r="Z31" i="21"/>
  <c r="AA31" i="21" s="1"/>
  <c r="AB31" i="21" s="1"/>
  <c r="V32" i="21" s="1"/>
  <c r="W33" i="20"/>
  <c r="AC32" i="20"/>
  <c r="X33" i="20" s="1"/>
  <c r="AD30" i="19"/>
  <c r="Y30" i="19"/>
  <c r="Z30" i="19"/>
  <c r="AA30" i="19" s="1"/>
  <c r="AB30" i="19" s="1"/>
  <c r="V31" i="19" s="1"/>
  <c r="AO44" i="17"/>
  <c r="AK44" i="17"/>
  <c r="AK39" i="18"/>
  <c r="W34" i="18"/>
  <c r="AC33" i="18"/>
  <c r="X34" i="18" s="1"/>
  <c r="AD33" i="17"/>
  <c r="Y33" i="17"/>
  <c r="Z33" i="17"/>
  <c r="AA33" i="17" s="1"/>
  <c r="AB33" i="17" s="1"/>
  <c r="V34" i="17" s="1"/>
  <c r="W32" i="16"/>
  <c r="AC31" i="16"/>
  <c r="X32" i="16" s="1"/>
  <c r="W32" i="21" l="1"/>
  <c r="AC31" i="21"/>
  <c r="X32" i="21" s="1"/>
  <c r="AD33" i="20"/>
  <c r="Y33" i="20"/>
  <c r="Z33" i="20"/>
  <c r="AA33" i="20" s="1"/>
  <c r="AB33" i="20" s="1"/>
  <c r="V34" i="20" s="1"/>
  <c r="W31" i="19"/>
  <c r="AC30" i="19"/>
  <c r="X31" i="19" s="1"/>
  <c r="AG40" i="18"/>
  <c r="AI40" i="18"/>
  <c r="AD34" i="18"/>
  <c r="Y34" i="18"/>
  <c r="Z34" i="18"/>
  <c r="W34" i="17"/>
  <c r="AC33" i="17"/>
  <c r="X34" i="17" s="1"/>
  <c r="AD32" i="16"/>
  <c r="Y32" i="16"/>
  <c r="Z32" i="16"/>
  <c r="AA32" i="16" s="1"/>
  <c r="AB32" i="16" s="1"/>
  <c r="V33" i="16" s="1"/>
  <c r="AD32" i="21" l="1"/>
  <c r="Y32" i="21"/>
  <c r="Z32" i="21"/>
  <c r="AA32" i="21" s="1"/>
  <c r="AB32" i="21" s="1"/>
  <c r="V33" i="21" s="1"/>
  <c r="W34" i="20"/>
  <c r="AC33" i="20"/>
  <c r="X34" i="20" s="1"/>
  <c r="AD31" i="19"/>
  <c r="Y31" i="19"/>
  <c r="Z31" i="19"/>
  <c r="AA31" i="19" s="1"/>
  <c r="AB31" i="19" s="1"/>
  <c r="V32" i="19" s="1"/>
  <c r="AO40" i="18"/>
  <c r="AK40" i="18"/>
  <c r="O24" i="18"/>
  <c r="O25" i="18" s="1"/>
  <c r="G19" i="18" s="1"/>
  <c r="AA34" i="18"/>
  <c r="AB34" i="18" s="1"/>
  <c r="AD34" i="17"/>
  <c r="Y34" i="17"/>
  <c r="Z34" i="17"/>
  <c r="W33" i="16"/>
  <c r="AC32" i="16"/>
  <c r="X33" i="16" s="1"/>
  <c r="W33" i="21" l="1"/>
  <c r="AC32" i="21"/>
  <c r="X33" i="21" s="1"/>
  <c r="AD34" i="20"/>
  <c r="Y34" i="20"/>
  <c r="Z34" i="20"/>
  <c r="W32" i="19"/>
  <c r="AC31" i="19"/>
  <c r="X32" i="19" s="1"/>
  <c r="AG41" i="18"/>
  <c r="AI41" i="18"/>
  <c r="AO41" i="18" s="1"/>
  <c r="AC34" i="18"/>
  <c r="G22" i="18"/>
  <c r="G20" i="18"/>
  <c r="O24" i="17"/>
  <c r="O25" i="17" s="1"/>
  <c r="G19" i="17" s="1"/>
  <c r="AA34" i="17"/>
  <c r="AB34" i="17" s="1"/>
  <c r="AD33" i="16"/>
  <c r="Y33" i="16"/>
  <c r="Z33" i="16"/>
  <c r="AA33" i="16" s="1"/>
  <c r="AB33" i="16" s="1"/>
  <c r="V34" i="16" s="1"/>
  <c r="AD33" i="21" l="1"/>
  <c r="Y33" i="21"/>
  <c r="Z33" i="21"/>
  <c r="AA33" i="21" s="1"/>
  <c r="AB33" i="21" s="1"/>
  <c r="V34" i="21" s="1"/>
  <c r="O26" i="20"/>
  <c r="O27" i="20" s="1"/>
  <c r="G17" i="20" s="1"/>
  <c r="AA34" i="20"/>
  <c r="AB34" i="20" s="1"/>
  <c r="AD32" i="19"/>
  <c r="Y32" i="19"/>
  <c r="Z32" i="19"/>
  <c r="AA32" i="19" s="1"/>
  <c r="AB32" i="19" s="1"/>
  <c r="V33" i="19" s="1"/>
  <c r="AK41" i="18"/>
  <c r="G35" i="18"/>
  <c r="K8" i="18" s="1"/>
  <c r="K13" i="18" s="1"/>
  <c r="K4" i="18"/>
  <c r="AC34" i="17"/>
  <c r="G22" i="17"/>
  <c r="G20" i="17"/>
  <c r="W34" i="16"/>
  <c r="AC33" i="16"/>
  <c r="X34" i="16" s="1"/>
  <c r="W34" i="21" l="1"/>
  <c r="AC33" i="21"/>
  <c r="X34" i="21" s="1"/>
  <c r="AC34" i="20"/>
  <c r="G20" i="20"/>
  <c r="G18" i="20"/>
  <c r="W33" i="19"/>
  <c r="AC32" i="19"/>
  <c r="X33" i="19" s="1"/>
  <c r="AG42" i="18"/>
  <c r="AI42" i="18"/>
  <c r="K5" i="18"/>
  <c r="K17" i="18"/>
  <c r="K16" i="18"/>
  <c r="K40" i="18"/>
  <c r="K48" i="18"/>
  <c r="K32" i="18"/>
  <c r="G35" i="17"/>
  <c r="K4" i="17" s="1"/>
  <c r="AD34" i="16"/>
  <c r="Y34" i="16"/>
  <c r="Z34" i="16"/>
  <c r="K27" i="18" l="1"/>
  <c r="AJ4" i="18" s="1"/>
  <c r="AD34" i="21"/>
  <c r="Y34" i="21"/>
  <c r="Z34" i="21"/>
  <c r="K6" i="20"/>
  <c r="G33" i="20"/>
  <c r="K10" i="20" s="1"/>
  <c r="K15" i="20" s="1"/>
  <c r="K8" i="17"/>
  <c r="K13" i="17" s="1"/>
  <c r="K48" i="17" s="1"/>
  <c r="AD33" i="19"/>
  <c r="Y33" i="19"/>
  <c r="Z33" i="19"/>
  <c r="AA33" i="19" s="1"/>
  <c r="AB33" i="19" s="1"/>
  <c r="V34" i="19" s="1"/>
  <c r="AO42" i="18"/>
  <c r="AK42" i="18"/>
  <c r="K28" i="18"/>
  <c r="K41" i="18"/>
  <c r="K44" i="18" s="1"/>
  <c r="K33" i="18"/>
  <c r="K36" i="18" s="1"/>
  <c r="K49" i="18"/>
  <c r="K50" i="18" s="1"/>
  <c r="K5" i="17"/>
  <c r="K17" i="17"/>
  <c r="K16" i="17"/>
  <c r="O24" i="16"/>
  <c r="O25" i="16" s="1"/>
  <c r="G19" i="16" s="1"/>
  <c r="AA34" i="16"/>
  <c r="AB34" i="16" s="1"/>
  <c r="AL4" i="18" l="1"/>
  <c r="AH4" i="18"/>
  <c r="K40" i="17"/>
  <c r="K32" i="17"/>
  <c r="O26" i="21"/>
  <c r="O27" i="21" s="1"/>
  <c r="G17" i="21" s="1"/>
  <c r="AA34" i="21"/>
  <c r="AB34" i="21" s="1"/>
  <c r="K35" i="20"/>
  <c r="K43" i="20"/>
  <c r="K7" i="20"/>
  <c r="K18" i="20"/>
  <c r="K19" i="20"/>
  <c r="W34" i="19"/>
  <c r="AC33" i="19"/>
  <c r="X34" i="19" s="1"/>
  <c r="AG43" i="18"/>
  <c r="AI43" i="18"/>
  <c r="K27" i="17"/>
  <c r="K28" i="17" s="1"/>
  <c r="K49" i="17"/>
  <c r="K50" i="17" s="1"/>
  <c r="K41" i="17"/>
  <c r="K44" i="17" s="1"/>
  <c r="K33" i="17"/>
  <c r="K36" i="17" s="1"/>
  <c r="AC34" i="16"/>
  <c r="G22" i="16"/>
  <c r="G20" i="16"/>
  <c r="G20" i="21" l="1"/>
  <c r="G18" i="21"/>
  <c r="AC34" i="21"/>
  <c r="K44" i="20"/>
  <c r="K47" i="20" s="1"/>
  <c r="K36" i="20"/>
  <c r="K39" i="20" s="1"/>
  <c r="K30" i="20"/>
  <c r="AD34" i="19"/>
  <c r="Y34" i="19"/>
  <c r="Z34" i="19"/>
  <c r="AO43" i="18"/>
  <c r="AJ4" i="17"/>
  <c r="AL4" i="17"/>
  <c r="AH4" i="17"/>
  <c r="AK43" i="18"/>
  <c r="G35" i="16"/>
  <c r="K4" i="16" s="1"/>
  <c r="K6" i="21" l="1"/>
  <c r="G33" i="21"/>
  <c r="K10" i="21" s="1"/>
  <c r="K15" i="21" s="1"/>
  <c r="K8" i="16"/>
  <c r="K13" i="16" s="1"/>
  <c r="K40" i="16" s="1"/>
  <c r="K31" i="20"/>
  <c r="AH4" i="20"/>
  <c r="AL4" i="20"/>
  <c r="AJ4" i="20"/>
  <c r="O26" i="19"/>
  <c r="O27" i="19" s="1"/>
  <c r="G17" i="19" s="1"/>
  <c r="AA34" i="19"/>
  <c r="AB34" i="19" s="1"/>
  <c r="AG44" i="18"/>
  <c r="AI44" i="18"/>
  <c r="K17" i="16"/>
  <c r="K16" i="16"/>
  <c r="K5" i="16"/>
  <c r="K48" i="16" l="1"/>
  <c r="K32" i="16"/>
  <c r="K43" i="21"/>
  <c r="K35" i="21"/>
  <c r="K7" i="21"/>
  <c r="K19" i="21"/>
  <c r="K18" i="21"/>
  <c r="AC34" i="19"/>
  <c r="G20" i="19"/>
  <c r="G18" i="19"/>
  <c r="AO44" i="18"/>
  <c r="AK44" i="18"/>
  <c r="K33" i="16"/>
  <c r="K41" i="16"/>
  <c r="K44" i="16" s="1"/>
  <c r="K49" i="16"/>
  <c r="K27" i="16"/>
  <c r="K50" i="16" l="1"/>
  <c r="K36" i="16"/>
  <c r="K44" i="21"/>
  <c r="K36" i="21"/>
  <c r="K39" i="21" s="1"/>
  <c r="K30" i="21"/>
  <c r="K47" i="21"/>
  <c r="K6" i="19"/>
  <c r="G33" i="19"/>
  <c r="K10" i="19" s="1"/>
  <c r="K15" i="19" s="1"/>
  <c r="K28" i="16"/>
  <c r="AJ4" i="16"/>
  <c r="AH4" i="16"/>
  <c r="AL4" i="16"/>
  <c r="K31" i="21" l="1"/>
  <c r="AL4" i="21"/>
  <c r="AH4" i="21"/>
  <c r="AJ4" i="21"/>
  <c r="K35" i="19"/>
  <c r="K43" i="19"/>
  <c r="K7" i="19"/>
  <c r="K18" i="19"/>
  <c r="K19" i="19"/>
  <c r="K30" i="19" l="1"/>
  <c r="K31" i="19" s="1"/>
  <c r="K44" i="19"/>
  <c r="K47" i="19" s="1"/>
  <c r="K36" i="19"/>
  <c r="K39" i="19" s="1"/>
  <c r="AH4" i="19" l="1"/>
  <c r="AL4" i="19"/>
  <c r="AJ4" i="19"/>
</calcChain>
</file>

<file path=xl/sharedStrings.xml><?xml version="1.0" encoding="utf-8"?>
<sst xmlns="http://schemas.openxmlformats.org/spreadsheetml/2006/main" count="1665" uniqueCount="203">
  <si>
    <t>!!! Press F9 to recalculate !!!</t>
  </si>
  <si>
    <t>Cd0</t>
  </si>
  <si>
    <t>Battery parameters</t>
  </si>
  <si>
    <t>battery_rho</t>
  </si>
  <si>
    <t>Wh/kg</t>
  </si>
  <si>
    <t>battery_eff</t>
  </si>
  <si>
    <t>battery_max_discharge</t>
  </si>
  <si>
    <t>kg</t>
  </si>
  <si>
    <t>m</t>
  </si>
  <si>
    <t>cruise_speed</t>
  </si>
  <si>
    <t>m/s</t>
  </si>
  <si>
    <t>Mission requirements</t>
  </si>
  <si>
    <t>flight_range</t>
  </si>
  <si>
    <t>s</t>
  </si>
  <si>
    <t>rho_air</t>
  </si>
  <si>
    <t>kg/m^3</t>
  </si>
  <si>
    <t>gravitational_accel</t>
  </si>
  <si>
    <t>m/s^2</t>
  </si>
  <si>
    <t>W</t>
  </si>
  <si>
    <t>thrust_each</t>
  </si>
  <si>
    <t>N</t>
  </si>
  <si>
    <t>Energy and time</t>
  </si>
  <si>
    <t>dyn_pressure</t>
  </si>
  <si>
    <t>N/m^2</t>
  </si>
  <si>
    <t>Rotor performance</t>
  </si>
  <si>
    <t>alpha</t>
  </si>
  <si>
    <t>omega</t>
  </si>
  <si>
    <t>rad/s</t>
  </si>
  <si>
    <t>mu</t>
  </si>
  <si>
    <t>Ct</t>
  </si>
  <si>
    <t>Profile_power</t>
  </si>
  <si>
    <t>lambda</t>
  </si>
  <si>
    <t>v_induced</t>
  </si>
  <si>
    <t>kappa_raw</t>
  </si>
  <si>
    <t>kappa_min</t>
  </si>
  <si>
    <t>kappa</t>
  </si>
  <si>
    <t>evtol_config</t>
  </si>
  <si>
    <t>W_total_takeoff</t>
  </si>
  <si>
    <t>Parasite_drag</t>
  </si>
  <si>
    <t>Total_drag</t>
  </si>
  <si>
    <t>deg</t>
  </si>
  <si>
    <t>Iter</t>
  </si>
  <si>
    <t>a</t>
  </si>
  <si>
    <t>f(a)</t>
  </si>
  <si>
    <t>b</t>
  </si>
  <si>
    <t>f(b)</t>
  </si>
  <si>
    <t>c</t>
  </si>
  <si>
    <t>f(c)</t>
  </si>
  <si>
    <t>f(a)*f(c)</t>
  </si>
  <si>
    <t>f(b)*f(c)</t>
  </si>
  <si>
    <t>Error (b-a)</t>
  </si>
  <si>
    <t>Weights modeling</t>
  </si>
  <si>
    <t>W_battery</t>
  </si>
  <si>
    <t>W_motors</t>
  </si>
  <si>
    <t>W_residual</t>
  </si>
  <si>
    <t>Acceptable?</t>
  </si>
  <si>
    <t>Weight percentages</t>
  </si>
  <si>
    <t>W_payload</t>
  </si>
  <si>
    <t>%</t>
  </si>
  <si>
    <t>Total</t>
  </si>
  <si>
    <t>W_fuselage</t>
  </si>
  <si>
    <t>W_landing_gear</t>
  </si>
  <si>
    <t>W_htail</t>
  </si>
  <si>
    <t>W_vtail</t>
  </si>
  <si>
    <t>W_avionics</t>
  </si>
  <si>
    <t>W_flight_control</t>
  </si>
  <si>
    <t>W_anti_icing</t>
  </si>
  <si>
    <t>W_furnishings</t>
  </si>
  <si>
    <t>payload_weight</t>
  </si>
  <si>
    <t>W_structure</t>
  </si>
  <si>
    <t>W_equipment</t>
  </si>
  <si>
    <t>Constants</t>
  </si>
  <si>
    <t>multirotor</t>
  </si>
  <si>
    <t>Stability (trim)</t>
  </si>
  <si>
    <t>Thrust_all</t>
  </si>
  <si>
    <t>sin_beta</t>
  </si>
  <si>
    <t>Bisection method for solving W_total_takeoff</t>
  </si>
  <si>
    <t>W_controllers</t>
  </si>
  <si>
    <t>W_propulsion</t>
  </si>
  <si>
    <t>W_takeoff</t>
  </si>
  <si>
    <t>Hover climb segment</t>
  </si>
  <si>
    <t>Hover descent segment</t>
  </si>
  <si>
    <t>power_hover_climb</t>
  </si>
  <si>
    <t>power_hover_descent</t>
  </si>
  <si>
    <t>hover_climb_speed</t>
  </si>
  <si>
    <t>hover_descent_speed</t>
  </si>
  <si>
    <t>Cruise segment</t>
  </si>
  <si>
    <t>hover_climb_distance</t>
  </si>
  <si>
    <t>hover climb duration</t>
  </si>
  <si>
    <t>cruise duration</t>
  </si>
  <si>
    <t>hover descent duration</t>
  </si>
  <si>
    <t>hover_descent_distance</t>
  </si>
  <si>
    <t>Aerodynamics in cruise</t>
  </si>
  <si>
    <t>Bisection method for solving RotorInflow lambda in cruise</t>
  </si>
  <si>
    <t>N_lift_rotor</t>
  </si>
  <si>
    <t>r_lift_rotor</t>
  </si>
  <si>
    <t>energy_consumption</t>
  </si>
  <si>
    <t>power_each</t>
  </si>
  <si>
    <t>Power maximum for design</t>
  </si>
  <si>
    <t>p_max_liftrotor</t>
  </si>
  <si>
    <t>p_max_liftrotor_each</t>
  </si>
  <si>
    <t>kW</t>
  </si>
  <si>
    <t>kWh</t>
  </si>
  <si>
    <t>mins</t>
  </si>
  <si>
    <t>Fuselage parameters</t>
  </si>
  <si>
    <t>n_pax</t>
  </si>
  <si>
    <t>l_fuse</t>
  </si>
  <si>
    <t>d_max</t>
  </si>
  <si>
    <t>Landing gear parameters</t>
  </si>
  <si>
    <t>N_blade_lift_rotor</t>
  </si>
  <si>
    <t>Rotor parameters</t>
  </si>
  <si>
    <t>Weight breakdown</t>
  </si>
  <si>
    <t>W_booms</t>
  </si>
  <si>
    <t>f/(W/1000)^2/3</t>
  </si>
  <si>
    <t>f_e_rotor_hubs</t>
  </si>
  <si>
    <t>m2</t>
  </si>
  <si>
    <t>type</t>
  </si>
  <si>
    <t>f_LG</t>
  </si>
  <si>
    <t>eVTOL design parameters</t>
  </si>
  <si>
    <t>lift_rotor_solidity</t>
  </si>
  <si>
    <t>lift_rotor_hover_FM</t>
  </si>
  <si>
    <t>rotor_tip_speed</t>
  </si>
  <si>
    <t>M</t>
  </si>
  <si>
    <t>sound_speed</t>
  </si>
  <si>
    <t>rotor_tip_speed_Mach</t>
  </si>
  <si>
    <t>RPM</t>
  </si>
  <si>
    <t>W_rotors_and_hubs</t>
  </si>
  <si>
    <t>W_extra_hubs</t>
  </si>
  <si>
    <t>Nm</t>
  </si>
  <si>
    <t>Pa s</t>
  </si>
  <si>
    <t>mu_air</t>
  </si>
  <si>
    <t>c_to_r_lift_rotor</t>
  </si>
  <si>
    <t>power_cruise</t>
  </si>
  <si>
    <t>skid</t>
  </si>
  <si>
    <t>skid_length</t>
  </si>
  <si>
    <t>skid_height</t>
  </si>
  <si>
    <t>mission_repetition</t>
  </si>
  <si>
    <t>rho_softmax</t>
  </si>
  <si>
    <t>mission_time</t>
  </si>
  <si>
    <t>tf_propulsion</t>
  </si>
  <si>
    <t>tf_structure</t>
  </si>
  <si>
    <t>tf_equipments</t>
  </si>
  <si>
    <t>LiftRotor|RPM_cruise</t>
  </si>
  <si>
    <t>LiftRotor|RPM_hover</t>
  </si>
  <si>
    <t>Environment at 5500 ft</t>
  </si>
  <si>
    <t>Environment at 6500 ft</t>
  </si>
  <si>
    <t>efficiency T/P</t>
  </si>
  <si>
    <t>g/W</t>
  </si>
  <si>
    <t>CT/sigma</t>
  </si>
  <si>
    <t>W_empty</t>
  </si>
  <si>
    <t>omega_motor</t>
  </si>
  <si>
    <t>gear_ratio</t>
  </si>
  <si>
    <t>RPM_motor</t>
  </si>
  <si>
    <t>torque_motor</t>
  </si>
  <si>
    <t>motor_weight</t>
  </si>
  <si>
    <t>motor_power_margin</t>
  </si>
  <si>
    <t>Reserve cruise segment</t>
  </si>
  <si>
    <t>reserve cruise duration</t>
  </si>
  <si>
    <t>f_e_non_hubs</t>
  </si>
  <si>
    <t>f_e_total</t>
  </si>
  <si>
    <t>Bisection method for solving W_total</t>
  </si>
  <si>
    <t>lift+cruise</t>
  </si>
  <si>
    <t>lift</t>
  </si>
  <si>
    <t>Propeller|RPM_cruise</t>
  </si>
  <si>
    <t>p_max_prop</t>
  </si>
  <si>
    <t>p_max_prop_each</t>
  </si>
  <si>
    <t>CD0_wing</t>
  </si>
  <si>
    <t>f_e_non_hub_non_wing</t>
  </si>
  <si>
    <t>CD0_total</t>
  </si>
  <si>
    <t>r_propeller</t>
  </si>
  <si>
    <t>c_to_r_propeller</t>
  </si>
  <si>
    <t>flight_time</t>
  </si>
  <si>
    <t>Oswald_e</t>
  </si>
  <si>
    <t>wing_area</t>
  </si>
  <si>
    <t>m^2</t>
  </si>
  <si>
    <t>CL</t>
  </si>
  <si>
    <t>wing_AR</t>
  </si>
  <si>
    <t>CD</t>
  </si>
  <si>
    <t>prop_tip_speed</t>
  </si>
  <si>
    <t>prop_tip_speed_Mach</t>
  </si>
  <si>
    <t>L/D</t>
  </si>
  <si>
    <t>Propeller performance in cruise</t>
  </si>
  <si>
    <t>W_wing</t>
  </si>
  <si>
    <t>lift_rotor_FM</t>
  </si>
  <si>
    <t>Propeller parameters</t>
  </si>
  <si>
    <t>N_propeller</t>
  </si>
  <si>
    <t>N_blade_propeller</t>
  </si>
  <si>
    <t>propeller_solidity</t>
  </si>
  <si>
    <t>propeller_FM</t>
  </si>
  <si>
    <t>wheeled</t>
  </si>
  <si>
    <t>l_sm</t>
  </si>
  <si>
    <t>n_ult</t>
  </si>
  <si>
    <t>Wing parameters</t>
  </si>
  <si>
    <t>Horizontal tail parameters</t>
  </si>
  <si>
    <t>htail_AR</t>
  </si>
  <si>
    <t>htail_S</t>
  </si>
  <si>
    <t>t_rh</t>
  </si>
  <si>
    <t>Vertical tail parameters</t>
  </si>
  <si>
    <t>vtail_AR</t>
  </si>
  <si>
    <t>vtail_S</t>
  </si>
  <si>
    <t>t_rv</t>
  </si>
  <si>
    <t>quarter_chord_sweep</t>
  </si>
  <si>
    <t>AoA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</si>
</sst>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4" borderId="0" xfId="0" applyFill="1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3" fillId="10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right" vertical="center"/>
    </xf>
    <xf numFmtId="11" fontId="0" fillId="4" borderId="0" xfId="0" applyNumberFormat="1" applyFill="1" applyAlignment="1">
      <alignment vertical="center"/>
    </xf>
    <xf numFmtId="0" fontId="0" fillId="11" borderId="0" xfId="0" applyFill="1"/>
    <xf numFmtId="0" fontId="0" fillId="11" borderId="0" xfId="0" applyFill="1" applyAlignment="1">
      <alignment vertical="center"/>
    </xf>
    <xf numFmtId="0" fontId="3" fillId="11" borderId="0" xfId="0" applyFont="1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vertical="center"/>
    </xf>
    <xf numFmtId="0" fontId="2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2" fillId="3" borderId="0" xfId="0" applyFont="1" applyFill="1" applyAlignment="1">
      <alignment horizontal="left"/>
    </xf>
    <xf numFmtId="0" fontId="0" fillId="3" borderId="0" xfId="0" applyFill="1" applyAlignment="1">
      <alignment horizontal="left" vertical="center"/>
    </xf>
  </cellXfs>
  <cellStyles count="1">
    <cellStyle name="Normal" xfId="0" builtinId="0"/>
  </cellStyles>
  <dxfs count="36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7667-004B-80A0-14CE28501DEA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7667-004B-80A0-14CE28501DEA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7667-004B-80A0-14CE28501DEA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7667-004B-80A0-14CE28501DEA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7667-004B-80A0-14CE28501DE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multirotor_opt_weight!$J$39:$J$43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multirotor_opt_weight!$K$39:$K$43</c:f>
              <c:numCache>
                <c:formatCode>General</c:formatCode>
                <c:ptCount val="5"/>
                <c:pt idx="0">
                  <c:v>21.53</c:v>
                </c:pt>
                <c:pt idx="1">
                  <c:v>45.03</c:v>
                </c:pt>
                <c:pt idx="2">
                  <c:v>21.59</c:v>
                </c:pt>
                <c:pt idx="3">
                  <c:v>6.97</c:v>
                </c:pt>
                <c:pt idx="4">
                  <c:v>4.8899999999999997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667-004B-80A0-14CE28501DE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3977-A446-98FD-FDAA54BD1F5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3977-A446-98FD-FDAA54BD1F5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3977-A446-98FD-FDAA54BD1F5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3977-A446-98FD-FDAA54BD1F5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3977-A446-98FD-FDAA54BD1F5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multirotor_opt_weight!$J$31:$J$35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multirotor_opt_weight!$K$31:$K$35</c:f>
              <c:numCache>
                <c:formatCode>General</c:formatCode>
                <c:ptCount val="5"/>
                <c:pt idx="0">
                  <c:v>600</c:v>
                </c:pt>
                <c:pt idx="1">
                  <c:v>1254.93</c:v>
                </c:pt>
                <c:pt idx="2">
                  <c:v>601.87</c:v>
                </c:pt>
                <c:pt idx="3">
                  <c:v>194.16</c:v>
                </c:pt>
                <c:pt idx="4">
                  <c:v>136.19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977-A446-98FD-FDAA54BD1F5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EFC0-4E4E-9AB2-30478B40779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EFC0-4E4E-9AB2-30478B40779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EFC0-4E4E-9AB2-30478B40779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EFC0-4E4E-9AB2-30478B407793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EFC0-4E4E-9AB2-30478B40779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multirotor_opt_energy!$J$39:$J$43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multirotor_opt_energy!$K$39:$K$43</c:f>
              <c:numCache>
                <c:formatCode>General</c:formatCode>
                <c:ptCount val="5"/>
                <c:pt idx="0">
                  <c:v>21.35</c:v>
                </c:pt>
                <c:pt idx="1">
                  <c:v>44.17</c:v>
                </c:pt>
                <c:pt idx="2">
                  <c:v>22.71</c:v>
                </c:pt>
                <c:pt idx="3">
                  <c:v>6.87</c:v>
                </c:pt>
                <c:pt idx="4">
                  <c:v>4.8899999999999997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FC0-4E4E-9AB2-30478B40779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245B-6D49-B39D-BA9035CE711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245B-6D49-B39D-BA9035CE711B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245B-6D49-B39D-BA9035CE711B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245B-6D49-B39D-BA9035CE711B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245B-6D49-B39D-BA9035CE711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multirotor_opt_energy!$J$31:$J$35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multirotor_opt_energy!$K$31:$K$35</c:f>
              <c:numCache>
                <c:formatCode>General</c:formatCode>
                <c:ptCount val="5"/>
                <c:pt idx="0">
                  <c:v>600</c:v>
                </c:pt>
                <c:pt idx="1">
                  <c:v>1241.26</c:v>
                </c:pt>
                <c:pt idx="2">
                  <c:v>638.22</c:v>
                </c:pt>
                <c:pt idx="3">
                  <c:v>193.1</c:v>
                </c:pt>
                <c:pt idx="4">
                  <c:v>137.38999999999999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45B-6D49-B39D-BA9035CE711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6C54-C54F-81DD-33605AD0302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6C54-C54F-81DD-33605AD0302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6C54-C54F-81DD-33605AD0302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6C54-C54F-81DD-33605AD0302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6C54-C54F-81DD-33605AD0302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multirotor_opt_time!$J$39:$J$43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multirotor_opt_time!$K$39:$K$43</c:f>
              <c:numCache>
                <c:formatCode>General</c:formatCode>
                <c:ptCount val="5"/>
                <c:pt idx="0">
                  <c:v>10.64</c:v>
                </c:pt>
                <c:pt idx="1">
                  <c:v>55.48</c:v>
                </c:pt>
                <c:pt idx="2">
                  <c:v>23.84</c:v>
                </c:pt>
                <c:pt idx="3">
                  <c:v>4.84</c:v>
                </c:pt>
                <c:pt idx="4">
                  <c:v>5.2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C54-C54F-81DD-33605AD0302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876E-0F48-B66C-F1894512349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876E-0F48-B66C-F18945123496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876E-0F48-B66C-F18945123496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876E-0F48-B66C-F18945123496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876E-0F48-B66C-F1894512349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multirotor_opt_time!$J$31:$J$35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multirotor_opt_time!$K$31:$K$35</c:f>
              <c:numCache>
                <c:formatCode>General</c:formatCode>
                <c:ptCount val="5"/>
                <c:pt idx="0">
                  <c:v>600</c:v>
                </c:pt>
                <c:pt idx="1">
                  <c:v>3129.4</c:v>
                </c:pt>
                <c:pt idx="2">
                  <c:v>1344.97</c:v>
                </c:pt>
                <c:pt idx="3">
                  <c:v>273.2</c:v>
                </c:pt>
                <c:pt idx="4">
                  <c:v>293.45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76E-0F48-B66C-F1894512349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67DF-0A48-B860-65C7907DAF1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67DF-0A48-B860-65C7907DAF1E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67DF-0A48-B860-65C7907DAF1E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67DF-0A48-B860-65C7907DAF1E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67DF-0A48-B860-65C7907DAF1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liftcruise_opt_weight!$J$42:$J$46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liftcruise_opt_weight!$K$42:$K$46</c:f>
              <c:numCache>
                <c:formatCode>General</c:formatCode>
                <c:ptCount val="5"/>
                <c:pt idx="0">
                  <c:v>600</c:v>
                </c:pt>
                <c:pt idx="1">
                  <c:v>408.96</c:v>
                </c:pt>
                <c:pt idx="2">
                  <c:v>246.49</c:v>
                </c:pt>
                <c:pt idx="3">
                  <c:v>456.06</c:v>
                </c:pt>
                <c:pt idx="4">
                  <c:v>85.51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7DF-0A48-B860-65C7907DAF1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0289-764D-ADB3-C85B3B957C2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0289-764D-ADB3-C85B3B957C24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0289-764D-ADB3-C85B3B957C24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0289-764D-ADB3-C85B3B957C24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0289-764D-ADB3-C85B3B957C2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liftcruise_opt_weight!$J$34:$J$38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liftcruise_opt_weight!$K$34:$K$38</c:f>
              <c:numCache>
                <c:formatCode>General</c:formatCode>
                <c:ptCount val="5"/>
                <c:pt idx="0">
                  <c:v>33.39</c:v>
                </c:pt>
                <c:pt idx="1">
                  <c:v>22.76</c:v>
                </c:pt>
                <c:pt idx="2">
                  <c:v>13.72</c:v>
                </c:pt>
                <c:pt idx="3">
                  <c:v>25.38</c:v>
                </c:pt>
                <c:pt idx="4">
                  <c:v>4.76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289-764D-ADB3-C85B3B957C2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7912-8843-A4F5-6299154A0EF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7912-8843-A4F5-6299154A0EF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7912-8843-A4F5-6299154A0EF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7912-8843-A4F5-6299154A0EF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7912-8843-A4F5-6299154A0EF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liftcruise_opt_energy!$J$42:$J$46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liftcruise_opt_energy!$K$42:$K$46</c:f>
              <c:numCache>
                <c:formatCode>General</c:formatCode>
                <c:ptCount val="5"/>
                <c:pt idx="0">
                  <c:v>600</c:v>
                </c:pt>
                <c:pt idx="1">
                  <c:v>376.57</c:v>
                </c:pt>
                <c:pt idx="2">
                  <c:v>241.73</c:v>
                </c:pt>
                <c:pt idx="3">
                  <c:v>564.80999999999995</c:v>
                </c:pt>
                <c:pt idx="4">
                  <c:v>89.28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912-8843-A4F5-6299154A0EF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0E45-3447-817A-E148A46F88A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0E45-3447-817A-E148A46F88AE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0E45-3447-817A-E148A46F88AE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0E45-3447-817A-E148A46F88AE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0E45-3447-817A-E148A46F88A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liftcruise_opt_energy!$J$34:$J$38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liftcruise_opt_energy!$K$34:$K$38</c:f>
              <c:numCache>
                <c:formatCode>General</c:formatCode>
                <c:ptCount val="5"/>
                <c:pt idx="0">
                  <c:v>32.04</c:v>
                </c:pt>
                <c:pt idx="1">
                  <c:v>20.11</c:v>
                </c:pt>
                <c:pt idx="2">
                  <c:v>12.91</c:v>
                </c:pt>
                <c:pt idx="3">
                  <c:v>30.17</c:v>
                </c:pt>
                <c:pt idx="4">
                  <c:v>4.7699999999999996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E45-3447-817A-E148A46F88A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400B-E74E-9233-3B80E5D53ADF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400B-E74E-9233-3B80E5D53ADF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400B-E74E-9233-3B80E5D53ADF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400B-E74E-9233-3B80E5D53ADF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400B-E74E-9233-3B80E5D53AD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liftcruise_opt_time!$J$42:$J$46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liftcruise_opt_time!$K$42:$K$46</c:f>
              <c:numCache>
                <c:formatCode>General</c:formatCode>
                <c:ptCount val="5"/>
                <c:pt idx="0">
                  <c:v>600</c:v>
                </c:pt>
                <c:pt idx="1">
                  <c:v>1155.3599999999999</c:v>
                </c:pt>
                <c:pt idx="2">
                  <c:v>569.64</c:v>
                </c:pt>
                <c:pt idx="3">
                  <c:v>597.91</c:v>
                </c:pt>
                <c:pt idx="4">
                  <c:v>151.32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00B-E74E-9233-3B80E5D53AD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74E-D647-B6D9-88925379B61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74E-D647-B6D9-88925379B61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74E-D647-B6D9-88925379B61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74E-D647-B6D9-88925379B61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74E-D647-B6D9-88925379B61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liftcruise_opt_time!$J$34:$J$38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liftcruise_opt_time!$K$34:$K$38</c:f>
              <c:numCache>
                <c:formatCode>General</c:formatCode>
                <c:ptCount val="5"/>
                <c:pt idx="0">
                  <c:v>19.52</c:v>
                </c:pt>
                <c:pt idx="1">
                  <c:v>37.58</c:v>
                </c:pt>
                <c:pt idx="2">
                  <c:v>18.53</c:v>
                </c:pt>
                <c:pt idx="3">
                  <c:v>19.45</c:v>
                </c:pt>
                <c:pt idx="4">
                  <c:v>4.92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74E-D647-B6D9-88925379B61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124410</xdr:colOff>
      <xdr:row>29</xdr:row>
      <xdr:rowOff>159439</xdr:rowOff>
    </xdr:from>
    <xdr:to>
      <xdr:col>16</xdr:col>
      <xdr:colOff>398517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45A728-97F7-DF45-97CA-2AE4C58C68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318889</xdr:colOff>
      <xdr:row>38</xdr:row>
      <xdr:rowOff>3300</xdr:rowOff>
    </xdr:from>
    <xdr:to>
      <xdr:col>8</xdr:col>
      <xdr:colOff>156356</xdr:colOff>
      <xdr:row>49</xdr:row>
      <xdr:rowOff>96433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1242776-1ABB-CF43-B8F5-52ED5A98F6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124410</xdr:colOff>
      <xdr:row>29</xdr:row>
      <xdr:rowOff>159439</xdr:rowOff>
    </xdr:from>
    <xdr:to>
      <xdr:col>16</xdr:col>
      <xdr:colOff>398517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DDEFC1-4F8C-AB42-B60A-924C9E289F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318889</xdr:colOff>
      <xdr:row>38</xdr:row>
      <xdr:rowOff>3300</xdr:rowOff>
    </xdr:from>
    <xdr:to>
      <xdr:col>8</xdr:col>
      <xdr:colOff>156356</xdr:colOff>
      <xdr:row>49</xdr:row>
      <xdr:rowOff>96433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68C23BF-12B3-3040-AF7F-F08ADBA23D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124410</xdr:colOff>
      <xdr:row>29</xdr:row>
      <xdr:rowOff>159439</xdr:rowOff>
    </xdr:from>
    <xdr:to>
      <xdr:col>16</xdr:col>
      <xdr:colOff>398517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B57518-282F-5D4E-887B-1110506BB5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318889</xdr:colOff>
      <xdr:row>38</xdr:row>
      <xdr:rowOff>3300</xdr:rowOff>
    </xdr:from>
    <xdr:to>
      <xdr:col>8</xdr:col>
      <xdr:colOff>156356</xdr:colOff>
      <xdr:row>49</xdr:row>
      <xdr:rowOff>96433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4EE6E0D-D8FE-3044-84E3-EBBC256B00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E74F60-470E-2C4F-A050-2A33043846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DF1703-77FE-5340-8B3C-DC20A1BF5B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998B67-1C14-2241-889C-4935F9F923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1A0C19-5D30-594A-B338-7104856A0F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763C57-E300-2844-B639-653AB46AB3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4F845D0-359E-1A49-9DB8-B6280D77AE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3DFBB-4DC1-7D4A-8A65-BB29C8D40E75}">
  <dimension ref="B1:AO56"/>
  <sheetViews>
    <sheetView workbookViewId="0">
      <selection activeCell="C6" sqref="C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30" t="s">
        <v>0</v>
      </c>
      <c r="C1" s="30"/>
      <c r="D1" s="30"/>
    </row>
    <row r="2" spans="2:41" x14ac:dyDescent="0.2">
      <c r="U2" s="16" t="s">
        <v>93</v>
      </c>
      <c r="AF2" s="16" t="s">
        <v>76</v>
      </c>
    </row>
    <row r="3" spans="2:41" x14ac:dyDescent="0.2">
      <c r="B3" s="31" t="s">
        <v>118</v>
      </c>
      <c r="C3" s="32"/>
      <c r="D3" s="32"/>
      <c r="F3" s="31" t="s">
        <v>80</v>
      </c>
      <c r="G3" s="32"/>
      <c r="H3" s="32"/>
      <c r="J3" s="33" t="s">
        <v>98</v>
      </c>
      <c r="K3" s="33"/>
      <c r="L3" s="33"/>
      <c r="N3" s="33" t="s">
        <v>92</v>
      </c>
      <c r="O3" s="33"/>
      <c r="P3" s="33"/>
      <c r="U3" s="7" t="s">
        <v>41</v>
      </c>
      <c r="V3" s="7" t="s">
        <v>42</v>
      </c>
      <c r="W3" s="7" t="s">
        <v>43</v>
      </c>
      <c r="X3" s="7" t="s">
        <v>44</v>
      </c>
      <c r="Y3" s="7" t="s">
        <v>45</v>
      </c>
      <c r="Z3" s="7" t="s">
        <v>46</v>
      </c>
      <c r="AA3" s="7" t="s">
        <v>47</v>
      </c>
      <c r="AB3" s="7" t="s">
        <v>48</v>
      </c>
      <c r="AC3" s="7" t="s">
        <v>49</v>
      </c>
      <c r="AD3" s="7" t="s">
        <v>50</v>
      </c>
      <c r="AF3" s="7" t="s">
        <v>41</v>
      </c>
      <c r="AG3" s="7" t="s">
        <v>42</v>
      </c>
      <c r="AH3" s="7" t="s">
        <v>43</v>
      </c>
      <c r="AI3" s="7" t="s">
        <v>44</v>
      </c>
      <c r="AJ3" s="7" t="s">
        <v>45</v>
      </c>
      <c r="AK3" s="7" t="s">
        <v>46</v>
      </c>
      <c r="AL3" s="7" t="s">
        <v>47</v>
      </c>
      <c r="AM3" s="7" t="s">
        <v>48</v>
      </c>
      <c r="AN3" s="7" t="s">
        <v>49</v>
      </c>
      <c r="AO3" s="7" t="s">
        <v>50</v>
      </c>
    </row>
    <row r="4" spans="2:41" x14ac:dyDescent="0.2">
      <c r="B4" s="6" t="s">
        <v>36</v>
      </c>
      <c r="C4" s="22" t="s">
        <v>72</v>
      </c>
      <c r="F4" t="s">
        <v>84</v>
      </c>
      <c r="G4" s="1">
        <f>500*0.3048/60</f>
        <v>2.54</v>
      </c>
      <c r="H4" t="s">
        <v>10</v>
      </c>
      <c r="J4" t="s">
        <v>99</v>
      </c>
      <c r="K4" s="6">
        <f>(1+$C$22/100)*MAX(G12,G22,G31,G35)</f>
        <v>585.0876833951661</v>
      </c>
      <c r="L4" s="6" t="s">
        <v>101</v>
      </c>
      <c r="N4" s="6" t="s">
        <v>22</v>
      </c>
      <c r="O4" s="6">
        <f xml:space="preserve"> 0.5 * $C$47 * $C$8^2</f>
        <v>1960.3646354408147</v>
      </c>
      <c r="P4" s="6" t="s">
        <v>23</v>
      </c>
      <c r="U4" s="2">
        <v>0</v>
      </c>
      <c r="V4" s="3">
        <v>0</v>
      </c>
      <c r="W4" s="2">
        <f t="shared" ref="W4:W34" si="0" xml:space="preserve"> $O$20 * TAN($O$17/180*PI()) + $O$21 / (2 * SQRT($O$20^2 + V4^2)) - V4</f>
        <v>4.2352214645588894E-2</v>
      </c>
      <c r="X4" s="3">
        <v>1</v>
      </c>
      <c r="Y4" s="2">
        <f t="shared" ref="Y4:Y34" si="1" xml:space="preserve"> $O$20 * TAN($O$17/180*PI()) + $O$21 / (2 * SQRT($O$20^2 + X4^2)) - X4</f>
        <v>-0.96372486362075471</v>
      </c>
      <c r="Z4" s="2">
        <f xml:space="preserve"> (V4 + X4)/2</f>
        <v>0.5</v>
      </c>
      <c r="AA4" s="2">
        <f t="shared" ref="AA4:AA34" si="2" xml:space="preserve"> $O$20 * TAN($O$17/180*PI()) + $O$21 / (2 * SQRT($O$20^2 + Z4^2)) - Z4</f>
        <v>-0.46114899302162488</v>
      </c>
      <c r="AB4" s="2">
        <f>W4*AA4</f>
        <v>-1.9530681136049031E-2</v>
      </c>
      <c r="AC4" s="2">
        <f>Y4*AA4</f>
        <v>0.44442075040861378</v>
      </c>
      <c r="AD4" s="2">
        <f>X4-V4</f>
        <v>1</v>
      </c>
      <c r="AF4" s="2">
        <v>0</v>
      </c>
      <c r="AG4" s="2"/>
      <c r="AH4" s="2">
        <f>K27</f>
        <v>-8.6873116410970397E-3</v>
      </c>
      <c r="AI4" s="2"/>
      <c r="AJ4" s="2">
        <f>K27</f>
        <v>-8.6873116410970397E-3</v>
      </c>
      <c r="AK4" s="2"/>
      <c r="AL4" s="2">
        <f>K27</f>
        <v>-8.6873116410970397E-3</v>
      </c>
      <c r="AM4" s="2"/>
      <c r="AN4" s="2"/>
      <c r="AO4" s="2"/>
    </row>
    <row r="5" spans="2:41" x14ac:dyDescent="0.2">
      <c r="B5" s="10" t="s">
        <v>37</v>
      </c>
      <c r="C5" s="10">
        <v>2787.1417767390999</v>
      </c>
      <c r="D5" s="10" t="s">
        <v>7</v>
      </c>
      <c r="F5" t="s">
        <v>87</v>
      </c>
      <c r="G5" s="1">
        <f>1000*0.3048</f>
        <v>304.8</v>
      </c>
      <c r="H5" t="s">
        <v>8</v>
      </c>
      <c r="J5" t="s">
        <v>100</v>
      </c>
      <c r="K5" s="6">
        <f>K4/$C$18</f>
        <v>146.27192084879152</v>
      </c>
      <c r="L5" s="6" t="s">
        <v>101</v>
      </c>
      <c r="N5" s="6" t="s">
        <v>114</v>
      </c>
      <c r="O5" s="6">
        <f xml:space="preserve"> $C$18 * 0.85 * ($C$5/$C$18 *2.20462/1000)^(2/3) * 0.3048^2</f>
        <v>0.42053038826294137</v>
      </c>
      <c r="P5" s="6" t="s">
        <v>115</v>
      </c>
      <c r="U5" s="2">
        <v>1</v>
      </c>
      <c r="V5" s="2">
        <f>IF(AB4&gt;0, Z4, V4)</f>
        <v>0</v>
      </c>
      <c r="W5" s="2">
        <f t="shared" si="0"/>
        <v>4.2352214645588894E-2</v>
      </c>
      <c r="X5" s="2">
        <f>IF(AC4&gt;0, Z4, X4)</f>
        <v>0.5</v>
      </c>
      <c r="Y5" s="2">
        <f t="shared" si="1"/>
        <v>-0.46114899302162488</v>
      </c>
      <c r="Z5" s="2">
        <f t="shared" ref="Z5:Z34" si="3" xml:space="preserve"> (V5 + X5)/2</f>
        <v>0.25</v>
      </c>
      <c r="AA5" s="2">
        <f t="shared" si="2"/>
        <v>-0.20901345357409226</v>
      </c>
      <c r="AB5" s="2">
        <f t="shared" ref="AB5:AB34" si="4">W5*AA5</f>
        <v>-8.8521826495857846E-3</v>
      </c>
      <c r="AC5" s="2">
        <f t="shared" ref="AC5:AC34" si="5">Y5*AA5</f>
        <v>9.6386343643664787E-2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 ca="1"/>
        <v>-1135.221259468902</v>
      </c>
      <c r="AI5" s="3">
        <v>10000</v>
      </c>
      <c r="AJ5" s="2">
        <f t="dataTable" ref="AJ5:AJ44" dt2D="0" dtr="0" r1="C5"/>
        <v>748.10169802974269</v>
      </c>
      <c r="AK5" s="2">
        <f>(AG5+AI5)/2</f>
        <v>5250</v>
      </c>
      <c r="AL5" s="2">
        <f t="dataTable" ref="AL5:AL44" dt2D="0" dtr="0" r1="C5" ca="1"/>
        <v>726.71925006285392</v>
      </c>
      <c r="AM5" s="2">
        <f>AH5*AL5</f>
        <v>-824987.14233664889</v>
      </c>
      <c r="AN5" s="2">
        <f>AJ5*AL5</f>
        <v>543659.90496292221</v>
      </c>
      <c r="AO5" s="2">
        <f>AI5-AG5</f>
        <v>9500</v>
      </c>
    </row>
    <row r="6" spans="2:41" x14ac:dyDescent="0.2">
      <c r="B6" s="6" t="s">
        <v>143</v>
      </c>
      <c r="C6" s="17">
        <v>400</v>
      </c>
      <c r="D6" s="6" t="s">
        <v>125</v>
      </c>
      <c r="F6" t="s">
        <v>88</v>
      </c>
      <c r="G6" s="8">
        <f>$G$5/$G$4</f>
        <v>120</v>
      </c>
      <c r="H6" s="6" t="s">
        <v>13</v>
      </c>
      <c r="N6" t="s">
        <v>158</v>
      </c>
      <c r="O6" s="17">
        <v>0.63027662333509604</v>
      </c>
      <c r="P6" s="6" t="s">
        <v>115</v>
      </c>
      <c r="U6" s="2">
        <v>2</v>
      </c>
      <c r="V6" s="2">
        <f t="shared" ref="V6:V34" si="7">IF(AB5&gt;0, Z5, V5)</f>
        <v>0</v>
      </c>
      <c r="W6" s="2">
        <f t="shared" si="0"/>
        <v>4.2352214645588894E-2</v>
      </c>
      <c r="X6" s="2">
        <f t="shared" ref="X6:X34" si="8">IF(AC5&gt;0, Z5, X5)</f>
        <v>0.25</v>
      </c>
      <c r="Y6" s="2">
        <f t="shared" si="1"/>
        <v>-0.20901345357409226</v>
      </c>
      <c r="Z6" s="2">
        <f t="shared" si="3"/>
        <v>0.125</v>
      </c>
      <c r="AA6" s="2">
        <f t="shared" si="2"/>
        <v>-8.3048785507449874E-2</v>
      </c>
      <c r="AB6" s="2">
        <f t="shared" si="4"/>
        <v>-3.5172999898669894E-3</v>
      </c>
      <c r="AC6" s="2">
        <f t="shared" si="5"/>
        <v>1.7358313474046122E-2</v>
      </c>
      <c r="AD6" s="2">
        <f t="shared" si="6"/>
        <v>0.25</v>
      </c>
      <c r="AF6" s="2">
        <v>2</v>
      </c>
      <c r="AG6" s="2">
        <f>IF(AM5&gt;0, AK5, AG5)</f>
        <v>500</v>
      </c>
      <c r="AH6" s="2">
        <v>-1135.221259468902</v>
      </c>
      <c r="AI6" s="2">
        <f>IF(AN5&gt;0, AK5, AI5)</f>
        <v>5250</v>
      </c>
      <c r="AJ6" s="2">
        <v>726.71925006285392</v>
      </c>
      <c r="AK6" s="2">
        <f t="shared" ref="AK6:AK43" si="9">(AG6+AI6)/2</f>
        <v>2875</v>
      </c>
      <c r="AL6" s="2">
        <v>34.99911616792906</v>
      </c>
      <c r="AM6" s="2">
        <f t="shared" ref="AM6:AM44" si="10">AH6*AL6</f>
        <v>-39731.740736454834</v>
      </c>
      <c r="AN6" s="2">
        <f t="shared" ref="AN6:AN44" si="11">AJ6*AL6</f>
        <v>25434.531454420114</v>
      </c>
      <c r="AO6" s="2">
        <f t="shared" ref="AO6:AO44" si="12">AI6-AG6</f>
        <v>4750</v>
      </c>
    </row>
    <row r="7" spans="2:41" x14ac:dyDescent="0.2">
      <c r="B7" s="6" t="s">
        <v>142</v>
      </c>
      <c r="C7" s="17">
        <v>400.68315226026999</v>
      </c>
      <c r="D7" s="6" t="s">
        <v>125</v>
      </c>
      <c r="F7" t="s">
        <v>121</v>
      </c>
      <c r="G7" s="8">
        <f>$C$6*2*PI()/60*$C$9</f>
        <v>144.80388481876139</v>
      </c>
      <c r="H7" s="6" t="s">
        <v>10</v>
      </c>
      <c r="J7" s="33" t="s">
        <v>21</v>
      </c>
      <c r="K7" s="33"/>
      <c r="L7" s="33"/>
      <c r="N7" s="6" t="s">
        <v>159</v>
      </c>
      <c r="O7" s="6">
        <f>O5+$O$6</f>
        <v>1.0508070115980375</v>
      </c>
      <c r="P7" s="6" t="s">
        <v>115</v>
      </c>
      <c r="U7" s="2">
        <v>3</v>
      </c>
      <c r="V7" s="2">
        <f t="shared" si="7"/>
        <v>0</v>
      </c>
      <c r="W7" s="2">
        <f t="shared" si="0"/>
        <v>4.2352214645588894E-2</v>
      </c>
      <c r="X7" s="2">
        <f t="shared" si="8"/>
        <v>0.125</v>
      </c>
      <c r="Y7" s="2">
        <f t="shared" si="1"/>
        <v>-8.3048785507449874E-2</v>
      </c>
      <c r="Z7" s="2">
        <f t="shared" si="3"/>
        <v>6.25E-2</v>
      </c>
      <c r="AA7" s="2">
        <f t="shared" si="2"/>
        <v>-2.0252715998588647E-2</v>
      </c>
      <c r="AB7" s="2">
        <f t="shared" si="4"/>
        <v>-8.5774737512837862E-4</v>
      </c>
      <c r="AC7" s="2">
        <f t="shared" si="5"/>
        <v>1.6819634669100871E-3</v>
      </c>
      <c r="AD7" s="2">
        <f t="shared" si="6"/>
        <v>0.125</v>
      </c>
      <c r="AF7" s="2">
        <v>3</v>
      </c>
      <c r="AG7" s="2">
        <f t="shared" ref="AG7:AG44" si="13">IF(AM6&gt;0, AK6, AG6)</f>
        <v>500</v>
      </c>
      <c r="AH7" s="2">
        <v>-1135.221259468902</v>
      </c>
      <c r="AI7" s="2">
        <f t="shared" ref="AI7:AI44" si="14">IF(AN6&gt;0, AK6, AI6)</f>
        <v>2875</v>
      </c>
      <c r="AJ7" s="2">
        <v>34.99911616792906</v>
      </c>
      <c r="AK7" s="2">
        <f t="shared" si="9"/>
        <v>1687.5</v>
      </c>
      <c r="AL7" s="2">
        <v>-489.2577389931264</v>
      </c>
      <c r="AM7" s="2">
        <f t="shared" si="10"/>
        <v>555415.7866646843</v>
      </c>
      <c r="AN7" s="2">
        <f t="shared" si="11"/>
        <v>-17123.588443078745</v>
      </c>
      <c r="AO7" s="2">
        <f t="shared" si="12"/>
        <v>2375</v>
      </c>
    </row>
    <row r="8" spans="2:41" x14ac:dyDescent="0.2">
      <c r="B8" s="6" t="s">
        <v>9</v>
      </c>
      <c r="C8" s="17">
        <f xml:space="preserve"> 224.459708284725 * 1000/3600</f>
        <v>62.349918967979164</v>
      </c>
      <c r="D8" s="6" t="s">
        <v>10</v>
      </c>
      <c r="F8" t="s">
        <v>124</v>
      </c>
      <c r="G8" s="8">
        <f>G7/$C$43</f>
        <v>0.43365240120059728</v>
      </c>
      <c r="H8" s="6" t="s">
        <v>122</v>
      </c>
      <c r="J8" s="6" t="s">
        <v>96</v>
      </c>
      <c r="K8" s="6">
        <f xml:space="preserve"> $C$15 * (G12*G6 + G22*G15 + G31*G27 +G35*G34)/3600</f>
        <v>213.33847400343686</v>
      </c>
      <c r="L8" s="6" t="s">
        <v>102</v>
      </c>
      <c r="N8" s="6" t="s">
        <v>38</v>
      </c>
      <c r="O8" s="6">
        <f xml:space="preserve"> O4 *O7</f>
        <v>2059.9649042100386</v>
      </c>
      <c r="P8" s="6" t="s">
        <v>20</v>
      </c>
      <c r="U8" s="2">
        <v>4</v>
      </c>
      <c r="V8" s="2">
        <f t="shared" si="7"/>
        <v>0</v>
      </c>
      <c r="W8" s="2">
        <f t="shared" si="0"/>
        <v>4.2352214645588894E-2</v>
      </c>
      <c r="X8" s="2">
        <f t="shared" si="8"/>
        <v>6.25E-2</v>
      </c>
      <c r="Y8" s="2">
        <f t="shared" si="1"/>
        <v>-2.0252715998588647E-2</v>
      </c>
      <c r="Z8" s="2">
        <f t="shared" si="3"/>
        <v>3.125E-2</v>
      </c>
      <c r="AA8" s="2">
        <f t="shared" si="2"/>
        <v>1.1075670182297694E-2</v>
      </c>
      <c r="AB8" s="2">
        <f t="shared" si="4"/>
        <v>4.6907916090442061E-4</v>
      </c>
      <c r="AC8" s="2">
        <f t="shared" si="5"/>
        <v>-2.2431240269611173E-4</v>
      </c>
      <c r="AD8" s="2">
        <f t="shared" si="6"/>
        <v>6.25E-2</v>
      </c>
      <c r="AF8" s="2">
        <v>4</v>
      </c>
      <c r="AG8" s="2">
        <f t="shared" si="13"/>
        <v>1687.5</v>
      </c>
      <c r="AH8" s="2">
        <v>-489.2577389931264</v>
      </c>
      <c r="AI8" s="2">
        <f t="shared" si="14"/>
        <v>2875</v>
      </c>
      <c r="AJ8" s="2">
        <v>34.99911616792906</v>
      </c>
      <c r="AK8" s="2">
        <f t="shared" si="9"/>
        <v>2281.25</v>
      </c>
      <c r="AL8" s="2">
        <v>-214.14612285582461</v>
      </c>
      <c r="AM8" s="2">
        <f t="shared" si="10"/>
        <v>104772.64788258502</v>
      </c>
      <c r="AN8" s="2">
        <f t="shared" si="11"/>
        <v>-7494.9250307426137</v>
      </c>
      <c r="AO8" s="2">
        <f t="shared" si="12"/>
        <v>1187.5</v>
      </c>
    </row>
    <row r="9" spans="2:41" x14ac:dyDescent="0.2">
      <c r="B9" s="6" t="s">
        <v>95</v>
      </c>
      <c r="C9" s="17">
        <v>3.4569381071723</v>
      </c>
      <c r="D9" s="6" t="s">
        <v>8</v>
      </c>
      <c r="F9" t="s">
        <v>19</v>
      </c>
      <c r="G9" s="6">
        <f xml:space="preserve"> $C$5 * $C$44 / $C$18</f>
        <v>6829.536394170249</v>
      </c>
      <c r="H9" s="6" t="s">
        <v>20</v>
      </c>
      <c r="J9" s="6" t="s">
        <v>138</v>
      </c>
      <c r="K9" s="6">
        <f xml:space="preserve"> $C$15 * (G6 + G15 + G27 + G34)/60</f>
        <v>52.064188709787167</v>
      </c>
      <c r="L9" s="6" t="s">
        <v>103</v>
      </c>
      <c r="N9" s="6" t="s">
        <v>39</v>
      </c>
      <c r="O9" s="6">
        <f xml:space="preserve"> O8</f>
        <v>2059.9649042100386</v>
      </c>
      <c r="P9" s="6" t="s">
        <v>20</v>
      </c>
      <c r="U9" s="2">
        <v>5</v>
      </c>
      <c r="V9" s="2">
        <f t="shared" si="7"/>
        <v>3.125E-2</v>
      </c>
      <c r="W9" s="2">
        <f t="shared" si="0"/>
        <v>1.1075670182297694E-2</v>
      </c>
      <c r="X9" s="2">
        <f t="shared" si="8"/>
        <v>6.25E-2</v>
      </c>
      <c r="Y9" s="2">
        <f t="shared" si="1"/>
        <v>-2.0252715998588647E-2</v>
      </c>
      <c r="Z9" s="2">
        <f t="shared" si="3"/>
        <v>4.6875E-2</v>
      </c>
      <c r="AA9" s="2">
        <f t="shared" si="2"/>
        <v>-4.5822158422129389E-3</v>
      </c>
      <c r="AB9" s="2">
        <f t="shared" si="4"/>
        <v>-5.0751111372449961E-5</v>
      </c>
      <c r="AC9" s="2">
        <f t="shared" si="5"/>
        <v>9.2802316096572335E-5</v>
      </c>
      <c r="AD9" s="2">
        <f t="shared" si="6"/>
        <v>3.125E-2</v>
      </c>
      <c r="AF9" s="2">
        <v>5</v>
      </c>
      <c r="AG9" s="2">
        <f t="shared" si="13"/>
        <v>2281.25</v>
      </c>
      <c r="AH9" s="2">
        <v>-214.14612285582461</v>
      </c>
      <c r="AI9" s="2">
        <f t="shared" si="14"/>
        <v>2875</v>
      </c>
      <c r="AJ9" s="2">
        <v>34.99911616792906</v>
      </c>
      <c r="AK9" s="2">
        <f t="shared" si="9"/>
        <v>2578.125</v>
      </c>
      <c r="AL9" s="2">
        <v>-85.977418590217894</v>
      </c>
      <c r="AM9" s="2">
        <f t="shared" si="10"/>
        <v>18411.73084424746</v>
      </c>
      <c r="AN9" s="2">
        <f t="shared" si="11"/>
        <v>-3009.1336610576996</v>
      </c>
      <c r="AO9" s="2">
        <f t="shared" si="12"/>
        <v>593.75</v>
      </c>
    </row>
    <row r="10" spans="2:41" x14ac:dyDescent="0.2">
      <c r="B10" s="6" t="s">
        <v>131</v>
      </c>
      <c r="C10" s="17">
        <f>(0.071475+0.069425+0.067375+0.065325+0.063275+0.061225+0.059175+0.057125)/8</f>
        <v>6.4299999999999982E-2</v>
      </c>
      <c r="F10" t="s">
        <v>97</v>
      </c>
      <c r="G10" s="6">
        <f>G12/$C$18</f>
        <v>97.514613899194359</v>
      </c>
      <c r="H10" s="6" t="s">
        <v>101</v>
      </c>
      <c r="N10" s="6" t="s">
        <v>113</v>
      </c>
      <c r="O10" s="6">
        <f>O7/(0.3048^2)/($C$5*2.20462/1000)^(2/3)</f>
        <v>3.3715621316664968</v>
      </c>
      <c r="U10" s="2">
        <v>6</v>
      </c>
      <c r="V10" s="2">
        <f t="shared" si="7"/>
        <v>3.125E-2</v>
      </c>
      <c r="W10" s="2">
        <f t="shared" si="0"/>
        <v>1.1075670182297694E-2</v>
      </c>
      <c r="X10" s="2">
        <f t="shared" si="8"/>
        <v>4.6875E-2</v>
      </c>
      <c r="Y10" s="2">
        <f t="shared" si="1"/>
        <v>-4.5822158422129389E-3</v>
      </c>
      <c r="Z10" s="2">
        <f t="shared" si="3"/>
        <v>3.90625E-2</v>
      </c>
      <c r="AA10" s="2">
        <f t="shared" si="2"/>
        <v>3.2483312481010954E-3</v>
      </c>
      <c r="AB10" s="2">
        <f t="shared" si="4"/>
        <v>3.5977445546819157E-5</v>
      </c>
      <c r="AC10" s="2">
        <f t="shared" si="5"/>
        <v>-1.4884554905804168E-5</v>
      </c>
      <c r="AD10" s="2">
        <f t="shared" si="6"/>
        <v>1.5625E-2</v>
      </c>
      <c r="AF10" s="2">
        <v>6</v>
      </c>
      <c r="AG10" s="2">
        <f t="shared" si="13"/>
        <v>2578.125</v>
      </c>
      <c r="AH10" s="2">
        <v>-85.977418590217894</v>
      </c>
      <c r="AI10" s="2">
        <f t="shared" si="14"/>
        <v>2875</v>
      </c>
      <c r="AJ10" s="2">
        <v>34.99911616792906</v>
      </c>
      <c r="AK10" s="2">
        <f t="shared" si="9"/>
        <v>2726.5625</v>
      </c>
      <c r="AL10" s="2">
        <v>-24.541630884373717</v>
      </c>
      <c r="AM10" s="2">
        <f t="shared" si="10"/>
        <v>2110.0260714324186</v>
      </c>
      <c r="AN10" s="2">
        <f t="shared" si="11"/>
        <v>-858.93539027263137</v>
      </c>
      <c r="AO10" s="2">
        <f t="shared" si="12"/>
        <v>296.875</v>
      </c>
    </row>
    <row r="11" spans="2:41" x14ac:dyDescent="0.2">
      <c r="F11" t="s">
        <v>146</v>
      </c>
      <c r="G11" s="6">
        <f xml:space="preserve"> (G9/$C$44*1000) / ($G$10*1000)</f>
        <v>7.1454463728388067</v>
      </c>
      <c r="H11" s="6" t="s">
        <v>147</v>
      </c>
      <c r="J11" s="31" t="s">
        <v>51</v>
      </c>
      <c r="K11" s="31"/>
      <c r="L11" s="31"/>
      <c r="U11" s="2">
        <v>7</v>
      </c>
      <c r="V11" s="2">
        <f t="shared" si="7"/>
        <v>3.90625E-2</v>
      </c>
      <c r="W11" s="2">
        <f t="shared" si="0"/>
        <v>3.2483312481010954E-3</v>
      </c>
      <c r="X11" s="2">
        <f t="shared" si="8"/>
        <v>4.6875E-2</v>
      </c>
      <c r="Y11" s="2">
        <f t="shared" si="1"/>
        <v>-4.5822158422129389E-3</v>
      </c>
      <c r="Z11" s="2">
        <f t="shared" si="3"/>
        <v>4.296875E-2</v>
      </c>
      <c r="AA11" s="2">
        <f t="shared" si="2"/>
        <v>-6.6654435301789078E-4</v>
      </c>
      <c r="AB11" s="2">
        <f t="shared" si="4"/>
        <v>-2.1651568501533422E-6</v>
      </c>
      <c r="AC11" s="2">
        <f t="shared" si="5"/>
        <v>3.0542500939361529E-6</v>
      </c>
      <c r="AD11" s="2">
        <f t="shared" si="6"/>
        <v>7.8125E-3</v>
      </c>
      <c r="AF11" s="2">
        <v>7</v>
      </c>
      <c r="AG11" s="2">
        <f t="shared" si="13"/>
        <v>2726.5625</v>
      </c>
      <c r="AH11" s="2">
        <v>-24.541630884373717</v>
      </c>
      <c r="AI11" s="2">
        <f t="shared" si="14"/>
        <v>2875</v>
      </c>
      <c r="AJ11" s="2">
        <v>34.99911616792906</v>
      </c>
      <c r="AK11" s="2">
        <f t="shared" si="9"/>
        <v>2800.78125</v>
      </c>
      <c r="AL11" s="2">
        <v>5.4707596407515666</v>
      </c>
      <c r="AM11" s="2">
        <f t="shared" si="10"/>
        <v>-134.26136376045392</v>
      </c>
      <c r="AN11" s="2">
        <f t="shared" si="11"/>
        <v>191.47175219348193</v>
      </c>
      <c r="AO11" s="2">
        <f t="shared" si="12"/>
        <v>148.4375</v>
      </c>
    </row>
    <row r="12" spans="2:41" x14ac:dyDescent="0.2">
      <c r="B12" s="33" t="s">
        <v>11</v>
      </c>
      <c r="C12" s="33"/>
      <c r="D12" s="33"/>
      <c r="F12" s="24" t="s">
        <v>82</v>
      </c>
      <c r="G12" s="25">
        <f xml:space="preserve"> 1/1000 * (($C$5*$C$44)/$C$21 * ( ($G$4/2) + SQRT( ($G$4/2)^2 + ($C$5*$C$44) / (2*$C$41*PI()*$C$9^2 * $C$18) ) ) )</f>
        <v>390.05845559677743</v>
      </c>
      <c r="H12" s="25" t="s">
        <v>101</v>
      </c>
      <c r="J12" s="10" t="s">
        <v>79</v>
      </c>
      <c r="K12" s="6">
        <f>C5</f>
        <v>2787.1417767390999</v>
      </c>
      <c r="L12" s="6" t="s">
        <v>7</v>
      </c>
      <c r="N12" s="31" t="s">
        <v>73</v>
      </c>
      <c r="O12" s="34"/>
      <c r="P12" s="34"/>
      <c r="U12" s="2">
        <v>8</v>
      </c>
      <c r="V12" s="2">
        <f t="shared" si="7"/>
        <v>3.90625E-2</v>
      </c>
      <c r="W12" s="2">
        <f t="shared" si="0"/>
        <v>3.2483312481010954E-3</v>
      </c>
      <c r="X12" s="2">
        <f t="shared" si="8"/>
        <v>4.296875E-2</v>
      </c>
      <c r="Y12" s="2">
        <f t="shared" si="1"/>
        <v>-6.6654435301789078E-4</v>
      </c>
      <c r="Z12" s="2">
        <f t="shared" si="3"/>
        <v>4.1015625E-2</v>
      </c>
      <c r="AA12" s="2">
        <f t="shared" si="2"/>
        <v>1.2909933397125262E-3</v>
      </c>
      <c r="AB12" s="2">
        <f t="shared" si="4"/>
        <v>4.1935740064785913E-6</v>
      </c>
      <c r="AC12" s="2">
        <f t="shared" si="5"/>
        <v>-8.6050432036909181E-7</v>
      </c>
      <c r="AD12" s="2">
        <f t="shared" si="6"/>
        <v>3.90625E-3</v>
      </c>
      <c r="AF12" s="2">
        <v>8</v>
      </c>
      <c r="AG12" s="2">
        <f t="shared" si="13"/>
        <v>2726.5625</v>
      </c>
      <c r="AH12" s="2">
        <v>-24.541630884373717</v>
      </c>
      <c r="AI12" s="2">
        <f t="shared" si="14"/>
        <v>2800.78125</v>
      </c>
      <c r="AJ12" s="2">
        <v>5.4707596407515666</v>
      </c>
      <c r="AK12" s="2">
        <f t="shared" si="9"/>
        <v>2763.671875</v>
      </c>
      <c r="AL12" s="2">
        <v>-9.4754883462355792</v>
      </c>
      <c r="AM12" s="2">
        <f t="shared" si="10"/>
        <v>232.54393744249833</v>
      </c>
      <c r="AN12" s="2">
        <f t="shared" si="11"/>
        <v>-51.838119220997413</v>
      </c>
      <c r="AO12" s="2">
        <f t="shared" si="12"/>
        <v>74.21875</v>
      </c>
    </row>
    <row r="13" spans="2:41" x14ac:dyDescent="0.2">
      <c r="B13" s="6" t="s">
        <v>68</v>
      </c>
      <c r="C13" s="6">
        <f>C25*100</f>
        <v>600</v>
      </c>
      <c r="D13" s="6" t="s">
        <v>7</v>
      </c>
      <c r="J13" s="11" t="s">
        <v>52</v>
      </c>
      <c r="K13" s="6">
        <f xml:space="preserve"> K8 * 1000 / ($C$36 * $C$37 * $C$38)</f>
        <v>1254.9322000202169</v>
      </c>
      <c r="L13" s="6" t="s">
        <v>7</v>
      </c>
      <c r="N13" s="6" t="s">
        <v>74</v>
      </c>
      <c r="O13" s="6">
        <f xml:space="preserve"> SQRT( ($C$5*$C$50)^2 + O9^2)</f>
        <v>27393.097198468458</v>
      </c>
      <c r="P13" s="6" t="s">
        <v>20</v>
      </c>
      <c r="U13" s="2">
        <v>9</v>
      </c>
      <c r="V13" s="2">
        <f t="shared" si="7"/>
        <v>4.1015625E-2</v>
      </c>
      <c r="W13" s="2">
        <f t="shared" si="0"/>
        <v>1.2909933397125262E-3</v>
      </c>
      <c r="X13" s="2">
        <f t="shared" si="8"/>
        <v>4.296875E-2</v>
      </c>
      <c r="Y13" s="2">
        <f t="shared" si="1"/>
        <v>-6.6654435301789078E-4</v>
      </c>
      <c r="Z13" s="2">
        <f t="shared" si="3"/>
        <v>4.19921875E-2</v>
      </c>
      <c r="AA13" s="2">
        <f t="shared" si="2"/>
        <v>3.1224941696106345E-4</v>
      </c>
      <c r="AB13" s="2">
        <f t="shared" si="4"/>
        <v>4.031119176258524E-7</v>
      </c>
      <c r="AC13" s="2">
        <f t="shared" si="5"/>
        <v>-2.0812808560852566E-7</v>
      </c>
      <c r="AD13" s="2">
        <f t="shared" si="6"/>
        <v>1.953125E-3</v>
      </c>
      <c r="AF13" s="2">
        <v>9</v>
      </c>
      <c r="AG13" s="2">
        <f t="shared" si="13"/>
        <v>2763.671875</v>
      </c>
      <c r="AH13" s="2">
        <v>-9.4754883462355792</v>
      </c>
      <c r="AI13" s="2">
        <f t="shared" si="14"/>
        <v>2800.78125</v>
      </c>
      <c r="AJ13" s="2">
        <v>5.4707596407515666</v>
      </c>
      <c r="AK13" s="2">
        <f t="shared" si="9"/>
        <v>2782.2265625</v>
      </c>
      <c r="AL13" s="2">
        <v>-1.9873119312601375</v>
      </c>
      <c r="AM13" s="2">
        <f t="shared" si="10"/>
        <v>18.830751044990354</v>
      </c>
      <c r="AN13" s="2">
        <f t="shared" si="11"/>
        <v>-10.872105907122013</v>
      </c>
      <c r="AO13" s="2">
        <f t="shared" si="12"/>
        <v>37.109375</v>
      </c>
    </row>
    <row r="14" spans="2:41" x14ac:dyDescent="0.2">
      <c r="B14" s="6" t="s">
        <v>12</v>
      </c>
      <c r="C14" s="17">
        <f>100 * 1000</f>
        <v>100000</v>
      </c>
      <c r="D14" s="6" t="s">
        <v>8</v>
      </c>
      <c r="F14" s="31" t="s">
        <v>86</v>
      </c>
      <c r="G14" s="32"/>
      <c r="H14" s="32"/>
      <c r="J14" s="12" t="s">
        <v>126</v>
      </c>
      <c r="K14" s="6">
        <f xml:space="preserve"> $C$54 * $C$18 * (0.0095 * MAX(G9,O18,G28) - 1.9275)</f>
        <v>202.01953870836027</v>
      </c>
      <c r="L14" s="6" t="s">
        <v>7</v>
      </c>
      <c r="N14" s="6" t="s">
        <v>75</v>
      </c>
      <c r="O14" s="6">
        <f>$C$5*$C$50/O13</f>
        <v>0.99716846022441152</v>
      </c>
      <c r="U14" s="2">
        <v>10</v>
      </c>
      <c r="V14" s="2">
        <f t="shared" si="7"/>
        <v>4.19921875E-2</v>
      </c>
      <c r="W14" s="2">
        <f t="shared" si="0"/>
        <v>3.1224941696106345E-4</v>
      </c>
      <c r="X14" s="2">
        <f t="shared" si="8"/>
        <v>4.296875E-2</v>
      </c>
      <c r="Y14" s="2">
        <f t="shared" si="1"/>
        <v>-6.6654435301789078E-4</v>
      </c>
      <c r="Z14" s="2">
        <f t="shared" si="3"/>
        <v>4.248046875E-2</v>
      </c>
      <c r="AA14" s="2">
        <f t="shared" si="2"/>
        <v>-1.7714124342157328E-4</v>
      </c>
      <c r="AB14" s="2">
        <f t="shared" si="4"/>
        <v>-5.5312249978144075E-8</v>
      </c>
      <c r="AC14" s="2">
        <f t="shared" si="5"/>
        <v>1.1807249548921727E-7</v>
      </c>
      <c r="AD14" s="2">
        <f t="shared" si="6"/>
        <v>9.765625E-4</v>
      </c>
      <c r="AF14" s="2">
        <v>10</v>
      </c>
      <c r="AG14" s="2">
        <f t="shared" si="13"/>
        <v>2782.2265625</v>
      </c>
      <c r="AH14" s="2">
        <v>-1.9873119312601375</v>
      </c>
      <c r="AI14" s="2">
        <f t="shared" si="14"/>
        <v>2800.78125</v>
      </c>
      <c r="AJ14" s="2">
        <v>5.4707596407515666</v>
      </c>
      <c r="AK14" s="2">
        <f t="shared" si="9"/>
        <v>2791.50390625</v>
      </c>
      <c r="AL14" s="2">
        <v>1.745508904946746</v>
      </c>
      <c r="AM14" s="2">
        <f t="shared" si="10"/>
        <v>-3.4688706729214855</v>
      </c>
      <c r="AN14" s="2">
        <f t="shared" si="11"/>
        <v>9.54925966975512</v>
      </c>
      <c r="AO14" s="2">
        <f t="shared" si="12"/>
        <v>18.5546875</v>
      </c>
    </row>
    <row r="15" spans="2:41" x14ac:dyDescent="0.2">
      <c r="B15" s="6" t="s">
        <v>136</v>
      </c>
      <c r="C15" s="17">
        <v>1</v>
      </c>
      <c r="F15" s="9" t="s">
        <v>89</v>
      </c>
      <c r="G15" s="6">
        <f xml:space="preserve"> $C$14/$C$8</f>
        <v>1603.85132258723</v>
      </c>
      <c r="H15" s="6" t="s">
        <v>13</v>
      </c>
      <c r="J15" s="12" t="s">
        <v>127</v>
      </c>
      <c r="K15" s="6">
        <f xml:space="preserve"> $C$54 * $C$18 * ( 0.0037 * $C$19^0.28 * ($C$9*3.28084)^1.5 * ($G$7*3.28084)^0.43 * ( 0.01742 * $C$19^0.66 * ($C$10*$C$9*3.28084) * ($C$9*3.28084)^1.3 * ($G$7*3.28084)^0.67 + 0.5*(K14/$C$18)* 2.20462 * 9.80665*3.28084 )^0.55 ) * 0.453592</f>
        <v>245.99086321153712</v>
      </c>
      <c r="L15" s="6" t="s">
        <v>7</v>
      </c>
      <c r="U15" s="2">
        <v>11</v>
      </c>
      <c r="V15" s="2">
        <f t="shared" si="7"/>
        <v>4.19921875E-2</v>
      </c>
      <c r="W15" s="2">
        <f t="shared" si="0"/>
        <v>3.1224941696106345E-4</v>
      </c>
      <c r="X15" s="2">
        <f t="shared" si="8"/>
        <v>4.248046875E-2</v>
      </c>
      <c r="Y15" s="2">
        <f t="shared" si="1"/>
        <v>-1.7714124342157328E-4</v>
      </c>
      <c r="Z15" s="2">
        <f t="shared" si="3"/>
        <v>4.2236328125E-2</v>
      </c>
      <c r="AA15" s="2">
        <f t="shared" si="2"/>
        <v>6.755564371377365E-5</v>
      </c>
      <c r="AB15" s="2">
        <f t="shared" si="4"/>
        <v>2.1094210362055155E-8</v>
      </c>
      <c r="AC15" s="2">
        <f t="shared" si="5"/>
        <v>-1.1966890727602655E-8</v>
      </c>
      <c r="AD15" s="2">
        <f t="shared" si="6"/>
        <v>4.8828125E-4</v>
      </c>
      <c r="AF15" s="2">
        <v>11</v>
      </c>
      <c r="AG15" s="2">
        <f t="shared" si="13"/>
        <v>2782.2265625</v>
      </c>
      <c r="AH15" s="2">
        <v>-1.9873119312601375</v>
      </c>
      <c r="AI15" s="2">
        <f t="shared" si="14"/>
        <v>2791.50390625</v>
      </c>
      <c r="AJ15" s="2">
        <v>1.745508904946746</v>
      </c>
      <c r="AK15" s="2">
        <f t="shared" si="9"/>
        <v>2786.865234375</v>
      </c>
      <c r="AL15" s="2">
        <v>-0.11996744950874927</v>
      </c>
      <c r="AM15" s="2">
        <f t="shared" si="10"/>
        <v>0.23841274377158556</v>
      </c>
      <c r="AN15" s="2">
        <f t="shared" si="11"/>
        <v>-0.20940425142127098</v>
      </c>
      <c r="AO15" s="2">
        <f t="shared" si="12"/>
        <v>9.27734375</v>
      </c>
    </row>
    <row r="16" spans="2:41" x14ac:dyDescent="0.2">
      <c r="F16" t="s">
        <v>121</v>
      </c>
      <c r="G16" s="8">
        <f>O19*$C$9</f>
        <v>145.05119257178589</v>
      </c>
      <c r="H16" s="6" t="s">
        <v>10</v>
      </c>
      <c r="J16" s="13" t="s">
        <v>53</v>
      </c>
      <c r="K16" s="6">
        <f xml:space="preserve"> $C$54 * 0.2138 * K4</f>
        <v>100.07339736790921</v>
      </c>
      <c r="L16" s="6" t="s">
        <v>7</v>
      </c>
      <c r="N16" s="31" t="s">
        <v>24</v>
      </c>
      <c r="O16" s="34"/>
      <c r="P16" s="34"/>
      <c r="U16" s="2">
        <v>12</v>
      </c>
      <c r="V16" s="2">
        <f t="shared" si="7"/>
        <v>4.2236328125E-2</v>
      </c>
      <c r="W16" s="2">
        <f t="shared" si="0"/>
        <v>6.755564371377365E-5</v>
      </c>
      <c r="X16" s="2">
        <f t="shared" si="8"/>
        <v>4.248046875E-2</v>
      </c>
      <c r="Y16" s="2">
        <f t="shared" si="1"/>
        <v>-1.7714124342157328E-4</v>
      </c>
      <c r="Z16" s="2">
        <f t="shared" si="3"/>
        <v>4.23583984375E-2</v>
      </c>
      <c r="AA16" s="2">
        <f t="shared" si="2"/>
        <v>-5.4792410716604512E-5</v>
      </c>
      <c r="AB16" s="2">
        <f t="shared" si="4"/>
        <v>-3.7015365765896875E-9</v>
      </c>
      <c r="AC16" s="2">
        <f t="shared" si="5"/>
        <v>9.7059957644048595E-9</v>
      </c>
      <c r="AD16" s="2">
        <f t="shared" si="6"/>
        <v>2.44140625E-4</v>
      </c>
      <c r="AF16" s="2">
        <v>12</v>
      </c>
      <c r="AG16" s="2">
        <f t="shared" si="13"/>
        <v>2786.865234375</v>
      </c>
      <c r="AH16" s="2">
        <v>-0.11996744950874927</v>
      </c>
      <c r="AI16" s="2">
        <f t="shared" si="14"/>
        <v>2791.50390625</v>
      </c>
      <c r="AJ16" s="2">
        <v>1.745508904946746</v>
      </c>
      <c r="AK16" s="2">
        <f t="shared" si="9"/>
        <v>2789.1845703125</v>
      </c>
      <c r="AL16" s="2">
        <v>0.81300023871062876</v>
      </c>
      <c r="AM16" s="2">
        <f t="shared" si="10"/>
        <v>-9.753356508811846E-2</v>
      </c>
      <c r="AN16" s="2">
        <f t="shared" si="11"/>
        <v>1.4190991563932327</v>
      </c>
      <c r="AO16" s="2">
        <f t="shared" si="12"/>
        <v>4.638671875</v>
      </c>
    </row>
    <row r="17" spans="2:41" x14ac:dyDescent="0.2">
      <c r="B17" s="35" t="s">
        <v>110</v>
      </c>
      <c r="C17" s="35"/>
      <c r="D17" s="35"/>
      <c r="F17" s="6" t="s">
        <v>124</v>
      </c>
      <c r="G17" s="6">
        <f>G16/$C$49</f>
        <v>0.43595344048087437</v>
      </c>
      <c r="H17" s="6" t="s">
        <v>122</v>
      </c>
      <c r="J17" s="13" t="s">
        <v>77</v>
      </c>
      <c r="K17" s="6">
        <f xml:space="preserve"> $C$54 * 0.1149 * K4</f>
        <v>53.781259857683672</v>
      </c>
      <c r="L17" s="6" t="s">
        <v>7</v>
      </c>
      <c r="N17" s="6" t="s">
        <v>25</v>
      </c>
      <c r="O17" s="6">
        <f xml:space="preserve"> ACOS(O14)/PI()*180</f>
        <v>4.3127222922911548</v>
      </c>
      <c r="P17" s="6" t="s">
        <v>40</v>
      </c>
      <c r="U17" s="2">
        <v>13</v>
      </c>
      <c r="V17" s="2">
        <f t="shared" si="7"/>
        <v>4.2236328125E-2</v>
      </c>
      <c r="W17" s="2">
        <f t="shared" si="0"/>
        <v>6.755564371377365E-5</v>
      </c>
      <c r="X17" s="2">
        <f t="shared" si="8"/>
        <v>4.23583984375E-2</v>
      </c>
      <c r="Y17" s="2">
        <f t="shared" si="1"/>
        <v>-5.4792410716604512E-5</v>
      </c>
      <c r="Z17" s="2">
        <f t="shared" si="3"/>
        <v>4.229736328125E-2</v>
      </c>
      <c r="AA17" s="2">
        <f t="shared" si="2"/>
        <v>6.3817137952726366E-6</v>
      </c>
      <c r="AB17" s="2">
        <f t="shared" si="4"/>
        <v>4.3112078343671249E-10</v>
      </c>
      <c r="AC17" s="2">
        <f t="shared" si="5"/>
        <v>-3.4966948334639929E-10</v>
      </c>
      <c r="AD17" s="2">
        <f t="shared" si="6"/>
        <v>1.220703125E-4</v>
      </c>
      <c r="AF17" s="2">
        <v>13</v>
      </c>
      <c r="AG17" s="2">
        <f t="shared" si="13"/>
        <v>2786.865234375</v>
      </c>
      <c r="AH17" s="2">
        <v>-0.11996744950874927</v>
      </c>
      <c r="AI17" s="2">
        <f t="shared" si="14"/>
        <v>2789.1845703125</v>
      </c>
      <c r="AJ17" s="2">
        <v>0.81300023871062876</v>
      </c>
      <c r="AK17" s="2">
        <f t="shared" si="9"/>
        <v>2788.02490234375</v>
      </c>
      <c r="AL17" s="2">
        <v>0.34659330713657255</v>
      </c>
      <c r="AM17" s="2">
        <f t="shared" si="10"/>
        <v>-4.1579915073977194E-2</v>
      </c>
      <c r="AN17" s="2">
        <f t="shared" si="11"/>
        <v>0.28178044143753977</v>
      </c>
      <c r="AO17" s="2">
        <f t="shared" si="12"/>
        <v>2.3193359375</v>
      </c>
    </row>
    <row r="18" spans="2:41" x14ac:dyDescent="0.2">
      <c r="B18" s="6" t="s">
        <v>94</v>
      </c>
      <c r="C18" s="17">
        <v>4</v>
      </c>
      <c r="F18" s="9" t="s">
        <v>19</v>
      </c>
      <c r="G18" s="6">
        <f>O18</f>
        <v>6848.2742996171146</v>
      </c>
      <c r="H18" s="6" t="s">
        <v>20</v>
      </c>
      <c r="J18" s="14" t="s">
        <v>60</v>
      </c>
      <c r="K18" s="6">
        <f xml:space="preserve"> $C$55 * (14.86 * ($C$5*2.20462)^0.144 * ($C$26/(PI()*$C$27))^0.778 * ($C$26*3.28084)^0.383 * $C$25^0.455 * 0.453592)</f>
        <v>136.36941105519452</v>
      </c>
      <c r="L18" s="6" t="s">
        <v>7</v>
      </c>
      <c r="N18" s="6" t="s">
        <v>19</v>
      </c>
      <c r="O18" s="6">
        <f xml:space="preserve"> O13 / $C$18</f>
        <v>6848.2742996171146</v>
      </c>
      <c r="P18" s="6" t="s">
        <v>20</v>
      </c>
      <c r="U18" s="2">
        <v>14</v>
      </c>
      <c r="V18" s="2">
        <f t="shared" si="7"/>
        <v>4.229736328125E-2</v>
      </c>
      <c r="W18" s="2">
        <f t="shared" si="0"/>
        <v>6.3817137952726366E-6</v>
      </c>
      <c r="X18" s="2">
        <f t="shared" si="8"/>
        <v>4.23583984375E-2</v>
      </c>
      <c r="Y18" s="2">
        <f t="shared" si="1"/>
        <v>-5.4792410716604512E-5</v>
      </c>
      <c r="Z18" s="2">
        <f t="shared" si="3"/>
        <v>4.2327880859375E-2</v>
      </c>
      <c r="AA18" s="2">
        <f t="shared" si="2"/>
        <v>-2.4205324138042161E-5</v>
      </c>
      <c r="AB18" s="2">
        <f t="shared" si="4"/>
        <v>-1.5447145097078941E-10</v>
      </c>
      <c r="AC18" s="2">
        <f t="shared" si="5"/>
        <v>1.3262680617001472E-9</v>
      </c>
      <c r="AD18" s="2">
        <f t="shared" si="6"/>
        <v>6.103515625E-5</v>
      </c>
      <c r="AF18" s="2">
        <v>14</v>
      </c>
      <c r="AG18" s="2">
        <f t="shared" si="13"/>
        <v>2786.865234375</v>
      </c>
      <c r="AH18" s="2">
        <v>-0.11996744950874927</v>
      </c>
      <c r="AI18" s="2">
        <f t="shared" si="14"/>
        <v>2788.02490234375</v>
      </c>
      <c r="AJ18" s="2">
        <v>0.34659330713657255</v>
      </c>
      <c r="AK18" s="2">
        <f t="shared" si="9"/>
        <v>2787.445068359375</v>
      </c>
      <c r="AL18" s="2">
        <v>0.11332722910765369</v>
      </c>
      <c r="AM18" s="2">
        <f t="shared" si="10"/>
        <v>-1.3595578635938904E-2</v>
      </c>
      <c r="AN18" s="2">
        <f t="shared" si="11"/>
        <v>3.9278459125045739E-2</v>
      </c>
      <c r="AO18" s="2">
        <f t="shared" si="12"/>
        <v>1.15966796875</v>
      </c>
    </row>
    <row r="19" spans="2:41" x14ac:dyDescent="0.2">
      <c r="B19" t="s">
        <v>109</v>
      </c>
      <c r="C19" s="1">
        <v>3</v>
      </c>
      <c r="D19"/>
      <c r="F19" s="9" t="s">
        <v>97</v>
      </c>
      <c r="G19" s="6">
        <f xml:space="preserve"> 1/1000 * (O23 + O18 * (O25 * O28 + $C$8 * SIN(O17/180*PI())))</f>
        <v>58.230334919759535</v>
      </c>
      <c r="H19" s="6" t="s">
        <v>101</v>
      </c>
      <c r="J19" s="14" t="s">
        <v>61</v>
      </c>
      <c r="K19" s="6">
        <f xml:space="preserve"> $C$55 * C31 * $C$5</f>
        <v>31.215987899477923</v>
      </c>
      <c r="L19" s="6" t="s">
        <v>7</v>
      </c>
      <c r="N19" s="6" t="s">
        <v>26</v>
      </c>
      <c r="O19" s="6">
        <f>$C$7*2*PI()/60</f>
        <v>41.95944158526882</v>
      </c>
      <c r="P19" s="6" t="s">
        <v>27</v>
      </c>
      <c r="U19" s="2">
        <v>15</v>
      </c>
      <c r="V19" s="2">
        <f t="shared" si="7"/>
        <v>4.229736328125E-2</v>
      </c>
      <c r="W19" s="2">
        <f t="shared" si="0"/>
        <v>6.3817137952726366E-6</v>
      </c>
      <c r="X19" s="2">
        <f t="shared" si="8"/>
        <v>4.2327880859375E-2</v>
      </c>
      <c r="Y19" s="2">
        <f t="shared" si="1"/>
        <v>-2.4205324138042161E-5</v>
      </c>
      <c r="Z19" s="2">
        <f t="shared" si="3"/>
        <v>4.23126220703125E-2</v>
      </c>
      <c r="AA19" s="2">
        <f t="shared" si="2"/>
        <v>-8.9117990905371314E-6</v>
      </c>
      <c r="AB19" s="2">
        <f t="shared" si="4"/>
        <v>-5.6872551196778945E-11</v>
      </c>
      <c r="AC19" s="2">
        <f t="shared" si="5"/>
        <v>2.157129856395606E-10</v>
      </c>
      <c r="AD19" s="2">
        <f t="shared" si="6"/>
        <v>3.0517578125E-5</v>
      </c>
      <c r="AF19" s="2">
        <v>15</v>
      </c>
      <c r="AG19" s="2">
        <f t="shared" si="13"/>
        <v>2786.865234375</v>
      </c>
      <c r="AH19" s="2">
        <v>-0.11996744950874927</v>
      </c>
      <c r="AI19" s="2">
        <f t="shared" si="14"/>
        <v>2787.445068359375</v>
      </c>
      <c r="AJ19" s="2">
        <v>0.11332722910765369</v>
      </c>
      <c r="AK19" s="2">
        <f t="shared" si="9"/>
        <v>2787.1551513671875</v>
      </c>
      <c r="AL19" s="2">
        <v>-3.3116268250523717E-3</v>
      </c>
      <c r="AM19" s="2">
        <f t="shared" si="10"/>
        <v>3.9728742392629003E-4</v>
      </c>
      <c r="AN19" s="2">
        <f t="shared" si="11"/>
        <v>-3.7529749192176192E-4</v>
      </c>
      <c r="AO19" s="2">
        <f t="shared" si="12"/>
        <v>0.579833984375</v>
      </c>
    </row>
    <row r="20" spans="2:41" x14ac:dyDescent="0.2">
      <c r="B20" s="6" t="s">
        <v>119</v>
      </c>
      <c r="C20" s="6">
        <f>$C$19*$C$10/PI()</f>
        <v>6.1401977044853208E-2</v>
      </c>
      <c r="F20" t="s">
        <v>146</v>
      </c>
      <c r="G20" s="6">
        <f xml:space="preserve"> (G18/$C$50*1000) / ($G$19*1000)</f>
        <v>12.000000056166169</v>
      </c>
      <c r="H20" s="6" t="s">
        <v>147</v>
      </c>
      <c r="J20" s="14" t="s">
        <v>62</v>
      </c>
      <c r="K20" s="6">
        <f xml:space="preserve"> $C$55 * 0</f>
        <v>0</v>
      </c>
      <c r="L20" s="6" t="s">
        <v>7</v>
      </c>
      <c r="N20" s="6" t="s">
        <v>28</v>
      </c>
      <c r="O20" s="6">
        <f xml:space="preserve"> $C$8 * COS(O17/180*PI()) / (O19 * $C$9)</f>
        <v>0.42863055166986641</v>
      </c>
      <c r="U20" s="2">
        <v>16</v>
      </c>
      <c r="V20" s="2">
        <f t="shared" si="7"/>
        <v>4.229736328125E-2</v>
      </c>
      <c r="W20" s="2">
        <f t="shared" si="0"/>
        <v>6.3817137952726366E-6</v>
      </c>
      <c r="X20" s="2">
        <f t="shared" si="8"/>
        <v>4.23126220703125E-2</v>
      </c>
      <c r="Y20" s="2">
        <f t="shared" si="1"/>
        <v>-8.9117990905371314E-6</v>
      </c>
      <c r="Z20" s="2">
        <f t="shared" si="3"/>
        <v>4.230499267578125E-2</v>
      </c>
      <c r="AA20" s="2">
        <f t="shared" si="2"/>
        <v>-1.2650411273934514E-6</v>
      </c>
      <c r="AB20" s="2">
        <f t="shared" si="4"/>
        <v>-8.0731304142740372E-12</v>
      </c>
      <c r="AC20" s="2">
        <f t="shared" si="5"/>
        <v>1.1273792368597027E-11</v>
      </c>
      <c r="AD20" s="2">
        <f t="shared" si="6"/>
        <v>1.52587890625E-5</v>
      </c>
      <c r="AF20" s="2">
        <v>16</v>
      </c>
      <c r="AG20" s="2">
        <f t="shared" si="13"/>
        <v>2787.1551513671875</v>
      </c>
      <c r="AH20" s="2">
        <v>-3.3116268250523717E-3</v>
      </c>
      <c r="AI20" s="2">
        <f t="shared" si="14"/>
        <v>2787.445068359375</v>
      </c>
      <c r="AJ20" s="2">
        <v>0.11332722910765369</v>
      </c>
      <c r="AK20" s="2">
        <f t="shared" si="9"/>
        <v>2787.3001098632812</v>
      </c>
      <c r="AL20" s="2">
        <v>5.5017287892042077E-2</v>
      </c>
      <c r="AM20" s="2">
        <f t="shared" si="10"/>
        <v>-1.8219672642491558E-4</v>
      </c>
      <c r="AN20" s="2">
        <f t="shared" si="11"/>
        <v>6.2349567898231937E-3</v>
      </c>
      <c r="AO20" s="2">
        <f t="shared" si="12"/>
        <v>0.2899169921875</v>
      </c>
    </row>
    <row r="21" spans="2:41" x14ac:dyDescent="0.2">
      <c r="B21" s="6" t="s">
        <v>120</v>
      </c>
      <c r="C21" s="17">
        <v>0.75</v>
      </c>
      <c r="F21" s="9" t="s">
        <v>148</v>
      </c>
      <c r="G21" s="6">
        <f>O21/ ($C$19*$C$10/PI())</f>
        <v>0.13999999999152579</v>
      </c>
      <c r="J21" s="14" t="s">
        <v>63</v>
      </c>
      <c r="K21" s="6">
        <f xml:space="preserve"> $C$55 * 0</f>
        <v>0</v>
      </c>
      <c r="L21" s="6" t="s">
        <v>7</v>
      </c>
      <c r="N21" s="6" t="s">
        <v>29</v>
      </c>
      <c r="O21" s="6">
        <f xml:space="preserve"> O18 / ($C$47 * PI() * $C$9^2 * O19^2 * $C$9^2)</f>
        <v>8.5962767857591157E-3</v>
      </c>
      <c r="U21" s="2">
        <v>17</v>
      </c>
      <c r="V21" s="2">
        <f t="shared" si="7"/>
        <v>4.229736328125E-2</v>
      </c>
      <c r="W21" s="2">
        <f t="shared" si="0"/>
        <v>6.3817137952726366E-6</v>
      </c>
      <c r="X21" s="2">
        <f t="shared" si="8"/>
        <v>4.230499267578125E-2</v>
      </c>
      <c r="Y21" s="2">
        <f t="shared" si="1"/>
        <v>-1.2650411273934514E-6</v>
      </c>
      <c r="Z21" s="2">
        <f t="shared" si="3"/>
        <v>4.2301177978515625E-2</v>
      </c>
      <c r="AA21" s="2">
        <f t="shared" si="2"/>
        <v>2.5583367139966895E-6</v>
      </c>
      <c r="AB21" s="2">
        <f t="shared" si="4"/>
        <v>1.632657270066514E-11</v>
      </c>
      <c r="AC21" s="2">
        <f t="shared" si="5"/>
        <v>-3.2364011609264299E-12</v>
      </c>
      <c r="AD21" s="2">
        <f t="shared" si="6"/>
        <v>7.62939453125E-6</v>
      </c>
      <c r="AF21" s="2">
        <v>17</v>
      </c>
      <c r="AG21" s="2">
        <f t="shared" si="13"/>
        <v>2787.1551513671875</v>
      </c>
      <c r="AH21" s="2">
        <v>-3.3116268250523717E-3</v>
      </c>
      <c r="AI21" s="2">
        <f t="shared" si="14"/>
        <v>2787.3001098632812</v>
      </c>
      <c r="AJ21" s="2">
        <v>5.5017287892042077E-2</v>
      </c>
      <c r="AK21" s="2">
        <f t="shared" si="9"/>
        <v>2787.2276306152344</v>
      </c>
      <c r="AL21" s="2">
        <v>2.5852746922737424E-2</v>
      </c>
      <c r="AM21" s="2">
        <f t="shared" si="10"/>
        <v>-8.5614650210627402E-5</v>
      </c>
      <c r="AN21" s="2">
        <f t="shared" si="11"/>
        <v>1.4223480202483498E-3</v>
      </c>
      <c r="AO21" s="2">
        <f t="shared" si="12"/>
        <v>0.14495849609375</v>
      </c>
    </row>
    <row r="22" spans="2:41" x14ac:dyDescent="0.2">
      <c r="B22" s="6" t="s">
        <v>155</v>
      </c>
      <c r="C22" s="17">
        <v>50</v>
      </c>
      <c r="D22" s="6" t="s">
        <v>58</v>
      </c>
      <c r="F22" s="26" t="s">
        <v>132</v>
      </c>
      <c r="G22" s="25">
        <f>$C$18 * G19</f>
        <v>232.92133967903814</v>
      </c>
      <c r="H22" s="25" t="s">
        <v>101</v>
      </c>
      <c r="J22" s="14" t="s">
        <v>112</v>
      </c>
      <c r="K22" s="6">
        <f>$C$55*(0.14*$G$12*1000/745.7)*0.453592</f>
        <v>26.573512456749352</v>
      </c>
      <c r="L22" s="6" t="s">
        <v>7</v>
      </c>
      <c r="N22" s="6" t="s">
        <v>1</v>
      </c>
      <c r="O22" s="17">
        <v>8.8999999999999999E-3</v>
      </c>
      <c r="U22" s="2">
        <v>18</v>
      </c>
      <c r="V22" s="2">
        <f t="shared" si="7"/>
        <v>4.2301177978515625E-2</v>
      </c>
      <c r="W22" s="2">
        <f t="shared" si="0"/>
        <v>2.5583367139966895E-6</v>
      </c>
      <c r="X22" s="2">
        <f t="shared" si="8"/>
        <v>4.230499267578125E-2</v>
      </c>
      <c r="Y22" s="2">
        <f t="shared" si="1"/>
        <v>-1.2650411273934514E-6</v>
      </c>
      <c r="Z22" s="2">
        <f t="shared" si="3"/>
        <v>4.2303085327148438E-2</v>
      </c>
      <c r="AA22" s="2">
        <f t="shared" si="2"/>
        <v>6.4664788831936271E-7</v>
      </c>
      <c r="AB22" s="2">
        <f t="shared" si="4"/>
        <v>1.6543430337158566E-12</v>
      </c>
      <c r="AC22" s="2">
        <f t="shared" si="5"/>
        <v>-8.1803617366612131E-13</v>
      </c>
      <c r="AD22" s="2">
        <f t="shared" si="6"/>
        <v>3.814697265625E-6</v>
      </c>
      <c r="AF22" s="2">
        <v>18</v>
      </c>
      <c r="AG22" s="2">
        <f t="shared" si="13"/>
        <v>2787.1551513671875</v>
      </c>
      <c r="AH22" s="2">
        <v>-3.3116268250523717E-3</v>
      </c>
      <c r="AI22" s="2">
        <f t="shared" si="14"/>
        <v>2787.2276306152344</v>
      </c>
      <c r="AJ22" s="2">
        <v>2.5852746922737424E-2</v>
      </c>
      <c r="AK22" s="2">
        <f t="shared" si="9"/>
        <v>2787.1913909912109</v>
      </c>
      <c r="AL22" s="2">
        <v>1.1260718903031375E-2</v>
      </c>
      <c r="AM22" s="2">
        <f t="shared" si="10"/>
        <v>-3.7291298788653019E-5</v>
      </c>
      <c r="AN22" s="2">
        <f t="shared" si="11"/>
        <v>2.9112051596815553E-4</v>
      </c>
      <c r="AO22" s="2">
        <f t="shared" si="12"/>
        <v>7.2479248046875E-2</v>
      </c>
    </row>
    <row r="23" spans="2:41" x14ac:dyDescent="0.2">
      <c r="J23" s="15" t="s">
        <v>64</v>
      </c>
      <c r="K23" s="6">
        <f xml:space="preserve"> $C$56 * (0.0268 * $C$5)</f>
        <v>59.756319693286315</v>
      </c>
      <c r="L23" s="6" t="s">
        <v>7</v>
      </c>
      <c r="N23" s="6" t="s">
        <v>30</v>
      </c>
      <c r="O23" s="6">
        <f xml:space="preserve"> ($C$20 * O22 / 8) * (1 + 4.65 *O20^ 2) * ( PI() * $C$47 * O19^3 *$C$9^ 5)</f>
        <v>14637.216087589824</v>
      </c>
      <c r="P23" s="6" t="s">
        <v>18</v>
      </c>
      <c r="U23" s="2">
        <v>19</v>
      </c>
      <c r="V23" s="2">
        <f t="shared" si="7"/>
        <v>4.2303085327148438E-2</v>
      </c>
      <c r="W23" s="2">
        <f t="shared" si="0"/>
        <v>6.4664788831936271E-7</v>
      </c>
      <c r="X23" s="2">
        <f t="shared" si="8"/>
        <v>4.230499267578125E-2</v>
      </c>
      <c r="Y23" s="2">
        <f t="shared" si="1"/>
        <v>-1.2650411273934514E-6</v>
      </c>
      <c r="Z23" s="2">
        <f t="shared" si="3"/>
        <v>4.2304039001464844E-2</v>
      </c>
      <c r="AA23" s="2">
        <f t="shared" si="2"/>
        <v>-3.0919659578521053E-7</v>
      </c>
      <c r="AB23" s="2">
        <f t="shared" si="4"/>
        <v>-1.9994132574004194E-13</v>
      </c>
      <c r="AC23" s="2">
        <f t="shared" si="5"/>
        <v>3.9114641011834002E-13</v>
      </c>
      <c r="AD23" s="2">
        <f t="shared" si="6"/>
        <v>1.9073486328125E-6</v>
      </c>
      <c r="AF23" s="2">
        <v>19</v>
      </c>
      <c r="AG23" s="2">
        <f t="shared" si="13"/>
        <v>2787.1551513671875</v>
      </c>
      <c r="AH23" s="2">
        <v>-3.3116268250523717E-3</v>
      </c>
      <c r="AI23" s="2">
        <f t="shared" si="14"/>
        <v>2787.1913909912109</v>
      </c>
      <c r="AJ23" s="2">
        <v>1.1260718903031375E-2</v>
      </c>
      <c r="AK23" s="2">
        <f t="shared" si="9"/>
        <v>2787.1732711791992</v>
      </c>
      <c r="AL23" s="2">
        <v>3.9745408448652597E-3</v>
      </c>
      <c r="AM23" s="2">
        <f t="shared" si="10"/>
        <v>-1.3162196079122111E-5</v>
      </c>
      <c r="AN23" s="2">
        <f t="shared" si="11"/>
        <v>4.4756187222644522E-5</v>
      </c>
      <c r="AO23" s="2">
        <f t="shared" si="12"/>
        <v>3.62396240234375E-2</v>
      </c>
    </row>
    <row r="24" spans="2:41" x14ac:dyDescent="0.2">
      <c r="B24" s="35" t="s">
        <v>104</v>
      </c>
      <c r="C24" s="35"/>
      <c r="D24" s="35"/>
      <c r="F24" s="31" t="s">
        <v>81</v>
      </c>
      <c r="G24" s="32"/>
      <c r="H24" s="32"/>
      <c r="J24" s="15" t="s">
        <v>65</v>
      </c>
      <c r="K24" s="6">
        <f xml:space="preserve"> $C$56 * (11.5 * ($C$5*2.20462/1000)^0.4 * 0.453592)</f>
        <v>8.6268120292693382</v>
      </c>
      <c r="L24" s="6" t="s">
        <v>7</v>
      </c>
      <c r="N24" s="6" t="s">
        <v>31</v>
      </c>
      <c r="O24" s="18">
        <f>Z34</f>
        <v>4.2303730268031359E-2</v>
      </c>
      <c r="U24" s="2">
        <v>20</v>
      </c>
      <c r="V24" s="2">
        <f t="shared" si="7"/>
        <v>4.2303085327148438E-2</v>
      </c>
      <c r="W24" s="2">
        <f t="shared" si="0"/>
        <v>6.4664788831936271E-7</v>
      </c>
      <c r="X24" s="2">
        <f t="shared" si="8"/>
        <v>4.2304039001464844E-2</v>
      </c>
      <c r="Y24" s="2">
        <f t="shared" si="1"/>
        <v>-3.0919659578521053E-7</v>
      </c>
      <c r="Z24" s="2">
        <f t="shared" si="3"/>
        <v>4.2303562164306641E-2</v>
      </c>
      <c r="AA24" s="2">
        <f t="shared" si="2"/>
        <v>1.6872565219983038E-7</v>
      </c>
      <c r="AB24" s="2">
        <f t="shared" si="4"/>
        <v>1.0910608670032755E-13</v>
      </c>
      <c r="AC24" s="2">
        <f t="shared" si="5"/>
        <v>-5.2169397281826972E-14</v>
      </c>
      <c r="AD24" s="2">
        <f t="shared" si="6"/>
        <v>9.5367431640625E-7</v>
      </c>
      <c r="AF24" s="2">
        <v>20</v>
      </c>
      <c r="AG24" s="2">
        <f t="shared" si="13"/>
        <v>2787.1551513671875</v>
      </c>
      <c r="AH24" s="2">
        <v>-3.3116268250523717E-3</v>
      </c>
      <c r="AI24" s="2">
        <f t="shared" si="14"/>
        <v>2787.1732711791992</v>
      </c>
      <c r="AJ24" s="2">
        <v>3.9745408448652597E-3</v>
      </c>
      <c r="AK24" s="2">
        <f t="shared" si="9"/>
        <v>2787.1642112731934</v>
      </c>
      <c r="AL24" s="2">
        <v>3.4127585240639746E-4</v>
      </c>
      <c r="AM24" s="2">
        <f t="shared" si="10"/>
        <v>-1.1301782675716399E-6</v>
      </c>
      <c r="AN24" s="2">
        <f t="shared" si="11"/>
        <v>1.3564148147554346E-6</v>
      </c>
      <c r="AO24" s="2">
        <f t="shared" si="12"/>
        <v>1.811981201171875E-2</v>
      </c>
    </row>
    <row r="25" spans="2:41" x14ac:dyDescent="0.2">
      <c r="B25" t="s">
        <v>105</v>
      </c>
      <c r="C25" s="1">
        <v>6</v>
      </c>
      <c r="D25"/>
      <c r="F25" t="s">
        <v>85</v>
      </c>
      <c r="G25" s="1">
        <f>300*0.3048/60</f>
        <v>1.524</v>
      </c>
      <c r="H25" t="s">
        <v>10</v>
      </c>
      <c r="J25" s="15" t="s">
        <v>66</v>
      </c>
      <c r="K25" s="6">
        <f xml:space="preserve"> $C$56 * (8 * ($C$5/1000))</f>
        <v>17.837707371130239</v>
      </c>
      <c r="L25" s="6" t="s">
        <v>7</v>
      </c>
      <c r="N25" s="6" t="s">
        <v>32</v>
      </c>
      <c r="O25" s="6">
        <f xml:space="preserve"> O19 * $C$9 * O24 - $C$8 * SIN(O17/180*PI())</f>
        <v>1.4474835263912249</v>
      </c>
      <c r="P25" s="6" t="s">
        <v>10</v>
      </c>
      <c r="U25" s="2">
        <v>21</v>
      </c>
      <c r="V25" s="2">
        <f t="shared" si="7"/>
        <v>4.2303562164306641E-2</v>
      </c>
      <c r="W25" s="2">
        <f t="shared" si="0"/>
        <v>1.6872565219983038E-7</v>
      </c>
      <c r="X25" s="2">
        <f t="shared" si="8"/>
        <v>4.2304039001464844E-2</v>
      </c>
      <c r="Y25" s="2">
        <f t="shared" si="1"/>
        <v>-3.0919659578521053E-7</v>
      </c>
      <c r="Z25" s="2">
        <f t="shared" si="3"/>
        <v>4.2303800582885742E-2</v>
      </c>
      <c r="AA25" s="2">
        <f t="shared" si="2"/>
        <v>-7.0235470307766779E-8</v>
      </c>
      <c r="AB25" s="2">
        <f t="shared" si="4"/>
        <v>-1.1850525535239772E-14</v>
      </c>
      <c r="AC25" s="2">
        <f t="shared" si="5"/>
        <v>2.1716568322534721E-14</v>
      </c>
      <c r="AD25" s="2">
        <f t="shared" si="6"/>
        <v>4.76837158203125E-7</v>
      </c>
      <c r="AF25" s="2">
        <v>21</v>
      </c>
      <c r="AG25" s="2">
        <f t="shared" si="13"/>
        <v>2787.1551513671875</v>
      </c>
      <c r="AH25" s="2">
        <v>-3.3116268250523717E-3</v>
      </c>
      <c r="AI25" s="2">
        <f t="shared" si="14"/>
        <v>2787.1642112731934</v>
      </c>
      <c r="AJ25" s="2">
        <v>3.4127585240639746E-4</v>
      </c>
      <c r="AK25" s="2">
        <f t="shared" si="9"/>
        <v>2787.1596813201904</v>
      </c>
      <c r="AL25" s="2">
        <v>-1.4851758173790586E-3</v>
      </c>
      <c r="AM25" s="2">
        <f t="shared" si="10"/>
        <v>4.9183480767515727E-6</v>
      </c>
      <c r="AN25" s="2">
        <f t="shared" si="11"/>
        <v>-5.0685464304940634E-7</v>
      </c>
      <c r="AO25" s="2">
        <f t="shared" si="12"/>
        <v>9.059906005859375E-3</v>
      </c>
    </row>
    <row r="26" spans="2:41" x14ac:dyDescent="0.2">
      <c r="B26" t="s">
        <v>106</v>
      </c>
      <c r="C26" s="1">
        <v>6.4008000000000003</v>
      </c>
      <c r="D26" t="s">
        <v>8</v>
      </c>
      <c r="F26" t="s">
        <v>91</v>
      </c>
      <c r="G26" s="1">
        <f>1000*0.3048</f>
        <v>304.8</v>
      </c>
      <c r="H26" t="s">
        <v>8</v>
      </c>
      <c r="J26" s="15" t="s">
        <v>67</v>
      </c>
      <c r="K26" s="6">
        <f xml:space="preserve"> $C$56 * (13 * ($C$5*2.20462/1000)^1.3 * 0.453592)</f>
        <v>49.973454379925684</v>
      </c>
      <c r="L26" s="6" t="s">
        <v>7</v>
      </c>
      <c r="N26" s="6" t="s">
        <v>33</v>
      </c>
      <c r="O26" s="6">
        <f xml:space="preserve"> 1/$C$21 - O23 * SQRT( (2*$C$47*PI()*$C$9^2) / O18^3 )</f>
        <v>1.1085749829778988</v>
      </c>
      <c r="U26" s="2">
        <v>22</v>
      </c>
      <c r="V26" s="2">
        <f t="shared" si="7"/>
        <v>4.2303562164306641E-2</v>
      </c>
      <c r="W26" s="2">
        <f t="shared" si="0"/>
        <v>1.6872565219983038E-7</v>
      </c>
      <c r="X26" s="2">
        <f t="shared" si="8"/>
        <v>4.2303800582885742E-2</v>
      </c>
      <c r="Y26" s="2">
        <f t="shared" si="1"/>
        <v>-7.0235470307766779E-8</v>
      </c>
      <c r="Z26" s="2">
        <f t="shared" si="3"/>
        <v>4.2303681373596191E-2</v>
      </c>
      <c r="AA26" s="2">
        <f t="shared" si="2"/>
        <v>4.9245091317262624E-8</v>
      </c>
      <c r="AB26" s="2">
        <f t="shared" si="4"/>
        <v>8.3089101501453401E-15</v>
      </c>
      <c r="AC26" s="2">
        <f t="shared" si="5"/>
        <v>-3.4587521490168624E-15</v>
      </c>
      <c r="AD26" s="2">
        <f t="shared" si="6"/>
        <v>2.384185791015625E-7</v>
      </c>
      <c r="AF26" s="2">
        <v>22</v>
      </c>
      <c r="AG26" s="2">
        <f t="shared" si="13"/>
        <v>2787.1596813201904</v>
      </c>
      <c r="AH26" s="2">
        <v>-1.4851758173790586E-3</v>
      </c>
      <c r="AI26" s="2">
        <f t="shared" si="14"/>
        <v>2787.1642112731934</v>
      </c>
      <c r="AJ26" s="2">
        <v>3.4127585240639746E-4</v>
      </c>
      <c r="AK26" s="2">
        <f t="shared" si="9"/>
        <v>2787.1619462966919</v>
      </c>
      <c r="AL26" s="2">
        <v>-5.7195006593246944E-4</v>
      </c>
      <c r="AM26" s="2">
        <f t="shared" si="10"/>
        <v>8.4944640667126171E-7</v>
      </c>
      <c r="AN26" s="2">
        <f t="shared" si="11"/>
        <v>-1.9519274628499874E-7</v>
      </c>
      <c r="AO26" s="2">
        <f t="shared" si="12"/>
        <v>4.5299530029296875E-3</v>
      </c>
    </row>
    <row r="27" spans="2:41" x14ac:dyDescent="0.2">
      <c r="B27" t="s">
        <v>107</v>
      </c>
      <c r="C27" s="1">
        <v>2.0560284000000002</v>
      </c>
      <c r="D27" t="s">
        <v>8</v>
      </c>
      <c r="F27" t="s">
        <v>90</v>
      </c>
      <c r="G27" s="8">
        <f>$G$26/$G$25</f>
        <v>200</v>
      </c>
      <c r="H27" t="s">
        <v>13</v>
      </c>
      <c r="J27" s="10" t="s">
        <v>54</v>
      </c>
      <c r="K27" s="10">
        <f>$C$5 - $C$13 - SUM(K13:K26)</f>
        <v>-8.6873116410970397E-3</v>
      </c>
      <c r="L27" s="10" t="s">
        <v>7</v>
      </c>
      <c r="N27" s="6" t="s">
        <v>34</v>
      </c>
      <c r="O27" s="17">
        <v>1.1499999999999999</v>
      </c>
      <c r="U27" s="2">
        <v>23</v>
      </c>
      <c r="V27" s="2">
        <f t="shared" si="7"/>
        <v>4.2303681373596191E-2</v>
      </c>
      <c r="W27" s="2">
        <f t="shared" si="0"/>
        <v>4.9245091317262624E-8</v>
      </c>
      <c r="X27" s="2">
        <f t="shared" si="8"/>
        <v>4.2303800582885742E-2</v>
      </c>
      <c r="Y27" s="2">
        <f t="shared" si="1"/>
        <v>-7.0235470307766779E-8</v>
      </c>
      <c r="Z27" s="2">
        <f t="shared" si="3"/>
        <v>4.2303740978240967E-2</v>
      </c>
      <c r="AA27" s="2">
        <f t="shared" si="2"/>
        <v>-1.0495189398107563E-8</v>
      </c>
      <c r="AB27" s="2">
        <f t="shared" si="4"/>
        <v>-5.1683656030177347E-16</v>
      </c>
      <c r="AC27" s="2">
        <f t="shared" si="5"/>
        <v>7.3713456334517244E-16</v>
      </c>
      <c r="AD27" s="2">
        <f t="shared" si="6"/>
        <v>1.1920928955078125E-7</v>
      </c>
      <c r="AF27" s="2">
        <v>23</v>
      </c>
      <c r="AG27" s="2">
        <f t="shared" si="13"/>
        <v>2787.1619462966919</v>
      </c>
      <c r="AH27" s="2">
        <v>-5.7195006593246944E-4</v>
      </c>
      <c r="AI27" s="2">
        <f t="shared" si="14"/>
        <v>2787.1642112731934</v>
      </c>
      <c r="AJ27" s="2">
        <v>3.4127585240639746E-4</v>
      </c>
      <c r="AK27" s="2">
        <f t="shared" si="9"/>
        <v>2787.1630787849426</v>
      </c>
      <c r="AL27" s="2">
        <v>-1.1533712631717208E-4</v>
      </c>
      <c r="AM27" s="2">
        <f t="shared" si="10"/>
        <v>6.5967077001568122E-8</v>
      </c>
      <c r="AN27" s="2">
        <f t="shared" si="11"/>
        <v>-3.9361776097997239E-8</v>
      </c>
      <c r="AO27" s="2">
        <f t="shared" si="12"/>
        <v>2.2649765014648438E-3</v>
      </c>
    </row>
    <row r="28" spans="2:41" x14ac:dyDescent="0.2">
      <c r="F28" t="s">
        <v>19</v>
      </c>
      <c r="G28" s="6">
        <f xml:space="preserve"> $C$5 * $C$44 / $C$18</f>
        <v>6829.536394170249</v>
      </c>
      <c r="H28" t="s">
        <v>20</v>
      </c>
      <c r="J28" s="6" t="s">
        <v>55</v>
      </c>
      <c r="K28" s="4" t="str">
        <f>IF(ABS(K27)&lt;1, "TRUE", "FALSE")</f>
        <v>TRUE</v>
      </c>
      <c r="N28" s="6" t="s">
        <v>35</v>
      </c>
      <c r="O28" s="6">
        <f xml:space="preserve"> 1/$C$53 * LN( EXP($C$53 * O26) + EXP($C$53 * O27) )</f>
        <v>1.1584516032830623</v>
      </c>
      <c r="U28" s="2">
        <v>24</v>
      </c>
      <c r="V28" s="2">
        <f t="shared" si="7"/>
        <v>4.2303681373596191E-2</v>
      </c>
      <c r="W28" s="2">
        <f t="shared" si="0"/>
        <v>4.9245091317262624E-8</v>
      </c>
      <c r="X28" s="2">
        <f t="shared" si="8"/>
        <v>4.2303740978240967E-2</v>
      </c>
      <c r="Y28" s="2">
        <f t="shared" si="1"/>
        <v>-1.0495189398107563E-8</v>
      </c>
      <c r="Z28" s="2">
        <f t="shared" si="3"/>
        <v>4.2303711175918579E-2</v>
      </c>
      <c r="AA28" s="2">
        <f t="shared" si="2"/>
        <v>1.9374950983863659E-8</v>
      </c>
      <c r="AB28" s="2">
        <f t="shared" si="4"/>
        <v>9.5412123046785327E-16</v>
      </c>
      <c r="AC28" s="2">
        <f t="shared" si="5"/>
        <v>-2.0334378015469957E-16</v>
      </c>
      <c r="AD28" s="2">
        <f t="shared" si="6"/>
        <v>5.9604644775390625E-8</v>
      </c>
      <c r="AF28" s="2">
        <v>24</v>
      </c>
      <c r="AG28" s="2">
        <f t="shared" si="13"/>
        <v>2787.1630787849426</v>
      </c>
      <c r="AH28" s="2">
        <v>-1.1533712631717208E-4</v>
      </c>
      <c r="AI28" s="2">
        <f t="shared" si="14"/>
        <v>2787.1642112731934</v>
      </c>
      <c r="AJ28" s="2">
        <v>3.4127585240639746E-4</v>
      </c>
      <c r="AK28" s="2">
        <f t="shared" si="9"/>
        <v>2787.163645029068</v>
      </c>
      <c r="AL28" s="2">
        <v>1.1296935781501816E-4</v>
      </c>
      <c r="AM28" s="2">
        <f t="shared" si="10"/>
        <v>-1.3029561092280559E-8</v>
      </c>
      <c r="AN28" s="2">
        <f t="shared" si="11"/>
        <v>3.855371388412364E-8</v>
      </c>
      <c r="AO28" s="2">
        <f t="shared" si="12"/>
        <v>1.1324882507324219E-3</v>
      </c>
    </row>
    <row r="29" spans="2:41" x14ac:dyDescent="0.2">
      <c r="B29" s="35" t="s">
        <v>108</v>
      </c>
      <c r="C29" s="35"/>
      <c r="D29" s="35"/>
      <c r="F29" t="s">
        <v>97</v>
      </c>
      <c r="G29" s="6">
        <f>G31/$C$18</f>
        <v>85.168356778623462</v>
      </c>
      <c r="H29" t="s">
        <v>18</v>
      </c>
      <c r="U29" s="2">
        <v>25</v>
      </c>
      <c r="V29" s="2">
        <f t="shared" si="7"/>
        <v>4.2303711175918579E-2</v>
      </c>
      <c r="W29" s="2">
        <f t="shared" si="0"/>
        <v>1.9374950983863659E-8</v>
      </c>
      <c r="X29" s="2">
        <f t="shared" si="8"/>
        <v>4.2303740978240967E-2</v>
      </c>
      <c r="Y29" s="2">
        <f t="shared" si="1"/>
        <v>-1.0495189398107563E-8</v>
      </c>
      <c r="Z29" s="2">
        <f t="shared" si="3"/>
        <v>4.2303726077079773E-2</v>
      </c>
      <c r="AA29" s="2">
        <f t="shared" si="2"/>
        <v>4.4398807963474951E-9</v>
      </c>
      <c r="AB29" s="2">
        <f t="shared" si="4"/>
        <v>8.602247280343027E-17</v>
      </c>
      <c r="AC29" s="2">
        <f t="shared" si="5"/>
        <v>-4.6597389862687595E-17</v>
      </c>
      <c r="AD29" s="2">
        <f t="shared" si="6"/>
        <v>2.9802322387695312E-8</v>
      </c>
      <c r="AF29" s="2">
        <v>25</v>
      </c>
      <c r="AG29" s="2">
        <f t="shared" si="13"/>
        <v>2787.1630787849426</v>
      </c>
      <c r="AH29" s="2">
        <v>-1.1533712631717208E-4</v>
      </c>
      <c r="AI29" s="2">
        <f t="shared" si="14"/>
        <v>2787.163645029068</v>
      </c>
      <c r="AJ29" s="2">
        <v>1.1296935781501816E-4</v>
      </c>
      <c r="AK29" s="2">
        <f t="shared" si="9"/>
        <v>2787.1633619070053</v>
      </c>
      <c r="AL29" s="2">
        <v>-1.10040232357278E-5</v>
      </c>
      <c r="AM29" s="2">
        <f t="shared" si="10"/>
        <v>1.2691724179362339E-9</v>
      </c>
      <c r="AN29" s="2">
        <f t="shared" si="11"/>
        <v>-1.2431174383217077E-9</v>
      </c>
      <c r="AO29" s="2">
        <f t="shared" si="12"/>
        <v>5.6624412536621094E-4</v>
      </c>
    </row>
    <row r="30" spans="2:41" x14ac:dyDescent="0.2">
      <c r="B30" s="6" t="s">
        <v>116</v>
      </c>
      <c r="C30" s="21" t="s">
        <v>133</v>
      </c>
      <c r="F30" t="s">
        <v>146</v>
      </c>
      <c r="G30" s="6">
        <f xml:space="preserve"> (G28/$C$44*1000) / (G29*1000)</f>
        <v>8.1812714315472412</v>
      </c>
      <c r="H30" s="6" t="s">
        <v>147</v>
      </c>
      <c r="J30" s="33" t="s">
        <v>111</v>
      </c>
      <c r="K30" s="33"/>
      <c r="L30" s="33"/>
      <c r="U30" s="2">
        <v>26</v>
      </c>
      <c r="V30" s="2">
        <f t="shared" si="7"/>
        <v>4.2303726077079773E-2</v>
      </c>
      <c r="W30" s="2">
        <f t="shared" si="0"/>
        <v>4.4398807963474951E-9</v>
      </c>
      <c r="X30" s="2">
        <f t="shared" si="8"/>
        <v>4.2303740978240967E-2</v>
      </c>
      <c r="Y30" s="2">
        <f t="shared" si="1"/>
        <v>-1.0495189398107563E-8</v>
      </c>
      <c r="Z30" s="2">
        <f t="shared" si="3"/>
        <v>4.230373352766037E-2</v>
      </c>
      <c r="AA30" s="2">
        <f t="shared" si="2"/>
        <v>-3.0276543008800338E-9</v>
      </c>
      <c r="AB30" s="2">
        <f t="shared" si="4"/>
        <v>-1.3442424188456164E-17</v>
      </c>
      <c r="AC30" s="2">
        <f t="shared" si="5"/>
        <v>3.1775805319730895E-17</v>
      </c>
      <c r="AD30" s="2">
        <f t="shared" si="6"/>
        <v>1.4901161193847656E-8</v>
      </c>
      <c r="AF30" s="2">
        <v>26</v>
      </c>
      <c r="AG30" s="2">
        <f t="shared" si="13"/>
        <v>2787.1633619070053</v>
      </c>
      <c r="AH30" s="2">
        <v>-1.10040232357278E-5</v>
      </c>
      <c r="AI30" s="2">
        <f t="shared" si="14"/>
        <v>2787.163645029068</v>
      </c>
      <c r="AJ30" s="2">
        <v>1.1296935781501816E-4</v>
      </c>
      <c r="AK30" s="2">
        <f t="shared" si="9"/>
        <v>2787.1635034680367</v>
      </c>
      <c r="AL30" s="2">
        <v>5.0982665470655775E-5</v>
      </c>
      <c r="AM30" s="2">
        <f t="shared" si="10"/>
        <v>-5.6101443545843354E-10</v>
      </c>
      <c r="AN30" s="2">
        <f t="shared" si="11"/>
        <v>5.7594789779178835E-9</v>
      </c>
      <c r="AO30" s="2">
        <f t="shared" si="12"/>
        <v>2.8312206268310547E-4</v>
      </c>
    </row>
    <row r="31" spans="2:41" x14ac:dyDescent="0.2">
      <c r="B31" s="6" t="s">
        <v>117</v>
      </c>
      <c r="C31" s="6">
        <f>IF(C30="wheeled",0.0325,0.014)</f>
        <v>1.4E-2</v>
      </c>
      <c r="F31" s="24" t="s">
        <v>83</v>
      </c>
      <c r="G31" s="25">
        <f xml:space="preserve"> 1/1000 * IF($G$25&gt;= 2*SQRT(($C$5*$C$44)/(2*$C$41*$C$18*PI()*$C$9*$C$9)), ($C$5*$C$44)/$C$21 * ( ($G$25/2) - SQRT( ($G$25/2)^2 - ($C$5*$C$44)/(2*$C$41*$C$18*PI()*$C$9*$C$9 ) ) ), 1/$C$21 * SQRT(($C$5*$C$44)^3/(2*$C$41*$C$18*PI()*$C$9*$C$9)) )</f>
        <v>340.67342711449385</v>
      </c>
      <c r="H31" s="24" t="s">
        <v>101</v>
      </c>
      <c r="J31" s="6" t="s">
        <v>57</v>
      </c>
      <c r="K31" s="6">
        <f>ROUND($C$13,2)</f>
        <v>600</v>
      </c>
      <c r="L31" s="6" t="s">
        <v>7</v>
      </c>
      <c r="U31" s="2">
        <v>27</v>
      </c>
      <c r="V31" s="2">
        <f t="shared" si="7"/>
        <v>4.2303726077079773E-2</v>
      </c>
      <c r="W31" s="2">
        <f t="shared" si="0"/>
        <v>4.4398807963474951E-9</v>
      </c>
      <c r="X31" s="2">
        <f t="shared" si="8"/>
        <v>4.230373352766037E-2</v>
      </c>
      <c r="Y31" s="2">
        <f t="shared" si="1"/>
        <v>-3.0276543008800338E-9</v>
      </c>
      <c r="Z31" s="2">
        <f t="shared" si="3"/>
        <v>4.2303729802370071E-2</v>
      </c>
      <c r="AA31" s="2">
        <f t="shared" si="2"/>
        <v>7.0611325120317758E-10</v>
      </c>
      <c r="AB31" s="2">
        <f t="shared" si="4"/>
        <v>3.1350586640634829E-18</v>
      </c>
      <c r="AC31" s="2">
        <f t="shared" si="5"/>
        <v>-2.1378668219136845E-18</v>
      </c>
      <c r="AD31" s="2">
        <f t="shared" si="6"/>
        <v>7.4505805969238281E-9</v>
      </c>
      <c r="AF31" s="2">
        <v>27</v>
      </c>
      <c r="AG31" s="2">
        <f t="shared" si="13"/>
        <v>2787.1633619070053</v>
      </c>
      <c r="AH31" s="2">
        <v>-1.10040232357278E-5</v>
      </c>
      <c r="AI31" s="2">
        <f t="shared" si="14"/>
        <v>2787.1635034680367</v>
      </c>
      <c r="AJ31" s="2">
        <v>5.0982665470655775E-5</v>
      </c>
      <c r="AK31" s="2">
        <f t="shared" si="9"/>
        <v>2787.163432687521</v>
      </c>
      <c r="AL31" s="2">
        <v>2.9809460102114826E-5</v>
      </c>
      <c r="AM31" s="2">
        <f t="shared" si="10"/>
        <v>-3.2802399160817235E-10</v>
      </c>
      <c r="AN31" s="2">
        <f t="shared" si="11"/>
        <v>1.5197657322469805E-9</v>
      </c>
      <c r="AO31" s="2">
        <f t="shared" si="12"/>
        <v>1.4156103134155273E-4</v>
      </c>
    </row>
    <row r="32" spans="2:41" x14ac:dyDescent="0.2">
      <c r="B32" t="s">
        <v>134</v>
      </c>
      <c r="C32" s="1">
        <v>2.8540374719999999</v>
      </c>
      <c r="D32" t="s">
        <v>8</v>
      </c>
      <c r="J32" s="11" t="s">
        <v>52</v>
      </c>
      <c r="K32" s="6">
        <f>ROUND(K13,2)</f>
        <v>1254.93</v>
      </c>
      <c r="L32" s="6" t="s">
        <v>7</v>
      </c>
      <c r="U32" s="2">
        <v>28</v>
      </c>
      <c r="V32" s="2">
        <f t="shared" si="7"/>
        <v>4.2303729802370071E-2</v>
      </c>
      <c r="W32" s="2">
        <f t="shared" si="0"/>
        <v>7.0611325120317758E-10</v>
      </c>
      <c r="X32" s="2">
        <f t="shared" si="8"/>
        <v>4.230373352766037E-2</v>
      </c>
      <c r="Y32" s="2">
        <f t="shared" si="1"/>
        <v>-3.0276543008800338E-9</v>
      </c>
      <c r="Z32" s="2">
        <f t="shared" si="3"/>
        <v>4.2303731665015221E-2</v>
      </c>
      <c r="AA32" s="2">
        <f t="shared" si="2"/>
        <v>-1.1607705213689812E-9</v>
      </c>
      <c r="AB32" s="2">
        <f t="shared" si="4"/>
        <v>-8.1963544674465882E-19</v>
      </c>
      <c r="AC32" s="2">
        <f t="shared" si="5"/>
        <v>3.5144118613575548E-18</v>
      </c>
      <c r="AD32" s="2">
        <f t="shared" si="6"/>
        <v>3.7252902984619141E-9</v>
      </c>
      <c r="AF32" s="2">
        <v>28</v>
      </c>
      <c r="AG32" s="2">
        <f t="shared" si="13"/>
        <v>2787.1633619070053</v>
      </c>
      <c r="AH32" s="2">
        <v>-1.10040232357278E-5</v>
      </c>
      <c r="AI32" s="2">
        <f t="shared" si="14"/>
        <v>2787.163432687521</v>
      </c>
      <c r="AJ32" s="2">
        <v>2.9809460102114826E-5</v>
      </c>
      <c r="AK32" s="2">
        <f t="shared" si="9"/>
        <v>2787.1633972972631</v>
      </c>
      <c r="AL32" s="2">
        <v>-4.1742077883100137E-7</v>
      </c>
      <c r="AM32" s="2">
        <f t="shared" si="10"/>
        <v>4.5933079493319341E-12</v>
      </c>
      <c r="AN32" s="2">
        <f t="shared" si="11"/>
        <v>-1.2443088052356433E-11</v>
      </c>
      <c r="AO32" s="2">
        <f t="shared" si="12"/>
        <v>7.0780515670776367E-5</v>
      </c>
    </row>
    <row r="33" spans="2:41" x14ac:dyDescent="0.2">
      <c r="B33" t="s">
        <v>135</v>
      </c>
      <c r="C33" s="1">
        <f>(0.750222528+0.849998808)/2</f>
        <v>0.80011066800000008</v>
      </c>
      <c r="D33"/>
      <c r="F33" s="31" t="s">
        <v>156</v>
      </c>
      <c r="G33" s="32"/>
      <c r="H33" s="32"/>
      <c r="J33" s="19" t="s">
        <v>78</v>
      </c>
      <c r="K33" s="6">
        <f>ROUND(SUM(K14:K17),2)</f>
        <v>601.87</v>
      </c>
      <c r="L33" s="6" t="s">
        <v>7</v>
      </c>
      <c r="U33" s="2">
        <v>29</v>
      </c>
      <c r="V33" s="2">
        <f t="shared" si="7"/>
        <v>4.2303729802370071E-2</v>
      </c>
      <c r="W33" s="2">
        <f t="shared" si="0"/>
        <v>7.0611325120317758E-10</v>
      </c>
      <c r="X33" s="2">
        <f t="shared" si="8"/>
        <v>4.2303731665015221E-2</v>
      </c>
      <c r="Y33" s="2">
        <f t="shared" si="1"/>
        <v>-1.1607705213689812E-9</v>
      </c>
      <c r="Z33" s="2">
        <f t="shared" si="3"/>
        <v>4.2303730733692646E-2</v>
      </c>
      <c r="AA33" s="2">
        <f t="shared" si="2"/>
        <v>-2.273286420217957E-10</v>
      </c>
      <c r="AB33" s="2">
        <f t="shared" si="4"/>
        <v>-1.6051976650961346E-19</v>
      </c>
      <c r="AC33" s="2">
        <f t="shared" si="5"/>
        <v>2.6387638632174228E-19</v>
      </c>
      <c r="AD33" s="2">
        <f t="shared" si="6"/>
        <v>1.862645149230957E-9</v>
      </c>
      <c r="AF33" s="2">
        <v>29</v>
      </c>
      <c r="AG33" s="2">
        <f t="shared" si="13"/>
        <v>2787.1633972972631</v>
      </c>
      <c r="AH33" s="2">
        <v>-4.1742077883100137E-7</v>
      </c>
      <c r="AI33" s="2">
        <f t="shared" si="14"/>
        <v>2787.163432687521</v>
      </c>
      <c r="AJ33" s="2">
        <v>2.9809460102114826E-5</v>
      </c>
      <c r="AK33" s="2">
        <f t="shared" si="9"/>
        <v>2787.1634149923921</v>
      </c>
      <c r="AL33" s="2">
        <v>4.8758815864857752E-6</v>
      </c>
      <c r="AM33" s="2">
        <f t="shared" si="10"/>
        <v>-2.0352942893186308E-12</v>
      </c>
      <c r="AN33" s="2">
        <f t="shared" si="11"/>
        <v>1.4534739761498406E-10</v>
      </c>
      <c r="AO33" s="2">
        <f t="shared" si="12"/>
        <v>3.5390257835388184E-5</v>
      </c>
    </row>
    <row r="34" spans="2:41" x14ac:dyDescent="0.2">
      <c r="F34" s="9" t="s">
        <v>157</v>
      </c>
      <c r="G34" s="17">
        <f>20*60</f>
        <v>1200</v>
      </c>
      <c r="H34" s="6" t="s">
        <v>13</v>
      </c>
      <c r="J34" s="20" t="s">
        <v>69</v>
      </c>
      <c r="K34" s="6">
        <f>ROUND(SUM(K18:K22),2)</f>
        <v>194.16</v>
      </c>
      <c r="L34" s="6" t="s">
        <v>7</v>
      </c>
      <c r="U34" s="2">
        <v>30</v>
      </c>
      <c r="V34" s="2">
        <f t="shared" si="7"/>
        <v>4.2303729802370071E-2</v>
      </c>
      <c r="W34" s="2">
        <f t="shared" si="0"/>
        <v>7.0611325120317758E-10</v>
      </c>
      <c r="X34" s="2">
        <f t="shared" si="8"/>
        <v>4.2303730733692646E-2</v>
      </c>
      <c r="Y34" s="2">
        <f t="shared" si="1"/>
        <v>-2.273286420217957E-10</v>
      </c>
      <c r="Z34" s="2">
        <f t="shared" si="3"/>
        <v>4.2303730268031359E-2</v>
      </c>
      <c r="AA34" s="2">
        <f t="shared" si="2"/>
        <v>2.3939230459069094E-10</v>
      </c>
      <c r="AB34" s="2">
        <f t="shared" si="4"/>
        <v>1.6903807850755415E-19</v>
      </c>
      <c r="AC34" s="2">
        <f t="shared" si="5"/>
        <v>-5.4420727513069861E-20</v>
      </c>
      <c r="AD34" s="2">
        <f>X34-V34</f>
        <v>9.3132257461547852E-10</v>
      </c>
      <c r="AF34" s="2">
        <v>30</v>
      </c>
      <c r="AG34" s="2">
        <f t="shared" si="13"/>
        <v>2787.1633972972631</v>
      </c>
      <c r="AH34" s="2">
        <v>-4.1742077883100137E-7</v>
      </c>
      <c r="AI34" s="2">
        <f t="shared" si="14"/>
        <v>2787.1634149923921</v>
      </c>
      <c r="AJ34" s="2">
        <v>4.8758815864857752E-6</v>
      </c>
      <c r="AK34" s="2">
        <f t="shared" si="9"/>
        <v>2787.1634061448276</v>
      </c>
      <c r="AL34" s="2">
        <v>2.2292292669590097E-6</v>
      </c>
      <c r="AM34" s="2">
        <f t="shared" si="10"/>
        <v>-9.305266168068921E-13</v>
      </c>
      <c r="AN34" s="2">
        <f t="shared" si="11"/>
        <v>1.0869457934820618E-11</v>
      </c>
      <c r="AO34" s="2">
        <f t="shared" si="12"/>
        <v>1.7695128917694092E-5</v>
      </c>
    </row>
    <row r="35" spans="2:41" x14ac:dyDescent="0.2">
      <c r="B35" s="33" t="s">
        <v>2</v>
      </c>
      <c r="C35" s="33"/>
      <c r="D35" s="33"/>
      <c r="F35" s="26" t="s">
        <v>132</v>
      </c>
      <c r="G35" s="25">
        <f xml:space="preserve"> G22</f>
        <v>232.92133967903814</v>
      </c>
      <c r="H35" s="25" t="s">
        <v>101</v>
      </c>
      <c r="J35" s="15" t="s">
        <v>70</v>
      </c>
      <c r="K35" s="6">
        <f>ROUND(SUM(K23:K26),2)</f>
        <v>136.19</v>
      </c>
      <c r="L35" s="6" t="s">
        <v>7</v>
      </c>
      <c r="AF35" s="2">
        <v>31</v>
      </c>
      <c r="AG35" s="2">
        <f t="shared" si="13"/>
        <v>2787.1633972972631</v>
      </c>
      <c r="AH35" s="2">
        <v>-4.1742077883100137E-7</v>
      </c>
      <c r="AI35" s="2">
        <f t="shared" si="14"/>
        <v>2787.1634061448276</v>
      </c>
      <c r="AJ35" s="2">
        <v>2.2292292669590097E-6</v>
      </c>
      <c r="AK35" s="2">
        <f t="shared" si="9"/>
        <v>2787.1634017210454</v>
      </c>
      <c r="AL35" s="2">
        <v>9.0590219770092517E-7</v>
      </c>
      <c r="AM35" s="2">
        <f t="shared" si="10"/>
        <v>-3.7814240090903596E-13</v>
      </c>
      <c r="AN35" s="2">
        <f t="shared" si="11"/>
        <v>2.0194636921173893E-12</v>
      </c>
      <c r="AO35" s="2">
        <f t="shared" si="12"/>
        <v>8.8475644588470459E-6</v>
      </c>
    </row>
    <row r="36" spans="2:41" x14ac:dyDescent="0.2">
      <c r="B36" s="6" t="s">
        <v>3</v>
      </c>
      <c r="C36" s="17">
        <v>250</v>
      </c>
      <c r="D36" s="6" t="s">
        <v>4</v>
      </c>
      <c r="J36" s="10" t="s">
        <v>59</v>
      </c>
      <c r="K36" s="10">
        <f>SUM(K31:K35)</f>
        <v>2787.15</v>
      </c>
      <c r="L36" s="6" t="s">
        <v>7</v>
      </c>
      <c r="AF36" s="2">
        <v>32</v>
      </c>
      <c r="AG36" s="2">
        <f t="shared" si="13"/>
        <v>2787.1633972972631</v>
      </c>
      <c r="AH36" s="2">
        <v>-4.1742077883100137E-7</v>
      </c>
      <c r="AI36" s="2">
        <f t="shared" si="14"/>
        <v>2787.1634017210454</v>
      </c>
      <c r="AJ36" s="2">
        <v>9.0590219770092517E-7</v>
      </c>
      <c r="AK36" s="2">
        <f t="shared" si="9"/>
        <v>2787.1633995091543</v>
      </c>
      <c r="AL36" s="2">
        <v>2.4424161892966367E-7</v>
      </c>
      <c r="AM36" s="2">
        <f t="shared" si="10"/>
        <v>-1.0195152679656486E-13</v>
      </c>
      <c r="AN36" s="2">
        <f t="shared" si="11"/>
        <v>2.2125901935841421E-13</v>
      </c>
      <c r="AO36" s="2">
        <f t="shared" si="12"/>
        <v>4.4237822294235229E-6</v>
      </c>
    </row>
    <row r="37" spans="2:41" x14ac:dyDescent="0.2">
      <c r="B37" s="6" t="s">
        <v>5</v>
      </c>
      <c r="C37" s="17">
        <v>0.85</v>
      </c>
      <c r="AF37" s="2">
        <v>33</v>
      </c>
      <c r="AG37" s="2">
        <f t="shared" si="13"/>
        <v>2787.1633972972631</v>
      </c>
      <c r="AH37" s="2">
        <v>-4.1742077883100137E-7</v>
      </c>
      <c r="AI37" s="2">
        <f t="shared" si="14"/>
        <v>2787.1633995091543</v>
      </c>
      <c r="AJ37" s="2">
        <v>2.4424161892966367E-7</v>
      </c>
      <c r="AK37" s="2">
        <f t="shared" si="9"/>
        <v>2787.1633984032087</v>
      </c>
      <c r="AL37" s="2">
        <v>-8.6587988334940746E-8</v>
      </c>
      <c r="AM37" s="2">
        <f t="shared" si="10"/>
        <v>3.6143625528180628E-14</v>
      </c>
      <c r="AN37" s="2">
        <f t="shared" si="11"/>
        <v>-2.1148390450788761E-14</v>
      </c>
      <c r="AO37" s="2">
        <f t="shared" si="12"/>
        <v>2.2118911147117615E-6</v>
      </c>
    </row>
    <row r="38" spans="2:41" x14ac:dyDescent="0.2">
      <c r="B38" s="6" t="s">
        <v>6</v>
      </c>
      <c r="C38" s="17">
        <v>0.8</v>
      </c>
      <c r="J38" s="33" t="s">
        <v>56</v>
      </c>
      <c r="K38" s="33"/>
      <c r="L38" s="33"/>
      <c r="AF38" s="2">
        <v>34</v>
      </c>
      <c r="AG38" s="2">
        <f t="shared" si="13"/>
        <v>2787.1633984032087</v>
      </c>
      <c r="AH38" s="2">
        <v>-8.6587988334940746E-8</v>
      </c>
      <c r="AI38" s="2">
        <f t="shared" si="14"/>
        <v>2787.1633995091543</v>
      </c>
      <c r="AJ38" s="2">
        <v>2.4424161892966367E-7</v>
      </c>
      <c r="AK38" s="2">
        <f t="shared" si="9"/>
        <v>2787.1633989561815</v>
      </c>
      <c r="AL38" s="2">
        <v>7.882727004471235E-8</v>
      </c>
      <c r="AM38" s="2">
        <f t="shared" si="10"/>
        <v>-6.8254947391067771E-15</v>
      </c>
      <c r="AN38" s="2">
        <f t="shared" si="11"/>
        <v>1.9252900051526326E-14</v>
      </c>
      <c r="AO38" s="2">
        <f t="shared" si="12"/>
        <v>1.1059455573558807E-6</v>
      </c>
    </row>
    <row r="39" spans="2:41" x14ac:dyDescent="0.2">
      <c r="J39" s="6" t="s">
        <v>57</v>
      </c>
      <c r="K39" s="6">
        <f>ROUND($C$13/$C$5 * 100, 2)</f>
        <v>21.53</v>
      </c>
      <c r="L39" s="6" t="s">
        <v>58</v>
      </c>
      <c r="AF39" s="2">
        <v>35</v>
      </c>
      <c r="AG39" s="2">
        <f t="shared" si="13"/>
        <v>2787.1633984032087</v>
      </c>
      <c r="AH39" s="2">
        <v>-8.6587988334940746E-8</v>
      </c>
      <c r="AI39" s="2">
        <f t="shared" si="14"/>
        <v>2787.1633989561815</v>
      </c>
      <c r="AJ39" s="2">
        <v>7.882727004471235E-8</v>
      </c>
      <c r="AK39" s="2">
        <f t="shared" si="9"/>
        <v>2787.1633986796951</v>
      </c>
      <c r="AL39" s="2">
        <v>-3.8794496504124254E-9</v>
      </c>
      <c r="AM39" s="2">
        <f t="shared" si="10"/>
        <v>3.3591374107590105E-16</v>
      </c>
      <c r="AN39" s="2">
        <f t="shared" si="11"/>
        <v>-3.0580642521792518E-16</v>
      </c>
      <c r="AO39" s="2">
        <f t="shared" si="12"/>
        <v>5.5297277867794037E-7</v>
      </c>
    </row>
    <row r="40" spans="2:41" x14ac:dyDescent="0.2">
      <c r="B40" s="33" t="s">
        <v>144</v>
      </c>
      <c r="C40" s="36"/>
      <c r="D40" s="36"/>
      <c r="J40" s="11" t="s">
        <v>52</v>
      </c>
      <c r="K40" s="6">
        <f>ROUND(K13/$C$5 * 100, 2)</f>
        <v>45.03</v>
      </c>
      <c r="L40" s="6" t="s">
        <v>58</v>
      </c>
      <c r="AF40" s="2">
        <v>36</v>
      </c>
      <c r="AG40" s="2">
        <f t="shared" si="13"/>
        <v>2787.1633986796951</v>
      </c>
      <c r="AH40" s="2">
        <v>-3.8794496504124254E-9</v>
      </c>
      <c r="AI40" s="2">
        <f t="shared" si="14"/>
        <v>2787.1633989561815</v>
      </c>
      <c r="AJ40" s="2">
        <v>7.882727004471235E-8</v>
      </c>
      <c r="AK40" s="2">
        <f t="shared" si="9"/>
        <v>2787.1633988179383</v>
      </c>
      <c r="AL40" s="2">
        <v>3.7472091207746416E-8</v>
      </c>
      <c r="AM40" s="2">
        <f t="shared" si="10"/>
        <v>-1.4537109113611435E-16</v>
      </c>
      <c r="AN40" s="2">
        <f t="shared" si="11"/>
        <v>2.9538226527731181E-15</v>
      </c>
      <c r="AO40" s="2">
        <f t="shared" si="12"/>
        <v>2.7648638933897018E-7</v>
      </c>
    </row>
    <row r="41" spans="2:41" x14ac:dyDescent="0.2">
      <c r="B41" s="6" t="s">
        <v>14</v>
      </c>
      <c r="C41" s="17">
        <v>1.0397562309141399</v>
      </c>
      <c r="D41" s="6" t="s">
        <v>15</v>
      </c>
      <c r="J41" s="19" t="s">
        <v>78</v>
      </c>
      <c r="K41" s="6">
        <f>ROUND(SUM(K14:K17)/$C$5 * 100, 2)</f>
        <v>21.59</v>
      </c>
      <c r="L41" s="6" t="s">
        <v>58</v>
      </c>
      <c r="AF41" s="2">
        <v>37</v>
      </c>
      <c r="AG41" s="2">
        <f t="shared" si="13"/>
        <v>2787.1633986796951</v>
      </c>
      <c r="AH41" s="2">
        <v>-3.8794496504124254E-9</v>
      </c>
      <c r="AI41" s="2">
        <f t="shared" si="14"/>
        <v>2787.1633988179383</v>
      </c>
      <c r="AJ41" s="2">
        <v>3.7472091207746416E-8</v>
      </c>
      <c r="AK41" s="2">
        <f t="shared" si="9"/>
        <v>2787.1633987488167</v>
      </c>
      <c r="AL41" s="2">
        <v>1.6794729162938893E-8</v>
      </c>
      <c r="AM41" s="2">
        <f t="shared" si="10"/>
        <v>-6.5154306179934654E-17</v>
      </c>
      <c r="AN41" s="2">
        <f t="shared" si="11"/>
        <v>6.2933362300304482E-16</v>
      </c>
      <c r="AO41" s="2">
        <f t="shared" si="12"/>
        <v>1.3824319466948509E-7</v>
      </c>
    </row>
    <row r="42" spans="2:41" x14ac:dyDescent="0.2">
      <c r="B42" s="6" t="s">
        <v>130</v>
      </c>
      <c r="C42" s="23">
        <v>1.7363179204150701E-5</v>
      </c>
      <c r="D42" s="6" t="s">
        <v>129</v>
      </c>
      <c r="J42" s="20" t="s">
        <v>69</v>
      </c>
      <c r="K42" s="6">
        <f>ROUND(SUM(K18:K22)/$C$5 * 100, 2)</f>
        <v>6.97</v>
      </c>
      <c r="L42" s="6" t="s">
        <v>58</v>
      </c>
      <c r="AF42" s="2">
        <v>38</v>
      </c>
      <c r="AG42" s="2">
        <f t="shared" si="13"/>
        <v>2787.1633986796951</v>
      </c>
      <c r="AH42" s="2">
        <v>-3.8794496504124254E-9</v>
      </c>
      <c r="AI42" s="2">
        <f t="shared" si="14"/>
        <v>2787.1633987488167</v>
      </c>
      <c r="AJ42" s="2">
        <v>1.6794729162938893E-8</v>
      </c>
      <c r="AK42" s="2">
        <f t="shared" si="9"/>
        <v>2787.1633987142559</v>
      </c>
      <c r="AL42" s="2">
        <v>6.4574123825877905E-9</v>
      </c>
      <c r="AM42" s="2">
        <f t="shared" si="10"/>
        <v>-2.5051206210199071E-17</v>
      </c>
      <c r="AN42" s="2">
        <f t="shared" si="11"/>
        <v>1.0845049205896988E-16</v>
      </c>
      <c r="AO42" s="2">
        <f t="shared" si="12"/>
        <v>6.9121597334742546E-8</v>
      </c>
    </row>
    <row r="43" spans="2:41" x14ac:dyDescent="0.2">
      <c r="B43" s="6" t="s">
        <v>123</v>
      </c>
      <c r="C43" s="17">
        <v>333.91694458017901</v>
      </c>
      <c r="D43" s="6" t="s">
        <v>10</v>
      </c>
      <c r="J43" s="15" t="s">
        <v>70</v>
      </c>
      <c r="K43" s="6">
        <f>ROUND(SUM(K23:K26)/$C$5*100, 2)</f>
        <v>4.8899999999999997</v>
      </c>
      <c r="L43" s="6" t="s">
        <v>58</v>
      </c>
      <c r="N43" s="6" t="s">
        <v>151</v>
      </c>
      <c r="O43" s="6">
        <v>3</v>
      </c>
      <c r="AF43" s="2">
        <v>39</v>
      </c>
      <c r="AG43" s="2">
        <f t="shared" si="13"/>
        <v>2787.1633986796951</v>
      </c>
      <c r="AH43" s="2">
        <v>-3.8794496504124254E-9</v>
      </c>
      <c r="AI43" s="2">
        <f t="shared" si="14"/>
        <v>2787.1633987142559</v>
      </c>
      <c r="AJ43" s="2">
        <v>6.4574123825877905E-9</v>
      </c>
      <c r="AK43" s="2">
        <f t="shared" si="9"/>
        <v>2787.1633986969755</v>
      </c>
      <c r="AL43" s="2">
        <v>1.2901182344648987E-9</v>
      </c>
      <c r="AM43" s="2">
        <f t="shared" si="10"/>
        <v>-5.0049487336855467E-18</v>
      </c>
      <c r="AN43" s="2">
        <f t="shared" si="11"/>
        <v>8.3308254622359353E-18</v>
      </c>
      <c r="AO43" s="2">
        <f t="shared" si="12"/>
        <v>3.4560798667371273E-8</v>
      </c>
    </row>
    <row r="44" spans="2:41" x14ac:dyDescent="0.2">
      <c r="B44" s="6" t="s">
        <v>16</v>
      </c>
      <c r="C44" s="1">
        <v>9.80149119240094</v>
      </c>
      <c r="D44" s="6" t="s">
        <v>17</v>
      </c>
      <c r="J44" s="10" t="s">
        <v>59</v>
      </c>
      <c r="K44" s="10">
        <f>SUM(K39:K43)</f>
        <v>100.01</v>
      </c>
      <c r="L44" s="10" t="s">
        <v>58</v>
      </c>
      <c r="N44" s="6" t="s">
        <v>152</v>
      </c>
      <c r="O44" s="6">
        <f>O43*C6</f>
        <v>1200</v>
      </c>
      <c r="P44" s="6" t="s">
        <v>125</v>
      </c>
      <c r="AF44" s="2">
        <v>40</v>
      </c>
      <c r="AG44" s="2">
        <f t="shared" si="13"/>
        <v>2787.1633986796951</v>
      </c>
      <c r="AH44" s="2">
        <v>-3.8794496504124254E-9</v>
      </c>
      <c r="AI44" s="2">
        <f t="shared" si="14"/>
        <v>2787.1633986969755</v>
      </c>
      <c r="AJ44" s="2">
        <v>1.2901182344648987E-9</v>
      </c>
      <c r="AK44" s="5">
        <f>(AG44+AI44)/2</f>
        <v>2787.1633986883353</v>
      </c>
      <c r="AL44" s="2">
        <v>-1.2964846973773092E-9</v>
      </c>
      <c r="AM44" s="2">
        <f t="shared" si="10"/>
        <v>5.0296471060054613E-18</v>
      </c>
      <c r="AN44" s="2">
        <f t="shared" si="11"/>
        <v>-1.6726185487911726E-18</v>
      </c>
      <c r="AO44" s="2">
        <f t="shared" si="12"/>
        <v>1.7280399333685637E-8</v>
      </c>
    </row>
    <row r="45" spans="2:41" x14ac:dyDescent="0.2">
      <c r="N45" s="6" t="s">
        <v>150</v>
      </c>
      <c r="O45" s="6">
        <f>O44*2*PI()/60</f>
        <v>125.66370614359172</v>
      </c>
      <c r="P45" s="6" t="s">
        <v>27</v>
      </c>
    </row>
    <row r="46" spans="2:41" x14ac:dyDescent="0.2">
      <c r="B46" s="33" t="s">
        <v>145</v>
      </c>
      <c r="C46" s="36"/>
      <c r="D46" s="36"/>
      <c r="J46" s="33" t="s">
        <v>56</v>
      </c>
      <c r="K46" s="33"/>
      <c r="L46" s="33"/>
      <c r="N46" s="6" t="s">
        <v>153</v>
      </c>
      <c r="O46" s="6">
        <f>G12*1000/O45</f>
        <v>3103.9865651508849</v>
      </c>
      <c r="P46" s="6" t="s">
        <v>128</v>
      </c>
    </row>
    <row r="47" spans="2:41" x14ac:dyDescent="0.2">
      <c r="B47" s="6" t="s">
        <v>14</v>
      </c>
      <c r="C47" s="17">
        <v>1.00854450666398</v>
      </c>
      <c r="D47" s="6" t="s">
        <v>15</v>
      </c>
      <c r="J47" s="6" t="s">
        <v>57</v>
      </c>
      <c r="K47" s="6">
        <f>ROUND($C$13/$C$5 * 100, 2)</f>
        <v>21.53</v>
      </c>
      <c r="L47" s="6" t="s">
        <v>58</v>
      </c>
      <c r="N47" s="6" t="s">
        <v>154</v>
      </c>
      <c r="O47" s="6">
        <f>0.377*O46^0.6945</f>
        <v>100.34128862546166</v>
      </c>
    </row>
    <row r="48" spans="2:41" x14ac:dyDescent="0.2">
      <c r="B48" s="6" t="s">
        <v>130</v>
      </c>
      <c r="C48" s="23">
        <v>1.7265641515845801E-5</v>
      </c>
      <c r="D48" s="6" t="s">
        <v>129</v>
      </c>
      <c r="J48" s="11" t="s">
        <v>52</v>
      </c>
      <c r="K48" s="6">
        <f>ROUND(K13/$C$5 * 100, 2)</f>
        <v>45.03</v>
      </c>
      <c r="L48" s="6" t="s">
        <v>58</v>
      </c>
    </row>
    <row r="49" spans="2:12" x14ac:dyDescent="0.2">
      <c r="B49" s="6" t="s">
        <v>123</v>
      </c>
      <c r="C49" s="17">
        <v>332.721752148093</v>
      </c>
      <c r="D49" s="6" t="s">
        <v>10</v>
      </c>
      <c r="J49" s="20" t="s">
        <v>149</v>
      </c>
      <c r="K49" s="6">
        <f>ROUND(SUM(K14:K26)/$C$5 * 100, 2)</f>
        <v>33.450000000000003</v>
      </c>
      <c r="L49" s="6" t="s">
        <v>58</v>
      </c>
    </row>
    <row r="50" spans="2:12" x14ac:dyDescent="0.2">
      <c r="B50" s="6" t="s">
        <v>16</v>
      </c>
      <c r="C50" s="1">
        <v>9.8005536647414697</v>
      </c>
      <c r="D50" s="6" t="s">
        <v>17</v>
      </c>
      <c r="J50" s="10" t="s">
        <v>59</v>
      </c>
      <c r="K50" s="10">
        <f>SUM(K47:K49)</f>
        <v>100.01</v>
      </c>
      <c r="L50" s="10" t="s">
        <v>58</v>
      </c>
    </row>
    <row r="52" spans="2:12" x14ac:dyDescent="0.2">
      <c r="B52" s="33" t="s">
        <v>71</v>
      </c>
      <c r="C52" s="33"/>
      <c r="D52" s="33"/>
    </row>
    <row r="53" spans="2:12" x14ac:dyDescent="0.2">
      <c r="B53" s="6" t="s">
        <v>137</v>
      </c>
      <c r="C53" s="17">
        <v>30</v>
      </c>
    </row>
    <row r="54" spans="2:12" x14ac:dyDescent="0.2">
      <c r="B54" s="6" t="s">
        <v>139</v>
      </c>
      <c r="C54" s="17">
        <v>0.8</v>
      </c>
    </row>
    <row r="55" spans="2:12" x14ac:dyDescent="0.2">
      <c r="B55" s="6" t="s">
        <v>140</v>
      </c>
      <c r="C55" s="17">
        <v>0.8</v>
      </c>
    </row>
    <row r="56" spans="2:12" x14ac:dyDescent="0.2">
      <c r="B56" s="6" t="s">
        <v>141</v>
      </c>
      <c r="C56" s="17">
        <v>0.8</v>
      </c>
    </row>
  </sheetData>
  <mergeCells count="23">
    <mergeCell ref="B52:D52"/>
    <mergeCell ref="J7:L7"/>
    <mergeCell ref="J38:L38"/>
    <mergeCell ref="B40:D40"/>
    <mergeCell ref="B46:D46"/>
    <mergeCell ref="J46:L46"/>
    <mergeCell ref="B35:D35"/>
    <mergeCell ref="J11:L11"/>
    <mergeCell ref="B12:D12"/>
    <mergeCell ref="B29:D29"/>
    <mergeCell ref="J30:L30"/>
    <mergeCell ref="F33:H33"/>
    <mergeCell ref="N12:P12"/>
    <mergeCell ref="F14:H14"/>
    <mergeCell ref="N16:P16"/>
    <mergeCell ref="B17:D17"/>
    <mergeCell ref="B24:D24"/>
    <mergeCell ref="F24:H24"/>
    <mergeCell ref="B1:D1"/>
    <mergeCell ref="B3:D3"/>
    <mergeCell ref="F3:H3"/>
    <mergeCell ref="J3:L3"/>
    <mergeCell ref="N3:P3"/>
  </mergeCells>
  <conditionalFormatting sqref="K28">
    <cfRule type="containsText" dxfId="35" priority="1" operator="containsText" text="FALSE">
      <formula>NOT(ISERROR(SEARCH("FALSE",K28)))</formula>
    </cfRule>
    <cfRule type="containsText" dxfId="34" priority="2" operator="containsText" text="TRUE">
      <formula>NOT(ISERROR(SEARCH("TRUE",K28)))</formula>
    </cfRule>
    <cfRule type="cellIs" dxfId="33" priority="3" operator="equal">
      <formula>1</formula>
    </cfRule>
    <cfRule type="cellIs" dxfId="32" priority="4" operator="equal">
      <formula>TRUE</formula>
    </cfRule>
    <cfRule type="containsText" dxfId="31" priority="5" operator="containsText" text="YES">
      <formula>NOT(ISERROR(SEARCH("YES",K28)))</formula>
    </cfRule>
    <cfRule type="cellIs" dxfId="30" priority="6" operator="equal">
      <formula>"""YES"""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53BD7-97B4-D149-9E6E-38BC85791D47}">
  <dimension ref="B1:AO56"/>
  <sheetViews>
    <sheetView workbookViewId="0">
      <selection activeCell="E10" sqref="E10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30" t="s">
        <v>0</v>
      </c>
      <c r="C1" s="30"/>
      <c r="D1" s="30"/>
    </row>
    <row r="2" spans="2:41" x14ac:dyDescent="0.2">
      <c r="U2" s="16" t="s">
        <v>93</v>
      </c>
      <c r="AF2" s="16" t="s">
        <v>76</v>
      </c>
    </row>
    <row r="3" spans="2:41" x14ac:dyDescent="0.2">
      <c r="B3" s="31" t="s">
        <v>118</v>
      </c>
      <c r="C3" s="32"/>
      <c r="D3" s="32"/>
      <c r="F3" s="31" t="s">
        <v>80</v>
      </c>
      <c r="G3" s="32"/>
      <c r="H3" s="32"/>
      <c r="J3" s="33" t="s">
        <v>98</v>
      </c>
      <c r="K3" s="33"/>
      <c r="L3" s="33"/>
      <c r="N3" s="33" t="s">
        <v>92</v>
      </c>
      <c r="O3" s="33"/>
      <c r="P3" s="33"/>
      <c r="U3" s="7" t="s">
        <v>41</v>
      </c>
      <c r="V3" s="7" t="s">
        <v>42</v>
      </c>
      <c r="W3" s="7" t="s">
        <v>43</v>
      </c>
      <c r="X3" s="7" t="s">
        <v>44</v>
      </c>
      <c r="Y3" s="7" t="s">
        <v>45</v>
      </c>
      <c r="Z3" s="7" t="s">
        <v>46</v>
      </c>
      <c r="AA3" s="7" t="s">
        <v>47</v>
      </c>
      <c r="AB3" s="7" t="s">
        <v>48</v>
      </c>
      <c r="AC3" s="7" t="s">
        <v>49</v>
      </c>
      <c r="AD3" s="7" t="s">
        <v>50</v>
      </c>
      <c r="AF3" s="7" t="s">
        <v>41</v>
      </c>
      <c r="AG3" s="7" t="s">
        <v>42</v>
      </c>
      <c r="AH3" s="7" t="s">
        <v>43</v>
      </c>
      <c r="AI3" s="7" t="s">
        <v>44</v>
      </c>
      <c r="AJ3" s="7" t="s">
        <v>45</v>
      </c>
      <c r="AK3" s="7" t="s">
        <v>46</v>
      </c>
      <c r="AL3" s="7" t="s">
        <v>47</v>
      </c>
      <c r="AM3" s="7" t="s">
        <v>48</v>
      </c>
      <c r="AN3" s="7" t="s">
        <v>49</v>
      </c>
      <c r="AO3" s="7" t="s">
        <v>50</v>
      </c>
    </row>
    <row r="4" spans="2:41" x14ac:dyDescent="0.2">
      <c r="B4" s="6" t="s">
        <v>36</v>
      </c>
      <c r="C4" s="22" t="s">
        <v>72</v>
      </c>
      <c r="F4" t="s">
        <v>84</v>
      </c>
      <c r="G4" s="1">
        <f>500*0.3048/60</f>
        <v>2.54</v>
      </c>
      <c r="H4" t="s">
        <v>10</v>
      </c>
      <c r="J4" t="s">
        <v>99</v>
      </c>
      <c r="K4" s="6">
        <f>(1+$C$22/100)*MAX(G12,G22,G31,G35)</f>
        <v>552.71240017583261</v>
      </c>
      <c r="L4" s="6" t="s">
        <v>101</v>
      </c>
      <c r="N4" s="6" t="s">
        <v>22</v>
      </c>
      <c r="O4" s="6">
        <f xml:space="preserve"> 0.5 * $C$47 * $C$8^2</f>
        <v>2033.0711938872896</v>
      </c>
      <c r="P4" s="6" t="s">
        <v>23</v>
      </c>
      <c r="U4" s="2">
        <v>0</v>
      </c>
      <c r="V4" s="3">
        <v>0</v>
      </c>
      <c r="W4" s="2">
        <f t="shared" ref="W4:W34" si="0" xml:space="preserve"> $O$20 * TAN($O$17/180*PI()) + $O$21 / (2 * SQRT($O$20^2 + V4^2)) - V4</f>
        <v>4.5724728226473749E-2</v>
      </c>
      <c r="X4" s="3">
        <v>1</v>
      </c>
      <c r="Y4" s="2">
        <f t="shared" ref="Y4:Y34" si="1" xml:space="preserve"> $O$20 * TAN($O$17/180*PI()) + $O$21 / (2 * SQRT($O$20^2 + X4^2)) - X4</f>
        <v>-0.95951809796008614</v>
      </c>
      <c r="Z4" s="2">
        <f xml:space="preserve"> (V4 + X4)/2</f>
        <v>0.5</v>
      </c>
      <c r="AA4" s="2">
        <f t="shared" ref="AA4:AA34" si="2" xml:space="preserve"> $O$20 * TAN($O$17/180*PI()) + $O$21 / (2 * SQRT($O$20^2 + Z4^2)) - Z4</f>
        <v>-0.45714777124302319</v>
      </c>
      <c r="AB4" s="2">
        <f>W4*AA4</f>
        <v>-2.0902957599425426E-2</v>
      </c>
      <c r="AC4" s="2">
        <f>Y4*AA4</f>
        <v>0.4386415599497982</v>
      </c>
      <c r="AD4" s="2">
        <f>X4-V4</f>
        <v>1</v>
      </c>
      <c r="AF4" s="2">
        <v>0</v>
      </c>
      <c r="AG4" s="2"/>
      <c r="AH4" s="2">
        <f>K27</f>
        <v>-5.182788014280959E-3</v>
      </c>
      <c r="AI4" s="2"/>
      <c r="AJ4" s="2">
        <f>K27</f>
        <v>-5.182788014280959E-3</v>
      </c>
      <c r="AK4" s="2"/>
      <c r="AL4" s="2">
        <f>K27</f>
        <v>-5.182788014280959E-3</v>
      </c>
      <c r="AM4" s="2"/>
      <c r="AN4" s="2"/>
      <c r="AO4" s="2"/>
    </row>
    <row r="5" spans="2:41" x14ac:dyDescent="0.2">
      <c r="B5" s="10" t="s">
        <v>37</v>
      </c>
      <c r="C5" s="10">
        <v>2809.96693034694</v>
      </c>
      <c r="D5" s="10" t="s">
        <v>7</v>
      </c>
      <c r="F5" t="s">
        <v>87</v>
      </c>
      <c r="G5" s="1">
        <f>1000*0.3048</f>
        <v>304.8</v>
      </c>
      <c r="H5" t="s">
        <v>8</v>
      </c>
      <c r="J5" t="s">
        <v>100</v>
      </c>
      <c r="K5" s="6">
        <f>K4/$C$18</f>
        <v>138.17810004395815</v>
      </c>
      <c r="L5" s="6" t="s">
        <v>101</v>
      </c>
      <c r="N5" s="6" t="s">
        <v>114</v>
      </c>
      <c r="O5" s="6">
        <f xml:space="preserve"> $C$18 * 0.85 * ($C$5/$C$18 *2.20462/1000)^(2/3) * 0.3048^2</f>
        <v>0.42282320712725618</v>
      </c>
      <c r="P5" s="6" t="s">
        <v>115</v>
      </c>
      <c r="U5" s="2">
        <v>1</v>
      </c>
      <c r="V5" s="2">
        <f>IF(AB4&gt;0, Z4, V4)</f>
        <v>0</v>
      </c>
      <c r="W5" s="2">
        <f t="shared" si="0"/>
        <v>4.5724728226473749E-2</v>
      </c>
      <c r="X5" s="2">
        <f>IF(AC4&gt;0, Z4, X4)</f>
        <v>0.5</v>
      </c>
      <c r="Y5" s="2">
        <f t="shared" si="1"/>
        <v>-0.45714777124302319</v>
      </c>
      <c r="Z5" s="2">
        <f t="shared" ref="Z5:Z34" si="3" xml:space="preserve"> (V5 + X5)/2</f>
        <v>0.25</v>
      </c>
      <c r="AA5" s="2">
        <f t="shared" si="2"/>
        <v>-0.2053422721597242</v>
      </c>
      <c r="AB5" s="2">
        <f t="shared" ref="AB5:AB34" si="4">W5*AA5</f>
        <v>-9.3892195879099957E-3</v>
      </c>
      <c r="AC5" s="2">
        <f t="shared" ref="AC5:AC34" si="5">Y5*AA5</f>
        <v>9.3871762059796207E-2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/>
        <v>-1174.3042467608984</v>
      </c>
      <c r="AI5" s="3">
        <v>10000</v>
      </c>
      <c r="AJ5" s="2">
        <f t="dataTable" ref="AJ5:AJ44" dt2D="0" dtr="0" r1="C5" ca="1"/>
        <v>1314.4843509001157</v>
      </c>
      <c r="AK5" s="2">
        <f>(AG5+AI5)/2</f>
        <v>5250</v>
      </c>
      <c r="AL5" s="2">
        <f t="dataTable" ref="AL5:AL44" dt2D="0" dtr="0" r1="C5" ca="1"/>
        <v>839.91293587660675</v>
      </c>
      <c r="AM5" s="2">
        <f>AH5*AL5</f>
        <v>-986313.32750931347</v>
      </c>
      <c r="AN5" s="2">
        <f>AJ5*AL5</f>
        <v>1104052.4103283719</v>
      </c>
      <c r="AO5" s="2">
        <f>AI5-AG5</f>
        <v>9500</v>
      </c>
    </row>
    <row r="6" spans="2:41" x14ac:dyDescent="0.2">
      <c r="B6" s="6" t="s">
        <v>143</v>
      </c>
      <c r="C6" s="17">
        <v>400</v>
      </c>
      <c r="D6" s="6" t="s">
        <v>125</v>
      </c>
      <c r="F6" t="s">
        <v>88</v>
      </c>
      <c r="G6" s="8">
        <f>$G$5/$G$4</f>
        <v>120</v>
      </c>
      <c r="H6" s="6" t="s">
        <v>13</v>
      </c>
      <c r="N6" t="s">
        <v>158</v>
      </c>
      <c r="O6" s="17">
        <v>0.63027662333509604</v>
      </c>
      <c r="P6" s="6" t="s">
        <v>115</v>
      </c>
      <c r="U6" s="2">
        <v>2</v>
      </c>
      <c r="V6" s="2">
        <f t="shared" ref="V6:V34" si="7">IF(AB5&gt;0, Z5, V5)</f>
        <v>0</v>
      </c>
      <c r="W6" s="2">
        <f t="shared" si="0"/>
        <v>4.5724728226473749E-2</v>
      </c>
      <c r="X6" s="2">
        <f t="shared" ref="X6:X34" si="8">IF(AC5&gt;0, Z5, X5)</f>
        <v>0.25</v>
      </c>
      <c r="Y6" s="2">
        <f t="shared" si="1"/>
        <v>-0.2053422721597242</v>
      </c>
      <c r="Z6" s="2">
        <f t="shared" si="3"/>
        <v>0.125</v>
      </c>
      <c r="AA6" s="2">
        <f t="shared" si="2"/>
        <v>-7.9581204156803004E-2</v>
      </c>
      <c r="AB6" s="2">
        <f t="shared" si="4"/>
        <v>-3.6388289320053403E-3</v>
      </c>
      <c r="AC6" s="2">
        <f t="shared" si="5"/>
        <v>1.6341385282764818E-2</v>
      </c>
      <c r="AD6" s="2">
        <f t="shared" si="6"/>
        <v>0.25</v>
      </c>
      <c r="AF6" s="2">
        <v>2</v>
      </c>
      <c r="AG6" s="2">
        <f>IF(AM5&gt;0, AK5, AG5)</f>
        <v>500</v>
      </c>
      <c r="AH6" s="2">
        <v>-1174.3042467608984</v>
      </c>
      <c r="AI6" s="2">
        <f>IF(AN5&gt;0, AK5, AI5)</f>
        <v>5250</v>
      </c>
      <c r="AJ6" s="2">
        <v>839.91293587660675</v>
      </c>
      <c r="AK6" s="2">
        <f t="shared" ref="AK6:AK43" si="9">(AG6+AI6)/2</f>
        <v>2875</v>
      </c>
      <c r="AL6" s="2">
        <v>27.98212512602413</v>
      </c>
      <c r="AM6" s="2">
        <f t="shared" ref="AM6:AM44" si="10">AH6*AL6</f>
        <v>-32859.528368884974</v>
      </c>
      <c r="AN6" s="2">
        <f t="shared" ref="AN6:AN44" si="11">AJ6*AL6</f>
        <v>23502.548866665493</v>
      </c>
      <c r="AO6" s="2">
        <f t="shared" ref="AO6:AO44" si="12">AI6-AG6</f>
        <v>4750</v>
      </c>
    </row>
    <row r="7" spans="2:41" x14ac:dyDescent="0.2">
      <c r="B7" s="6" t="s">
        <v>142</v>
      </c>
      <c r="C7" s="17">
        <v>343.05502090381299</v>
      </c>
      <c r="D7" s="6" t="s">
        <v>125</v>
      </c>
      <c r="F7" t="s">
        <v>121</v>
      </c>
      <c r="G7" s="8">
        <f>$C$6*2*PI()/60*$C$9</f>
        <v>156.82079542036823</v>
      </c>
      <c r="H7" s="6" t="s">
        <v>10</v>
      </c>
      <c r="J7" s="33" t="s">
        <v>21</v>
      </c>
      <c r="K7" s="33"/>
      <c r="L7" s="33"/>
      <c r="N7" s="6" t="s">
        <v>159</v>
      </c>
      <c r="O7" s="6">
        <f>O5+$O$6</f>
        <v>1.0530998304623522</v>
      </c>
      <c r="P7" s="6" t="s">
        <v>115</v>
      </c>
      <c r="U7" s="2">
        <v>3</v>
      </c>
      <c r="V7" s="2">
        <f t="shared" si="7"/>
        <v>0</v>
      </c>
      <c r="W7" s="2">
        <f t="shared" si="0"/>
        <v>4.5724728226473749E-2</v>
      </c>
      <c r="X7" s="2">
        <f t="shared" si="8"/>
        <v>0.125</v>
      </c>
      <c r="Y7" s="2">
        <f t="shared" si="1"/>
        <v>-7.9581204156803004E-2</v>
      </c>
      <c r="Z7" s="2">
        <f t="shared" si="3"/>
        <v>6.25E-2</v>
      </c>
      <c r="AA7" s="2">
        <f t="shared" si="2"/>
        <v>-1.6854728361018846E-2</v>
      </c>
      <c r="AB7" s="2">
        <f t="shared" si="4"/>
        <v>-7.7067787363862606E-4</v>
      </c>
      <c r="AC7" s="2">
        <f t="shared" si="5"/>
        <v>1.3413195787056985E-3</v>
      </c>
      <c r="AD7" s="2">
        <f t="shared" si="6"/>
        <v>0.125</v>
      </c>
      <c r="AF7" s="2">
        <v>3</v>
      </c>
      <c r="AG7" s="2">
        <f t="shared" ref="AG7:AG44" si="13">IF(AM6&gt;0, AK6, AG6)</f>
        <v>500</v>
      </c>
      <c r="AH7" s="2">
        <v>-1174.3042467608984</v>
      </c>
      <c r="AI7" s="2">
        <f t="shared" ref="AI7:AI44" si="14">IF(AN6&gt;0, AK6, AI6)</f>
        <v>2875</v>
      </c>
      <c r="AJ7" s="2">
        <v>27.98212512602413</v>
      </c>
      <c r="AK7" s="2">
        <f t="shared" si="9"/>
        <v>1687.5</v>
      </c>
      <c r="AL7" s="2">
        <v>-529.28814223728477</v>
      </c>
      <c r="AM7" s="2">
        <f t="shared" si="10"/>
        <v>621545.31318942993</v>
      </c>
      <c r="AN7" s="2">
        <f t="shared" si="11"/>
        <v>-14810.60702380456</v>
      </c>
      <c r="AO7" s="2">
        <f t="shared" si="12"/>
        <v>2375</v>
      </c>
    </row>
    <row r="8" spans="2:41" x14ac:dyDescent="0.2">
      <c r="B8" s="6" t="s">
        <v>9</v>
      </c>
      <c r="C8" s="17">
        <f>228.584226220881 *1000/3600</f>
        <v>63.49561839468916</v>
      </c>
      <c r="D8" s="6" t="s">
        <v>10</v>
      </c>
      <c r="F8" t="s">
        <v>124</v>
      </c>
      <c r="G8" s="8">
        <f>G7/$C$43</f>
        <v>0.46964012448524589</v>
      </c>
      <c r="H8" s="6" t="s">
        <v>122</v>
      </c>
      <c r="J8" s="6" t="s">
        <v>96</v>
      </c>
      <c r="K8" s="6">
        <f xml:space="preserve"> $C$15 * (G12*G6 + G22*G15 + G31*G27 +G35*G34)/3600</f>
        <v>211.01388763490473</v>
      </c>
      <c r="L8" s="6" t="s">
        <v>102</v>
      </c>
      <c r="N8" s="6" t="s">
        <v>38</v>
      </c>
      <c r="O8" s="6">
        <f xml:space="preserve"> O4 *O7</f>
        <v>2141.0269296005968</v>
      </c>
      <c r="P8" s="6" t="s">
        <v>20</v>
      </c>
      <c r="U8" s="2">
        <v>4</v>
      </c>
      <c r="V8" s="2">
        <f t="shared" si="7"/>
        <v>0</v>
      </c>
      <c r="W8" s="2">
        <f t="shared" si="0"/>
        <v>4.5724728226473749E-2</v>
      </c>
      <c r="X8" s="2">
        <f t="shared" si="8"/>
        <v>6.25E-2</v>
      </c>
      <c r="Y8" s="2">
        <f t="shared" si="1"/>
        <v>-1.6854728361018846E-2</v>
      </c>
      <c r="Z8" s="2">
        <f t="shared" si="3"/>
        <v>3.125E-2</v>
      </c>
      <c r="AA8" s="2">
        <f t="shared" si="2"/>
        <v>1.4454668071984103E-2</v>
      </c>
      <c r="AB8" s="2">
        <f t="shared" si="4"/>
        <v>6.6093576919536037E-4</v>
      </c>
      <c r="AC8" s="2">
        <f t="shared" si="5"/>
        <v>-2.4362950390198406E-4</v>
      </c>
      <c r="AD8" s="2">
        <f t="shared" si="6"/>
        <v>6.25E-2</v>
      </c>
      <c r="AF8" s="2">
        <v>4</v>
      </c>
      <c r="AG8" s="2">
        <f t="shared" si="13"/>
        <v>1687.5</v>
      </c>
      <c r="AH8" s="2">
        <v>-529.28814223728477</v>
      </c>
      <c r="AI8" s="2">
        <f t="shared" si="14"/>
        <v>2875</v>
      </c>
      <c r="AJ8" s="2">
        <v>27.98212512602413</v>
      </c>
      <c r="AK8" s="2">
        <f t="shared" si="9"/>
        <v>2281.25</v>
      </c>
      <c r="AL8" s="2">
        <v>-237.6620125449715</v>
      </c>
      <c r="AM8" s="2">
        <f t="shared" si="10"/>
        <v>125791.68510030223</v>
      </c>
      <c r="AN8" s="2">
        <f t="shared" si="11"/>
        <v>-6650.2881727361091</v>
      </c>
      <c r="AO8" s="2">
        <f t="shared" si="12"/>
        <v>1187.5</v>
      </c>
    </row>
    <row r="9" spans="2:41" x14ac:dyDescent="0.2">
      <c r="B9" s="6" t="s">
        <v>95</v>
      </c>
      <c r="C9" s="17">
        <v>3.74382071561317</v>
      </c>
      <c r="D9" s="6" t="s">
        <v>8</v>
      </c>
      <c r="F9" t="s">
        <v>19</v>
      </c>
      <c r="G9" s="6">
        <f xml:space="preserve"> $C$5 * $C$44 / $C$18</f>
        <v>6885.4665296833591</v>
      </c>
      <c r="H9" s="6" t="s">
        <v>20</v>
      </c>
      <c r="J9" s="6" t="s">
        <v>138</v>
      </c>
      <c r="K9" s="6">
        <f xml:space="preserve"> $C$15 * (G6 + G15 + G27 + G34)/60</f>
        <v>51.581863685564194</v>
      </c>
      <c r="L9" s="6" t="s">
        <v>103</v>
      </c>
      <c r="N9" s="6" t="s">
        <v>39</v>
      </c>
      <c r="O9" s="6">
        <f xml:space="preserve"> O8</f>
        <v>2141.0269296005968</v>
      </c>
      <c r="P9" s="6" t="s">
        <v>20</v>
      </c>
      <c r="U9" s="2">
        <v>5</v>
      </c>
      <c r="V9" s="2">
        <f t="shared" si="7"/>
        <v>3.125E-2</v>
      </c>
      <c r="W9" s="2">
        <f t="shared" si="0"/>
        <v>1.4454668071984103E-2</v>
      </c>
      <c r="X9" s="2">
        <f t="shared" si="8"/>
        <v>6.25E-2</v>
      </c>
      <c r="Y9" s="2">
        <f t="shared" si="1"/>
        <v>-1.6854728361018846E-2</v>
      </c>
      <c r="Z9" s="2">
        <f t="shared" si="3"/>
        <v>4.6875E-2</v>
      </c>
      <c r="AA9" s="2">
        <f t="shared" si="2"/>
        <v>-1.1952221939500254E-3</v>
      </c>
      <c r="AB9" s="2">
        <f t="shared" si="4"/>
        <v>-1.7276540085816224E-5</v>
      </c>
      <c r="AC9" s="2">
        <f t="shared" si="5"/>
        <v>2.0145145410088661E-5</v>
      </c>
      <c r="AD9" s="2">
        <f t="shared" si="6"/>
        <v>3.125E-2</v>
      </c>
      <c r="AF9" s="2">
        <v>5</v>
      </c>
      <c r="AG9" s="2">
        <f t="shared" si="13"/>
        <v>2281.25</v>
      </c>
      <c r="AH9" s="2">
        <v>-237.6620125449715</v>
      </c>
      <c r="AI9" s="2">
        <f t="shared" si="14"/>
        <v>2875</v>
      </c>
      <c r="AJ9" s="2">
        <v>27.98212512602413</v>
      </c>
      <c r="AK9" s="2">
        <f t="shared" si="9"/>
        <v>2578.125</v>
      </c>
      <c r="AL9" s="2">
        <v>-102.08268982029585</v>
      </c>
      <c r="AM9" s="2">
        <f t="shared" si="10"/>
        <v>24261.177508695589</v>
      </c>
      <c r="AN9" s="2">
        <f t="shared" si="11"/>
        <v>-2856.4905997526284</v>
      </c>
      <c r="AO9" s="2">
        <f t="shared" si="12"/>
        <v>593.75</v>
      </c>
    </row>
    <row r="10" spans="2:41" x14ac:dyDescent="0.2">
      <c r="B10" s="6" t="s">
        <v>131</v>
      </c>
      <c r="C10" s="17">
        <f>(0.071475+0.069425+0.067375+0.065325+0.063275+0.061225+0.059175+0.057125)/8</f>
        <v>6.4299999999999982E-2</v>
      </c>
      <c r="F10" t="s">
        <v>97</v>
      </c>
      <c r="G10" s="6">
        <f>G12/$C$18</f>
        <v>92.118733362638764</v>
      </c>
      <c r="H10" s="6" t="s">
        <v>101</v>
      </c>
      <c r="N10" s="6" t="s">
        <v>113</v>
      </c>
      <c r="O10" s="6">
        <f>O7/(0.3048^2)/($C$5*2.20462/1000)^(2/3)</f>
        <v>3.3605960788010707</v>
      </c>
      <c r="U10" s="2">
        <v>6</v>
      </c>
      <c r="V10" s="2">
        <f t="shared" si="7"/>
        <v>3.125E-2</v>
      </c>
      <c r="W10" s="2">
        <f t="shared" si="0"/>
        <v>1.4454668071984103E-2</v>
      </c>
      <c r="X10" s="2">
        <f t="shared" si="8"/>
        <v>4.6875E-2</v>
      </c>
      <c r="Y10" s="2">
        <f t="shared" si="1"/>
        <v>-1.1952221939500254E-3</v>
      </c>
      <c r="Z10" s="2">
        <f t="shared" si="3"/>
        <v>3.90625E-2</v>
      </c>
      <c r="AA10" s="2">
        <f t="shared" si="2"/>
        <v>6.6309421698108537E-3</v>
      </c>
      <c r="AB10" s="2">
        <f t="shared" si="4"/>
        <v>9.584806806913794E-5</v>
      </c>
      <c r="AC10" s="2">
        <f t="shared" si="5"/>
        <v>-7.9254492481570699E-6</v>
      </c>
      <c r="AD10" s="2">
        <f t="shared" si="6"/>
        <v>1.5625E-2</v>
      </c>
      <c r="AF10" s="2">
        <v>6</v>
      </c>
      <c r="AG10" s="2">
        <f t="shared" si="13"/>
        <v>2578.125</v>
      </c>
      <c r="AH10" s="2">
        <v>-102.08268982029585</v>
      </c>
      <c r="AI10" s="2">
        <f t="shared" si="14"/>
        <v>2875</v>
      </c>
      <c r="AJ10" s="2">
        <v>27.98212512602413</v>
      </c>
      <c r="AK10" s="2">
        <f t="shared" si="9"/>
        <v>2726.5625</v>
      </c>
      <c r="AL10" s="2">
        <v>-36.320806741650358</v>
      </c>
      <c r="AM10" s="2">
        <f t="shared" si="10"/>
        <v>3707.7256486308042</v>
      </c>
      <c r="AN10" s="2">
        <f t="shared" si="11"/>
        <v>-1016.3333589230011</v>
      </c>
      <c r="AO10" s="2">
        <f t="shared" si="12"/>
        <v>296.875</v>
      </c>
    </row>
    <row r="11" spans="2:41" x14ac:dyDescent="0.2">
      <c r="F11" t="s">
        <v>146</v>
      </c>
      <c r="G11" s="6">
        <f xml:space="preserve"> (G9/$C$44*1000) / ($G$10*1000)</f>
        <v>7.6259378189805798</v>
      </c>
      <c r="H11" s="6" t="s">
        <v>147</v>
      </c>
      <c r="J11" s="31" t="s">
        <v>51</v>
      </c>
      <c r="K11" s="31"/>
      <c r="L11" s="31"/>
      <c r="U11" s="2">
        <v>7</v>
      </c>
      <c r="V11" s="2">
        <f t="shared" si="7"/>
        <v>3.90625E-2</v>
      </c>
      <c r="W11" s="2">
        <f t="shared" si="0"/>
        <v>6.6309421698108537E-3</v>
      </c>
      <c r="X11" s="2">
        <f t="shared" si="8"/>
        <v>4.6875E-2</v>
      </c>
      <c r="Y11" s="2">
        <f t="shared" si="1"/>
        <v>-1.1952221939500254E-3</v>
      </c>
      <c r="Z11" s="2">
        <f t="shared" si="3"/>
        <v>4.296875E-2</v>
      </c>
      <c r="AA11" s="2">
        <f t="shared" si="2"/>
        <v>2.7181628574211372E-3</v>
      </c>
      <c r="AB11" s="2">
        <f t="shared" si="4"/>
        <v>1.8023980715687384E-5</v>
      </c>
      <c r="AC11" s="2">
        <f t="shared" si="5"/>
        <v>-3.2488085739603619E-6</v>
      </c>
      <c r="AD11" s="2">
        <f t="shared" si="6"/>
        <v>7.8125E-3</v>
      </c>
      <c r="AF11" s="2">
        <v>7</v>
      </c>
      <c r="AG11" s="2">
        <f t="shared" si="13"/>
        <v>2726.5625</v>
      </c>
      <c r="AH11" s="2">
        <v>-36.320806741650358</v>
      </c>
      <c r="AI11" s="2">
        <f t="shared" si="14"/>
        <v>2875</v>
      </c>
      <c r="AJ11" s="2">
        <v>27.98212512602413</v>
      </c>
      <c r="AK11" s="2">
        <f t="shared" si="9"/>
        <v>2800.78125</v>
      </c>
      <c r="AL11" s="2">
        <v>-3.9817382849510068</v>
      </c>
      <c r="AM11" s="2">
        <f t="shared" si="10"/>
        <v>144.61994674353585</v>
      </c>
      <c r="AN11" s="2">
        <f t="shared" si="11"/>
        <v>-111.41749890857979</v>
      </c>
      <c r="AO11" s="2">
        <f t="shared" si="12"/>
        <v>148.4375</v>
      </c>
    </row>
    <row r="12" spans="2:41" x14ac:dyDescent="0.2">
      <c r="B12" s="33" t="s">
        <v>11</v>
      </c>
      <c r="C12" s="33"/>
      <c r="D12" s="33"/>
      <c r="F12" s="24" t="s">
        <v>82</v>
      </c>
      <c r="G12" s="25">
        <f xml:space="preserve"> 1/1000 * (($C$5*$C$44)/$C$21 * ( ($G$4/2) + SQRT( ($G$4/2)^2 + ($C$5*$C$44) / (2*$C$41*PI()*$C$9^2 * $C$18) ) ) )</f>
        <v>368.47493345055506</v>
      </c>
      <c r="H12" s="25" t="s">
        <v>101</v>
      </c>
      <c r="J12" s="10" t="s">
        <v>79</v>
      </c>
      <c r="K12" s="6">
        <f>C5</f>
        <v>2809.96693034694</v>
      </c>
      <c r="L12" s="6" t="s">
        <v>7</v>
      </c>
      <c r="N12" s="31" t="s">
        <v>73</v>
      </c>
      <c r="O12" s="34"/>
      <c r="P12" s="34"/>
      <c r="U12" s="2">
        <v>8</v>
      </c>
      <c r="V12" s="2">
        <f t="shared" si="7"/>
        <v>4.296875E-2</v>
      </c>
      <c r="W12" s="2">
        <f t="shared" si="0"/>
        <v>2.7181628574211372E-3</v>
      </c>
      <c r="X12" s="2">
        <f t="shared" si="8"/>
        <v>4.6875E-2</v>
      </c>
      <c r="Y12" s="2">
        <f t="shared" si="1"/>
        <v>-1.1952221939500254E-3</v>
      </c>
      <c r="Z12" s="2">
        <f t="shared" si="3"/>
        <v>4.4921875E-2</v>
      </c>
      <c r="AA12" s="2">
        <f t="shared" si="2"/>
        <v>7.6154578747839735E-4</v>
      </c>
      <c r="AB12" s="2">
        <f t="shared" si="4"/>
        <v>2.0700054737493107E-6</v>
      </c>
      <c r="AC12" s="2">
        <f t="shared" si="5"/>
        <v>-9.1021642690332989E-7</v>
      </c>
      <c r="AD12" s="2">
        <f t="shared" si="6"/>
        <v>3.90625E-3</v>
      </c>
      <c r="AF12" s="2">
        <v>8</v>
      </c>
      <c r="AG12" s="2">
        <f t="shared" si="13"/>
        <v>2800.78125</v>
      </c>
      <c r="AH12" s="2">
        <v>-3.9817382849510068</v>
      </c>
      <c r="AI12" s="2">
        <f t="shared" si="14"/>
        <v>2875</v>
      </c>
      <c r="AJ12" s="2">
        <v>27.98212512602413</v>
      </c>
      <c r="AK12" s="2">
        <f t="shared" si="9"/>
        <v>2837.890625</v>
      </c>
      <c r="AL12" s="2">
        <v>12.047731981207107</v>
      </c>
      <c r="AM12" s="2">
        <f t="shared" si="10"/>
        <v>-47.970915676400985</v>
      </c>
      <c r="AN12" s="2">
        <f t="shared" si="11"/>
        <v>337.12114378293984</v>
      </c>
      <c r="AO12" s="2">
        <f t="shared" si="12"/>
        <v>74.21875</v>
      </c>
    </row>
    <row r="13" spans="2:41" x14ac:dyDescent="0.2">
      <c r="B13" s="6" t="s">
        <v>68</v>
      </c>
      <c r="C13" s="6">
        <f>C25*100</f>
        <v>600</v>
      </c>
      <c r="D13" s="6" t="s">
        <v>7</v>
      </c>
      <c r="J13" s="11" t="s">
        <v>52</v>
      </c>
      <c r="K13" s="6">
        <f xml:space="preserve"> K8 * 1000 / ($C$36 * $C$37 * $C$38)</f>
        <v>1241.2581625582632</v>
      </c>
      <c r="L13" s="6" t="s">
        <v>7</v>
      </c>
      <c r="N13" s="6" t="s">
        <v>74</v>
      </c>
      <c r="O13" s="6">
        <f xml:space="preserve"> SQRT( ($C$5*$C$50)^2 + O9^2)</f>
        <v>27622.332971258922</v>
      </c>
      <c r="P13" s="6" t="s">
        <v>20</v>
      </c>
      <c r="U13" s="2">
        <v>9</v>
      </c>
      <c r="V13" s="2">
        <f t="shared" si="7"/>
        <v>4.4921875E-2</v>
      </c>
      <c r="W13" s="2">
        <f t="shared" si="0"/>
        <v>7.6154578747839735E-4</v>
      </c>
      <c r="X13" s="2">
        <f t="shared" si="8"/>
        <v>4.6875E-2</v>
      </c>
      <c r="Y13" s="2">
        <f t="shared" si="1"/>
        <v>-1.1952221939500254E-3</v>
      </c>
      <c r="Z13" s="2">
        <f t="shared" si="3"/>
        <v>4.58984375E-2</v>
      </c>
      <c r="AA13" s="2">
        <f t="shared" si="2"/>
        <v>-2.1681937319618233E-4</v>
      </c>
      <c r="AB13" s="2">
        <f t="shared" si="4"/>
        <v>-1.651178803012592E-7</v>
      </c>
      <c r="AC13" s="2">
        <f t="shared" si="5"/>
        <v>2.5914732692241039E-7</v>
      </c>
      <c r="AD13" s="2">
        <f t="shared" si="6"/>
        <v>1.953125E-3</v>
      </c>
      <c r="AF13" s="2">
        <v>9</v>
      </c>
      <c r="AG13" s="2">
        <f t="shared" si="13"/>
        <v>2800.78125</v>
      </c>
      <c r="AH13" s="2">
        <v>-3.9817382849510068</v>
      </c>
      <c r="AI13" s="2">
        <f t="shared" si="14"/>
        <v>2837.890625</v>
      </c>
      <c r="AJ13" s="2">
        <v>12.047731981207107</v>
      </c>
      <c r="AK13" s="2">
        <f t="shared" si="9"/>
        <v>2819.3359375</v>
      </c>
      <c r="AL13" s="2">
        <v>4.044794322839607</v>
      </c>
      <c r="AM13" s="2">
        <f t="shared" si="10"/>
        <v>-16.105312410002945</v>
      </c>
      <c r="AN13" s="2">
        <f t="shared" si="11"/>
        <v>48.730597920679678</v>
      </c>
      <c r="AO13" s="2">
        <f t="shared" si="12"/>
        <v>37.109375</v>
      </c>
    </row>
    <row r="14" spans="2:41" x14ac:dyDescent="0.2">
      <c r="B14" s="6" t="s">
        <v>12</v>
      </c>
      <c r="C14" s="17">
        <f>100*1000</f>
        <v>100000</v>
      </c>
      <c r="D14" s="6" t="s">
        <v>8</v>
      </c>
      <c r="F14" s="31" t="s">
        <v>86</v>
      </c>
      <c r="G14" s="32"/>
      <c r="H14" s="32"/>
      <c r="J14" s="12" t="s">
        <v>126</v>
      </c>
      <c r="K14" s="6">
        <f xml:space="preserve"> $C$54 * $C$18 * (0.0095 * MAX(G9,O18,G28) - 1.9275)</f>
        <v>203.7617305815678</v>
      </c>
      <c r="L14" s="6" t="s">
        <v>7</v>
      </c>
      <c r="N14" s="6" t="s">
        <v>75</v>
      </c>
      <c r="O14" s="6">
        <f>$C$5*$C$50/O13</f>
        <v>0.99699151862620194</v>
      </c>
      <c r="U14" s="2">
        <v>10</v>
      </c>
      <c r="V14" s="2">
        <f t="shared" si="7"/>
        <v>4.4921875E-2</v>
      </c>
      <c r="W14" s="2">
        <f t="shared" si="0"/>
        <v>7.6154578747839735E-4</v>
      </c>
      <c r="X14" s="2">
        <f t="shared" si="8"/>
        <v>4.58984375E-2</v>
      </c>
      <c r="Y14" s="2">
        <f t="shared" si="1"/>
        <v>-2.1681937319618233E-4</v>
      </c>
      <c r="Z14" s="2">
        <f t="shared" si="3"/>
        <v>4.541015625E-2</v>
      </c>
      <c r="AA14" s="2">
        <f t="shared" si="2"/>
        <v>2.7236791894090506E-4</v>
      </c>
      <c r="AB14" s="2">
        <f t="shared" si="4"/>
        <v>2.0742064131370385E-7</v>
      </c>
      <c r="AC14" s="2">
        <f t="shared" si="5"/>
        <v>-5.9054641463515636E-8</v>
      </c>
      <c r="AD14" s="2">
        <f t="shared" si="6"/>
        <v>9.765625E-4</v>
      </c>
      <c r="AF14" s="2">
        <v>10</v>
      </c>
      <c r="AG14" s="2">
        <f t="shared" si="13"/>
        <v>2800.78125</v>
      </c>
      <c r="AH14" s="2">
        <v>-3.9817382849510068</v>
      </c>
      <c r="AI14" s="2">
        <f t="shared" si="14"/>
        <v>2819.3359375</v>
      </c>
      <c r="AJ14" s="2">
        <v>4.044794322839607</v>
      </c>
      <c r="AK14" s="2">
        <f t="shared" si="9"/>
        <v>2810.05859375</v>
      </c>
      <c r="AL14" s="2">
        <v>3.4465268268832006E-2</v>
      </c>
      <c r="AM14" s="2">
        <f t="shared" si="10"/>
        <v>-0.13723167816711551</v>
      </c>
      <c r="AN14" s="2">
        <f t="shared" si="11"/>
        <v>0.13940492142891575</v>
      </c>
      <c r="AO14" s="2">
        <f t="shared" si="12"/>
        <v>18.5546875</v>
      </c>
    </row>
    <row r="15" spans="2:41" x14ac:dyDescent="0.2">
      <c r="B15" s="6" t="s">
        <v>136</v>
      </c>
      <c r="C15" s="17">
        <v>1</v>
      </c>
      <c r="F15" s="9" t="s">
        <v>89</v>
      </c>
      <c r="G15" s="6">
        <f xml:space="preserve"> $C$14/$C$8</f>
        <v>1574.9118211338516</v>
      </c>
      <c r="H15" s="6" t="s">
        <v>13</v>
      </c>
      <c r="J15" s="12" t="s">
        <v>127</v>
      </c>
      <c r="K15" s="6">
        <f xml:space="preserve"> $C$54 * $C$18 * ( 0.0037 * $C$19^0.28 * ($C$9*3.28084)^1.5 * ($G$7*3.28084)^0.43 * ( 0.01742 * $C$19^0.66 * ($C$10*$C$9*3.28084) * ($C$9*3.28084)^1.3 * ($G$7*3.28084)^0.67 + 0.5*(K14/$C$18)* 2.20462 * 9.80665*3.28084 )^0.55 ) * 0.453592</f>
        <v>289.11595777647085</v>
      </c>
      <c r="L15" s="6" t="s">
        <v>7</v>
      </c>
      <c r="U15" s="2">
        <v>11</v>
      </c>
      <c r="V15" s="2">
        <f t="shared" si="7"/>
        <v>4.541015625E-2</v>
      </c>
      <c r="W15" s="2">
        <f t="shared" si="0"/>
        <v>2.7236791894090506E-4</v>
      </c>
      <c r="X15" s="2">
        <f t="shared" si="8"/>
        <v>4.58984375E-2</v>
      </c>
      <c r="Y15" s="2">
        <f t="shared" si="1"/>
        <v>-2.1681937319618233E-4</v>
      </c>
      <c r="Z15" s="2">
        <f t="shared" si="3"/>
        <v>4.5654296875E-2</v>
      </c>
      <c r="AA15" s="2">
        <f t="shared" si="2"/>
        <v>2.7775450289369008E-5</v>
      </c>
      <c r="AB15" s="2">
        <f t="shared" si="4"/>
        <v>7.5651415929619957E-9</v>
      </c>
      <c r="AC15" s="2">
        <f t="shared" si="5"/>
        <v>-6.0222557219827091E-9</v>
      </c>
      <c r="AD15" s="2">
        <f t="shared" si="6"/>
        <v>4.8828125E-4</v>
      </c>
      <c r="AF15" s="2">
        <v>11</v>
      </c>
      <c r="AG15" s="2">
        <f t="shared" si="13"/>
        <v>2800.78125</v>
      </c>
      <c r="AH15" s="2">
        <v>-3.9817382849510068</v>
      </c>
      <c r="AI15" s="2">
        <f t="shared" si="14"/>
        <v>2810.05859375</v>
      </c>
      <c r="AJ15" s="2">
        <v>3.4465268268832006E-2</v>
      </c>
      <c r="AK15" s="2">
        <f t="shared" si="9"/>
        <v>2805.419921875</v>
      </c>
      <c r="AL15" s="2">
        <v>-1.9728938959815423</v>
      </c>
      <c r="AM15" s="2">
        <f t="shared" si="10"/>
        <v>7.855547157775856</v>
      </c>
      <c r="AN15" s="2">
        <f t="shared" si="11"/>
        <v>-6.7996317390944999E-2</v>
      </c>
      <c r="AO15" s="2">
        <f t="shared" si="12"/>
        <v>9.27734375</v>
      </c>
    </row>
    <row r="16" spans="2:41" x14ac:dyDescent="0.2">
      <c r="F16" t="s">
        <v>121</v>
      </c>
      <c r="G16" s="8">
        <f>O19*$C$9</f>
        <v>134.49540312771754</v>
      </c>
      <c r="H16" s="6" t="s">
        <v>10</v>
      </c>
      <c r="J16" s="13" t="s">
        <v>53</v>
      </c>
      <c r="K16" s="6">
        <f xml:space="preserve"> $C$54 * 0.2138 * K4</f>
        <v>94.535928926074405</v>
      </c>
      <c r="L16" s="6" t="s">
        <v>7</v>
      </c>
      <c r="N16" s="31" t="s">
        <v>24</v>
      </c>
      <c r="O16" s="34"/>
      <c r="P16" s="34"/>
      <c r="U16" s="2">
        <v>12</v>
      </c>
      <c r="V16" s="2">
        <f t="shared" si="7"/>
        <v>4.5654296875E-2</v>
      </c>
      <c r="W16" s="2">
        <f t="shared" si="0"/>
        <v>2.7775450289369008E-5</v>
      </c>
      <c r="X16" s="2">
        <f t="shared" si="8"/>
        <v>4.58984375E-2</v>
      </c>
      <c r="Y16" s="2">
        <f t="shared" si="1"/>
        <v>-2.1681937319618233E-4</v>
      </c>
      <c r="Z16" s="2">
        <f t="shared" si="3"/>
        <v>4.57763671875E-2</v>
      </c>
      <c r="AA16" s="2">
        <f t="shared" si="2"/>
        <v>-9.4521667166058698E-5</v>
      </c>
      <c r="AB16" s="2">
        <f t="shared" si="4"/>
        <v>-2.625381867639146E-9</v>
      </c>
      <c r="AC16" s="2">
        <f t="shared" si="5"/>
        <v>2.0494128628403016E-8</v>
      </c>
      <c r="AD16" s="2">
        <f t="shared" si="6"/>
        <v>2.44140625E-4</v>
      </c>
      <c r="AF16" s="2">
        <v>12</v>
      </c>
      <c r="AG16" s="2">
        <f t="shared" si="13"/>
        <v>2805.419921875</v>
      </c>
      <c r="AH16" s="2">
        <v>-1.9728938959815423</v>
      </c>
      <c r="AI16" s="2">
        <f t="shared" si="14"/>
        <v>2810.05859375</v>
      </c>
      <c r="AJ16" s="2">
        <v>3.4465268268832006E-2</v>
      </c>
      <c r="AK16" s="2">
        <f t="shared" si="9"/>
        <v>2807.7392578125</v>
      </c>
      <c r="AL16" s="2">
        <v>-0.96902544737213248</v>
      </c>
      <c r="AM16" s="2">
        <f t="shared" si="10"/>
        <v>1.9117843901712634</v>
      </c>
      <c r="AN16" s="2">
        <f t="shared" si="11"/>
        <v>-3.3397722003005496E-2</v>
      </c>
      <c r="AO16" s="2">
        <f t="shared" si="12"/>
        <v>4.638671875</v>
      </c>
    </row>
    <row r="17" spans="2:41" x14ac:dyDescent="0.2">
      <c r="B17" s="35" t="s">
        <v>110</v>
      </c>
      <c r="C17" s="35"/>
      <c r="D17" s="35"/>
      <c r="F17" s="6" t="s">
        <v>124</v>
      </c>
      <c r="G17" s="6">
        <f>G16/$C$49</f>
        <v>0.40422786385139681</v>
      </c>
      <c r="H17" s="6" t="s">
        <v>122</v>
      </c>
      <c r="J17" s="13" t="s">
        <v>77</v>
      </c>
      <c r="K17" s="6">
        <f xml:space="preserve"> $C$54 * 0.1149 * K4</f>
        <v>50.805323824162535</v>
      </c>
      <c r="L17" s="6" t="s">
        <v>7</v>
      </c>
      <c r="N17" s="6" t="s">
        <v>25</v>
      </c>
      <c r="O17" s="6">
        <f xml:space="preserve"> ACOS(O14)/PI()*180</f>
        <v>4.4454961086713025</v>
      </c>
      <c r="P17" s="6" t="s">
        <v>40</v>
      </c>
      <c r="U17" s="2">
        <v>13</v>
      </c>
      <c r="V17" s="2">
        <f t="shared" si="7"/>
        <v>4.5654296875E-2</v>
      </c>
      <c r="W17" s="2">
        <f t="shared" si="0"/>
        <v>2.7775450289369008E-5</v>
      </c>
      <c r="X17" s="2">
        <f t="shared" si="8"/>
        <v>4.57763671875E-2</v>
      </c>
      <c r="Y17" s="2">
        <f t="shared" si="1"/>
        <v>-9.4521667166058698E-5</v>
      </c>
      <c r="Z17" s="2">
        <f t="shared" si="3"/>
        <v>4.571533203125E-2</v>
      </c>
      <c r="AA17" s="2">
        <f t="shared" si="2"/>
        <v>-3.3373034858133477E-5</v>
      </c>
      <c r="AB17" s="2">
        <f t="shared" si="4"/>
        <v>-9.2695107070746545E-10</v>
      </c>
      <c r="AC17" s="2">
        <f t="shared" si="5"/>
        <v>3.1544748931817674E-9</v>
      </c>
      <c r="AD17" s="2">
        <f t="shared" si="6"/>
        <v>1.220703125E-4</v>
      </c>
      <c r="AF17" s="2">
        <v>13</v>
      </c>
      <c r="AG17" s="2">
        <f t="shared" si="13"/>
        <v>2807.7392578125</v>
      </c>
      <c r="AH17" s="2">
        <v>-0.96902544737213248</v>
      </c>
      <c r="AI17" s="2">
        <f t="shared" si="14"/>
        <v>2810.05859375</v>
      </c>
      <c r="AJ17" s="2">
        <v>3.4465268268832006E-2</v>
      </c>
      <c r="AK17" s="2">
        <f t="shared" si="9"/>
        <v>2808.89892578125</v>
      </c>
      <c r="AL17" s="2">
        <v>-0.46722596282688755</v>
      </c>
      <c r="AM17" s="2">
        <f t="shared" si="10"/>
        <v>0.45275384765220006</v>
      </c>
      <c r="AN17" s="2">
        <f t="shared" si="11"/>
        <v>-1.6103068150992009E-2</v>
      </c>
      <c r="AO17" s="2">
        <f t="shared" si="12"/>
        <v>2.3193359375</v>
      </c>
    </row>
    <row r="18" spans="2:41" x14ac:dyDescent="0.2">
      <c r="B18" s="6" t="s">
        <v>94</v>
      </c>
      <c r="C18" s="17">
        <v>4</v>
      </c>
      <c r="F18" s="9" t="s">
        <v>19</v>
      </c>
      <c r="G18" s="6">
        <f>O18</f>
        <v>6905.5832428147305</v>
      </c>
      <c r="H18" s="6" t="s">
        <v>20</v>
      </c>
      <c r="J18" s="14" t="s">
        <v>60</v>
      </c>
      <c r="K18" s="6">
        <f xml:space="preserve"> $C$55 * (14.86 * ($C$5*2.20462)^0.144 * ($C$26/(PI()*$C$27))^0.778 * ($C$26*3.28084)^0.383 * $C$25^0.455 * 0.453592)</f>
        <v>136.52966801028529</v>
      </c>
      <c r="L18" s="6" t="s">
        <v>7</v>
      </c>
      <c r="N18" s="6" t="s">
        <v>19</v>
      </c>
      <c r="O18" s="6">
        <f xml:space="preserve"> O13 / $C$18</f>
        <v>6905.5832428147305</v>
      </c>
      <c r="P18" s="6" t="s">
        <v>20</v>
      </c>
      <c r="U18" s="2">
        <v>14</v>
      </c>
      <c r="V18" s="2">
        <f t="shared" si="7"/>
        <v>4.5654296875E-2</v>
      </c>
      <c r="W18" s="2">
        <f t="shared" si="0"/>
        <v>2.7775450289369008E-5</v>
      </c>
      <c r="X18" s="2">
        <f t="shared" si="8"/>
        <v>4.571533203125E-2</v>
      </c>
      <c r="Y18" s="2">
        <f t="shared" si="1"/>
        <v>-3.3373034858133477E-5</v>
      </c>
      <c r="Z18" s="2">
        <f t="shared" si="3"/>
        <v>4.5684814453125E-2</v>
      </c>
      <c r="AA18" s="2">
        <f t="shared" si="2"/>
        <v>-2.7987738882850888E-6</v>
      </c>
      <c r="AB18" s="2">
        <f t="shared" si="4"/>
        <v>-7.7737205005246487E-11</v>
      </c>
      <c r="AC18" s="2">
        <f t="shared" si="5"/>
        <v>9.3403578533772042E-11</v>
      </c>
      <c r="AD18" s="2">
        <f t="shared" si="6"/>
        <v>6.103515625E-5</v>
      </c>
      <c r="AF18" s="2">
        <v>14</v>
      </c>
      <c r="AG18" s="2">
        <f t="shared" si="13"/>
        <v>2808.89892578125</v>
      </c>
      <c r="AH18" s="2">
        <v>-0.46722596282688755</v>
      </c>
      <c r="AI18" s="2">
        <f t="shared" si="14"/>
        <v>2810.05859375</v>
      </c>
      <c r="AJ18" s="2">
        <v>3.4465268268832006E-2</v>
      </c>
      <c r="AK18" s="2">
        <f t="shared" si="9"/>
        <v>2809.478759765625</v>
      </c>
      <c r="AL18" s="2">
        <v>-0.21637132755495259</v>
      </c>
      <c r="AM18" s="2">
        <f t="shared" si="10"/>
        <v>0.10109430184499459</v>
      </c>
      <c r="AN18" s="2">
        <f t="shared" si="11"/>
        <v>-7.4572958498647637E-3</v>
      </c>
      <c r="AO18" s="2">
        <f t="shared" si="12"/>
        <v>1.15966796875</v>
      </c>
    </row>
    <row r="19" spans="2:41" x14ac:dyDescent="0.2">
      <c r="B19" t="s">
        <v>109</v>
      </c>
      <c r="C19" s="1">
        <v>3</v>
      </c>
      <c r="D19"/>
      <c r="F19" s="9" t="s">
        <v>97</v>
      </c>
      <c r="G19" s="6">
        <f xml:space="preserve"> 1/1000 * (O23 + O18 * (O25 * O28 + $C$8 * SIN(O17/180*PI())))</f>
        <v>58.717626259133297</v>
      </c>
      <c r="H19" s="6" t="s">
        <v>101</v>
      </c>
      <c r="J19" s="14" t="s">
        <v>61</v>
      </c>
      <c r="K19" s="6">
        <f xml:space="preserve"> $C$55 * C31 * $C$5</f>
        <v>31.471629619885732</v>
      </c>
      <c r="L19" s="6" t="s">
        <v>7</v>
      </c>
      <c r="N19" s="6" t="s">
        <v>26</v>
      </c>
      <c r="O19" s="6">
        <f>$C$7*2*PI()/60</f>
        <v>35.924637781617065</v>
      </c>
      <c r="P19" s="6" t="s">
        <v>27</v>
      </c>
      <c r="U19" s="2">
        <v>15</v>
      </c>
      <c r="V19" s="2">
        <f t="shared" si="7"/>
        <v>4.5654296875E-2</v>
      </c>
      <c r="W19" s="2">
        <f t="shared" si="0"/>
        <v>2.7775450289369008E-5</v>
      </c>
      <c r="X19" s="2">
        <f t="shared" si="8"/>
        <v>4.5684814453125E-2</v>
      </c>
      <c r="Y19" s="2">
        <f t="shared" si="1"/>
        <v>-2.7987738882850888E-6</v>
      </c>
      <c r="Z19" s="2">
        <f t="shared" si="3"/>
        <v>4.56695556640625E-2</v>
      </c>
      <c r="AA19" s="2">
        <f t="shared" si="2"/>
        <v>1.248834279969635E-5</v>
      </c>
      <c r="AB19" s="2">
        <f t="shared" si="4"/>
        <v>3.4686934462956535E-10</v>
      </c>
      <c r="AC19" s="2">
        <f t="shared" si="5"/>
        <v>-3.4952047735743245E-11</v>
      </c>
      <c r="AD19" s="2">
        <f t="shared" si="6"/>
        <v>3.0517578125E-5</v>
      </c>
      <c r="AF19" s="2">
        <v>15</v>
      </c>
      <c r="AG19" s="2">
        <f t="shared" si="13"/>
        <v>2809.478759765625</v>
      </c>
      <c r="AH19" s="2">
        <v>-0.21637132755495259</v>
      </c>
      <c r="AI19" s="2">
        <f t="shared" si="14"/>
        <v>2810.05859375</v>
      </c>
      <c r="AJ19" s="2">
        <v>3.4465268268832006E-2</v>
      </c>
      <c r="AK19" s="2">
        <f t="shared" si="9"/>
        <v>2809.7686767578125</v>
      </c>
      <c r="AL19" s="2">
        <v>-9.0946244591577852E-2</v>
      </c>
      <c r="AM19" s="2">
        <f t="shared" si="10"/>
        <v>1.9678159678417125E-2</v>
      </c>
      <c r="AN19" s="2">
        <f t="shared" si="11"/>
        <v>-3.1344867178915423E-3</v>
      </c>
      <c r="AO19" s="2">
        <f t="shared" si="12"/>
        <v>0.579833984375</v>
      </c>
    </row>
    <row r="20" spans="2:41" x14ac:dyDescent="0.2">
      <c r="B20" s="6" t="s">
        <v>119</v>
      </c>
      <c r="C20" s="6">
        <f>$C$19*$C$10/PI()</f>
        <v>6.1401977044853208E-2</v>
      </c>
      <c r="F20" t="s">
        <v>146</v>
      </c>
      <c r="G20" s="6">
        <f xml:space="preserve"> (G18/$C$50*1000) / ($G$19*1000)</f>
        <v>12.000000479939157</v>
      </c>
      <c r="H20" s="6" t="s">
        <v>147</v>
      </c>
      <c r="J20" s="14" t="s">
        <v>62</v>
      </c>
      <c r="K20" s="6">
        <f xml:space="preserve"> $C$55 * 0</f>
        <v>0</v>
      </c>
      <c r="L20" s="6" t="s">
        <v>7</v>
      </c>
      <c r="N20" s="6" t="s">
        <v>28</v>
      </c>
      <c r="O20" s="6">
        <f xml:space="preserve"> $C$8 * COS(O17/180*PI()) / (O19 * $C$9)</f>
        <v>0.47068220576517827</v>
      </c>
      <c r="U20" s="2">
        <v>16</v>
      </c>
      <c r="V20" s="2">
        <f t="shared" si="7"/>
        <v>4.56695556640625E-2</v>
      </c>
      <c r="W20" s="2">
        <f t="shared" si="0"/>
        <v>1.248834279969635E-5</v>
      </c>
      <c r="X20" s="2">
        <f t="shared" si="8"/>
        <v>4.5684814453125E-2</v>
      </c>
      <c r="Y20" s="2">
        <f t="shared" si="1"/>
        <v>-2.7987738882850888E-6</v>
      </c>
      <c r="Z20" s="2">
        <f t="shared" si="3"/>
        <v>4.567718505859375E-2</v>
      </c>
      <c r="AA20" s="2">
        <f t="shared" si="2"/>
        <v>4.8447856054803506E-6</v>
      </c>
      <c r="AB20" s="2">
        <f t="shared" si="4"/>
        <v>6.0503343432273055E-11</v>
      </c>
      <c r="AC20" s="2">
        <f t="shared" si="5"/>
        <v>-1.355945944695787E-11</v>
      </c>
      <c r="AD20" s="2">
        <f t="shared" si="6"/>
        <v>1.52587890625E-5</v>
      </c>
      <c r="AF20" s="2">
        <v>16</v>
      </c>
      <c r="AG20" s="2">
        <f t="shared" si="13"/>
        <v>2809.7686767578125</v>
      </c>
      <c r="AH20" s="2">
        <v>-9.0946244591577852E-2</v>
      </c>
      <c r="AI20" s="2">
        <f t="shared" si="14"/>
        <v>2810.05859375</v>
      </c>
      <c r="AJ20" s="2">
        <v>3.4465268268832006E-2</v>
      </c>
      <c r="AK20" s="2">
        <f t="shared" si="9"/>
        <v>2809.9136352539062</v>
      </c>
      <c r="AL20" s="2">
        <v>-2.8231998433057015E-2</v>
      </c>
      <c r="AM20" s="2">
        <f t="shared" si="10"/>
        <v>2.5675942348018458E-3</v>
      </c>
      <c r="AN20" s="2">
        <f t="shared" si="11"/>
        <v>-9.7302339976055479E-4</v>
      </c>
      <c r="AO20" s="2">
        <f t="shared" si="12"/>
        <v>0.2899169921875</v>
      </c>
    </row>
    <row r="21" spans="2:41" x14ac:dyDescent="0.2">
      <c r="B21" s="6" t="s">
        <v>120</v>
      </c>
      <c r="C21" s="17">
        <v>0.75</v>
      </c>
      <c r="F21" s="9" t="s">
        <v>148</v>
      </c>
      <c r="G21" s="6">
        <f>O21/ ($C$19*$C$10/PI())</f>
        <v>0.14000002102392159</v>
      </c>
      <c r="J21" s="14" t="s">
        <v>63</v>
      </c>
      <c r="K21" s="6">
        <f xml:space="preserve"> $C$55 * 0</f>
        <v>0</v>
      </c>
      <c r="L21" s="6" t="s">
        <v>7</v>
      </c>
      <c r="N21" s="6" t="s">
        <v>29</v>
      </c>
      <c r="O21" s="6">
        <f xml:space="preserve"> O18 / ($C$47 * PI() * $C$9^2 * O19^2 * $C$9^2)</f>
        <v>8.5962780771898003E-3</v>
      </c>
      <c r="U21" s="2">
        <v>17</v>
      </c>
      <c r="V21" s="2">
        <f t="shared" si="7"/>
        <v>4.567718505859375E-2</v>
      </c>
      <c r="W21" s="2">
        <f t="shared" si="0"/>
        <v>4.8447856054803506E-6</v>
      </c>
      <c r="X21" s="2">
        <f t="shared" si="8"/>
        <v>4.5684814453125E-2</v>
      </c>
      <c r="Y21" s="2">
        <f t="shared" si="1"/>
        <v>-2.7987738882850888E-6</v>
      </c>
      <c r="Z21" s="2">
        <f t="shared" si="3"/>
        <v>4.5680999755859375E-2</v>
      </c>
      <c r="AA21" s="2">
        <f t="shared" si="2"/>
        <v>1.0230061460447804E-6</v>
      </c>
      <c r="AB21" s="2">
        <f t="shared" si="4"/>
        <v>4.9562454506756812E-12</v>
      </c>
      <c r="AC21" s="2">
        <f t="shared" si="5"/>
        <v>-2.8631628891052932E-12</v>
      </c>
      <c r="AD21" s="2">
        <f t="shared" si="6"/>
        <v>7.62939453125E-6</v>
      </c>
      <c r="AF21" s="2">
        <v>17</v>
      </c>
      <c r="AG21" s="2">
        <f t="shared" si="13"/>
        <v>2809.9136352539062</v>
      </c>
      <c r="AH21" s="2">
        <v>-2.8231998433057015E-2</v>
      </c>
      <c r="AI21" s="2">
        <f t="shared" si="14"/>
        <v>2810.05859375</v>
      </c>
      <c r="AJ21" s="2">
        <v>3.4465268268832006E-2</v>
      </c>
      <c r="AK21" s="2">
        <f t="shared" si="9"/>
        <v>2809.9861145019531</v>
      </c>
      <c r="AL21" s="2">
        <v>3.1164931119747052E-3</v>
      </c>
      <c r="AM21" s="2">
        <f t="shared" si="10"/>
        <v>-8.7984828653902864E-5</v>
      </c>
      <c r="AN21" s="2">
        <f t="shared" si="11"/>
        <v>1.0741077116217531E-4</v>
      </c>
      <c r="AO21" s="2">
        <f t="shared" si="12"/>
        <v>0.14495849609375</v>
      </c>
    </row>
    <row r="22" spans="2:41" x14ac:dyDescent="0.2">
      <c r="B22" s="6" t="s">
        <v>155</v>
      </c>
      <c r="C22" s="17">
        <v>50</v>
      </c>
      <c r="D22" s="6" t="s">
        <v>58</v>
      </c>
      <c r="F22" s="26" t="s">
        <v>132</v>
      </c>
      <c r="G22" s="25">
        <f>$C$18 * G19</f>
        <v>234.87050503653319</v>
      </c>
      <c r="H22" s="25" t="s">
        <v>101</v>
      </c>
      <c r="J22" s="14" t="s">
        <v>112</v>
      </c>
      <c r="K22" s="6">
        <f>$C$55*(0.14*$G$12*1000/745.7)*0.453592</f>
        <v>25.103091840599262</v>
      </c>
      <c r="L22" s="6" t="s">
        <v>7</v>
      </c>
      <c r="N22" s="6" t="s">
        <v>1</v>
      </c>
      <c r="O22" s="17">
        <v>8.8999999999999999E-3</v>
      </c>
      <c r="U22" s="2">
        <v>18</v>
      </c>
      <c r="V22" s="2">
        <f t="shared" si="7"/>
        <v>4.5680999755859375E-2</v>
      </c>
      <c r="W22" s="2">
        <f t="shared" si="0"/>
        <v>1.0230061460447804E-6</v>
      </c>
      <c r="X22" s="2">
        <f t="shared" si="8"/>
        <v>4.5684814453125E-2</v>
      </c>
      <c r="Y22" s="2">
        <f t="shared" si="1"/>
        <v>-2.7987738882850888E-6</v>
      </c>
      <c r="Z22" s="2">
        <f t="shared" si="3"/>
        <v>4.5682907104492188E-2</v>
      </c>
      <c r="AA22" s="2">
        <f t="shared" si="2"/>
        <v>-8.8788379926096894E-7</v>
      </c>
      <c r="AB22" s="2">
        <f t="shared" si="4"/>
        <v>-9.0831058361756128E-13</v>
      </c>
      <c r="AC22" s="2">
        <f t="shared" si="5"/>
        <v>2.4849859932029592E-12</v>
      </c>
      <c r="AD22" s="2">
        <f t="shared" si="6"/>
        <v>3.814697265625E-6</v>
      </c>
      <c r="AF22" s="2">
        <v>18</v>
      </c>
      <c r="AG22" s="2">
        <f t="shared" si="13"/>
        <v>2809.9136352539062</v>
      </c>
      <c r="AH22" s="2">
        <v>-2.8231998433057015E-2</v>
      </c>
      <c r="AI22" s="2">
        <f t="shared" si="14"/>
        <v>2809.9861145019531</v>
      </c>
      <c r="AJ22" s="2">
        <v>3.1164931119747052E-3</v>
      </c>
      <c r="AK22" s="2">
        <f t="shared" si="9"/>
        <v>2809.9498748779297</v>
      </c>
      <c r="AL22" s="2">
        <v>-1.2566845670789917E-2</v>
      </c>
      <c r="AM22" s="2">
        <f t="shared" si="10"/>
        <v>3.5478716728621024E-4</v>
      </c>
      <c r="AN22" s="2">
        <f t="shared" si="11"/>
        <v>-3.916448797226592E-5</v>
      </c>
      <c r="AO22" s="2">
        <f t="shared" si="12"/>
        <v>7.2479248046875E-2</v>
      </c>
    </row>
    <row r="23" spans="2:41" x14ac:dyDescent="0.2">
      <c r="J23" s="15" t="s">
        <v>64</v>
      </c>
      <c r="K23" s="6">
        <f xml:space="preserve"> $C$56 * (0.0268 * $C$5)</f>
        <v>60.245690986638401</v>
      </c>
      <c r="L23" s="6" t="s">
        <v>7</v>
      </c>
      <c r="N23" s="6" t="s">
        <v>30</v>
      </c>
      <c r="O23" s="6">
        <f xml:space="preserve"> ($C$20 * O22 / 8) * (1 + 4.65 *O20^ 2) * ( PI() * $C$47 * O19^3 *$C$9^ 5)</f>
        <v>14983.453859423274</v>
      </c>
      <c r="P23" s="6" t="s">
        <v>18</v>
      </c>
      <c r="U23" s="2">
        <v>19</v>
      </c>
      <c r="V23" s="2">
        <f t="shared" si="7"/>
        <v>4.5680999755859375E-2</v>
      </c>
      <c r="W23" s="2">
        <f t="shared" si="0"/>
        <v>1.0230061460447804E-6</v>
      </c>
      <c r="X23" s="2">
        <f t="shared" si="8"/>
        <v>4.5682907104492188E-2</v>
      </c>
      <c r="Y23" s="2">
        <f t="shared" si="1"/>
        <v>-8.8788379926096894E-7</v>
      </c>
      <c r="Z23" s="2">
        <f t="shared" si="3"/>
        <v>4.5681953430175781E-2</v>
      </c>
      <c r="AA23" s="2">
        <f t="shared" si="2"/>
        <v>6.7561191356702022E-8</v>
      </c>
      <c r="AB23" s="2">
        <f t="shared" si="4"/>
        <v>6.911551399201366E-14</v>
      </c>
      <c r="AC23" s="2">
        <f t="shared" si="5"/>
        <v>-5.9986487264385925E-14</v>
      </c>
      <c r="AD23" s="2">
        <f t="shared" si="6"/>
        <v>1.9073486328125E-6</v>
      </c>
      <c r="AF23" s="2">
        <v>19</v>
      </c>
      <c r="AG23" s="2">
        <f t="shared" si="13"/>
        <v>2809.9498748779297</v>
      </c>
      <c r="AH23" s="2">
        <v>-1.2566845670789917E-2</v>
      </c>
      <c r="AI23" s="2">
        <f t="shared" si="14"/>
        <v>2809.9861145019531</v>
      </c>
      <c r="AJ23" s="2">
        <v>3.1164931119747052E-3</v>
      </c>
      <c r="AK23" s="2">
        <f t="shared" si="9"/>
        <v>2809.9679946899414</v>
      </c>
      <c r="AL23" s="2">
        <v>-4.725185171537305E-3</v>
      </c>
      <c r="AM23" s="2">
        <f t="shared" si="10"/>
        <v>5.9380672816614289E-5</v>
      </c>
      <c r="AN23" s="2">
        <f t="shared" si="11"/>
        <v>-1.4726007039901027E-5</v>
      </c>
      <c r="AO23" s="2">
        <f t="shared" si="12"/>
        <v>3.62396240234375E-2</v>
      </c>
    </row>
    <row r="24" spans="2:41" x14ac:dyDescent="0.2">
      <c r="B24" s="35" t="s">
        <v>104</v>
      </c>
      <c r="C24" s="35"/>
      <c r="D24" s="35"/>
      <c r="F24" s="31" t="s">
        <v>81</v>
      </c>
      <c r="G24" s="32"/>
      <c r="H24" s="32"/>
      <c r="J24" s="15" t="s">
        <v>65</v>
      </c>
      <c r="K24" s="6">
        <f xml:space="preserve"> $C$56 * (11.5 * ($C$5*2.20462/1000)^0.4 * 0.453592)</f>
        <v>8.6550024345099086</v>
      </c>
      <c r="L24" s="6" t="s">
        <v>7</v>
      </c>
      <c r="N24" s="6" t="s">
        <v>31</v>
      </c>
      <c r="O24" s="18">
        <f>Z34</f>
        <v>4.5682020951062441E-2</v>
      </c>
      <c r="U24" s="2">
        <v>20</v>
      </c>
      <c r="V24" s="2">
        <f t="shared" si="7"/>
        <v>4.5681953430175781E-2</v>
      </c>
      <c r="W24" s="2">
        <f t="shared" si="0"/>
        <v>6.7561191356702022E-8</v>
      </c>
      <c r="X24" s="2">
        <f t="shared" si="8"/>
        <v>4.5682907104492188E-2</v>
      </c>
      <c r="Y24" s="2">
        <f t="shared" si="1"/>
        <v>-8.8788379926096894E-7</v>
      </c>
      <c r="Z24" s="2">
        <f t="shared" si="3"/>
        <v>4.5682430267333984E-2</v>
      </c>
      <c r="AA24" s="2">
        <f t="shared" si="2"/>
        <v>-4.1016129945919966E-7</v>
      </c>
      <c r="AB24" s="2">
        <f t="shared" si="4"/>
        <v>-2.7710986039876548E-14</v>
      </c>
      <c r="AC24" s="2">
        <f t="shared" si="5"/>
        <v>3.6417557287365018E-13</v>
      </c>
      <c r="AD24" s="2">
        <f t="shared" si="6"/>
        <v>9.5367431640625E-7</v>
      </c>
      <c r="AF24" s="2">
        <v>20</v>
      </c>
      <c r="AG24" s="2">
        <f t="shared" si="13"/>
        <v>2809.9679946899414</v>
      </c>
      <c r="AH24" s="2">
        <v>-4.725185171537305E-3</v>
      </c>
      <c r="AI24" s="2">
        <f t="shared" si="14"/>
        <v>2809.9861145019531</v>
      </c>
      <c r="AJ24" s="2">
        <v>3.1164931119747052E-3</v>
      </c>
      <c r="AK24" s="2">
        <f t="shared" si="9"/>
        <v>2809.9770545959473</v>
      </c>
      <c r="AL24" s="2">
        <v>-8.0434825258635101E-4</v>
      </c>
      <c r="AM24" s="2">
        <f t="shared" si="10"/>
        <v>3.8006944358729684E-6</v>
      </c>
      <c r="AN24" s="2">
        <f t="shared" si="11"/>
        <v>-2.5067457888142533E-6</v>
      </c>
      <c r="AO24" s="2">
        <f t="shared" si="12"/>
        <v>1.811981201171875E-2</v>
      </c>
    </row>
    <row r="25" spans="2:41" x14ac:dyDescent="0.2">
      <c r="B25" t="s">
        <v>105</v>
      </c>
      <c r="C25" s="1">
        <v>6</v>
      </c>
      <c r="D25"/>
      <c r="F25" t="s">
        <v>85</v>
      </c>
      <c r="G25" s="1">
        <f>300*0.3048/60</f>
        <v>1.524</v>
      </c>
      <c r="H25" t="s">
        <v>10</v>
      </c>
      <c r="J25" s="15" t="s">
        <v>66</v>
      </c>
      <c r="K25" s="6">
        <f xml:space="preserve"> $C$56 * (8 * ($C$5/1000))</f>
        <v>17.983788354220419</v>
      </c>
      <c r="L25" s="6" t="s">
        <v>7</v>
      </c>
      <c r="N25" s="6" t="s">
        <v>32</v>
      </c>
      <c r="O25" s="6">
        <f xml:space="preserve"> O19 * $C$9 * O24 - $C$8 * SIN(O17/180*PI())</f>
        <v>1.2224306951884234</v>
      </c>
      <c r="P25" s="6" t="s">
        <v>10</v>
      </c>
      <c r="U25" s="2">
        <v>21</v>
      </c>
      <c r="V25" s="2">
        <f t="shared" si="7"/>
        <v>4.5681953430175781E-2</v>
      </c>
      <c r="W25" s="2">
        <f t="shared" si="0"/>
        <v>6.7561191356702022E-8</v>
      </c>
      <c r="X25" s="2">
        <f t="shared" si="8"/>
        <v>4.5682430267333984E-2</v>
      </c>
      <c r="Y25" s="2">
        <f t="shared" si="1"/>
        <v>-4.1016129945919966E-7</v>
      </c>
      <c r="Z25" s="2">
        <f t="shared" si="3"/>
        <v>4.5682191848754883E-2</v>
      </c>
      <c r="AA25" s="2">
        <f t="shared" si="2"/>
        <v>-1.713000529340869E-7</v>
      </c>
      <c r="AB25" s="2">
        <f t="shared" si="4"/>
        <v>-1.157323565569303E-14</v>
      </c>
      <c r="AC25" s="2">
        <f t="shared" si="5"/>
        <v>7.0260652308874768E-14</v>
      </c>
      <c r="AD25" s="2">
        <f t="shared" si="6"/>
        <v>4.76837158203125E-7</v>
      </c>
      <c r="AF25" s="2">
        <v>21</v>
      </c>
      <c r="AG25" s="2">
        <f t="shared" si="13"/>
        <v>2809.9770545959473</v>
      </c>
      <c r="AH25" s="2">
        <v>-8.0434825258635101E-4</v>
      </c>
      <c r="AI25" s="2">
        <f t="shared" si="14"/>
        <v>2809.9861145019531</v>
      </c>
      <c r="AJ25" s="2">
        <v>3.1164931119747052E-3</v>
      </c>
      <c r="AK25" s="2">
        <f t="shared" si="9"/>
        <v>2809.9815845489502</v>
      </c>
      <c r="AL25" s="2">
        <v>1.1651295408228179E-3</v>
      </c>
      <c r="AM25" s="2">
        <f t="shared" si="10"/>
        <v>-9.3716991019757119E-7</v>
      </c>
      <c r="AN25" s="2">
        <f t="shared" si="11"/>
        <v>3.6311181885325632E-6</v>
      </c>
      <c r="AO25" s="2">
        <f t="shared" si="12"/>
        <v>9.059906005859375E-3</v>
      </c>
    </row>
    <row r="26" spans="2:41" x14ac:dyDescent="0.2">
      <c r="B26" t="s">
        <v>106</v>
      </c>
      <c r="C26" s="1">
        <v>6.4008000000000003</v>
      </c>
      <c r="D26" t="s">
        <v>8</v>
      </c>
      <c r="F26" t="s">
        <v>91</v>
      </c>
      <c r="G26" s="1">
        <f>1000*0.3048</f>
        <v>304.8</v>
      </c>
      <c r="H26" t="s">
        <v>8</v>
      </c>
      <c r="J26" s="15" t="s">
        <v>67</v>
      </c>
      <c r="K26" s="6">
        <f xml:space="preserve"> $C$56 * (13 * ($C$5*2.20462/1000)^1.3 * 0.453592)</f>
        <v>50.506138222276938</v>
      </c>
      <c r="L26" s="6" t="s">
        <v>7</v>
      </c>
      <c r="N26" s="6" t="s">
        <v>33</v>
      </c>
      <c r="O26" s="6">
        <f xml:space="preserve"> 1/$C$21 - O23 * SQRT( (2*$C$47*PI()*$C$9^2) / O18^3 )</f>
        <v>1.087260370201832</v>
      </c>
      <c r="U26" s="2">
        <v>22</v>
      </c>
      <c r="V26" s="2">
        <f t="shared" si="7"/>
        <v>4.5681953430175781E-2</v>
      </c>
      <c r="W26" s="2">
        <f t="shared" si="0"/>
        <v>6.7561191356702022E-8</v>
      </c>
      <c r="X26" s="2">
        <f t="shared" si="8"/>
        <v>4.5682191848754883E-2</v>
      </c>
      <c r="Y26" s="2">
        <f t="shared" si="1"/>
        <v>-1.713000529340869E-7</v>
      </c>
      <c r="Z26" s="2">
        <f t="shared" si="3"/>
        <v>4.5682072639465332E-2</v>
      </c>
      <c r="AA26" s="2">
        <f t="shared" si="2"/>
        <v>-5.1869430507667236E-8</v>
      </c>
      <c r="AB26" s="2">
        <f t="shared" si="4"/>
        <v>-3.504360520091664E-15</v>
      </c>
      <c r="AC26" s="2">
        <f t="shared" si="5"/>
        <v>8.8852361916243386E-15</v>
      </c>
      <c r="AD26" s="2">
        <f t="shared" si="6"/>
        <v>2.384185791015625E-7</v>
      </c>
      <c r="AF26" s="2">
        <v>22</v>
      </c>
      <c r="AG26" s="2">
        <f t="shared" si="13"/>
        <v>2809.9770545959473</v>
      </c>
      <c r="AH26" s="2">
        <v>-8.0434825258635101E-4</v>
      </c>
      <c r="AI26" s="2">
        <f t="shared" si="14"/>
        <v>2809.9815845489502</v>
      </c>
      <c r="AJ26" s="2">
        <v>1.1651295408228179E-3</v>
      </c>
      <c r="AK26" s="2">
        <f t="shared" si="9"/>
        <v>2809.9793195724487</v>
      </c>
      <c r="AL26" s="2">
        <v>1.7133284472947707E-4</v>
      </c>
      <c r="AM26" s="2">
        <f t="shared" si="10"/>
        <v>-1.3781127426880347E-7</v>
      </c>
      <c r="AN26" s="2">
        <f t="shared" si="11"/>
        <v>1.9962495870752278E-7</v>
      </c>
      <c r="AO26" s="2">
        <f t="shared" si="12"/>
        <v>4.5299530029296875E-3</v>
      </c>
    </row>
    <row r="27" spans="2:41" x14ac:dyDescent="0.2">
      <c r="B27" t="s">
        <v>107</v>
      </c>
      <c r="C27" s="1">
        <v>2.0560284000000002</v>
      </c>
      <c r="D27" t="s">
        <v>8</v>
      </c>
      <c r="F27" t="s">
        <v>90</v>
      </c>
      <c r="G27" s="8">
        <f>$G$26/$G$25</f>
        <v>200</v>
      </c>
      <c r="H27" t="s">
        <v>13</v>
      </c>
      <c r="J27" s="10" t="s">
        <v>54</v>
      </c>
      <c r="K27" s="10">
        <f>$C$5 - $C$13 - SUM(K13:K26)</f>
        <v>-5.182788014280959E-3</v>
      </c>
      <c r="L27" s="10" t="s">
        <v>7</v>
      </c>
      <c r="N27" s="6" t="s">
        <v>34</v>
      </c>
      <c r="O27" s="17">
        <v>1.1499999999999999</v>
      </c>
      <c r="U27" s="2">
        <v>23</v>
      </c>
      <c r="V27" s="2">
        <f t="shared" si="7"/>
        <v>4.5681953430175781E-2</v>
      </c>
      <c r="W27" s="2">
        <f t="shared" si="0"/>
        <v>6.7561191356702022E-8</v>
      </c>
      <c r="X27" s="2">
        <f t="shared" si="8"/>
        <v>4.5682072639465332E-2</v>
      </c>
      <c r="Y27" s="2">
        <f t="shared" si="1"/>
        <v>-5.1869430507667236E-8</v>
      </c>
      <c r="Z27" s="2">
        <f t="shared" si="3"/>
        <v>4.5682013034820557E-2</v>
      </c>
      <c r="AA27" s="2">
        <f t="shared" si="2"/>
        <v>7.845880493906332E-9</v>
      </c>
      <c r="AB27" s="2">
        <f t="shared" si="4"/>
        <v>5.3007703341062146E-16</v>
      </c>
      <c r="AC27" s="2">
        <f t="shared" si="5"/>
        <v>-4.0696135305013637E-16</v>
      </c>
      <c r="AD27" s="2">
        <f t="shared" si="6"/>
        <v>1.1920928955078125E-7</v>
      </c>
      <c r="AF27" s="2">
        <v>23</v>
      </c>
      <c r="AG27" s="2">
        <f t="shared" si="13"/>
        <v>2809.9770545959473</v>
      </c>
      <c r="AH27" s="2">
        <v>-8.0434825258635101E-4</v>
      </c>
      <c r="AI27" s="2">
        <f t="shared" si="14"/>
        <v>2809.9793195724487</v>
      </c>
      <c r="AJ27" s="2">
        <v>1.7133284472947707E-4</v>
      </c>
      <c r="AK27" s="2">
        <f t="shared" si="9"/>
        <v>2809.978187084198</v>
      </c>
      <c r="AL27" s="2">
        <v>-3.0745008461963153E-4</v>
      </c>
      <c r="AM27" s="2">
        <f t="shared" si="10"/>
        <v>2.4729693832132635E-7</v>
      </c>
      <c r="AN27" s="2">
        <f t="shared" si="11"/>
        <v>-5.2676297610199915E-8</v>
      </c>
      <c r="AO27" s="2">
        <f t="shared" si="12"/>
        <v>2.2649765014648438E-3</v>
      </c>
    </row>
    <row r="28" spans="2:41" x14ac:dyDescent="0.2">
      <c r="F28" t="s">
        <v>19</v>
      </c>
      <c r="G28" s="6">
        <f xml:space="preserve"> $C$5 * $C$44 / $C$18</f>
        <v>6885.4665296833591</v>
      </c>
      <c r="H28" t="s">
        <v>20</v>
      </c>
      <c r="J28" s="6" t="s">
        <v>55</v>
      </c>
      <c r="K28" s="4" t="str">
        <f>IF(ABS(K27)&lt;1, "TRUE", "FALSE")</f>
        <v>TRUE</v>
      </c>
      <c r="N28" s="6" t="s">
        <v>35</v>
      </c>
      <c r="O28" s="6">
        <f xml:space="preserve"> 1/$C$53 * LN( EXP($C$53 * O26) + EXP($C$53 * O27) )</f>
        <v>1.1547240721839134</v>
      </c>
      <c r="U28" s="2">
        <v>24</v>
      </c>
      <c r="V28" s="2">
        <f t="shared" si="7"/>
        <v>4.5682013034820557E-2</v>
      </c>
      <c r="W28" s="2">
        <f t="shared" si="0"/>
        <v>7.845880493906332E-9</v>
      </c>
      <c r="X28" s="2">
        <f t="shared" si="8"/>
        <v>4.5682072639465332E-2</v>
      </c>
      <c r="Y28" s="2">
        <f t="shared" si="1"/>
        <v>-5.1869430507667236E-8</v>
      </c>
      <c r="Z28" s="2">
        <f t="shared" si="3"/>
        <v>4.5682042837142944E-2</v>
      </c>
      <c r="AA28" s="2">
        <f t="shared" si="2"/>
        <v>-2.201177498606377E-8</v>
      </c>
      <c r="AB28" s="2">
        <f t="shared" si="4"/>
        <v>-1.7270175599941306E-16</v>
      </c>
      <c r="AC28" s="2">
        <f t="shared" si="5"/>
        <v>1.1417382329900426E-15</v>
      </c>
      <c r="AD28" s="2">
        <f t="shared" si="6"/>
        <v>5.9604644775390625E-8</v>
      </c>
      <c r="AF28" s="2">
        <v>24</v>
      </c>
      <c r="AG28" s="2">
        <f t="shared" si="13"/>
        <v>2809.978187084198</v>
      </c>
      <c r="AH28" s="2">
        <v>-3.0745008461963153E-4</v>
      </c>
      <c r="AI28" s="2">
        <f t="shared" si="14"/>
        <v>2809.9793195724487</v>
      </c>
      <c r="AJ28" s="2">
        <v>1.7133284472947707E-4</v>
      </c>
      <c r="AK28" s="2">
        <f t="shared" si="9"/>
        <v>2809.9787533283234</v>
      </c>
      <c r="AL28" s="2">
        <v>-5.9000973578804405E-5</v>
      </c>
      <c r="AM28" s="2">
        <f t="shared" si="10"/>
        <v>1.8139854319444059E-8</v>
      </c>
      <c r="AN28" s="2">
        <f t="shared" si="11"/>
        <v>-1.0108804645065275E-8</v>
      </c>
      <c r="AO28" s="2">
        <f t="shared" si="12"/>
        <v>1.1324882507324219E-3</v>
      </c>
    </row>
    <row r="29" spans="2:41" x14ac:dyDescent="0.2">
      <c r="B29" s="35" t="s">
        <v>108</v>
      </c>
      <c r="C29" s="35"/>
      <c r="D29" s="35"/>
      <c r="F29" t="s">
        <v>97</v>
      </c>
      <c r="G29" s="6">
        <f>G31/$C$18</f>
        <v>79.610078262545812</v>
      </c>
      <c r="H29" t="s">
        <v>18</v>
      </c>
      <c r="U29" s="2">
        <v>25</v>
      </c>
      <c r="V29" s="2">
        <f t="shared" si="7"/>
        <v>4.5682013034820557E-2</v>
      </c>
      <c r="W29" s="2">
        <f t="shared" si="0"/>
        <v>7.845880493906332E-9</v>
      </c>
      <c r="X29" s="2">
        <f t="shared" si="8"/>
        <v>4.5682042837142944E-2</v>
      </c>
      <c r="Y29" s="2">
        <f t="shared" si="1"/>
        <v>-2.201177498606377E-8</v>
      </c>
      <c r="Z29" s="2">
        <f t="shared" si="3"/>
        <v>4.568202793598175E-2</v>
      </c>
      <c r="AA29" s="2">
        <f t="shared" si="2"/>
        <v>-7.0829472426092721E-9</v>
      </c>
      <c r="AB29" s="2">
        <f t="shared" si="4"/>
        <v>-5.5571957610155725E-17</v>
      </c>
      <c r="AC29" s="2">
        <f t="shared" si="5"/>
        <v>1.5590824094247613E-16</v>
      </c>
      <c r="AD29" s="2">
        <f t="shared" si="6"/>
        <v>2.9802322387695312E-8</v>
      </c>
      <c r="AF29" s="2">
        <v>25</v>
      </c>
      <c r="AG29" s="2">
        <f t="shared" si="13"/>
        <v>2809.9787533283234</v>
      </c>
      <c r="AH29" s="2">
        <v>-5.9000973578804405E-5</v>
      </c>
      <c r="AI29" s="2">
        <f t="shared" si="14"/>
        <v>2809.9793195724487</v>
      </c>
      <c r="AJ29" s="2">
        <v>1.7133284472947707E-4</v>
      </c>
      <c r="AK29" s="2">
        <f t="shared" si="9"/>
        <v>2809.979036450386</v>
      </c>
      <c r="AL29" s="2">
        <v>4.7108277158258716E-5</v>
      </c>
      <c r="AM29" s="2">
        <f t="shared" si="10"/>
        <v>-2.7794342159574174E-9</v>
      </c>
      <c r="AN29" s="2">
        <f t="shared" si="11"/>
        <v>8.0711951358291124E-9</v>
      </c>
      <c r="AO29" s="2">
        <f t="shared" si="12"/>
        <v>5.6624412536621094E-4</v>
      </c>
    </row>
    <row r="30" spans="2:41" x14ac:dyDescent="0.2">
      <c r="B30" s="6" t="s">
        <v>116</v>
      </c>
      <c r="C30" s="21" t="s">
        <v>133</v>
      </c>
      <c r="F30" t="s">
        <v>146</v>
      </c>
      <c r="G30" s="6">
        <f xml:space="preserve"> (G28/$C$44*1000) / (G29*1000)</f>
        <v>8.8241557842713068</v>
      </c>
      <c r="H30" s="6" t="s">
        <v>147</v>
      </c>
      <c r="J30" s="33" t="s">
        <v>111</v>
      </c>
      <c r="K30" s="33"/>
      <c r="L30" s="33"/>
      <c r="U30" s="2">
        <v>26</v>
      </c>
      <c r="V30" s="2">
        <f t="shared" si="7"/>
        <v>4.5682013034820557E-2</v>
      </c>
      <c r="W30" s="2">
        <f t="shared" si="0"/>
        <v>7.845880493906332E-9</v>
      </c>
      <c r="X30" s="2">
        <f t="shared" si="8"/>
        <v>4.568202793598175E-2</v>
      </c>
      <c r="Y30" s="2">
        <f t="shared" si="1"/>
        <v>-7.0829472426092721E-9</v>
      </c>
      <c r="Z30" s="2">
        <f t="shared" si="3"/>
        <v>4.5682020485401154E-2</v>
      </c>
      <c r="AA30" s="2">
        <f t="shared" si="2"/>
        <v>3.8146662911797691E-10</v>
      </c>
      <c r="AB30" s="2">
        <f t="shared" si="4"/>
        <v>2.9929415844729362E-18</v>
      </c>
      <c r="AC30" s="2">
        <f t="shared" si="5"/>
        <v>-2.7019080088586285E-18</v>
      </c>
      <c r="AD30" s="2">
        <f t="shared" si="6"/>
        <v>1.4901161193847656E-8</v>
      </c>
      <c r="AF30" s="2">
        <v>26</v>
      </c>
      <c r="AG30" s="2">
        <f t="shared" si="13"/>
        <v>2809.9787533283234</v>
      </c>
      <c r="AH30" s="2">
        <v>-5.9000973578804405E-5</v>
      </c>
      <c r="AI30" s="2">
        <f t="shared" si="14"/>
        <v>2809.979036450386</v>
      </c>
      <c r="AJ30" s="2">
        <v>4.7108277158258716E-5</v>
      </c>
      <c r="AK30" s="2">
        <f t="shared" si="9"/>
        <v>2809.9788948893547</v>
      </c>
      <c r="AL30" s="2">
        <v>3.1113086151890457E-6</v>
      </c>
      <c r="AM30" s="2">
        <f t="shared" si="10"/>
        <v>-1.8357023740027541E-10</v>
      </c>
      <c r="AN30" s="2">
        <f t="shared" si="11"/>
        <v>1.4656838856920368E-10</v>
      </c>
      <c r="AO30" s="2">
        <f t="shared" si="12"/>
        <v>2.8312206268310547E-4</v>
      </c>
    </row>
    <row r="31" spans="2:41" x14ac:dyDescent="0.2">
      <c r="B31" s="6" t="s">
        <v>117</v>
      </c>
      <c r="C31" s="6">
        <f>IF(C30="wheeled",0.0325,0.014)</f>
        <v>1.4E-2</v>
      </c>
      <c r="F31" s="24" t="s">
        <v>83</v>
      </c>
      <c r="G31" s="25">
        <f xml:space="preserve"> 1/1000 * IF($G$25&gt;= 2*SQRT(($C$5*$C$44)/(2*$C$41*$C$18*PI()*$C$9*$C$9)), ($C$5*$C$44)/$C$21 * ( ($G$25/2) - SQRT( ($G$25/2)^2 - ($C$5*$C$44)/(2*$C$41*$C$18*PI()*$C$9*$C$9 ) ) ), 1/$C$21 * SQRT(($C$5*$C$44)^3/(2*$C$41*$C$18*PI()*$C$9*$C$9)) )</f>
        <v>318.44031305018325</v>
      </c>
      <c r="H31" s="24" t="s">
        <v>101</v>
      </c>
      <c r="J31" s="6" t="s">
        <v>57</v>
      </c>
      <c r="K31" s="6">
        <f>ROUND($C$13,2)</f>
        <v>600</v>
      </c>
      <c r="L31" s="6" t="s">
        <v>7</v>
      </c>
      <c r="U31" s="2">
        <v>27</v>
      </c>
      <c r="V31" s="2">
        <f t="shared" si="7"/>
        <v>4.5682020485401154E-2</v>
      </c>
      <c r="W31" s="2">
        <f t="shared" si="0"/>
        <v>3.8146662911797691E-10</v>
      </c>
      <c r="X31" s="2">
        <f t="shared" si="8"/>
        <v>4.568202793598175E-2</v>
      </c>
      <c r="Y31" s="2">
        <f t="shared" si="1"/>
        <v>-7.0829472426092721E-9</v>
      </c>
      <c r="Z31" s="2">
        <f t="shared" si="3"/>
        <v>4.5682024210691452E-2</v>
      </c>
      <c r="AA31" s="2">
        <f t="shared" si="2"/>
        <v>-3.3507403102150946E-9</v>
      </c>
      <c r="AB31" s="2">
        <f t="shared" si="4"/>
        <v>-1.2781956111874765E-18</v>
      </c>
      <c r="AC31" s="2">
        <f t="shared" si="5"/>
        <v>2.373311684093774E-17</v>
      </c>
      <c r="AD31" s="2">
        <f t="shared" si="6"/>
        <v>7.4505805969238281E-9</v>
      </c>
      <c r="AF31" s="2">
        <v>27</v>
      </c>
      <c r="AG31" s="2">
        <f t="shared" si="13"/>
        <v>2809.9787533283234</v>
      </c>
      <c r="AH31" s="2">
        <v>-5.9000973578804405E-5</v>
      </c>
      <c r="AI31" s="2">
        <f t="shared" si="14"/>
        <v>2809.9788948893547</v>
      </c>
      <c r="AJ31" s="2">
        <v>3.1113086151890457E-6</v>
      </c>
      <c r="AK31" s="2">
        <f t="shared" si="9"/>
        <v>2809.978824108839</v>
      </c>
      <c r="AL31" s="2">
        <v>-3.7002488170401193E-5</v>
      </c>
      <c r="AM31" s="2">
        <f t="shared" si="10"/>
        <v>2.1831828268918634E-9</v>
      </c>
      <c r="AN31" s="2">
        <f t="shared" si="11"/>
        <v>-1.1512616022799998E-10</v>
      </c>
      <c r="AO31" s="2">
        <f t="shared" si="12"/>
        <v>1.4156103134155273E-4</v>
      </c>
    </row>
    <row r="32" spans="2:41" x14ac:dyDescent="0.2">
      <c r="B32" t="s">
        <v>134</v>
      </c>
      <c r="C32" s="1">
        <v>2.8540374719999999</v>
      </c>
      <c r="D32" t="s">
        <v>8</v>
      </c>
      <c r="J32" s="11" t="s">
        <v>52</v>
      </c>
      <c r="K32" s="6">
        <f>ROUND(K13,2)</f>
        <v>1241.26</v>
      </c>
      <c r="L32" s="6" t="s">
        <v>7</v>
      </c>
      <c r="U32" s="2">
        <v>28</v>
      </c>
      <c r="V32" s="2">
        <f t="shared" si="7"/>
        <v>4.5682020485401154E-2</v>
      </c>
      <c r="W32" s="2">
        <f t="shared" si="0"/>
        <v>3.8146662911797691E-10</v>
      </c>
      <c r="X32" s="2">
        <f t="shared" si="8"/>
        <v>4.5682024210691452E-2</v>
      </c>
      <c r="Y32" s="2">
        <f t="shared" si="1"/>
        <v>-3.3507403102150946E-9</v>
      </c>
      <c r="Z32" s="2">
        <f t="shared" si="3"/>
        <v>4.5682022348046303E-2</v>
      </c>
      <c r="AA32" s="2">
        <f t="shared" si="2"/>
        <v>-1.4846368370791119E-9</v>
      </c>
      <c r="AB32" s="2">
        <f t="shared" si="4"/>
        <v>-5.6633940970494392E-19</v>
      </c>
      <c r="AC32" s="2">
        <f t="shared" si="5"/>
        <v>4.97463249603122E-18</v>
      </c>
      <c r="AD32" s="2">
        <f t="shared" si="6"/>
        <v>3.7252902984619141E-9</v>
      </c>
      <c r="AF32" s="2">
        <v>28</v>
      </c>
      <c r="AG32" s="2">
        <f t="shared" si="13"/>
        <v>2809.978824108839</v>
      </c>
      <c r="AH32" s="2">
        <v>-3.7002488170401193E-5</v>
      </c>
      <c r="AI32" s="2">
        <f t="shared" si="14"/>
        <v>2809.9788948893547</v>
      </c>
      <c r="AJ32" s="2">
        <v>3.1113086151890457E-6</v>
      </c>
      <c r="AK32" s="2">
        <f t="shared" si="9"/>
        <v>2809.9788594990969</v>
      </c>
      <c r="AL32" s="2">
        <v>-2.6003247512562666E-5</v>
      </c>
      <c r="AM32" s="2">
        <f t="shared" si="10"/>
        <v>9.621848584756143E-10</v>
      </c>
      <c r="AN32" s="2">
        <f t="shared" si="11"/>
        <v>-8.0904128008729345E-11</v>
      </c>
      <c r="AO32" s="2">
        <f t="shared" si="12"/>
        <v>7.0780515670776367E-5</v>
      </c>
    </row>
    <row r="33" spans="2:41" x14ac:dyDescent="0.2">
      <c r="B33" t="s">
        <v>135</v>
      </c>
      <c r="C33" s="1">
        <f>(0.750222528+0.849998808)/2</f>
        <v>0.80011066800000008</v>
      </c>
      <c r="D33"/>
      <c r="F33" s="31" t="s">
        <v>156</v>
      </c>
      <c r="G33" s="32"/>
      <c r="H33" s="32"/>
      <c r="J33" s="19" t="s">
        <v>78</v>
      </c>
      <c r="K33" s="6">
        <f>ROUND(SUM(K14:K17),2)</f>
        <v>638.22</v>
      </c>
      <c r="L33" s="6" t="s">
        <v>7</v>
      </c>
      <c r="U33" s="2">
        <v>29</v>
      </c>
      <c r="V33" s="2">
        <f t="shared" si="7"/>
        <v>4.5682020485401154E-2</v>
      </c>
      <c r="W33" s="2">
        <f t="shared" si="0"/>
        <v>3.8146662911797691E-10</v>
      </c>
      <c r="X33" s="2">
        <f t="shared" si="8"/>
        <v>4.5682022348046303E-2</v>
      </c>
      <c r="Y33" s="2">
        <f t="shared" si="1"/>
        <v>-1.4846368370791119E-9</v>
      </c>
      <c r="Z33" s="2">
        <f t="shared" si="3"/>
        <v>4.5682021416723728E-2</v>
      </c>
      <c r="AA33" s="2">
        <f t="shared" si="2"/>
        <v>-5.5158511091946139E-10</v>
      </c>
      <c r="AB33" s="2">
        <f t="shared" si="4"/>
        <v>-2.1041131293411233E-19</v>
      </c>
      <c r="AC33" s="2">
        <f t="shared" si="5"/>
        <v>8.1890357445540024E-19</v>
      </c>
      <c r="AD33" s="2">
        <f t="shared" si="6"/>
        <v>1.862645149230957E-9</v>
      </c>
      <c r="AF33" s="2">
        <v>29</v>
      </c>
      <c r="AG33" s="2">
        <f t="shared" si="13"/>
        <v>2809.9788594990969</v>
      </c>
      <c r="AH33" s="2">
        <v>-2.6003247512562666E-5</v>
      </c>
      <c r="AI33" s="2">
        <f t="shared" si="14"/>
        <v>2809.9788948893547</v>
      </c>
      <c r="AJ33" s="2">
        <v>3.1113086151890457E-6</v>
      </c>
      <c r="AK33" s="2">
        <f t="shared" si="9"/>
        <v>2809.9788771942258</v>
      </c>
      <c r="AL33" s="2">
        <v>-2.0503623545664595E-5</v>
      </c>
      <c r="AM33" s="2">
        <f t="shared" si="10"/>
        <v>5.331607979623242E-10</v>
      </c>
      <c r="AN33" s="2">
        <f t="shared" si="11"/>
        <v>-6.3793100580219223E-11</v>
      </c>
      <c r="AO33" s="2">
        <f t="shared" si="12"/>
        <v>3.5390257835388184E-5</v>
      </c>
    </row>
    <row r="34" spans="2:41" x14ac:dyDescent="0.2">
      <c r="F34" s="9" t="s">
        <v>157</v>
      </c>
      <c r="G34" s="17">
        <f>20*60</f>
        <v>1200</v>
      </c>
      <c r="H34" s="6" t="s">
        <v>13</v>
      </c>
      <c r="J34" s="20" t="s">
        <v>69</v>
      </c>
      <c r="K34" s="6">
        <f>ROUND(SUM(K18:K22),2)</f>
        <v>193.1</v>
      </c>
      <c r="L34" s="6" t="s">
        <v>7</v>
      </c>
      <c r="U34" s="2">
        <v>30</v>
      </c>
      <c r="V34" s="2">
        <f t="shared" si="7"/>
        <v>4.5682020485401154E-2</v>
      </c>
      <c r="W34" s="2">
        <f t="shared" si="0"/>
        <v>3.8146662911797691E-10</v>
      </c>
      <c r="X34" s="2">
        <f t="shared" si="8"/>
        <v>4.5682021416723728E-2</v>
      </c>
      <c r="Y34" s="2">
        <f t="shared" si="1"/>
        <v>-5.5158511091946139E-10</v>
      </c>
      <c r="Z34" s="2">
        <f t="shared" si="3"/>
        <v>4.5682020951062441E-2</v>
      </c>
      <c r="AA34" s="2">
        <f t="shared" si="2"/>
        <v>-8.5059237431295287E-11</v>
      </c>
      <c r="AB34" s="2">
        <f t="shared" si="4"/>
        <v>-3.2447260578261858E-20</v>
      </c>
      <c r="AC34" s="2">
        <f t="shared" si="5"/>
        <v>4.6917408913265813E-20</v>
      </c>
      <c r="AD34" s="2">
        <f>X34-V34</f>
        <v>9.3132257461547852E-10</v>
      </c>
      <c r="AF34" s="2">
        <v>30</v>
      </c>
      <c r="AG34" s="2">
        <f t="shared" si="13"/>
        <v>2809.9788771942258</v>
      </c>
      <c r="AH34" s="2">
        <v>-2.0503623545664595E-5</v>
      </c>
      <c r="AI34" s="2">
        <f t="shared" si="14"/>
        <v>2809.9788948893547</v>
      </c>
      <c r="AJ34" s="2">
        <v>3.1113086151890457E-6</v>
      </c>
      <c r="AK34" s="2">
        <f t="shared" si="9"/>
        <v>2809.9788860417902</v>
      </c>
      <c r="AL34" s="2">
        <v>-1.7753812699083937E-5</v>
      </c>
      <c r="AM34" s="2">
        <f t="shared" si="10"/>
        <v>3.6401749208225652E-10</v>
      </c>
      <c r="AN34" s="2">
        <f t="shared" si="11"/>
        <v>-5.5237590403112538E-11</v>
      </c>
      <c r="AO34" s="2">
        <f t="shared" si="12"/>
        <v>1.7695128917694092E-5</v>
      </c>
    </row>
    <row r="35" spans="2:41" x14ac:dyDescent="0.2">
      <c r="B35" s="33" t="s">
        <v>2</v>
      </c>
      <c r="C35" s="33"/>
      <c r="D35" s="33"/>
      <c r="F35" s="26" t="s">
        <v>132</v>
      </c>
      <c r="G35" s="25">
        <f xml:space="preserve"> G22</f>
        <v>234.87050503653319</v>
      </c>
      <c r="H35" s="25" t="s">
        <v>101</v>
      </c>
      <c r="J35" s="15" t="s">
        <v>70</v>
      </c>
      <c r="K35" s="6">
        <f>ROUND(SUM(K23:K26),2)</f>
        <v>137.38999999999999</v>
      </c>
      <c r="L35" s="6" t="s">
        <v>7</v>
      </c>
      <c r="AF35" s="2">
        <v>31</v>
      </c>
      <c r="AG35" s="2">
        <f t="shared" si="13"/>
        <v>2809.9788860417902</v>
      </c>
      <c r="AH35" s="2">
        <v>-1.7753812699083937E-5</v>
      </c>
      <c r="AI35" s="2">
        <f t="shared" si="14"/>
        <v>2809.9788948893547</v>
      </c>
      <c r="AJ35" s="2">
        <v>3.1113086151890457E-6</v>
      </c>
      <c r="AK35" s="2">
        <f t="shared" si="9"/>
        <v>2809.9788904655725</v>
      </c>
      <c r="AL35" s="2">
        <v>1.7364027371513657E-6</v>
      </c>
      <c r="AM35" s="2">
        <f t="shared" si="10"/>
        <v>-3.0827768965562025E-11</v>
      </c>
      <c r="AN35" s="2">
        <f t="shared" si="11"/>
        <v>5.4024847955368842E-12</v>
      </c>
      <c r="AO35" s="2">
        <f t="shared" si="12"/>
        <v>8.8475644588470459E-6</v>
      </c>
    </row>
    <row r="36" spans="2:41" x14ac:dyDescent="0.2">
      <c r="B36" s="6" t="s">
        <v>3</v>
      </c>
      <c r="C36" s="17">
        <v>250</v>
      </c>
      <c r="D36" s="6" t="s">
        <v>4</v>
      </c>
      <c r="J36" s="10" t="s">
        <v>59</v>
      </c>
      <c r="K36" s="10">
        <f>SUM(K31:K35)</f>
        <v>2809.97</v>
      </c>
      <c r="L36" s="6" t="s">
        <v>7</v>
      </c>
      <c r="AF36" s="2">
        <v>32</v>
      </c>
      <c r="AG36" s="2">
        <f t="shared" si="13"/>
        <v>2809.9788860417902</v>
      </c>
      <c r="AH36" s="2">
        <v>-1.7753812699083937E-5</v>
      </c>
      <c r="AI36" s="2">
        <f t="shared" si="14"/>
        <v>2809.9788904655725</v>
      </c>
      <c r="AJ36" s="2">
        <v>1.7364027371513657E-6</v>
      </c>
      <c r="AK36" s="2">
        <f t="shared" si="9"/>
        <v>2809.9788882536814</v>
      </c>
      <c r="AL36" s="2">
        <v>-1.706636112430715E-5</v>
      </c>
      <c r="AM36" s="2">
        <f t="shared" si="10"/>
        <v>3.029929788558767E-10</v>
      </c>
      <c r="AN36" s="2">
        <f t="shared" si="11"/>
        <v>-2.9634076169460595E-11</v>
      </c>
      <c r="AO36" s="2">
        <f t="shared" si="12"/>
        <v>4.4237822294235229E-6</v>
      </c>
    </row>
    <row r="37" spans="2:41" x14ac:dyDescent="0.2">
      <c r="B37" s="6" t="s">
        <v>5</v>
      </c>
      <c r="C37" s="17">
        <v>0.85</v>
      </c>
      <c r="AF37" s="2">
        <v>33</v>
      </c>
      <c r="AG37" s="2">
        <f t="shared" si="13"/>
        <v>2809.9788882536814</v>
      </c>
      <c r="AH37" s="2">
        <v>-1.706636112430715E-5</v>
      </c>
      <c r="AI37" s="2">
        <f t="shared" si="14"/>
        <v>2809.9788904655725</v>
      </c>
      <c r="AJ37" s="2">
        <v>1.7364027371513657E-6</v>
      </c>
      <c r="AK37" s="2">
        <f t="shared" si="9"/>
        <v>2809.9788893596269</v>
      </c>
      <c r="AL37" s="2">
        <v>-1.6722634427424055E-5</v>
      </c>
      <c r="AM37" s="2">
        <f t="shared" si="10"/>
        <v>2.8539451808819024E-10</v>
      </c>
      <c r="AN37" s="2">
        <f t="shared" si="11"/>
        <v>-2.903722819216079E-11</v>
      </c>
      <c r="AO37" s="2">
        <f t="shared" si="12"/>
        <v>2.2118911147117615E-6</v>
      </c>
    </row>
    <row r="38" spans="2:41" x14ac:dyDescent="0.2">
      <c r="B38" s="6" t="s">
        <v>6</v>
      </c>
      <c r="C38" s="17">
        <v>0.8</v>
      </c>
      <c r="J38" s="33" t="s">
        <v>56</v>
      </c>
      <c r="K38" s="33"/>
      <c r="L38" s="33"/>
      <c r="AF38" s="2">
        <v>34</v>
      </c>
      <c r="AG38" s="2">
        <f t="shared" si="13"/>
        <v>2809.9788893596269</v>
      </c>
      <c r="AH38" s="2">
        <v>-1.6722634427424055E-5</v>
      </c>
      <c r="AI38" s="2">
        <f t="shared" si="14"/>
        <v>2809.9788904655725</v>
      </c>
      <c r="AJ38" s="2">
        <v>-1.6722634427424055E-5</v>
      </c>
      <c r="AK38" s="2">
        <f t="shared" si="9"/>
        <v>2809.9788899125997</v>
      </c>
      <c r="AL38" s="2">
        <v>-1.6550770396861481E-5</v>
      </c>
      <c r="AM38" s="2">
        <f t="shared" si="10"/>
        <v>2.7677248283894668E-10</v>
      </c>
      <c r="AN38" s="2">
        <f t="shared" si="11"/>
        <v>2.7677248283894668E-10</v>
      </c>
      <c r="AO38" s="2">
        <f t="shared" si="12"/>
        <v>1.1059455573558807E-6</v>
      </c>
    </row>
    <row r="39" spans="2:41" x14ac:dyDescent="0.2">
      <c r="J39" s="6" t="s">
        <v>57</v>
      </c>
      <c r="K39" s="6">
        <f>ROUND($C$13/$C$5 * 100, 2)</f>
        <v>21.35</v>
      </c>
      <c r="L39" s="6" t="s">
        <v>58</v>
      </c>
      <c r="AF39" s="2">
        <v>35</v>
      </c>
      <c r="AG39" s="2">
        <f t="shared" si="13"/>
        <v>2809.9788899125997</v>
      </c>
      <c r="AH39" s="2">
        <v>-1.6550770396861481E-5</v>
      </c>
      <c r="AI39" s="2">
        <f t="shared" si="14"/>
        <v>2809.9788899125997</v>
      </c>
      <c r="AJ39" s="2">
        <v>-1.6722634427424055E-5</v>
      </c>
      <c r="AK39" s="2">
        <f t="shared" si="9"/>
        <v>2809.9788899125997</v>
      </c>
      <c r="AL39" s="2">
        <v>-1.6550770396861481E-5</v>
      </c>
      <c r="AM39" s="2">
        <f t="shared" si="10"/>
        <v>2.7392800072962633E-10</v>
      </c>
      <c r="AN39" s="2">
        <f t="shared" si="11"/>
        <v>2.7677248283894668E-10</v>
      </c>
      <c r="AO39" s="2">
        <f t="shared" si="12"/>
        <v>0</v>
      </c>
    </row>
    <row r="40" spans="2:41" x14ac:dyDescent="0.2">
      <c r="B40" s="33" t="s">
        <v>144</v>
      </c>
      <c r="C40" s="36"/>
      <c r="D40" s="36"/>
      <c r="J40" s="11" t="s">
        <v>52</v>
      </c>
      <c r="K40" s="6">
        <f>ROUND(K13/$C$5 * 100, 2)</f>
        <v>44.17</v>
      </c>
      <c r="L40" s="6" t="s">
        <v>58</v>
      </c>
      <c r="AF40" s="2">
        <v>36</v>
      </c>
      <c r="AG40" s="2">
        <f t="shared" si="13"/>
        <v>2809.9788899125997</v>
      </c>
      <c r="AH40" s="2">
        <v>-1.6550770396861481E-5</v>
      </c>
      <c r="AI40" s="2">
        <f t="shared" si="14"/>
        <v>2809.9788899125997</v>
      </c>
      <c r="AJ40" s="2">
        <v>-1.6722634427424055E-5</v>
      </c>
      <c r="AK40" s="2">
        <f t="shared" si="9"/>
        <v>2809.9788899125997</v>
      </c>
      <c r="AL40" s="2">
        <v>-1.6550770396861481E-5</v>
      </c>
      <c r="AM40" s="2">
        <f t="shared" si="10"/>
        <v>2.7392800072962633E-10</v>
      </c>
      <c r="AN40" s="2">
        <f t="shared" si="11"/>
        <v>2.7677248283894668E-10</v>
      </c>
      <c r="AO40" s="2">
        <f t="shared" si="12"/>
        <v>0</v>
      </c>
    </row>
    <row r="41" spans="2:41" x14ac:dyDescent="0.2">
      <c r="B41" s="6" t="s">
        <v>14</v>
      </c>
      <c r="C41" s="17">
        <v>1.0397562309141399</v>
      </c>
      <c r="D41" s="6" t="s">
        <v>15</v>
      </c>
      <c r="J41" s="19" t="s">
        <v>78</v>
      </c>
      <c r="K41" s="6">
        <f>ROUND(SUM(K14:K17)/$C$5 * 100, 2)</f>
        <v>22.71</v>
      </c>
      <c r="L41" s="6" t="s">
        <v>58</v>
      </c>
      <c r="AF41" s="2">
        <v>37</v>
      </c>
      <c r="AG41" s="2">
        <f t="shared" si="13"/>
        <v>2809.9788899125997</v>
      </c>
      <c r="AH41" s="2">
        <v>-1.6550770396861481E-5</v>
      </c>
      <c r="AI41" s="2">
        <f t="shared" si="14"/>
        <v>2809.9788899125997</v>
      </c>
      <c r="AJ41" s="2">
        <v>-1.6722634427424055E-5</v>
      </c>
      <c r="AK41" s="2">
        <f t="shared" si="9"/>
        <v>2809.9788899125997</v>
      </c>
      <c r="AL41" s="2">
        <v>-1.6550770396861481E-5</v>
      </c>
      <c r="AM41" s="2">
        <f t="shared" si="10"/>
        <v>2.7392800072962633E-10</v>
      </c>
      <c r="AN41" s="2">
        <f t="shared" si="11"/>
        <v>2.7677248283894668E-10</v>
      </c>
      <c r="AO41" s="2">
        <f t="shared" si="12"/>
        <v>0</v>
      </c>
    </row>
    <row r="42" spans="2:41" x14ac:dyDescent="0.2">
      <c r="B42" s="6" t="s">
        <v>130</v>
      </c>
      <c r="C42" s="23">
        <v>1.7363179204150701E-5</v>
      </c>
      <c r="D42" s="6" t="s">
        <v>129</v>
      </c>
      <c r="J42" s="20" t="s">
        <v>69</v>
      </c>
      <c r="K42" s="6">
        <f>ROUND(SUM(K18:K22)/$C$5 * 100, 2)</f>
        <v>6.87</v>
      </c>
      <c r="L42" s="6" t="s">
        <v>58</v>
      </c>
      <c r="AF42" s="2">
        <v>38</v>
      </c>
      <c r="AG42" s="2">
        <f t="shared" si="13"/>
        <v>2809.9788899125997</v>
      </c>
      <c r="AH42" s="2">
        <v>-1.6550770396861481E-5</v>
      </c>
      <c r="AI42" s="2">
        <f t="shared" si="14"/>
        <v>2809.9788899125997</v>
      </c>
      <c r="AJ42" s="2">
        <v>-1.6722634427424055E-5</v>
      </c>
      <c r="AK42" s="2">
        <f t="shared" si="9"/>
        <v>2809.9788899125997</v>
      </c>
      <c r="AL42" s="2">
        <v>-1.6550770396861481E-5</v>
      </c>
      <c r="AM42" s="2">
        <f t="shared" si="10"/>
        <v>2.7392800072962633E-10</v>
      </c>
      <c r="AN42" s="2">
        <f t="shared" si="11"/>
        <v>2.7677248283894668E-10</v>
      </c>
      <c r="AO42" s="2">
        <f t="shared" si="12"/>
        <v>0</v>
      </c>
    </row>
    <row r="43" spans="2:41" x14ac:dyDescent="0.2">
      <c r="B43" s="6" t="s">
        <v>123</v>
      </c>
      <c r="C43" s="17">
        <v>333.91694458017901</v>
      </c>
      <c r="D43" s="6" t="s">
        <v>10</v>
      </c>
      <c r="J43" s="15" t="s">
        <v>70</v>
      </c>
      <c r="K43" s="6">
        <f>ROUND(SUM(K23:K26)/$C$5*100, 2)</f>
        <v>4.8899999999999997</v>
      </c>
      <c r="L43" s="6" t="s">
        <v>58</v>
      </c>
      <c r="N43" s="6" t="s">
        <v>151</v>
      </c>
      <c r="O43" s="6">
        <v>3</v>
      </c>
      <c r="AF43" s="2">
        <v>39</v>
      </c>
      <c r="AG43" s="2">
        <f t="shared" si="13"/>
        <v>2809.9788899125997</v>
      </c>
      <c r="AH43" s="2">
        <v>-1.6550770396861481E-5</v>
      </c>
      <c r="AI43" s="2">
        <f t="shared" si="14"/>
        <v>2809.9788899125997</v>
      </c>
      <c r="AJ43" s="2">
        <v>-1.6722634427424055E-5</v>
      </c>
      <c r="AK43" s="2">
        <f t="shared" si="9"/>
        <v>2809.9788899125997</v>
      </c>
      <c r="AL43" s="2">
        <v>-1.6550770396861481E-5</v>
      </c>
      <c r="AM43" s="2">
        <f t="shared" si="10"/>
        <v>2.7392800072962633E-10</v>
      </c>
      <c r="AN43" s="2">
        <f t="shared" si="11"/>
        <v>2.7677248283894668E-10</v>
      </c>
      <c r="AO43" s="2">
        <f t="shared" si="12"/>
        <v>0</v>
      </c>
    </row>
    <row r="44" spans="2:41" x14ac:dyDescent="0.2">
      <c r="B44" s="6" t="s">
        <v>16</v>
      </c>
      <c r="C44" s="1">
        <v>9.80149119240094</v>
      </c>
      <c r="D44" s="6" t="s">
        <v>17</v>
      </c>
      <c r="J44" s="10" t="s">
        <v>59</v>
      </c>
      <c r="K44" s="10">
        <f>SUM(K39:K43)</f>
        <v>99.990000000000023</v>
      </c>
      <c r="L44" s="10" t="s">
        <v>58</v>
      </c>
      <c r="N44" s="6" t="s">
        <v>152</v>
      </c>
      <c r="O44" s="6">
        <f>O43*C6</f>
        <v>1200</v>
      </c>
      <c r="P44" s="6" t="s">
        <v>125</v>
      </c>
      <c r="AF44" s="2">
        <v>40</v>
      </c>
      <c r="AG44" s="2">
        <f t="shared" si="13"/>
        <v>2809.9788899125997</v>
      </c>
      <c r="AH44" s="2">
        <v>-1.6550770396861481E-5</v>
      </c>
      <c r="AI44" s="2">
        <f t="shared" si="14"/>
        <v>2809.9788899125997</v>
      </c>
      <c r="AJ44" s="2">
        <v>-1.6722634427424055E-5</v>
      </c>
      <c r="AK44" s="5">
        <f>(AG44+AI44)/2</f>
        <v>2809.9788899125997</v>
      </c>
      <c r="AL44" s="2">
        <v>-1.6550770396861481E-5</v>
      </c>
      <c r="AM44" s="2">
        <f t="shared" si="10"/>
        <v>2.7392800072962633E-10</v>
      </c>
      <c r="AN44" s="2">
        <f t="shared" si="11"/>
        <v>2.7677248283894668E-10</v>
      </c>
      <c r="AO44" s="2">
        <f t="shared" si="12"/>
        <v>0</v>
      </c>
    </row>
    <row r="45" spans="2:41" x14ac:dyDescent="0.2">
      <c r="N45" s="6" t="s">
        <v>150</v>
      </c>
      <c r="O45" s="6">
        <f>O44*2*PI()/60</f>
        <v>125.66370614359172</v>
      </c>
      <c r="P45" s="6" t="s">
        <v>27</v>
      </c>
    </row>
    <row r="46" spans="2:41" x14ac:dyDescent="0.2">
      <c r="B46" s="33" t="s">
        <v>145</v>
      </c>
      <c r="C46" s="36"/>
      <c r="D46" s="36"/>
      <c r="J46" s="33" t="s">
        <v>56</v>
      </c>
      <c r="K46" s="33"/>
      <c r="L46" s="33"/>
      <c r="N46" s="6" t="s">
        <v>153</v>
      </c>
      <c r="O46" s="6">
        <f>G12*1000/O45</f>
        <v>2932.2303532056508</v>
      </c>
      <c r="P46" s="6" t="s">
        <v>128</v>
      </c>
    </row>
    <row r="47" spans="2:41" x14ac:dyDescent="0.2">
      <c r="B47" s="6" t="s">
        <v>14</v>
      </c>
      <c r="C47" s="17">
        <v>1.00854450666398</v>
      </c>
      <c r="D47" s="6" t="s">
        <v>15</v>
      </c>
      <c r="J47" s="6" t="s">
        <v>57</v>
      </c>
      <c r="K47" s="6">
        <f>ROUND($C$13/$C$5 * 100, 2)</f>
        <v>21.35</v>
      </c>
      <c r="L47" s="6" t="s">
        <v>58</v>
      </c>
      <c r="N47" s="6" t="s">
        <v>154</v>
      </c>
      <c r="O47" s="6">
        <f>0.377*O46^0.6945</f>
        <v>96.451818511445282</v>
      </c>
    </row>
    <row r="48" spans="2:41" x14ac:dyDescent="0.2">
      <c r="B48" s="6" t="s">
        <v>130</v>
      </c>
      <c r="C48" s="23">
        <v>1.7265641515845801E-5</v>
      </c>
      <c r="D48" s="6" t="s">
        <v>129</v>
      </c>
      <c r="J48" s="11" t="s">
        <v>52</v>
      </c>
      <c r="K48" s="6">
        <f>ROUND(K13/$C$5 * 100, 2)</f>
        <v>44.17</v>
      </c>
      <c r="L48" s="6" t="s">
        <v>58</v>
      </c>
    </row>
    <row r="49" spans="2:12" x14ac:dyDescent="0.2">
      <c r="B49" s="6" t="s">
        <v>123</v>
      </c>
      <c r="C49" s="17">
        <v>332.721752148093</v>
      </c>
      <c r="D49" s="6" t="s">
        <v>10</v>
      </c>
      <c r="J49" s="20" t="s">
        <v>149</v>
      </c>
      <c r="K49" s="6">
        <f>ROUND(SUM(K14:K26)/$C$5 * 100, 2)</f>
        <v>34.47</v>
      </c>
      <c r="L49" s="6" t="s">
        <v>58</v>
      </c>
    </row>
    <row r="50" spans="2:12" x14ac:dyDescent="0.2">
      <c r="B50" s="6" t="s">
        <v>16</v>
      </c>
      <c r="C50" s="1">
        <v>9.8005536647414697</v>
      </c>
      <c r="D50" s="6" t="s">
        <v>17</v>
      </c>
      <c r="J50" s="10" t="s">
        <v>59</v>
      </c>
      <c r="K50" s="10">
        <f>SUM(K47:K49)</f>
        <v>99.990000000000009</v>
      </c>
      <c r="L50" s="10" t="s">
        <v>58</v>
      </c>
    </row>
    <row r="52" spans="2:12" x14ac:dyDescent="0.2">
      <c r="B52" s="33" t="s">
        <v>71</v>
      </c>
      <c r="C52" s="33"/>
      <c r="D52" s="33"/>
    </row>
    <row r="53" spans="2:12" x14ac:dyDescent="0.2">
      <c r="B53" s="6" t="s">
        <v>137</v>
      </c>
      <c r="C53" s="17">
        <v>30</v>
      </c>
    </row>
    <row r="54" spans="2:12" x14ac:dyDescent="0.2">
      <c r="B54" s="6" t="s">
        <v>139</v>
      </c>
      <c r="C54" s="17">
        <v>0.8</v>
      </c>
    </row>
    <row r="55" spans="2:12" x14ac:dyDescent="0.2">
      <c r="B55" s="6" t="s">
        <v>140</v>
      </c>
      <c r="C55" s="17">
        <v>0.8</v>
      </c>
    </row>
    <row r="56" spans="2:12" x14ac:dyDescent="0.2">
      <c r="B56" s="6" t="s">
        <v>141</v>
      </c>
      <c r="C56" s="17">
        <v>0.8</v>
      </c>
    </row>
  </sheetData>
  <mergeCells count="23">
    <mergeCell ref="B52:D52"/>
    <mergeCell ref="J7:L7"/>
    <mergeCell ref="J38:L38"/>
    <mergeCell ref="B40:D40"/>
    <mergeCell ref="B46:D46"/>
    <mergeCell ref="J46:L46"/>
    <mergeCell ref="B35:D35"/>
    <mergeCell ref="J11:L11"/>
    <mergeCell ref="B12:D12"/>
    <mergeCell ref="B29:D29"/>
    <mergeCell ref="J30:L30"/>
    <mergeCell ref="F33:H33"/>
    <mergeCell ref="N12:P12"/>
    <mergeCell ref="F14:H14"/>
    <mergeCell ref="N16:P16"/>
    <mergeCell ref="B17:D17"/>
    <mergeCell ref="B24:D24"/>
    <mergeCell ref="F24:H24"/>
    <mergeCell ref="B1:D1"/>
    <mergeCell ref="B3:D3"/>
    <mergeCell ref="F3:H3"/>
    <mergeCell ref="J3:L3"/>
    <mergeCell ref="N3:P3"/>
  </mergeCells>
  <conditionalFormatting sqref="K28">
    <cfRule type="containsText" dxfId="29" priority="1" operator="containsText" text="FALSE">
      <formula>NOT(ISERROR(SEARCH("FALSE",K28)))</formula>
    </cfRule>
    <cfRule type="containsText" dxfId="28" priority="2" operator="containsText" text="TRUE">
      <formula>NOT(ISERROR(SEARCH("TRUE",K28)))</formula>
    </cfRule>
    <cfRule type="cellIs" dxfId="27" priority="3" operator="equal">
      <formula>1</formula>
    </cfRule>
    <cfRule type="cellIs" dxfId="26" priority="4" operator="equal">
      <formula>TRUE</formula>
    </cfRule>
    <cfRule type="containsText" dxfId="25" priority="5" operator="containsText" text="YES">
      <formula>NOT(ISERROR(SEARCH("YES",K28)))</formula>
    </cfRule>
    <cfRule type="cellIs" dxfId="24" priority="6" operator="equal">
      <formula>"""YES"""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AABF3-9A7E-3B46-971F-D33B8F00571B}">
  <dimension ref="B1:AO56"/>
  <sheetViews>
    <sheetView topLeftCell="B1" workbookViewId="0">
      <selection activeCell="E11" sqref="E11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30" t="s">
        <v>0</v>
      </c>
      <c r="C1" s="30"/>
      <c r="D1" s="30"/>
    </row>
    <row r="2" spans="2:41" x14ac:dyDescent="0.2">
      <c r="U2" s="16" t="s">
        <v>93</v>
      </c>
      <c r="AF2" s="16" t="s">
        <v>76</v>
      </c>
    </row>
    <row r="3" spans="2:41" x14ac:dyDescent="0.2">
      <c r="B3" s="31" t="s">
        <v>118</v>
      </c>
      <c r="C3" s="32"/>
      <c r="D3" s="32"/>
      <c r="F3" s="31" t="s">
        <v>80</v>
      </c>
      <c r="G3" s="32"/>
      <c r="H3" s="32"/>
      <c r="J3" s="33" t="s">
        <v>98</v>
      </c>
      <c r="K3" s="33"/>
      <c r="L3" s="33"/>
      <c r="N3" s="33" t="s">
        <v>92</v>
      </c>
      <c r="O3" s="33"/>
      <c r="P3" s="33"/>
      <c r="U3" s="7" t="s">
        <v>41</v>
      </c>
      <c r="V3" s="7" t="s">
        <v>42</v>
      </c>
      <c r="W3" s="7" t="s">
        <v>43</v>
      </c>
      <c r="X3" s="7" t="s">
        <v>44</v>
      </c>
      <c r="Y3" s="7" t="s">
        <v>45</v>
      </c>
      <c r="Z3" s="7" t="s">
        <v>46</v>
      </c>
      <c r="AA3" s="7" t="s">
        <v>47</v>
      </c>
      <c r="AB3" s="7" t="s">
        <v>48</v>
      </c>
      <c r="AC3" s="7" t="s">
        <v>49</v>
      </c>
      <c r="AD3" s="7" t="s">
        <v>50</v>
      </c>
      <c r="AF3" s="7" t="s">
        <v>41</v>
      </c>
      <c r="AG3" s="7" t="s">
        <v>42</v>
      </c>
      <c r="AH3" s="7" t="s">
        <v>43</v>
      </c>
      <c r="AI3" s="7" t="s">
        <v>44</v>
      </c>
      <c r="AJ3" s="7" t="s">
        <v>45</v>
      </c>
      <c r="AK3" s="7" t="s">
        <v>46</v>
      </c>
      <c r="AL3" s="7" t="s">
        <v>47</v>
      </c>
      <c r="AM3" s="7" t="s">
        <v>48</v>
      </c>
      <c r="AN3" s="7" t="s">
        <v>49</v>
      </c>
      <c r="AO3" s="7" t="s">
        <v>50</v>
      </c>
    </row>
    <row r="4" spans="2:41" x14ac:dyDescent="0.2">
      <c r="B4" s="6" t="s">
        <v>36</v>
      </c>
      <c r="C4" s="22" t="s">
        <v>72</v>
      </c>
      <c r="F4" t="s">
        <v>84</v>
      </c>
      <c r="G4" s="1">
        <f>500*0.3048/60</f>
        <v>2.54</v>
      </c>
      <c r="H4" t="s">
        <v>10</v>
      </c>
      <c r="J4" t="s">
        <v>99</v>
      </c>
      <c r="K4" s="6">
        <f>(1+$C$22/100)*MAX(G12,G22,G31,G35)</f>
        <v>1300.6852877762869</v>
      </c>
      <c r="L4" s="6" t="s">
        <v>101</v>
      </c>
      <c r="N4" s="6" t="s">
        <v>22</v>
      </c>
      <c r="O4" s="6">
        <f xml:space="preserve"> 0.5 * $C$47 * $C$8^2</f>
        <v>3984.3733596601419</v>
      </c>
      <c r="P4" s="6" t="s">
        <v>23</v>
      </c>
      <c r="U4" s="2">
        <v>0</v>
      </c>
      <c r="V4" s="3">
        <v>0</v>
      </c>
      <c r="W4" s="2">
        <f t="shared" ref="W4:W34" si="0" xml:space="preserve"> $O$20 * TAN($O$17/180*PI()) + $O$21 / (2 * SQRT($O$20^2 + V4^2)) - V4</f>
        <v>5.9267979302108274E-2</v>
      </c>
      <c r="X4" s="3">
        <v>1</v>
      </c>
      <c r="Y4" s="2">
        <f t="shared" ref="Y4:Y34" si="1" xml:space="preserve"> $O$20 * TAN($O$17/180*PI()) + $O$21 / (2 * SQRT($O$20^2 + X4^2)) - X4</f>
        <v>-0.94481277781219342</v>
      </c>
      <c r="Z4" s="2">
        <f xml:space="preserve"> (V4 + X4)/2</f>
        <v>0.5</v>
      </c>
      <c r="AA4" s="2">
        <f t="shared" ref="AA4:AA34" si="2" xml:space="preserve"> $O$20 * TAN($O$17/180*PI()) + $O$21 / (2 * SQRT($O$20^2 + Z4^2)) - Z4</f>
        <v>-0.44278584107227908</v>
      </c>
      <c r="AB4" s="2">
        <f>W4*AA4</f>
        <v>-2.6243022063938439E-2</v>
      </c>
      <c r="AC4" s="2">
        <f>Y4*AA4</f>
        <v>0.41834972047940838</v>
      </c>
      <c r="AD4" s="2">
        <f>X4-V4</f>
        <v>1</v>
      </c>
      <c r="AF4" s="2">
        <v>0</v>
      </c>
      <c r="AG4" s="2"/>
      <c r="AH4" s="2">
        <f>K27</f>
        <v>-7.36523375599063E-3</v>
      </c>
      <c r="AI4" s="2"/>
      <c r="AJ4" s="2">
        <f>K27</f>
        <v>-7.36523375599063E-3</v>
      </c>
      <c r="AK4" s="2"/>
      <c r="AL4" s="2">
        <f>K27</f>
        <v>-7.36523375599063E-3</v>
      </c>
      <c r="AM4" s="2"/>
      <c r="AN4" s="2"/>
      <c r="AO4" s="2"/>
    </row>
    <row r="5" spans="2:41" x14ac:dyDescent="0.2">
      <c r="B5" s="10" t="s">
        <v>37</v>
      </c>
      <c r="C5" s="10">
        <v>5641.00555803721</v>
      </c>
      <c r="D5" s="10" t="s">
        <v>7</v>
      </c>
      <c r="F5" t="s">
        <v>87</v>
      </c>
      <c r="G5" s="1">
        <f>1000*0.3048</f>
        <v>304.8</v>
      </c>
      <c r="H5" t="s">
        <v>8</v>
      </c>
      <c r="J5" t="s">
        <v>100</v>
      </c>
      <c r="K5" s="6">
        <f>K4/$C$18</f>
        <v>325.17132194407174</v>
      </c>
      <c r="L5" s="6" t="s">
        <v>101</v>
      </c>
      <c r="N5" s="6" t="s">
        <v>114</v>
      </c>
      <c r="O5" s="6">
        <f xml:space="preserve"> $C$18 * 0.85 * ($C$5/$C$18 *2.20462/1000)^(2/3) * 0.3048^2</f>
        <v>0.67286668890232637</v>
      </c>
      <c r="P5" s="6" t="s">
        <v>115</v>
      </c>
      <c r="U5" s="2">
        <v>1</v>
      </c>
      <c r="V5" s="2">
        <f>IF(AB4&gt;0, Z4, V4)</f>
        <v>0</v>
      </c>
      <c r="W5" s="2">
        <f t="shared" si="0"/>
        <v>5.9267979302108274E-2</v>
      </c>
      <c r="X5" s="2">
        <f>IF(AC4&gt;0, Z4, X4)</f>
        <v>0.5</v>
      </c>
      <c r="Y5" s="2">
        <f t="shared" si="1"/>
        <v>-0.44278584107227908</v>
      </c>
      <c r="Z5" s="2">
        <f t="shared" ref="Z5:Z34" si="3" xml:space="preserve"> (V5 + X5)/2</f>
        <v>0.25</v>
      </c>
      <c r="AA5" s="2">
        <f t="shared" si="2"/>
        <v>-0.19144137743063816</v>
      </c>
      <c r="AB5" s="2">
        <f t="shared" ref="AB5:AB34" si="4">W5*AA5</f>
        <v>-1.134634359512616E-2</v>
      </c>
      <c r="AC5" s="2">
        <f t="shared" ref="AC5:AC34" si="5">Y5*AA5</f>
        <v>8.4767531321660747E-2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/>
        <v>-2203.0690869880686</v>
      </c>
      <c r="AI5" s="3">
        <v>10000</v>
      </c>
      <c r="AJ5" s="2">
        <f t="dataTable" ref="AJ5:AJ44" dt2D="0" dtr="0" r1="C5" ca="1"/>
        <v>1290.1379764371468</v>
      </c>
      <c r="AK5" s="2">
        <f>(AG5+AI5)/2</f>
        <v>5250</v>
      </c>
      <c r="AL5" s="2">
        <f t="dataTable" ref="AL5:AL44" dt2D="0" dtr="0" r1="C5" ca="1"/>
        <v>-145.87348454081621</v>
      </c>
      <c r="AM5" s="2">
        <f>AH5*AL5</f>
        <v>321369.36440310412</v>
      </c>
      <c r="AN5" s="2">
        <f>AJ5*AL5</f>
        <v>-188196.92216132404</v>
      </c>
      <c r="AO5" s="2">
        <f>AI5-AG5</f>
        <v>9500</v>
      </c>
    </row>
    <row r="6" spans="2:41" x14ac:dyDescent="0.2">
      <c r="B6" s="6" t="s">
        <v>143</v>
      </c>
      <c r="C6" s="17">
        <v>400</v>
      </c>
      <c r="D6" s="6" t="s">
        <v>125</v>
      </c>
      <c r="F6" t="s">
        <v>88</v>
      </c>
      <c r="G6" s="8">
        <f>$G$5/$G$4</f>
        <v>120</v>
      </c>
      <c r="H6" s="6" t="s">
        <v>13</v>
      </c>
      <c r="N6" t="s">
        <v>158</v>
      </c>
      <c r="O6" s="17">
        <v>0.63027662333509604</v>
      </c>
      <c r="P6" s="6" t="s">
        <v>115</v>
      </c>
      <c r="U6" s="2">
        <v>2</v>
      </c>
      <c r="V6" s="2">
        <f t="shared" ref="V6:V34" si="7">IF(AB5&gt;0, Z5, V5)</f>
        <v>0</v>
      </c>
      <c r="W6" s="2">
        <f t="shared" si="0"/>
        <v>5.9267979302108274E-2</v>
      </c>
      <c r="X6" s="2">
        <f t="shared" ref="X6:X34" si="8">IF(AC5&gt;0, Z5, X5)</f>
        <v>0.25</v>
      </c>
      <c r="Y6" s="2">
        <f t="shared" si="1"/>
        <v>-0.19144137743063816</v>
      </c>
      <c r="Z6" s="2">
        <f t="shared" si="3"/>
        <v>0.125</v>
      </c>
      <c r="AA6" s="2">
        <f t="shared" si="2"/>
        <v>-6.5928988530893046E-2</v>
      </c>
      <c r="AB6" s="2">
        <f t="shared" si="4"/>
        <v>-3.9074779276579031E-3</v>
      </c>
      <c r="AC6" s="2">
        <f t="shared" si="5"/>
        <v>1.262153637696291E-2</v>
      </c>
      <c r="AD6" s="2">
        <f t="shared" si="6"/>
        <v>0.25</v>
      </c>
      <c r="AF6" s="2">
        <v>2</v>
      </c>
      <c r="AG6" s="2">
        <f>IF(AM5&gt;0, AK5, AG5)</f>
        <v>5250</v>
      </c>
      <c r="AH6" s="2">
        <v>-145.87348454081621</v>
      </c>
      <c r="AI6" s="2">
        <f>IF(AN5&gt;0, AK5, AI5)</f>
        <v>10000</v>
      </c>
      <c r="AJ6" s="2">
        <v>1290.1379764371468</v>
      </c>
      <c r="AK6" s="2">
        <f t="shared" ref="AK6:AK43" si="9">(AG6+AI6)/2</f>
        <v>7625</v>
      </c>
      <c r="AL6" s="2">
        <v>667.02601022085582</v>
      </c>
      <c r="AM6" s="2">
        <f t="shared" ref="AM6:AM44" si="10">AH6*AL6</f>
        <v>-97301.40839027433</v>
      </c>
      <c r="AN6" s="2">
        <f t="shared" ref="AN6:AN44" si="11">AJ6*AL6</f>
        <v>860555.58705727849</v>
      </c>
      <c r="AO6" s="2">
        <f t="shared" ref="AO6:AO44" si="12">AI6-AG6</f>
        <v>4750</v>
      </c>
    </row>
    <row r="7" spans="2:41" x14ac:dyDescent="0.2">
      <c r="B7" s="6" t="s">
        <v>142</v>
      </c>
      <c r="C7" s="17">
        <v>349.52473909533899</v>
      </c>
      <c r="D7" s="6" t="s">
        <v>125</v>
      </c>
      <c r="F7" t="s">
        <v>121</v>
      </c>
      <c r="G7" s="8">
        <f>$C$6*2*PI()/60*$C$9</f>
        <v>184.99501602436618</v>
      </c>
      <c r="H7" s="6" t="s">
        <v>10</v>
      </c>
      <c r="J7" s="33" t="s">
        <v>21</v>
      </c>
      <c r="K7" s="33"/>
      <c r="L7" s="33"/>
      <c r="N7" s="6" t="s">
        <v>159</v>
      </c>
      <c r="O7" s="6">
        <f>O5+$O$6</f>
        <v>1.3031433122374225</v>
      </c>
      <c r="P7" s="6" t="s">
        <v>115</v>
      </c>
      <c r="U7" s="2">
        <v>3</v>
      </c>
      <c r="V7" s="2">
        <f t="shared" si="7"/>
        <v>0</v>
      </c>
      <c r="W7" s="2">
        <f t="shared" si="0"/>
        <v>5.9267979302108274E-2</v>
      </c>
      <c r="X7" s="2">
        <f t="shared" si="8"/>
        <v>0.125</v>
      </c>
      <c r="Y7" s="2">
        <f t="shared" si="1"/>
        <v>-6.5928988530893046E-2</v>
      </c>
      <c r="Z7" s="2">
        <f t="shared" si="3"/>
        <v>6.25E-2</v>
      </c>
      <c r="AA7" s="2">
        <f t="shared" si="2"/>
        <v>-3.2826850860491336E-3</v>
      </c>
      <c r="AB7" s="2">
        <f t="shared" si="4"/>
        <v>-1.9455811173529956E-4</v>
      </c>
      <c r="AC7" s="2">
        <f t="shared" si="5"/>
        <v>2.1642410738866697E-4</v>
      </c>
      <c r="AD7" s="2">
        <f t="shared" si="6"/>
        <v>0.125</v>
      </c>
      <c r="AF7" s="2">
        <v>3</v>
      </c>
      <c r="AG7" s="2">
        <f t="shared" ref="AG7:AG44" si="13">IF(AM6&gt;0, AK6, AG6)</f>
        <v>5250</v>
      </c>
      <c r="AH7" s="2">
        <v>-145.87348454081621</v>
      </c>
      <c r="AI7" s="2">
        <f t="shared" ref="AI7:AI44" si="14">IF(AN6&gt;0, AK6, AI6)</f>
        <v>7625</v>
      </c>
      <c r="AJ7" s="2">
        <v>667.02601022085582</v>
      </c>
      <c r="AK7" s="2">
        <f t="shared" si="9"/>
        <v>6437.5</v>
      </c>
      <c r="AL7" s="2">
        <v>283.2685776184835</v>
      </c>
      <c r="AM7" s="2">
        <f t="shared" si="10"/>
        <v>-41321.374478128848</v>
      </c>
      <c r="AN7" s="2">
        <f t="shared" si="11"/>
        <v>188947.50914979386</v>
      </c>
      <c r="AO7" s="2">
        <f t="shared" si="12"/>
        <v>2375</v>
      </c>
    </row>
    <row r="8" spans="2:41" x14ac:dyDescent="0.2">
      <c r="B8" s="6" t="s">
        <v>9</v>
      </c>
      <c r="C8" s="17">
        <f>319.999999999999 * 1000/3600</f>
        <v>88.888888888888602</v>
      </c>
      <c r="D8" s="6" t="s">
        <v>10</v>
      </c>
      <c r="F8" t="s">
        <v>124</v>
      </c>
      <c r="G8" s="8">
        <f>G7/$C$43</f>
        <v>0.55401505981361121</v>
      </c>
      <c r="H8" s="6" t="s">
        <v>122</v>
      </c>
      <c r="J8" s="6" t="s">
        <v>96</v>
      </c>
      <c r="K8" s="6">
        <f xml:space="preserve"> $C$15 * (G12*G6 + G22*G15 + G31*G27 +G35*G34)/3600</f>
        <v>531.99787224679767</v>
      </c>
      <c r="L8" s="6" t="s">
        <v>102</v>
      </c>
      <c r="N8" s="6" t="s">
        <v>38</v>
      </c>
      <c r="O8" s="6">
        <f xml:space="preserve"> O4 *O7</f>
        <v>5192.2094970980643</v>
      </c>
      <c r="P8" s="6" t="s">
        <v>20</v>
      </c>
      <c r="U8" s="2">
        <v>4</v>
      </c>
      <c r="V8" s="2">
        <f t="shared" si="7"/>
        <v>0</v>
      </c>
      <c r="W8" s="2">
        <f t="shared" si="0"/>
        <v>5.9267979302108274E-2</v>
      </c>
      <c r="X8" s="2">
        <f t="shared" si="8"/>
        <v>6.25E-2</v>
      </c>
      <c r="Y8" s="2">
        <f t="shared" si="1"/>
        <v>-3.2826850860491336E-3</v>
      </c>
      <c r="Z8" s="2">
        <f t="shared" si="3"/>
        <v>3.125E-2</v>
      </c>
      <c r="AA8" s="2">
        <f t="shared" si="2"/>
        <v>2.8005220702339545E-2</v>
      </c>
      <c r="AB8" s="2">
        <f t="shared" si="4"/>
        <v>1.6598128409372342E-3</v>
      </c>
      <c r="AC8" s="2">
        <f t="shared" si="5"/>
        <v>-9.1932320331084466E-5</v>
      </c>
      <c r="AD8" s="2">
        <f t="shared" si="6"/>
        <v>6.25E-2</v>
      </c>
      <c r="AF8" s="2">
        <v>4</v>
      </c>
      <c r="AG8" s="2">
        <f t="shared" si="13"/>
        <v>5250</v>
      </c>
      <c r="AH8" s="2">
        <v>-145.87348454081621</v>
      </c>
      <c r="AI8" s="2">
        <f t="shared" si="14"/>
        <v>6437.5</v>
      </c>
      <c r="AJ8" s="2">
        <v>283.2685776184835</v>
      </c>
      <c r="AK8" s="2">
        <f t="shared" si="9"/>
        <v>5843.75</v>
      </c>
      <c r="AL8" s="2">
        <v>73.919083638185839</v>
      </c>
      <c r="AM8" s="2">
        <f t="shared" si="10"/>
        <v>-10782.834304366203</v>
      </c>
      <c r="AN8" s="2">
        <f t="shared" si="11"/>
        <v>20938.953681050618</v>
      </c>
      <c r="AO8" s="2">
        <f t="shared" si="12"/>
        <v>1187.5</v>
      </c>
    </row>
    <row r="9" spans="2:41" x14ac:dyDescent="0.2">
      <c r="B9" s="6" t="s">
        <v>95</v>
      </c>
      <c r="C9" s="17">
        <v>4.4164306871463399</v>
      </c>
      <c r="D9" s="6" t="s">
        <v>8</v>
      </c>
      <c r="F9" t="s">
        <v>19</v>
      </c>
      <c r="G9" s="6">
        <f xml:space="preserve"> $C$5 * $C$44 / $C$18</f>
        <v>13822.566573346616</v>
      </c>
      <c r="H9" s="6" t="s">
        <v>20</v>
      </c>
      <c r="J9" s="6" t="s">
        <v>138</v>
      </c>
      <c r="K9" s="6">
        <f xml:space="preserve"> $C$15 * (G6 + G15 + G27 + G34)/60</f>
        <v>44.083333333333393</v>
      </c>
      <c r="L9" s="6" t="s">
        <v>103</v>
      </c>
      <c r="N9" s="6" t="s">
        <v>39</v>
      </c>
      <c r="O9" s="6">
        <f xml:space="preserve"> O8</f>
        <v>5192.2094970980643</v>
      </c>
      <c r="P9" s="6" t="s">
        <v>20</v>
      </c>
      <c r="U9" s="2">
        <v>5</v>
      </c>
      <c r="V9" s="2">
        <f t="shared" si="7"/>
        <v>3.125E-2</v>
      </c>
      <c r="W9" s="2">
        <f t="shared" si="0"/>
        <v>2.8005220702339545E-2</v>
      </c>
      <c r="X9" s="2">
        <f t="shared" si="8"/>
        <v>6.25E-2</v>
      </c>
      <c r="Y9" s="2">
        <f t="shared" si="1"/>
        <v>-3.2826850860491336E-3</v>
      </c>
      <c r="Z9" s="2">
        <f t="shared" si="3"/>
        <v>4.6875E-2</v>
      </c>
      <c r="AA9" s="2">
        <f t="shared" si="2"/>
        <v>1.2364359583093461E-2</v>
      </c>
      <c r="AB9" s="2">
        <f t="shared" si="4"/>
        <v>3.4626661896761931E-4</v>
      </c>
      <c r="AC9" s="2">
        <f t="shared" si="5"/>
        <v>-4.0588298801969588E-5</v>
      </c>
      <c r="AD9" s="2">
        <f t="shared" si="6"/>
        <v>3.125E-2</v>
      </c>
      <c r="AF9" s="2">
        <v>5</v>
      </c>
      <c r="AG9" s="2">
        <f t="shared" si="13"/>
        <v>5250</v>
      </c>
      <c r="AH9" s="2">
        <v>-145.87348454081621</v>
      </c>
      <c r="AI9" s="2">
        <f t="shared" si="14"/>
        <v>5843.75</v>
      </c>
      <c r="AJ9" s="2">
        <v>73.919083638185839</v>
      </c>
      <c r="AK9" s="2">
        <f t="shared" si="9"/>
        <v>5546.875</v>
      </c>
      <c r="AL9" s="2">
        <v>-34.732583518963111</v>
      </c>
      <c r="AM9" s="2">
        <f t="shared" si="10"/>
        <v>5066.5629850160731</v>
      </c>
      <c r="AN9" s="2">
        <f t="shared" si="11"/>
        <v>-2567.4007461085093</v>
      </c>
      <c r="AO9" s="2">
        <f t="shared" si="12"/>
        <v>593.75</v>
      </c>
    </row>
    <row r="10" spans="2:41" x14ac:dyDescent="0.2">
      <c r="B10" s="6" t="s">
        <v>131</v>
      </c>
      <c r="C10" s="17">
        <f>(0.071475+0.069425+0.067375+0.065325+0.063275+0.061225+0.059175+0.057125)/8</f>
        <v>6.4299999999999982E-2</v>
      </c>
      <c r="F10" t="s">
        <v>97</v>
      </c>
      <c r="G10" s="6">
        <f>G12/$C$18</f>
        <v>216.78088129604782</v>
      </c>
      <c r="H10" s="6" t="s">
        <v>101</v>
      </c>
      <c r="N10" s="6" t="s">
        <v>113</v>
      </c>
      <c r="O10" s="6">
        <f>O7/(0.3048^2)/($C$5*2.20462/1000)^(2/3)</f>
        <v>2.6131764790924223</v>
      </c>
      <c r="U10" s="2">
        <v>6</v>
      </c>
      <c r="V10" s="2">
        <f t="shared" si="7"/>
        <v>4.6875E-2</v>
      </c>
      <c r="W10" s="2">
        <f t="shared" si="0"/>
        <v>1.2364359583093461E-2</v>
      </c>
      <c r="X10" s="2">
        <f t="shared" si="8"/>
        <v>6.25E-2</v>
      </c>
      <c r="Y10" s="2">
        <f t="shared" si="1"/>
        <v>-3.2826850860491336E-3</v>
      </c>
      <c r="Z10" s="2">
        <f t="shared" si="3"/>
        <v>5.46875E-2</v>
      </c>
      <c r="AA10" s="2">
        <f t="shared" si="2"/>
        <v>4.5416013430589347E-3</v>
      </c>
      <c r="AB10" s="2">
        <f t="shared" si="4"/>
        <v>5.6153992088640869E-5</v>
      </c>
      <c r="AC10" s="2">
        <f t="shared" si="5"/>
        <v>-1.4908646995640279E-5</v>
      </c>
      <c r="AD10" s="2">
        <f t="shared" si="6"/>
        <v>1.5625E-2</v>
      </c>
      <c r="AF10" s="2">
        <v>6</v>
      </c>
      <c r="AG10" s="2">
        <f t="shared" si="13"/>
        <v>5546.875</v>
      </c>
      <c r="AH10" s="2">
        <v>-34.732583518963111</v>
      </c>
      <c r="AI10" s="2">
        <f t="shared" si="14"/>
        <v>5843.75</v>
      </c>
      <c r="AJ10" s="2">
        <v>73.919083638185839</v>
      </c>
      <c r="AK10" s="2">
        <f t="shared" si="9"/>
        <v>5695.3125</v>
      </c>
      <c r="AL10" s="2">
        <v>19.911522338155919</v>
      </c>
      <c r="AM10" s="2">
        <f t="shared" si="10"/>
        <v>-691.57861259970014</v>
      </c>
      <c r="AN10" s="2">
        <f t="shared" si="11"/>
        <v>1471.8414850777531</v>
      </c>
      <c r="AO10" s="2">
        <f t="shared" si="12"/>
        <v>296.875</v>
      </c>
    </row>
    <row r="11" spans="2:41" x14ac:dyDescent="0.2">
      <c r="F11" t="s">
        <v>146</v>
      </c>
      <c r="G11" s="6">
        <f xml:space="preserve"> (G9/$C$44*1000) / ($G$10*1000)</f>
        <v>6.5054232692383334</v>
      </c>
      <c r="H11" s="6" t="s">
        <v>147</v>
      </c>
      <c r="J11" s="31" t="s">
        <v>51</v>
      </c>
      <c r="K11" s="31"/>
      <c r="L11" s="31"/>
      <c r="U11" s="2">
        <v>7</v>
      </c>
      <c r="V11" s="2">
        <f t="shared" si="7"/>
        <v>5.46875E-2</v>
      </c>
      <c r="W11" s="2">
        <f t="shared" si="0"/>
        <v>4.5416013430589347E-3</v>
      </c>
      <c r="X11" s="2">
        <f t="shared" si="8"/>
        <v>6.25E-2</v>
      </c>
      <c r="Y11" s="2">
        <f t="shared" si="1"/>
        <v>-3.2826850860491336E-3</v>
      </c>
      <c r="Z11" s="2">
        <f t="shared" si="3"/>
        <v>5.859375E-2</v>
      </c>
      <c r="AA11" s="2">
        <f t="shared" si="2"/>
        <v>6.2964790250439467E-4</v>
      </c>
      <c r="AB11" s="2">
        <f t="shared" si="4"/>
        <v>2.8596097596682002E-6</v>
      </c>
      <c r="AC11" s="2">
        <f t="shared" si="5"/>
        <v>-2.0669357790132954E-6</v>
      </c>
      <c r="AD11" s="2">
        <f t="shared" si="6"/>
        <v>7.8125E-3</v>
      </c>
      <c r="AF11" s="2">
        <v>7</v>
      </c>
      <c r="AG11" s="2">
        <f t="shared" si="13"/>
        <v>5546.875</v>
      </c>
      <c r="AH11" s="2">
        <v>-34.732583518963111</v>
      </c>
      <c r="AI11" s="2">
        <f t="shared" si="14"/>
        <v>5695.3125</v>
      </c>
      <c r="AJ11" s="2">
        <v>19.911522338155919</v>
      </c>
      <c r="AK11" s="2">
        <f t="shared" si="9"/>
        <v>5621.09375</v>
      </c>
      <c r="AL11" s="2">
        <v>-7.3318773340870393</v>
      </c>
      <c r="AM11" s="2">
        <f t="shared" si="10"/>
        <v>254.65504185697068</v>
      </c>
      <c r="AN11" s="2">
        <f t="shared" si="11"/>
        <v>-145.98883931829315</v>
      </c>
      <c r="AO11" s="2">
        <f t="shared" si="12"/>
        <v>148.4375</v>
      </c>
    </row>
    <row r="12" spans="2:41" x14ac:dyDescent="0.2">
      <c r="B12" s="33" t="s">
        <v>11</v>
      </c>
      <c r="C12" s="33"/>
      <c r="D12" s="33"/>
      <c r="F12" s="24" t="s">
        <v>82</v>
      </c>
      <c r="G12" s="25">
        <f xml:space="preserve"> 1/1000 * (($C$5*$C$44)/$C$21 * ( ($G$4/2) + SQRT( ($G$4/2)^2 + ($C$5*$C$44) / (2*$C$41*PI()*$C$9^2 * $C$18) ) ) )</f>
        <v>867.12352518419129</v>
      </c>
      <c r="H12" s="25" t="s">
        <v>101</v>
      </c>
      <c r="J12" s="10" t="s">
        <v>79</v>
      </c>
      <c r="K12" s="6">
        <f>C5</f>
        <v>5641.00555803721</v>
      </c>
      <c r="L12" s="6" t="s">
        <v>7</v>
      </c>
      <c r="N12" s="31" t="s">
        <v>73</v>
      </c>
      <c r="O12" s="34"/>
      <c r="P12" s="34"/>
      <c r="U12" s="2">
        <v>8</v>
      </c>
      <c r="V12" s="2">
        <f t="shared" si="7"/>
        <v>5.859375E-2</v>
      </c>
      <c r="W12" s="2">
        <f t="shared" si="0"/>
        <v>6.2964790250439467E-4</v>
      </c>
      <c r="X12" s="2">
        <f t="shared" si="8"/>
        <v>6.25E-2</v>
      </c>
      <c r="Y12" s="2">
        <f t="shared" si="1"/>
        <v>-3.2826850860491336E-3</v>
      </c>
      <c r="Z12" s="2">
        <f t="shared" si="3"/>
        <v>6.0546875E-2</v>
      </c>
      <c r="AA12" s="2">
        <f t="shared" si="2"/>
        <v>-1.3264713132069145E-3</v>
      </c>
      <c r="AB12" s="2">
        <f t="shared" si="4"/>
        <v>-8.3520988009298369E-7</v>
      </c>
      <c r="AC12" s="2">
        <f t="shared" si="5"/>
        <v>4.3543875969363471E-6</v>
      </c>
      <c r="AD12" s="2">
        <f t="shared" si="6"/>
        <v>3.90625E-3</v>
      </c>
      <c r="AF12" s="2">
        <v>8</v>
      </c>
      <c r="AG12" s="2">
        <f t="shared" si="13"/>
        <v>5621.09375</v>
      </c>
      <c r="AH12" s="2">
        <v>-7.3318773340870393</v>
      </c>
      <c r="AI12" s="2">
        <f t="shared" si="14"/>
        <v>5695.3125</v>
      </c>
      <c r="AJ12" s="2">
        <v>19.911522338155919</v>
      </c>
      <c r="AK12" s="2">
        <f t="shared" si="9"/>
        <v>5658.203125</v>
      </c>
      <c r="AL12" s="2">
        <v>6.309593196440801</v>
      </c>
      <c r="AM12" s="2">
        <f t="shared" si="10"/>
        <v>-46.261163344294104</v>
      </c>
      <c r="AN12" s="2">
        <f t="shared" si="11"/>
        <v>125.63360587560761</v>
      </c>
      <c r="AO12" s="2">
        <f t="shared" si="12"/>
        <v>74.21875</v>
      </c>
    </row>
    <row r="13" spans="2:41" x14ac:dyDescent="0.2">
      <c r="B13" s="6" t="s">
        <v>68</v>
      </c>
      <c r="C13" s="6">
        <f>C25*100</f>
        <v>600</v>
      </c>
      <c r="D13" s="6" t="s">
        <v>7</v>
      </c>
      <c r="J13" s="11" t="s">
        <v>52</v>
      </c>
      <c r="K13" s="6">
        <f xml:space="preserve"> K8 * 1000 / ($C$36 * $C$37 * $C$38)</f>
        <v>3129.3992485105746</v>
      </c>
      <c r="L13" s="6" t="s">
        <v>7</v>
      </c>
      <c r="N13" s="6" t="s">
        <v>74</v>
      </c>
      <c r="O13" s="6">
        <f xml:space="preserve"> SQRT( ($C$5*$C$50)^2 + O9^2)</f>
        <v>55528.261256404803</v>
      </c>
      <c r="P13" s="6" t="s">
        <v>20</v>
      </c>
      <c r="U13" s="2">
        <v>9</v>
      </c>
      <c r="V13" s="2">
        <f t="shared" si="7"/>
        <v>5.859375E-2</v>
      </c>
      <c r="W13" s="2">
        <f t="shared" si="0"/>
        <v>6.2964790250439467E-4</v>
      </c>
      <c r="X13" s="2">
        <f t="shared" si="8"/>
        <v>6.0546875E-2</v>
      </c>
      <c r="Y13" s="2">
        <f t="shared" si="1"/>
        <v>-1.3264713132069145E-3</v>
      </c>
      <c r="Z13" s="2">
        <f t="shared" si="3"/>
        <v>5.95703125E-2</v>
      </c>
      <c r="AA13" s="2">
        <f t="shared" si="2"/>
        <v>-3.4839986470831114E-4</v>
      </c>
      <c r="AB13" s="2">
        <f t="shared" si="4"/>
        <v>-2.1936924404640298E-7</v>
      </c>
      <c r="AC13" s="2">
        <f t="shared" si="5"/>
        <v>4.621424260607448E-7</v>
      </c>
      <c r="AD13" s="2">
        <f t="shared" si="6"/>
        <v>1.953125E-3</v>
      </c>
      <c r="AF13" s="2">
        <v>9</v>
      </c>
      <c r="AG13" s="2">
        <f t="shared" si="13"/>
        <v>5621.09375</v>
      </c>
      <c r="AH13" s="2">
        <v>-7.3318773340870393</v>
      </c>
      <c r="AI13" s="2">
        <f t="shared" si="14"/>
        <v>5658.203125</v>
      </c>
      <c r="AJ13" s="2">
        <v>6.309593196440801</v>
      </c>
      <c r="AK13" s="2">
        <f t="shared" si="9"/>
        <v>5639.6484375</v>
      </c>
      <c r="AL13" s="2">
        <v>-0.50620475953473942</v>
      </c>
      <c r="AM13" s="2">
        <f t="shared" si="10"/>
        <v>3.7114312028397363</v>
      </c>
      <c r="AN13" s="2">
        <f t="shared" si="11"/>
        <v>-3.1939461067663437</v>
      </c>
      <c r="AO13" s="2">
        <f t="shared" si="12"/>
        <v>37.109375</v>
      </c>
    </row>
    <row r="14" spans="2:41" x14ac:dyDescent="0.2">
      <c r="B14" s="6" t="s">
        <v>12</v>
      </c>
      <c r="C14" s="17">
        <f>100*1000</f>
        <v>100000</v>
      </c>
      <c r="D14" s="6" t="s">
        <v>8</v>
      </c>
      <c r="F14" s="31" t="s">
        <v>86</v>
      </c>
      <c r="G14" s="32"/>
      <c r="H14" s="32"/>
      <c r="J14" s="12" t="s">
        <v>126</v>
      </c>
      <c r="K14" s="6">
        <f xml:space="preserve"> $C$54 * $C$18 * (0.0095 * MAX(G9,O18,G28) - 1.9275)</f>
        <v>415.84678554867651</v>
      </c>
      <c r="L14" s="6" t="s">
        <v>7</v>
      </c>
      <c r="N14" s="6" t="s">
        <v>75</v>
      </c>
      <c r="O14" s="6">
        <f>$C$5*$C$50/O13</f>
        <v>0.995618743388473</v>
      </c>
      <c r="U14" s="2">
        <v>10</v>
      </c>
      <c r="V14" s="2">
        <f t="shared" si="7"/>
        <v>5.859375E-2</v>
      </c>
      <c r="W14" s="2">
        <f t="shared" si="0"/>
        <v>6.2964790250439467E-4</v>
      </c>
      <c r="X14" s="2">
        <f t="shared" si="8"/>
        <v>5.95703125E-2</v>
      </c>
      <c r="Y14" s="2">
        <f t="shared" si="1"/>
        <v>-3.4839986470831114E-4</v>
      </c>
      <c r="Z14" s="2">
        <f t="shared" si="3"/>
        <v>5.908203125E-2</v>
      </c>
      <c r="AA14" s="2">
        <f t="shared" si="2"/>
        <v>1.4062698165046017E-4</v>
      </c>
      <c r="AB14" s="2">
        <f t="shared" si="4"/>
        <v>8.8545484031736245E-8</v>
      </c>
      <c r="AC14" s="2">
        <f t="shared" si="5"/>
        <v>-4.8994421381358473E-8</v>
      </c>
      <c r="AD14" s="2">
        <f t="shared" si="6"/>
        <v>9.765625E-4</v>
      </c>
      <c r="AF14" s="2">
        <v>10</v>
      </c>
      <c r="AG14" s="2">
        <f t="shared" si="13"/>
        <v>5639.6484375</v>
      </c>
      <c r="AH14" s="2">
        <v>-0.50620475953473942</v>
      </c>
      <c r="AI14" s="2">
        <f t="shared" si="14"/>
        <v>5658.203125</v>
      </c>
      <c r="AJ14" s="2">
        <v>6.309593196440801</v>
      </c>
      <c r="AK14" s="2">
        <f t="shared" si="9"/>
        <v>5648.92578125</v>
      </c>
      <c r="AL14" s="2">
        <v>2.9029133143149011</v>
      </c>
      <c r="AM14" s="2">
        <f t="shared" si="10"/>
        <v>-1.469468536222968</v>
      </c>
      <c r="AN14" s="2">
        <f t="shared" si="11"/>
        <v>18.316202097858717</v>
      </c>
      <c r="AO14" s="2">
        <f t="shared" si="12"/>
        <v>18.5546875</v>
      </c>
    </row>
    <row r="15" spans="2:41" x14ac:dyDescent="0.2">
      <c r="B15" s="6" t="s">
        <v>136</v>
      </c>
      <c r="C15" s="17">
        <v>1</v>
      </c>
      <c r="F15" s="9" t="s">
        <v>89</v>
      </c>
      <c r="G15" s="6">
        <f xml:space="preserve"> $C$14/$C$8</f>
        <v>1125.0000000000036</v>
      </c>
      <c r="H15" s="6" t="s">
        <v>13</v>
      </c>
      <c r="J15" s="12" t="s">
        <v>127</v>
      </c>
      <c r="K15" s="6">
        <f xml:space="preserve"> $C$54 * $C$18 * ( 0.0037 * $C$19^0.28 * ($C$9*3.28084)^1.5 * ($G$7*3.28084)^0.43 * ( 0.01742 * $C$19^0.66 * ($C$10*$C$9*3.28084) * ($C$9*3.28084)^1.3 * ($G$7*3.28084)^0.67 + 0.5*(K14/$C$18)* 2.20462 * 9.80665*3.28084 )^0.55 ) * 0.453592</f>
        <v>587.0928837744209</v>
      </c>
      <c r="L15" s="6" t="s">
        <v>7</v>
      </c>
      <c r="U15" s="2">
        <v>11</v>
      </c>
      <c r="V15" s="2">
        <f t="shared" si="7"/>
        <v>5.908203125E-2</v>
      </c>
      <c r="W15" s="2">
        <f t="shared" si="0"/>
        <v>1.4062698165046017E-4</v>
      </c>
      <c r="X15" s="2">
        <f t="shared" si="8"/>
        <v>5.95703125E-2</v>
      </c>
      <c r="Y15" s="2">
        <f t="shared" si="1"/>
        <v>-3.4839986470831114E-4</v>
      </c>
      <c r="Z15" s="2">
        <f t="shared" si="3"/>
        <v>5.9326171875E-2</v>
      </c>
      <c r="AA15" s="2">
        <f t="shared" si="2"/>
        <v>-1.0388570116327822E-4</v>
      </c>
      <c r="AB15" s="2">
        <f t="shared" si="4"/>
        <v>-1.4609132591233515E-8</v>
      </c>
      <c r="AC15" s="2">
        <f t="shared" si="5"/>
        <v>3.6193764230414174E-8</v>
      </c>
      <c r="AD15" s="2">
        <f t="shared" si="6"/>
        <v>4.8828125E-4</v>
      </c>
      <c r="AF15" s="2">
        <v>11</v>
      </c>
      <c r="AG15" s="2">
        <f t="shared" si="13"/>
        <v>5639.6484375</v>
      </c>
      <c r="AH15" s="2">
        <v>-0.50620475953473942</v>
      </c>
      <c r="AI15" s="2">
        <f t="shared" si="14"/>
        <v>5648.92578125</v>
      </c>
      <c r="AJ15" s="2">
        <v>2.9029133143149011</v>
      </c>
      <c r="AK15" s="2">
        <f t="shared" si="9"/>
        <v>5644.287109375</v>
      </c>
      <c r="AL15" s="2">
        <v>1.1986661158598508</v>
      </c>
      <c r="AM15" s="2">
        <f t="shared" si="10"/>
        <v>-0.60677049294127594</v>
      </c>
      <c r="AN15" s="2">
        <f t="shared" si="11"/>
        <v>3.4796238271476887</v>
      </c>
      <c r="AO15" s="2">
        <f t="shared" si="12"/>
        <v>9.27734375</v>
      </c>
    </row>
    <row r="16" spans="2:41" x14ac:dyDescent="0.2">
      <c r="F16" t="s">
        <v>121</v>
      </c>
      <c r="G16" s="8">
        <f>O19*$C$9</f>
        <v>161.65083677463662</v>
      </c>
      <c r="H16" s="6" t="s">
        <v>10</v>
      </c>
      <c r="J16" s="13" t="s">
        <v>53</v>
      </c>
      <c r="K16" s="6">
        <f xml:space="preserve"> $C$54 * 0.2138 * K4</f>
        <v>222.46921162125611</v>
      </c>
      <c r="L16" s="6" t="s">
        <v>7</v>
      </c>
      <c r="N16" s="31" t="s">
        <v>24</v>
      </c>
      <c r="O16" s="34"/>
      <c r="P16" s="34"/>
      <c r="U16" s="2">
        <v>12</v>
      </c>
      <c r="V16" s="2">
        <f t="shared" si="7"/>
        <v>5.908203125E-2</v>
      </c>
      <c r="W16" s="2">
        <f t="shared" si="0"/>
        <v>1.4062698165046017E-4</v>
      </c>
      <c r="X16" s="2">
        <f t="shared" si="8"/>
        <v>5.9326171875E-2</v>
      </c>
      <c r="Y16" s="2">
        <f t="shared" si="1"/>
        <v>-1.0388570116327822E-4</v>
      </c>
      <c r="Z16" s="2">
        <f t="shared" si="3"/>
        <v>5.92041015625E-2</v>
      </c>
      <c r="AA16" s="2">
        <f t="shared" si="2"/>
        <v>1.8370825375410571E-5</v>
      </c>
      <c r="AB16" s="2">
        <f t="shared" si="4"/>
        <v>2.5834337229716704E-9</v>
      </c>
      <c r="AC16" s="2">
        <f t="shared" si="5"/>
        <v>-1.9084660750726708E-9</v>
      </c>
      <c r="AD16" s="2">
        <f t="shared" si="6"/>
        <v>2.44140625E-4</v>
      </c>
      <c r="AF16" s="2">
        <v>12</v>
      </c>
      <c r="AG16" s="2">
        <f t="shared" si="13"/>
        <v>5639.6484375</v>
      </c>
      <c r="AH16" s="2">
        <v>-0.50620475953473942</v>
      </c>
      <c r="AI16" s="2">
        <f t="shared" si="14"/>
        <v>5644.287109375</v>
      </c>
      <c r="AJ16" s="2">
        <v>1.1986661158598508</v>
      </c>
      <c r="AK16" s="2">
        <f t="shared" si="9"/>
        <v>5641.9677734375</v>
      </c>
      <c r="AL16" s="2">
        <v>0.34629008926276583</v>
      </c>
      <c r="AM16" s="2">
        <f t="shared" si="10"/>
        <v>-0.17529369136452183</v>
      </c>
      <c r="AN16" s="2">
        <f t="shared" si="11"/>
        <v>0.41508619625736054</v>
      </c>
      <c r="AO16" s="2">
        <f t="shared" si="12"/>
        <v>4.638671875</v>
      </c>
    </row>
    <row r="17" spans="2:41" x14ac:dyDescent="0.2">
      <c r="B17" s="35" t="s">
        <v>110</v>
      </c>
      <c r="C17" s="35"/>
      <c r="D17" s="35"/>
      <c r="F17" s="6" t="s">
        <v>124</v>
      </c>
      <c r="G17" s="6">
        <f>G16/$C$49</f>
        <v>0.48584390930559457</v>
      </c>
      <c r="H17" s="6" t="s">
        <v>122</v>
      </c>
      <c r="J17" s="13" t="s">
        <v>77</v>
      </c>
      <c r="K17" s="6">
        <f xml:space="preserve"> $C$54 * 0.1149 * K4</f>
        <v>119.5589916523963</v>
      </c>
      <c r="L17" s="6" t="s">
        <v>7</v>
      </c>
      <c r="N17" s="6" t="s">
        <v>25</v>
      </c>
      <c r="O17" s="6">
        <f xml:space="preserve"> ACOS(O14)/PI()*180</f>
        <v>5.3653204530128304</v>
      </c>
      <c r="P17" s="6" t="s">
        <v>40</v>
      </c>
      <c r="U17" s="2">
        <v>13</v>
      </c>
      <c r="V17" s="2">
        <f t="shared" si="7"/>
        <v>5.92041015625E-2</v>
      </c>
      <c r="W17" s="2">
        <f t="shared" si="0"/>
        <v>1.8370825375410571E-5</v>
      </c>
      <c r="X17" s="2">
        <f t="shared" si="8"/>
        <v>5.9326171875E-2</v>
      </c>
      <c r="Y17" s="2">
        <f t="shared" si="1"/>
        <v>-1.0388570116327822E-4</v>
      </c>
      <c r="Z17" s="2">
        <f t="shared" si="3"/>
        <v>5.926513671875E-2</v>
      </c>
      <c r="AA17" s="2">
        <f t="shared" si="2"/>
        <v>-4.2757391616021767E-5</v>
      </c>
      <c r="AB17" s="2">
        <f t="shared" si="4"/>
        <v>-7.8548857488597988E-10</v>
      </c>
      <c r="AC17" s="2">
        <f t="shared" si="5"/>
        <v>4.4418816079432951E-9</v>
      </c>
      <c r="AD17" s="2">
        <f t="shared" si="6"/>
        <v>1.220703125E-4</v>
      </c>
      <c r="AF17" s="2">
        <v>13</v>
      </c>
      <c r="AG17" s="2">
        <f t="shared" si="13"/>
        <v>5639.6484375</v>
      </c>
      <c r="AH17" s="2">
        <v>-0.50620475953473942</v>
      </c>
      <c r="AI17" s="2">
        <f t="shared" si="14"/>
        <v>5641.9677734375</v>
      </c>
      <c r="AJ17" s="2">
        <v>0.34629008926276583</v>
      </c>
      <c r="AK17" s="2">
        <f t="shared" si="9"/>
        <v>5640.80810546875</v>
      </c>
      <c r="AL17" s="2">
        <v>-7.9951653243369947E-2</v>
      </c>
      <c r="AM17" s="2">
        <f t="shared" si="10"/>
        <v>4.0471907404464956E-2</v>
      </c>
      <c r="AN17" s="2">
        <f t="shared" si="11"/>
        <v>-2.7686465138352281E-2</v>
      </c>
      <c r="AO17" s="2">
        <f t="shared" si="12"/>
        <v>2.3193359375</v>
      </c>
    </row>
    <row r="18" spans="2:41" x14ac:dyDescent="0.2">
      <c r="B18" s="6" t="s">
        <v>94</v>
      </c>
      <c r="C18" s="17">
        <v>4</v>
      </c>
      <c r="F18" s="9" t="s">
        <v>19</v>
      </c>
      <c r="G18" s="6">
        <f>O18</f>
        <v>13882.065314101201</v>
      </c>
      <c r="H18" s="6" t="s">
        <v>20</v>
      </c>
      <c r="J18" s="14" t="s">
        <v>60</v>
      </c>
      <c r="K18" s="6">
        <f xml:space="preserve"> $C$55 * (14.86 * ($C$5*2.20462)^0.144 * ($C$26/(PI()*$C$27))^0.778 * ($C$26*3.28084)^0.383 * $C$25^0.455 * 0.453592)</f>
        <v>150.94175668924228</v>
      </c>
      <c r="L18" s="6" t="s">
        <v>7</v>
      </c>
      <c r="N18" s="6" t="s">
        <v>19</v>
      </c>
      <c r="O18" s="6">
        <f xml:space="preserve"> O13 / $C$18</f>
        <v>13882.065314101201</v>
      </c>
      <c r="P18" s="6" t="s">
        <v>20</v>
      </c>
      <c r="U18" s="2">
        <v>14</v>
      </c>
      <c r="V18" s="2">
        <f t="shared" si="7"/>
        <v>5.92041015625E-2</v>
      </c>
      <c r="W18" s="2">
        <f t="shared" si="0"/>
        <v>1.8370825375410571E-5</v>
      </c>
      <c r="X18" s="2">
        <f t="shared" si="8"/>
        <v>5.926513671875E-2</v>
      </c>
      <c r="Y18" s="2">
        <f t="shared" si="1"/>
        <v>-4.2757391616021767E-5</v>
      </c>
      <c r="Z18" s="2">
        <f t="shared" si="3"/>
        <v>5.9234619140625E-2</v>
      </c>
      <c r="AA18" s="2">
        <f t="shared" si="2"/>
        <v>-1.2193271550199614E-5</v>
      </c>
      <c r="AB18" s="2">
        <f t="shared" si="4"/>
        <v>-2.2400046240367884E-10</v>
      </c>
      <c r="AC18" s="2">
        <f t="shared" si="5"/>
        <v>5.2135248675238168E-10</v>
      </c>
      <c r="AD18" s="2">
        <f t="shared" si="6"/>
        <v>6.103515625E-5</v>
      </c>
      <c r="AF18" s="2">
        <v>14</v>
      </c>
      <c r="AG18" s="2">
        <f t="shared" si="13"/>
        <v>5640.80810546875</v>
      </c>
      <c r="AH18" s="2">
        <v>-7.9951653243369947E-2</v>
      </c>
      <c r="AI18" s="2">
        <f t="shared" si="14"/>
        <v>5641.9677734375</v>
      </c>
      <c r="AJ18" s="2">
        <v>0.34629008926276583</v>
      </c>
      <c r="AK18" s="2">
        <f t="shared" si="9"/>
        <v>5641.387939453125</v>
      </c>
      <c r="AL18" s="2">
        <v>0.13317978332906932</v>
      </c>
      <c r="AM18" s="2">
        <f t="shared" si="10"/>
        <v>-1.0647943855752892E-2</v>
      </c>
      <c r="AN18" s="2">
        <f t="shared" si="11"/>
        <v>4.6118839057019231E-2</v>
      </c>
      <c r="AO18" s="2">
        <f t="shared" si="12"/>
        <v>1.15966796875</v>
      </c>
    </row>
    <row r="19" spans="2:41" x14ac:dyDescent="0.2">
      <c r="B19" t="s">
        <v>109</v>
      </c>
      <c r="C19" s="1">
        <v>3</v>
      </c>
      <c r="D19"/>
      <c r="F19" s="9" t="s">
        <v>97</v>
      </c>
      <c r="G19" s="6">
        <f xml:space="preserve"> 1/1000 * (O23 + O18 * (O25 * O28 + $C$8 * SIN(O17/180*PI())))</f>
        <v>178.23389309206948</v>
      </c>
      <c r="H19" s="6" t="s">
        <v>101</v>
      </c>
      <c r="J19" s="14" t="s">
        <v>61</v>
      </c>
      <c r="K19" s="6">
        <f xml:space="preserve"> $C$55 * C31 * $C$5</f>
        <v>63.179262250016762</v>
      </c>
      <c r="L19" s="6" t="s">
        <v>7</v>
      </c>
      <c r="N19" s="6" t="s">
        <v>26</v>
      </c>
      <c r="O19" s="6">
        <f>$C$7*2*PI()/60</f>
        <v>36.602145086326871</v>
      </c>
      <c r="P19" s="6" t="s">
        <v>27</v>
      </c>
      <c r="U19" s="2">
        <v>15</v>
      </c>
      <c r="V19" s="2">
        <f t="shared" si="7"/>
        <v>5.92041015625E-2</v>
      </c>
      <c r="W19" s="2">
        <f t="shared" si="0"/>
        <v>1.8370825375410571E-5</v>
      </c>
      <c r="X19" s="2">
        <f t="shared" si="8"/>
        <v>5.9234619140625E-2</v>
      </c>
      <c r="Y19" s="2">
        <f t="shared" si="1"/>
        <v>-1.2193271550199614E-5</v>
      </c>
      <c r="Z19" s="2">
        <f t="shared" si="3"/>
        <v>5.92193603515625E-2</v>
      </c>
      <c r="AA19" s="2">
        <f t="shared" si="2"/>
        <v>3.0887798052048332E-6</v>
      </c>
      <c r="AB19" s="2">
        <f t="shared" si="4"/>
        <v>5.6743434424512671E-11</v>
      </c>
      <c r="AC19" s="2">
        <f t="shared" si="5"/>
        <v>-3.76623309236352E-11</v>
      </c>
      <c r="AD19" s="2">
        <f t="shared" si="6"/>
        <v>3.0517578125E-5</v>
      </c>
      <c r="AF19" s="2">
        <v>15</v>
      </c>
      <c r="AG19" s="2">
        <f t="shared" si="13"/>
        <v>5640.80810546875</v>
      </c>
      <c r="AH19" s="2">
        <v>-7.9951653243369947E-2</v>
      </c>
      <c r="AI19" s="2">
        <f t="shared" si="14"/>
        <v>5641.387939453125</v>
      </c>
      <c r="AJ19" s="2">
        <v>0.13317978332906932</v>
      </c>
      <c r="AK19" s="2">
        <f t="shared" si="9"/>
        <v>5641.0980224609375</v>
      </c>
      <c r="AL19" s="2">
        <v>2.6630417628439318E-2</v>
      </c>
      <c r="AM19" s="2">
        <f t="shared" si="10"/>
        <v>-2.1291459159551067E-3</v>
      </c>
      <c r="AN19" s="2">
        <f t="shared" si="11"/>
        <v>3.5466332497181767E-3</v>
      </c>
      <c r="AO19" s="2">
        <f t="shared" si="12"/>
        <v>0.579833984375</v>
      </c>
    </row>
    <row r="20" spans="2:41" x14ac:dyDescent="0.2">
      <c r="B20" s="6" t="s">
        <v>119</v>
      </c>
      <c r="C20" s="6">
        <f>$C$19*$C$10/PI()</f>
        <v>6.1401977044853208E-2</v>
      </c>
      <c r="F20" t="s">
        <v>146</v>
      </c>
      <c r="G20" s="6">
        <f xml:space="preserve"> (G18/$C$50*1000) / ($G$19*1000)</f>
        <v>7.9471823660318206</v>
      </c>
      <c r="H20" s="6" t="s">
        <v>147</v>
      </c>
      <c r="J20" s="14" t="s">
        <v>62</v>
      </c>
      <c r="K20" s="6">
        <f xml:space="preserve"> $C$55 * 0</f>
        <v>0</v>
      </c>
      <c r="L20" s="6" t="s">
        <v>7</v>
      </c>
      <c r="N20" s="6" t="s">
        <v>28</v>
      </c>
      <c r="O20" s="6">
        <f xml:space="preserve"> $C$8 * COS(O17/180*PI()) / (O19 * $C$9)</f>
        <v>0.54747284717203915</v>
      </c>
      <c r="U20" s="2">
        <v>16</v>
      </c>
      <c r="V20" s="2">
        <f t="shared" si="7"/>
        <v>5.92193603515625E-2</v>
      </c>
      <c r="W20" s="2">
        <f t="shared" si="0"/>
        <v>3.0887798052048332E-6</v>
      </c>
      <c r="X20" s="2">
        <f t="shared" si="8"/>
        <v>5.9234619140625E-2</v>
      </c>
      <c r="Y20" s="2">
        <f t="shared" si="1"/>
        <v>-1.2193271550199614E-5</v>
      </c>
      <c r="Z20" s="2">
        <f t="shared" si="3"/>
        <v>5.922698974609375E-2</v>
      </c>
      <c r="AA20" s="2">
        <f t="shared" si="2"/>
        <v>-4.5522451493570926E-6</v>
      </c>
      <c r="AB20" s="2">
        <f t="shared" si="4"/>
        <v>-1.4060882885675848E-11</v>
      </c>
      <c r="AC20" s="2">
        <f t="shared" si="5"/>
        <v>5.5506761269190028E-11</v>
      </c>
      <c r="AD20" s="2">
        <f t="shared" si="6"/>
        <v>1.52587890625E-5</v>
      </c>
      <c r="AF20" s="2">
        <v>16</v>
      </c>
      <c r="AG20" s="2">
        <f t="shared" si="13"/>
        <v>5640.80810546875</v>
      </c>
      <c r="AH20" s="2">
        <v>-7.9951653243369947E-2</v>
      </c>
      <c r="AI20" s="2">
        <f t="shared" si="14"/>
        <v>5641.0980224609375</v>
      </c>
      <c r="AJ20" s="2">
        <v>2.6630417628439318E-2</v>
      </c>
      <c r="AK20" s="2">
        <f t="shared" si="9"/>
        <v>5640.9530639648438</v>
      </c>
      <c r="AL20" s="2">
        <v>-2.66428183813332E-2</v>
      </c>
      <c r="AM20" s="2">
        <f t="shared" si="10"/>
        <v>2.1301373766504351E-3</v>
      </c>
      <c r="AN20" s="2">
        <f t="shared" si="11"/>
        <v>-7.0950938029356269E-4</v>
      </c>
      <c r="AO20" s="2">
        <f t="shared" si="12"/>
        <v>0.2899169921875</v>
      </c>
    </row>
    <row r="21" spans="2:41" x14ac:dyDescent="0.2">
      <c r="B21" s="6" t="s">
        <v>120</v>
      </c>
      <c r="C21" s="17">
        <v>0.75</v>
      </c>
      <c r="F21" s="9" t="s">
        <v>148</v>
      </c>
      <c r="G21" s="6">
        <f>O21/ ($C$19*$C$10/PI())</f>
        <v>0.14000000000548488</v>
      </c>
      <c r="J21" s="14" t="s">
        <v>63</v>
      </c>
      <c r="K21" s="6">
        <f xml:space="preserve"> $C$55 * 0</f>
        <v>0</v>
      </c>
      <c r="L21" s="6" t="s">
        <v>7</v>
      </c>
      <c r="N21" s="6" t="s">
        <v>29</v>
      </c>
      <c r="O21" s="6">
        <f xml:space="preserve"> O18 / ($C$47 * PI() * $C$9^2 * O19^2 * $C$9^2)</f>
        <v>8.5962767866162321E-3</v>
      </c>
      <c r="U21" s="2">
        <v>17</v>
      </c>
      <c r="V21" s="2">
        <f t="shared" si="7"/>
        <v>5.92193603515625E-2</v>
      </c>
      <c r="W21" s="2">
        <f t="shared" si="0"/>
        <v>3.0887798052048332E-6</v>
      </c>
      <c r="X21" s="2">
        <f t="shared" si="8"/>
        <v>5.922698974609375E-2</v>
      </c>
      <c r="Y21" s="2">
        <f t="shared" si="1"/>
        <v>-4.5522451493570926E-6</v>
      </c>
      <c r="Z21" s="2">
        <f t="shared" si="3"/>
        <v>5.9223175048828125E-2</v>
      </c>
      <c r="AA21" s="2">
        <f t="shared" si="2"/>
        <v>-7.3173249128671847E-7</v>
      </c>
      <c r="AB21" s="2">
        <f t="shared" si="4"/>
        <v>-2.2601605418986378E-12</v>
      </c>
      <c r="AC21" s="2">
        <f t="shared" si="5"/>
        <v>3.3310256840869451E-12</v>
      </c>
      <c r="AD21" s="2">
        <f t="shared" si="6"/>
        <v>7.62939453125E-6</v>
      </c>
      <c r="AF21" s="2">
        <v>17</v>
      </c>
      <c r="AG21" s="2">
        <f t="shared" si="13"/>
        <v>5640.9530639648438</v>
      </c>
      <c r="AH21" s="2">
        <v>-2.66428183813332E-2</v>
      </c>
      <c r="AI21" s="2">
        <f t="shared" si="14"/>
        <v>5641.0980224609375</v>
      </c>
      <c r="AJ21" s="2">
        <v>2.6630417628439318E-2</v>
      </c>
      <c r="AK21" s="2">
        <f t="shared" si="9"/>
        <v>5641.0255432128906</v>
      </c>
      <c r="AL21" s="2">
        <v>-6.3209472500602715E-6</v>
      </c>
      <c r="AM21" s="2">
        <f t="shared" si="10"/>
        <v>1.6840784958134334E-7</v>
      </c>
      <c r="AN21" s="2">
        <f t="shared" si="11"/>
        <v>-1.6832946507644008E-7</v>
      </c>
      <c r="AO21" s="2">
        <f t="shared" si="12"/>
        <v>0.14495849609375</v>
      </c>
    </row>
    <row r="22" spans="2:41" x14ac:dyDescent="0.2">
      <c r="B22" s="6" t="s">
        <v>155</v>
      </c>
      <c r="C22" s="17">
        <v>50</v>
      </c>
      <c r="D22" s="6" t="s">
        <v>58</v>
      </c>
      <c r="F22" s="26" t="s">
        <v>132</v>
      </c>
      <c r="G22" s="25">
        <f>$C$18 * G19</f>
        <v>712.93557236827792</v>
      </c>
      <c r="H22" s="25" t="s">
        <v>101</v>
      </c>
      <c r="J22" s="14" t="s">
        <v>112</v>
      </c>
      <c r="K22" s="6">
        <f>$C$55*(0.14*$G$12*1000/745.7)*0.453592</f>
        <v>59.074524516506557</v>
      </c>
      <c r="L22" s="6" t="s">
        <v>7</v>
      </c>
      <c r="N22" s="6" t="s">
        <v>1</v>
      </c>
      <c r="O22" s="17">
        <v>8.8999999999999999E-3</v>
      </c>
      <c r="U22" s="2">
        <v>18</v>
      </c>
      <c r="V22" s="2">
        <f t="shared" si="7"/>
        <v>5.92193603515625E-2</v>
      </c>
      <c r="W22" s="2">
        <f t="shared" si="0"/>
        <v>3.0887798052048332E-6</v>
      </c>
      <c r="X22" s="2">
        <f t="shared" si="8"/>
        <v>5.9223175048828125E-2</v>
      </c>
      <c r="Y22" s="2">
        <f t="shared" si="1"/>
        <v>-7.3173249128671847E-7</v>
      </c>
      <c r="Z22" s="2">
        <f t="shared" si="3"/>
        <v>5.9221267700195312E-2</v>
      </c>
      <c r="AA22" s="2">
        <f t="shared" si="2"/>
        <v>1.1785237021555428E-6</v>
      </c>
      <c r="AB22" s="2">
        <f t="shared" si="4"/>
        <v>3.6402002111732761E-12</v>
      </c>
      <c r="AC22" s="2">
        <f t="shared" si="5"/>
        <v>-8.6236408461872193E-13</v>
      </c>
      <c r="AD22" s="2">
        <f t="shared" si="6"/>
        <v>3.814697265625E-6</v>
      </c>
      <c r="AF22" s="2">
        <v>18</v>
      </c>
      <c r="AG22" s="2">
        <f t="shared" si="13"/>
        <v>5641.0255432128906</v>
      </c>
      <c r="AH22" s="2">
        <v>-6.3209472500602715E-6</v>
      </c>
      <c r="AI22" s="2">
        <f t="shared" si="14"/>
        <v>5641.0980224609375</v>
      </c>
      <c r="AJ22" s="2">
        <v>2.6630417628439318E-2</v>
      </c>
      <c r="AK22" s="2">
        <f t="shared" si="9"/>
        <v>5641.0617828369141</v>
      </c>
      <c r="AL22" s="2">
        <v>1.3312018202668696E-2</v>
      </c>
      <c r="AM22" s="2">
        <f t="shared" si="10"/>
        <v>-8.4144564850910978E-8</v>
      </c>
      <c r="AN22" s="2">
        <f t="shared" si="11"/>
        <v>3.5450460421445354E-4</v>
      </c>
      <c r="AO22" s="2">
        <f t="shared" si="12"/>
        <v>7.2479248046875E-2</v>
      </c>
    </row>
    <row r="23" spans="2:41" x14ac:dyDescent="0.2">
      <c r="J23" s="15" t="s">
        <v>64</v>
      </c>
      <c r="K23" s="6">
        <f xml:space="preserve"> $C$56 * (0.0268 * $C$5)</f>
        <v>120.94315916431779</v>
      </c>
      <c r="L23" s="6" t="s">
        <v>7</v>
      </c>
      <c r="N23" s="6" t="s">
        <v>30</v>
      </c>
      <c r="O23" s="6">
        <f xml:space="preserve"> ($C$20 * O22 / 8) * (1 + 4.65 *O20^ 2) * ( PI() * $C$47 * O19^3 *$C$9^ 5)</f>
        <v>42685.35332420293</v>
      </c>
      <c r="P23" s="6" t="s">
        <v>18</v>
      </c>
      <c r="U23" s="2">
        <v>19</v>
      </c>
      <c r="V23" s="2">
        <f t="shared" si="7"/>
        <v>5.9221267700195312E-2</v>
      </c>
      <c r="W23" s="2">
        <f t="shared" si="0"/>
        <v>1.1785237021555428E-6</v>
      </c>
      <c r="X23" s="2">
        <f t="shared" si="8"/>
        <v>5.9223175048828125E-2</v>
      </c>
      <c r="Y23" s="2">
        <f t="shared" si="1"/>
        <v>-7.3173249128671847E-7</v>
      </c>
      <c r="Z23" s="2">
        <f t="shared" si="3"/>
        <v>5.9222221374511719E-2</v>
      </c>
      <c r="AA23" s="2">
        <f t="shared" si="2"/>
        <v>2.2339561673440089E-7</v>
      </c>
      <c r="AB23" s="2">
        <f t="shared" si="4"/>
        <v>2.6327702927914689E-13</v>
      </c>
      <c r="AC23" s="2">
        <f t="shared" si="5"/>
        <v>-1.634658311755961E-13</v>
      </c>
      <c r="AD23" s="2">
        <f t="shared" si="6"/>
        <v>1.9073486328125E-6</v>
      </c>
      <c r="AF23" s="2">
        <v>19</v>
      </c>
      <c r="AG23" s="2">
        <f t="shared" si="13"/>
        <v>5641.0255432128906</v>
      </c>
      <c r="AH23" s="2">
        <v>-6.3209472500602715E-6</v>
      </c>
      <c r="AI23" s="2">
        <f t="shared" si="14"/>
        <v>5641.0617828369141</v>
      </c>
      <c r="AJ23" s="2">
        <v>1.3312018202668696E-2</v>
      </c>
      <c r="AK23" s="2">
        <f t="shared" si="9"/>
        <v>5641.0436630249023</v>
      </c>
      <c r="AL23" s="2">
        <v>6.6345586083116359E-3</v>
      </c>
      <c r="AM23" s="2">
        <f t="shared" si="10"/>
        <v>-4.1936694990571139E-8</v>
      </c>
      <c r="AN23" s="2">
        <f t="shared" si="11"/>
        <v>8.8319364960516783E-5</v>
      </c>
      <c r="AO23" s="2">
        <f t="shared" si="12"/>
        <v>3.62396240234375E-2</v>
      </c>
    </row>
    <row r="24" spans="2:41" x14ac:dyDescent="0.2">
      <c r="B24" s="35" t="s">
        <v>104</v>
      </c>
      <c r="C24" s="35"/>
      <c r="D24" s="35"/>
      <c r="F24" s="31" t="s">
        <v>81</v>
      </c>
      <c r="G24" s="32"/>
      <c r="H24" s="32"/>
      <c r="J24" s="15" t="s">
        <v>65</v>
      </c>
      <c r="K24" s="6">
        <f xml:space="preserve"> $C$56 * (11.5 * ($C$5*2.20462/1000)^0.4 * 0.453592)</f>
        <v>11.437452985607733</v>
      </c>
      <c r="L24" s="6" t="s">
        <v>7</v>
      </c>
      <c r="N24" s="6" t="s">
        <v>31</v>
      </c>
      <c r="O24" s="18">
        <f>Z34</f>
        <v>5.9222444426268339E-2</v>
      </c>
      <c r="U24" s="2">
        <v>20</v>
      </c>
      <c r="V24" s="2">
        <f t="shared" si="7"/>
        <v>5.9222221374511719E-2</v>
      </c>
      <c r="W24" s="2">
        <f t="shared" si="0"/>
        <v>2.2339561673440089E-7</v>
      </c>
      <c r="X24" s="2">
        <f t="shared" si="8"/>
        <v>5.9223175048828125E-2</v>
      </c>
      <c r="Y24" s="2">
        <f t="shared" si="1"/>
        <v>-7.3173249128671847E-7</v>
      </c>
      <c r="Z24" s="2">
        <f t="shared" si="3"/>
        <v>5.9222698211669922E-2</v>
      </c>
      <c r="AA24" s="2">
        <f t="shared" si="2"/>
        <v>-2.5416843445202897E-7</v>
      </c>
      <c r="AB24" s="2">
        <f t="shared" si="4"/>
        <v>-5.6780114168828159E-14</v>
      </c>
      <c r="AC24" s="2">
        <f t="shared" si="5"/>
        <v>1.8598330174802816E-13</v>
      </c>
      <c r="AD24" s="2">
        <f t="shared" si="6"/>
        <v>9.5367431640625E-7</v>
      </c>
      <c r="AF24" s="2">
        <v>20</v>
      </c>
      <c r="AG24" s="2">
        <f t="shared" si="13"/>
        <v>5641.0255432128906</v>
      </c>
      <c r="AH24" s="2">
        <v>-6.3209472500602715E-6</v>
      </c>
      <c r="AI24" s="2">
        <f t="shared" si="14"/>
        <v>5641.0436630249023</v>
      </c>
      <c r="AJ24" s="2">
        <v>6.6345586083116359E-3</v>
      </c>
      <c r="AK24" s="2">
        <f t="shared" si="9"/>
        <v>5641.0346031188965</v>
      </c>
      <c r="AL24" s="2">
        <v>3.3141169642476598E-3</v>
      </c>
      <c r="AM24" s="2">
        <f t="shared" si="10"/>
        <v>-2.0948358511539342E-8</v>
      </c>
      <c r="AN24" s="2">
        <f t="shared" si="11"/>
        <v>2.1987703234100938E-5</v>
      </c>
      <c r="AO24" s="2">
        <f t="shared" si="12"/>
        <v>1.811981201171875E-2</v>
      </c>
    </row>
    <row r="25" spans="2:41" x14ac:dyDescent="0.2">
      <c r="B25" t="s">
        <v>105</v>
      </c>
      <c r="C25" s="1">
        <v>6</v>
      </c>
      <c r="D25"/>
      <c r="F25" t="s">
        <v>85</v>
      </c>
      <c r="G25" s="1">
        <f>300*0.3048/60</f>
        <v>1.524</v>
      </c>
      <c r="H25" t="s">
        <v>10</v>
      </c>
      <c r="J25" s="15" t="s">
        <v>66</v>
      </c>
      <c r="K25" s="6">
        <f xml:space="preserve"> $C$56 * (8 * ($C$5/1000))</f>
        <v>36.102435571438143</v>
      </c>
      <c r="L25" s="6" t="s">
        <v>7</v>
      </c>
      <c r="N25" s="6" t="s">
        <v>32</v>
      </c>
      <c r="O25" s="6">
        <f xml:space="preserve"> O19 * $C$9 * O24 - $C$8 * SIN(O17/180*PI())</f>
        <v>1.2617390254725454</v>
      </c>
      <c r="P25" s="6" t="s">
        <v>10</v>
      </c>
      <c r="U25" s="2">
        <v>21</v>
      </c>
      <c r="V25" s="2">
        <f t="shared" si="7"/>
        <v>5.9222221374511719E-2</v>
      </c>
      <c r="W25" s="2">
        <f t="shared" si="0"/>
        <v>2.2339561673440089E-7</v>
      </c>
      <c r="X25" s="2">
        <f t="shared" si="8"/>
        <v>5.9222698211669922E-2</v>
      </c>
      <c r="Y25" s="2">
        <f t="shared" si="1"/>
        <v>-2.5416843445202897E-7</v>
      </c>
      <c r="Z25" s="2">
        <f t="shared" si="3"/>
        <v>5.922245979309082E-2</v>
      </c>
      <c r="AA25" s="2">
        <f t="shared" si="2"/>
        <v>-1.5386408154516307E-8</v>
      </c>
      <c r="AB25" s="2">
        <f t="shared" si="4"/>
        <v>-3.4372561390053853E-15</v>
      </c>
      <c r="AC25" s="2">
        <f t="shared" si="5"/>
        <v>3.9107392724733419E-15</v>
      </c>
      <c r="AD25" s="2">
        <f t="shared" si="6"/>
        <v>4.76837158203125E-7</v>
      </c>
      <c r="AF25" s="2">
        <v>21</v>
      </c>
      <c r="AG25" s="2">
        <f t="shared" si="13"/>
        <v>5641.0255432128906</v>
      </c>
      <c r="AH25" s="2">
        <v>-6.3209472500602715E-6</v>
      </c>
      <c r="AI25" s="2">
        <f t="shared" si="14"/>
        <v>5641.0346031188965</v>
      </c>
      <c r="AJ25" s="2">
        <v>3.3141169642476598E-3</v>
      </c>
      <c r="AK25" s="2">
        <f t="shared" si="9"/>
        <v>5641.0300731658936</v>
      </c>
      <c r="AL25" s="2">
        <v>1.653897539654281E-3</v>
      </c>
      <c r="AM25" s="2">
        <f t="shared" si="10"/>
        <v>-1.0454199105159176E-8</v>
      </c>
      <c r="AN25" s="2">
        <f t="shared" si="11"/>
        <v>5.481209893295719E-6</v>
      </c>
      <c r="AO25" s="2">
        <f t="shared" si="12"/>
        <v>9.059906005859375E-3</v>
      </c>
    </row>
    <row r="26" spans="2:41" x14ac:dyDescent="0.2">
      <c r="B26" t="s">
        <v>106</v>
      </c>
      <c r="C26" s="1">
        <v>6.4008000000000003</v>
      </c>
      <c r="D26" t="s">
        <v>8</v>
      </c>
      <c r="F26" t="s">
        <v>91</v>
      </c>
      <c r="G26" s="1">
        <f>1000*0.3048</f>
        <v>304.8</v>
      </c>
      <c r="H26" t="s">
        <v>8</v>
      </c>
      <c r="J26" s="15" t="s">
        <v>67</v>
      </c>
      <c r="K26" s="6">
        <f xml:space="preserve"> $C$56 * (13 * ($C$5*2.20462/1000)^1.3 * 0.453592)</f>
        <v>124.96721098651251</v>
      </c>
      <c r="L26" s="6" t="s">
        <v>7</v>
      </c>
      <c r="N26" s="6" t="s">
        <v>33</v>
      </c>
      <c r="O26" s="6">
        <f xml:space="preserve"> 1/$C$21 - O23 * SQRT( (2*$C$47*PI()*$C$9^2) / O18^3 )</f>
        <v>1.0431939773816639</v>
      </c>
      <c r="U26" s="2">
        <v>22</v>
      </c>
      <c r="V26" s="2">
        <f t="shared" si="7"/>
        <v>5.9222221374511719E-2</v>
      </c>
      <c r="W26" s="2">
        <f t="shared" si="0"/>
        <v>2.2339561673440089E-7</v>
      </c>
      <c r="X26" s="2">
        <f t="shared" si="8"/>
        <v>5.922245979309082E-2</v>
      </c>
      <c r="Y26" s="2">
        <f t="shared" si="1"/>
        <v>-1.5386408154516307E-8</v>
      </c>
      <c r="Z26" s="2">
        <f t="shared" si="3"/>
        <v>5.922234058380127E-2</v>
      </c>
      <c r="AA26" s="2">
        <f t="shared" si="2"/>
        <v>1.0400460447035353E-7</v>
      </c>
      <c r="AB26" s="2">
        <f t="shared" si="4"/>
        <v>2.3234172758872057E-14</v>
      </c>
      <c r="AC26" s="2">
        <f t="shared" si="5"/>
        <v>-1.6002572943298907E-15</v>
      </c>
      <c r="AD26" s="2">
        <f t="shared" si="6"/>
        <v>2.384185791015625E-7</v>
      </c>
      <c r="AF26" s="2">
        <v>22</v>
      </c>
      <c r="AG26" s="2">
        <f t="shared" si="13"/>
        <v>5641.0255432128906</v>
      </c>
      <c r="AH26" s="2">
        <v>-6.3209472500602715E-6</v>
      </c>
      <c r="AI26" s="2">
        <f t="shared" si="14"/>
        <v>5641.0300731658936</v>
      </c>
      <c r="AJ26" s="2">
        <v>1.653897539654281E-3</v>
      </c>
      <c r="AK26" s="2">
        <f t="shared" si="9"/>
        <v>5641.0278081893921</v>
      </c>
      <c r="AL26" s="2">
        <v>8.2378818387951469E-4</v>
      </c>
      <c r="AM26" s="2">
        <f t="shared" si="10"/>
        <v>-5.2071216555253636E-9</v>
      </c>
      <c r="AN26" s="2">
        <f t="shared" si="11"/>
        <v>1.3624612505145978E-6</v>
      </c>
      <c r="AO26" s="2">
        <f t="shared" si="12"/>
        <v>4.5299530029296875E-3</v>
      </c>
    </row>
    <row r="27" spans="2:41" x14ac:dyDescent="0.2">
      <c r="B27" t="s">
        <v>107</v>
      </c>
      <c r="C27" s="1">
        <v>2.0560284000000002</v>
      </c>
      <c r="D27" t="s">
        <v>8</v>
      </c>
      <c r="F27" t="s">
        <v>90</v>
      </c>
      <c r="G27" s="8">
        <f>$G$26/$G$25</f>
        <v>200</v>
      </c>
      <c r="H27" t="s">
        <v>13</v>
      </c>
      <c r="J27" s="10" t="s">
        <v>54</v>
      </c>
      <c r="K27" s="10">
        <f>$C$5 - $C$13 - SUM(K13:K26)</f>
        <v>-7.36523375599063E-3</v>
      </c>
      <c r="L27" s="10" t="s">
        <v>7</v>
      </c>
      <c r="N27" s="6" t="s">
        <v>34</v>
      </c>
      <c r="O27" s="17">
        <v>1.1499999999999999</v>
      </c>
      <c r="U27" s="2">
        <v>23</v>
      </c>
      <c r="V27" s="2">
        <f t="shared" si="7"/>
        <v>5.922234058380127E-2</v>
      </c>
      <c r="W27" s="2">
        <f t="shared" si="0"/>
        <v>1.0400460447035353E-7</v>
      </c>
      <c r="X27" s="2">
        <f t="shared" si="8"/>
        <v>5.922245979309082E-2</v>
      </c>
      <c r="Y27" s="2">
        <f t="shared" si="1"/>
        <v>-1.5386408154516307E-8</v>
      </c>
      <c r="Z27" s="2">
        <f t="shared" si="3"/>
        <v>5.9222400188446045E-2</v>
      </c>
      <c r="AA27" s="2">
        <f t="shared" si="2"/>
        <v>4.4309098203021424E-8</v>
      </c>
      <c r="AB27" s="2">
        <f t="shared" si="4"/>
        <v>4.608350233043296E-15</v>
      </c>
      <c r="AC27" s="2">
        <f t="shared" si="5"/>
        <v>-6.817578699102327E-16</v>
      </c>
      <c r="AD27" s="2">
        <f t="shared" si="6"/>
        <v>1.1920928955078125E-7</v>
      </c>
      <c r="AF27" s="2">
        <v>23</v>
      </c>
      <c r="AG27" s="2">
        <f t="shared" si="13"/>
        <v>5641.0255432128906</v>
      </c>
      <c r="AH27" s="2">
        <v>-6.3209472500602715E-6</v>
      </c>
      <c r="AI27" s="2">
        <f t="shared" si="14"/>
        <v>5641.0278081893921</v>
      </c>
      <c r="AJ27" s="2">
        <v>8.2378818387951469E-4</v>
      </c>
      <c r="AK27" s="2">
        <f t="shared" si="9"/>
        <v>5641.0266757011414</v>
      </c>
      <c r="AL27" s="2">
        <v>3.9045116409397451E-4</v>
      </c>
      <c r="AM27" s="2">
        <f t="shared" si="10"/>
        <v>-2.46802121196264E-9</v>
      </c>
      <c r="AN27" s="2">
        <f t="shared" si="11"/>
        <v>3.2164905536261765E-7</v>
      </c>
      <c r="AO27" s="2">
        <f t="shared" si="12"/>
        <v>2.2649765014648438E-3</v>
      </c>
    </row>
    <row r="28" spans="2:41" x14ac:dyDescent="0.2">
      <c r="F28" t="s">
        <v>19</v>
      </c>
      <c r="G28" s="6">
        <f xml:space="preserve"> $C$5 * $C$44 / $C$18</f>
        <v>13822.566573346616</v>
      </c>
      <c r="H28" t="s">
        <v>20</v>
      </c>
      <c r="J28" s="6" t="s">
        <v>55</v>
      </c>
      <c r="K28" s="4" t="str">
        <f>IF(ABS(K27)&lt;1, "TRUE", "FALSE")</f>
        <v>TRUE</v>
      </c>
      <c r="N28" s="6" t="s">
        <v>35</v>
      </c>
      <c r="O28" s="6">
        <f xml:space="preserve"> 1/$C$53 * LN( EXP($C$53 * O26) + EXP($C$53 * O27) )</f>
        <v>1.1513263307436206</v>
      </c>
      <c r="U28" s="2">
        <v>24</v>
      </c>
      <c r="V28" s="2">
        <f t="shared" si="7"/>
        <v>5.9222400188446045E-2</v>
      </c>
      <c r="W28" s="2">
        <f t="shared" si="0"/>
        <v>4.4309098203021424E-8</v>
      </c>
      <c r="X28" s="2">
        <f t="shared" si="8"/>
        <v>5.922245979309082E-2</v>
      </c>
      <c r="Y28" s="2">
        <f t="shared" si="1"/>
        <v>-1.5386408154516307E-8</v>
      </c>
      <c r="Z28" s="2">
        <f t="shared" si="3"/>
        <v>5.9222429990768433E-2</v>
      </c>
      <c r="AA28" s="2">
        <f t="shared" si="2"/>
        <v>1.4461345038130347E-8</v>
      </c>
      <c r="AB28" s="2">
        <f t="shared" si="4"/>
        <v>6.4076915744229415E-16</v>
      </c>
      <c r="AC28" s="2">
        <f t="shared" si="5"/>
        <v>-2.2250815721996269E-16</v>
      </c>
      <c r="AD28" s="2">
        <f t="shared" si="6"/>
        <v>5.9604644775390625E-8</v>
      </c>
      <c r="AF28" s="2">
        <v>24</v>
      </c>
      <c r="AG28" s="2">
        <f t="shared" si="13"/>
        <v>5641.0255432128906</v>
      </c>
      <c r="AH28" s="2">
        <v>-6.3209472500602715E-6</v>
      </c>
      <c r="AI28" s="2">
        <f t="shared" si="14"/>
        <v>5641.0266757011414</v>
      </c>
      <c r="AJ28" s="2">
        <v>3.9045116409397451E-4</v>
      </c>
      <c r="AK28" s="2">
        <f t="shared" si="9"/>
        <v>5641.026109457016</v>
      </c>
      <c r="AL28" s="2">
        <v>1.7378267966705607E-4</v>
      </c>
      <c r="AM28" s="2">
        <f t="shared" si="10"/>
        <v>-1.0984711511495831E-9</v>
      </c>
      <c r="AN28" s="2">
        <f t="shared" si="11"/>
        <v>6.7853649575372319E-8</v>
      </c>
      <c r="AO28" s="2">
        <f t="shared" si="12"/>
        <v>1.1324882507324219E-3</v>
      </c>
    </row>
    <row r="29" spans="2:41" x14ac:dyDescent="0.2">
      <c r="B29" s="35" t="s">
        <v>108</v>
      </c>
      <c r="C29" s="35"/>
      <c r="D29" s="35"/>
      <c r="F29" t="s">
        <v>97</v>
      </c>
      <c r="G29" s="6">
        <f>G31/$C$18</f>
        <v>191.95288913765003</v>
      </c>
      <c r="H29" t="s">
        <v>18</v>
      </c>
      <c r="U29" s="2">
        <v>25</v>
      </c>
      <c r="V29" s="2">
        <f t="shared" si="7"/>
        <v>5.9222429990768433E-2</v>
      </c>
      <c r="W29" s="2">
        <f t="shared" si="0"/>
        <v>1.4461345038130347E-8</v>
      </c>
      <c r="X29" s="2">
        <f t="shared" si="8"/>
        <v>5.922245979309082E-2</v>
      </c>
      <c r="Y29" s="2">
        <f t="shared" si="1"/>
        <v>-1.5386408154516307E-8</v>
      </c>
      <c r="Z29" s="2">
        <f t="shared" si="3"/>
        <v>5.9222444891929626E-2</v>
      </c>
      <c r="AA29" s="2">
        <f t="shared" si="2"/>
        <v>-4.6253155472353313E-10</v>
      </c>
      <c r="AB29" s="2">
        <f t="shared" si="4"/>
        <v>-6.6888284038798811E-18</v>
      </c>
      <c r="AC29" s="2">
        <f t="shared" si="5"/>
        <v>7.1166992853192757E-18</v>
      </c>
      <c r="AD29" s="2">
        <f t="shared" si="6"/>
        <v>2.9802322387695312E-8</v>
      </c>
      <c r="AF29" s="2">
        <v>25</v>
      </c>
      <c r="AG29" s="2">
        <f t="shared" si="13"/>
        <v>5641.0255432128906</v>
      </c>
      <c r="AH29" s="2">
        <v>-6.3209472500602715E-6</v>
      </c>
      <c r="AI29" s="2">
        <f t="shared" si="14"/>
        <v>5641.026109457016</v>
      </c>
      <c r="AJ29" s="2">
        <v>1.7378267966705607E-4</v>
      </c>
      <c r="AK29" s="2">
        <f t="shared" si="9"/>
        <v>5641.0258263349533</v>
      </c>
      <c r="AL29" s="2">
        <v>8.3730866208497901E-5</v>
      </c>
      <c r="AM29" s="2">
        <f t="shared" si="10"/>
        <v>-5.2925838850576931E-10</v>
      </c>
      <c r="AN29" s="2">
        <f t="shared" si="11"/>
        <v>1.455097430055652E-8</v>
      </c>
      <c r="AO29" s="2">
        <f t="shared" si="12"/>
        <v>5.6624412536621094E-4</v>
      </c>
    </row>
    <row r="30" spans="2:41" x14ac:dyDescent="0.2">
      <c r="B30" s="6" t="s">
        <v>116</v>
      </c>
      <c r="C30" s="21" t="s">
        <v>133</v>
      </c>
      <c r="F30" t="s">
        <v>146</v>
      </c>
      <c r="G30" s="6">
        <f xml:space="preserve"> (G28/$C$44*1000) / (G29*1000)</f>
        <v>7.3468620130953424</v>
      </c>
      <c r="H30" s="6" t="s">
        <v>147</v>
      </c>
      <c r="J30" s="33" t="s">
        <v>111</v>
      </c>
      <c r="K30" s="33"/>
      <c r="L30" s="33"/>
      <c r="U30" s="2">
        <v>26</v>
      </c>
      <c r="V30" s="2">
        <f t="shared" si="7"/>
        <v>5.9222429990768433E-2</v>
      </c>
      <c r="W30" s="2">
        <f t="shared" si="0"/>
        <v>1.4461345038130347E-8</v>
      </c>
      <c r="X30" s="2">
        <f t="shared" si="8"/>
        <v>5.9222444891929626E-2</v>
      </c>
      <c r="Y30" s="2">
        <f t="shared" si="1"/>
        <v>-4.6253155472353313E-10</v>
      </c>
      <c r="Z30" s="2">
        <f t="shared" si="3"/>
        <v>5.922243744134903E-2</v>
      </c>
      <c r="AA30" s="2">
        <f t="shared" si="2"/>
        <v>6.9994067417034067E-9</v>
      </c>
      <c r="AB30" s="2">
        <f t="shared" si="4"/>
        <v>1.0122083595398865E-16</v>
      </c>
      <c r="AC30" s="2">
        <f t="shared" si="5"/>
        <v>-3.2374464823824559E-18</v>
      </c>
      <c r="AD30" s="2">
        <f t="shared" si="6"/>
        <v>1.4901161193847656E-8</v>
      </c>
      <c r="AF30" s="2">
        <v>26</v>
      </c>
      <c r="AG30" s="2">
        <f t="shared" si="13"/>
        <v>5641.0255432128906</v>
      </c>
      <c r="AH30" s="2">
        <v>-6.3209472500602715E-6</v>
      </c>
      <c r="AI30" s="2">
        <f t="shared" si="14"/>
        <v>5641.0258263349533</v>
      </c>
      <c r="AJ30" s="2">
        <v>8.3730866208497901E-5</v>
      </c>
      <c r="AK30" s="2">
        <f t="shared" si="9"/>
        <v>5641.025684773922</v>
      </c>
      <c r="AL30" s="2">
        <v>2.0422539819264784E-5</v>
      </c>
      <c r="AM30" s="2">
        <f t="shared" si="10"/>
        <v>-1.2908979690982813E-10</v>
      </c>
      <c r="AN30" s="2">
        <f t="shared" si="11"/>
        <v>1.7099969492445806E-9</v>
      </c>
      <c r="AO30" s="2">
        <f t="shared" si="12"/>
        <v>2.8312206268310547E-4</v>
      </c>
    </row>
    <row r="31" spans="2:41" x14ac:dyDescent="0.2">
      <c r="B31" s="6" t="s">
        <v>117</v>
      </c>
      <c r="C31" s="6">
        <f>IF(C30="wheeled",0.0325,0.014)</f>
        <v>1.4E-2</v>
      </c>
      <c r="F31" s="24" t="s">
        <v>83</v>
      </c>
      <c r="G31" s="25">
        <f xml:space="preserve"> 1/1000 * IF($G$25&gt;= 2*SQRT(($C$5*$C$44)/(2*$C$41*$C$18*PI()*$C$9*$C$9)), ($C$5*$C$44)/$C$21 * ( ($G$25/2) - SQRT( ($G$25/2)^2 - ($C$5*$C$44)/(2*$C$41*$C$18*PI()*$C$9*$C$9 ) ) ), 1/$C$21 * SQRT(($C$5*$C$44)^3/(2*$C$41*$C$18*PI()*$C$9*$C$9)) )</f>
        <v>767.81155655060013</v>
      </c>
      <c r="H31" s="24" t="s">
        <v>101</v>
      </c>
      <c r="J31" s="6" t="s">
        <v>57</v>
      </c>
      <c r="K31" s="6">
        <f>ROUND($C$13,2)</f>
        <v>600</v>
      </c>
      <c r="L31" s="6" t="s">
        <v>7</v>
      </c>
      <c r="U31" s="2">
        <v>27</v>
      </c>
      <c r="V31" s="2">
        <f t="shared" si="7"/>
        <v>5.922243744134903E-2</v>
      </c>
      <c r="W31" s="2">
        <f t="shared" si="0"/>
        <v>6.9994067417034067E-9</v>
      </c>
      <c r="X31" s="2">
        <f t="shared" si="8"/>
        <v>5.9222444891929626E-2</v>
      </c>
      <c r="Y31" s="2">
        <f t="shared" si="1"/>
        <v>-4.6253155472353313E-10</v>
      </c>
      <c r="Z31" s="2">
        <f t="shared" si="3"/>
        <v>5.9222441166639328E-2</v>
      </c>
      <c r="AA31" s="2">
        <f t="shared" si="2"/>
        <v>3.2684375900204898E-9</v>
      </c>
      <c r="AB31" s="2">
        <f t="shared" si="4"/>
        <v>2.2877124102426252E-17</v>
      </c>
      <c r="AC31" s="2">
        <f t="shared" si="5"/>
        <v>-1.5117555200290149E-18</v>
      </c>
      <c r="AD31" s="2">
        <f t="shared" si="6"/>
        <v>7.4505805969238281E-9</v>
      </c>
      <c r="AF31" s="2">
        <v>27</v>
      </c>
      <c r="AG31" s="2">
        <f t="shared" si="13"/>
        <v>5641.0255432128906</v>
      </c>
      <c r="AH31" s="2">
        <v>-6.3209472500602715E-6</v>
      </c>
      <c r="AI31" s="2">
        <f t="shared" si="14"/>
        <v>5641.025684773922</v>
      </c>
      <c r="AJ31" s="2">
        <v>2.0422539819264784E-5</v>
      </c>
      <c r="AK31" s="2">
        <f t="shared" si="9"/>
        <v>5641.0256139934063</v>
      </c>
      <c r="AL31" s="2">
        <v>7.0508003773284145E-6</v>
      </c>
      <c r="AM31" s="2">
        <f t="shared" si="10"/>
        <v>-4.4567737255797966E-11</v>
      </c>
      <c r="AN31" s="2">
        <f t="shared" si="11"/>
        <v>1.4399525146367671E-10</v>
      </c>
      <c r="AO31" s="2">
        <f t="shared" si="12"/>
        <v>1.4156103134155273E-4</v>
      </c>
    </row>
    <row r="32" spans="2:41" x14ac:dyDescent="0.2">
      <c r="B32" t="s">
        <v>134</v>
      </c>
      <c r="C32" s="1">
        <v>2.8540374719999999</v>
      </c>
      <c r="D32" t="s">
        <v>8</v>
      </c>
      <c r="J32" s="11" t="s">
        <v>52</v>
      </c>
      <c r="K32" s="6">
        <f>ROUND(K13,2)</f>
        <v>3129.4</v>
      </c>
      <c r="L32" s="6" t="s">
        <v>7</v>
      </c>
      <c r="U32" s="2">
        <v>28</v>
      </c>
      <c r="V32" s="2">
        <f t="shared" si="7"/>
        <v>5.9222441166639328E-2</v>
      </c>
      <c r="W32" s="2">
        <f t="shared" si="0"/>
        <v>3.2684375900204898E-9</v>
      </c>
      <c r="X32" s="2">
        <f t="shared" si="8"/>
        <v>5.9222444891929626E-2</v>
      </c>
      <c r="Y32" s="2">
        <f t="shared" si="1"/>
        <v>-4.6253155472353313E-10</v>
      </c>
      <c r="Z32" s="2">
        <f t="shared" si="3"/>
        <v>5.9222443029284477E-2</v>
      </c>
      <c r="AA32" s="2">
        <f t="shared" si="2"/>
        <v>1.4029530176484784E-9</v>
      </c>
      <c r="AB32" s="2">
        <f t="shared" si="4"/>
        <v>4.5854643799149665E-18</v>
      </c>
      <c r="AC32" s="2">
        <f t="shared" si="5"/>
        <v>-6.4891004045702311E-19</v>
      </c>
      <c r="AD32" s="2">
        <f t="shared" si="6"/>
        <v>3.7252902984619141E-9</v>
      </c>
      <c r="AF32" s="2">
        <v>28</v>
      </c>
      <c r="AG32" s="2">
        <f t="shared" si="13"/>
        <v>5641.0255432128906</v>
      </c>
      <c r="AH32" s="2">
        <v>-6.3209472500602715E-6</v>
      </c>
      <c r="AI32" s="2">
        <f t="shared" si="14"/>
        <v>5641.0256139934063</v>
      </c>
      <c r="AJ32" s="2">
        <v>7.0508003773284145E-6</v>
      </c>
      <c r="AK32" s="2">
        <f t="shared" si="9"/>
        <v>5641.0255786031485</v>
      </c>
      <c r="AL32" s="2">
        <v>3.6492747312877327E-7</v>
      </c>
      <c r="AM32" s="2">
        <f t="shared" si="10"/>
        <v>-2.306687307744763E-12</v>
      </c>
      <c r="AN32" s="2">
        <f t="shared" si="11"/>
        <v>2.5730307652338594E-12</v>
      </c>
      <c r="AO32" s="2">
        <f t="shared" si="12"/>
        <v>7.0780515670776367E-5</v>
      </c>
    </row>
    <row r="33" spans="2:41" x14ac:dyDescent="0.2">
      <c r="B33" t="s">
        <v>135</v>
      </c>
      <c r="C33" s="1">
        <f>(0.750222528+0.849998808)/2</f>
        <v>0.80011066800000008</v>
      </c>
      <c r="D33"/>
      <c r="F33" s="31" t="s">
        <v>156</v>
      </c>
      <c r="G33" s="32"/>
      <c r="H33" s="32"/>
      <c r="J33" s="19" t="s">
        <v>78</v>
      </c>
      <c r="K33" s="6">
        <f>ROUND(SUM(K14:K17),2)</f>
        <v>1344.97</v>
      </c>
      <c r="L33" s="6" t="s">
        <v>7</v>
      </c>
      <c r="U33" s="2">
        <v>29</v>
      </c>
      <c r="V33" s="2">
        <f t="shared" si="7"/>
        <v>5.9222443029284477E-2</v>
      </c>
      <c r="W33" s="2">
        <f t="shared" si="0"/>
        <v>1.4029530176484784E-9</v>
      </c>
      <c r="X33" s="2">
        <f t="shared" si="8"/>
        <v>5.9222444891929626E-2</v>
      </c>
      <c r="Y33" s="2">
        <f t="shared" si="1"/>
        <v>-4.6253155472353313E-10</v>
      </c>
      <c r="Z33" s="2">
        <f t="shared" si="3"/>
        <v>5.9222443960607052E-2</v>
      </c>
      <c r="AA33" s="2">
        <f t="shared" si="2"/>
        <v>4.7021073146247261E-10</v>
      </c>
      <c r="AB33" s="2">
        <f t="shared" si="4"/>
        <v>6.5968356463597425E-19</v>
      </c>
      <c r="AC33" s="2">
        <f t="shared" si="5"/>
        <v>-2.1748730067102719E-19</v>
      </c>
      <c r="AD33" s="2">
        <f t="shared" si="6"/>
        <v>1.862645149230957E-9</v>
      </c>
      <c r="AF33" s="2">
        <v>29</v>
      </c>
      <c r="AG33" s="2">
        <f t="shared" si="13"/>
        <v>5641.0255432128906</v>
      </c>
      <c r="AH33" s="2">
        <v>-6.3209472500602715E-6</v>
      </c>
      <c r="AI33" s="2">
        <f t="shared" si="14"/>
        <v>5641.0255786031485</v>
      </c>
      <c r="AJ33" s="2">
        <v>3.6492747312877327E-7</v>
      </c>
      <c r="AK33" s="2">
        <f t="shared" si="9"/>
        <v>5641.0255609080195</v>
      </c>
      <c r="AL33" s="2">
        <v>-2.9780112527078018E-6</v>
      </c>
      <c r="AM33" s="2">
        <f t="shared" si="10"/>
        <v>1.8823852038451924E-11</v>
      </c>
      <c r="AN33" s="2">
        <f t="shared" si="11"/>
        <v>-1.0867581213997108E-12</v>
      </c>
      <c r="AO33" s="2">
        <f t="shared" si="12"/>
        <v>3.5390257835388184E-5</v>
      </c>
    </row>
    <row r="34" spans="2:41" x14ac:dyDescent="0.2">
      <c r="F34" s="9" t="s">
        <v>157</v>
      </c>
      <c r="G34" s="17">
        <f>20*60</f>
        <v>1200</v>
      </c>
      <c r="H34" s="6" t="s">
        <v>13</v>
      </c>
      <c r="J34" s="20" t="s">
        <v>69</v>
      </c>
      <c r="K34" s="6">
        <f>ROUND(SUM(K18:K22),2)</f>
        <v>273.2</v>
      </c>
      <c r="L34" s="6" t="s">
        <v>7</v>
      </c>
      <c r="U34" s="2">
        <v>30</v>
      </c>
      <c r="V34" s="2">
        <f t="shared" si="7"/>
        <v>5.9222443960607052E-2</v>
      </c>
      <c r="W34" s="2">
        <f t="shared" si="0"/>
        <v>4.7021073146247261E-10</v>
      </c>
      <c r="X34" s="2">
        <f t="shared" si="8"/>
        <v>5.9222444891929626E-2</v>
      </c>
      <c r="Y34" s="2">
        <f t="shared" si="1"/>
        <v>-4.6253155472353313E-10</v>
      </c>
      <c r="Z34" s="2">
        <f t="shared" si="3"/>
        <v>5.9222444426268339E-2</v>
      </c>
      <c r="AA34" s="2">
        <f t="shared" si="2"/>
        <v>3.8395883694697375E-12</v>
      </c>
      <c r="AB34" s="2">
        <f t="shared" si="4"/>
        <v>1.8054156557231678E-21</v>
      </c>
      <c r="AC34" s="2">
        <f t="shared" si="5"/>
        <v>-1.7759307780292332E-21</v>
      </c>
      <c r="AD34" s="2">
        <f>X34-V34</f>
        <v>9.3132257461547852E-10</v>
      </c>
      <c r="AF34" s="2">
        <v>30</v>
      </c>
      <c r="AG34" s="2">
        <f t="shared" si="13"/>
        <v>5641.0255609080195</v>
      </c>
      <c r="AH34" s="2">
        <v>-2.9780112527078018E-6</v>
      </c>
      <c r="AI34" s="2">
        <f t="shared" si="14"/>
        <v>5641.0255786031485</v>
      </c>
      <c r="AJ34" s="2">
        <v>3.6492747312877327E-7</v>
      </c>
      <c r="AK34" s="2">
        <f t="shared" si="9"/>
        <v>5641.025569755584</v>
      </c>
      <c r="AL34" s="2">
        <v>-1.3065418897895142E-6</v>
      </c>
      <c r="AM34" s="2">
        <f t="shared" si="10"/>
        <v>3.89089644992729E-12</v>
      </c>
      <c r="AN34" s="2">
        <f t="shared" si="11"/>
        <v>-4.7679303037777961E-13</v>
      </c>
      <c r="AO34" s="2">
        <f t="shared" si="12"/>
        <v>1.7695128917694092E-5</v>
      </c>
    </row>
    <row r="35" spans="2:41" x14ac:dyDescent="0.2">
      <c r="B35" s="33" t="s">
        <v>2</v>
      </c>
      <c r="C35" s="33"/>
      <c r="D35" s="33"/>
      <c r="F35" s="26" t="s">
        <v>132</v>
      </c>
      <c r="G35" s="25">
        <f xml:space="preserve"> G22</f>
        <v>712.93557236827792</v>
      </c>
      <c r="H35" s="25" t="s">
        <v>101</v>
      </c>
      <c r="J35" s="15" t="s">
        <v>70</v>
      </c>
      <c r="K35" s="6">
        <f>ROUND(SUM(K23:K26),2)</f>
        <v>293.45</v>
      </c>
      <c r="L35" s="6" t="s">
        <v>7</v>
      </c>
      <c r="AF35" s="2">
        <v>31</v>
      </c>
      <c r="AG35" s="2">
        <f t="shared" si="13"/>
        <v>5641.025569755584</v>
      </c>
      <c r="AH35" s="2">
        <v>-1.3065418897895142E-6</v>
      </c>
      <c r="AI35" s="2">
        <f t="shared" si="14"/>
        <v>5641.0255786031485</v>
      </c>
      <c r="AJ35" s="2">
        <v>3.6492747312877327E-7</v>
      </c>
      <c r="AK35" s="2">
        <f t="shared" si="9"/>
        <v>5641.0255741793662</v>
      </c>
      <c r="AL35" s="2">
        <v>-4.7080811782507226E-7</v>
      </c>
      <c r="AM35" s="2">
        <f t="shared" si="10"/>
        <v>6.151305279914142E-13</v>
      </c>
      <c r="AN35" s="2">
        <f t="shared" si="11"/>
        <v>-1.7181081676641738E-13</v>
      </c>
      <c r="AO35" s="2">
        <f t="shared" si="12"/>
        <v>8.8475644588470459E-6</v>
      </c>
    </row>
    <row r="36" spans="2:41" x14ac:dyDescent="0.2">
      <c r="B36" s="6" t="s">
        <v>3</v>
      </c>
      <c r="C36" s="17">
        <v>250</v>
      </c>
      <c r="D36" s="6" t="s">
        <v>4</v>
      </c>
      <c r="J36" s="10" t="s">
        <v>59</v>
      </c>
      <c r="K36" s="10">
        <f>SUM(K31:K35)</f>
        <v>5641.0199999999995</v>
      </c>
      <c r="L36" s="6" t="s">
        <v>7</v>
      </c>
      <c r="AF36" s="2">
        <v>32</v>
      </c>
      <c r="AG36" s="2">
        <f t="shared" si="13"/>
        <v>5641.0255741793662</v>
      </c>
      <c r="AH36" s="2">
        <v>-4.7080811782507226E-7</v>
      </c>
      <c r="AI36" s="2">
        <f t="shared" si="14"/>
        <v>5641.0255786031485</v>
      </c>
      <c r="AJ36" s="2">
        <v>3.6492747312877327E-7</v>
      </c>
      <c r="AK36" s="2">
        <f t="shared" si="9"/>
        <v>5641.0255763912573</v>
      </c>
      <c r="AL36" s="2">
        <v>-5.294077709550038E-8</v>
      </c>
      <c r="AM36" s="2">
        <f t="shared" si="10"/>
        <v>2.492494762052923E-14</v>
      </c>
      <c r="AN36" s="2">
        <f t="shared" si="11"/>
        <v>-1.931954401093459E-14</v>
      </c>
      <c r="AO36" s="2">
        <f t="shared" si="12"/>
        <v>4.4237822294235229E-6</v>
      </c>
    </row>
    <row r="37" spans="2:41" x14ac:dyDescent="0.2">
      <c r="B37" s="6" t="s">
        <v>5</v>
      </c>
      <c r="C37" s="17">
        <v>0.85</v>
      </c>
      <c r="AF37" s="2">
        <v>33</v>
      </c>
      <c r="AG37" s="2">
        <f t="shared" si="13"/>
        <v>5641.0255763912573</v>
      </c>
      <c r="AH37" s="2">
        <v>-5.294077709550038E-8</v>
      </c>
      <c r="AI37" s="2">
        <f t="shared" si="14"/>
        <v>5641.0255786031485</v>
      </c>
      <c r="AJ37" s="2">
        <v>3.6492747312877327E-7</v>
      </c>
      <c r="AK37" s="2">
        <f t="shared" si="9"/>
        <v>5641.0255774972029</v>
      </c>
      <c r="AL37" s="2">
        <v>1.5599107427988201E-7</v>
      </c>
      <c r="AM37" s="2">
        <f t="shared" si="10"/>
        <v>-8.2582886923388761E-15</v>
      </c>
      <c r="AN37" s="2">
        <f t="shared" si="11"/>
        <v>5.6925428567600119E-14</v>
      </c>
      <c r="AO37" s="2">
        <f t="shared" si="12"/>
        <v>2.2118911147117615E-6</v>
      </c>
    </row>
    <row r="38" spans="2:41" x14ac:dyDescent="0.2">
      <c r="B38" s="6" t="s">
        <v>6</v>
      </c>
      <c r="C38" s="17">
        <v>0.8</v>
      </c>
      <c r="J38" s="33" t="s">
        <v>56</v>
      </c>
      <c r="K38" s="33"/>
      <c r="L38" s="33"/>
      <c r="AF38" s="2">
        <v>34</v>
      </c>
      <c r="AG38" s="2">
        <f t="shared" si="13"/>
        <v>5641.0255763912573</v>
      </c>
      <c r="AH38" s="2">
        <v>-5.294077709550038E-8</v>
      </c>
      <c r="AI38" s="2">
        <f t="shared" si="14"/>
        <v>5641.0255774972029</v>
      </c>
      <c r="AJ38" s="2">
        <v>1.5599107427988201E-7</v>
      </c>
      <c r="AK38" s="2">
        <f t="shared" si="9"/>
        <v>5641.0255769442301</v>
      </c>
      <c r="AL38" s="2">
        <v>5.1523784350138158E-8</v>
      </c>
      <c r="AM38" s="2">
        <f t="shared" si="10"/>
        <v>-2.7277091823972951E-15</v>
      </c>
      <c r="AN38" s="2">
        <f t="shared" si="11"/>
        <v>8.0372504717430238E-15</v>
      </c>
      <c r="AO38" s="2">
        <f t="shared" si="12"/>
        <v>1.1059455573558807E-6</v>
      </c>
    </row>
    <row r="39" spans="2:41" x14ac:dyDescent="0.2">
      <c r="J39" s="6" t="s">
        <v>57</v>
      </c>
      <c r="K39" s="6">
        <f>ROUND($C$13/$C$5 * 100, 2)</f>
        <v>10.64</v>
      </c>
      <c r="L39" s="6" t="s">
        <v>58</v>
      </c>
      <c r="AF39" s="2">
        <v>35</v>
      </c>
      <c r="AG39" s="2">
        <f t="shared" si="13"/>
        <v>5641.0255763912573</v>
      </c>
      <c r="AH39" s="2">
        <v>-5.294077709550038E-8</v>
      </c>
      <c r="AI39" s="2">
        <f t="shared" si="14"/>
        <v>5641.0255769442301</v>
      </c>
      <c r="AJ39" s="2">
        <v>5.1523784350138158E-8</v>
      </c>
      <c r="AK39" s="2">
        <f t="shared" si="9"/>
        <v>5641.0255766677437</v>
      </c>
      <c r="AL39" s="2">
        <v>-7.0758687797933817E-10</v>
      </c>
      <c r="AM39" s="2">
        <f t="shared" si="10"/>
        <v>3.7460199182805168E-17</v>
      </c>
      <c r="AN39" s="2">
        <f t="shared" si="11"/>
        <v>-3.6457553709994942E-17</v>
      </c>
      <c r="AO39" s="2">
        <f t="shared" si="12"/>
        <v>5.5297277867794037E-7</v>
      </c>
    </row>
    <row r="40" spans="2:41" x14ac:dyDescent="0.2">
      <c r="B40" s="33" t="s">
        <v>144</v>
      </c>
      <c r="C40" s="36"/>
      <c r="D40" s="36"/>
      <c r="J40" s="11" t="s">
        <v>52</v>
      </c>
      <c r="K40" s="6">
        <f>ROUND(K13/$C$5 * 100, 2)</f>
        <v>55.48</v>
      </c>
      <c r="L40" s="6" t="s">
        <v>58</v>
      </c>
      <c r="AF40" s="2">
        <v>36</v>
      </c>
      <c r="AG40" s="2">
        <f t="shared" si="13"/>
        <v>5641.0255766677437</v>
      </c>
      <c r="AH40" s="2">
        <v>-7.0758687797933817E-10</v>
      </c>
      <c r="AI40" s="2">
        <f t="shared" si="14"/>
        <v>5641.0255769442301</v>
      </c>
      <c r="AJ40" s="2">
        <v>5.1523784350138158E-8</v>
      </c>
      <c r="AK40" s="2">
        <f t="shared" si="9"/>
        <v>5641.0255768059869</v>
      </c>
      <c r="AL40" s="2">
        <v>2.5410372472833842E-8</v>
      </c>
      <c r="AM40" s="2">
        <f t="shared" si="10"/>
        <v>-1.7980046126344613E-17</v>
      </c>
      <c r="AN40" s="2">
        <f t="shared" si="11"/>
        <v>1.3092385515469777E-15</v>
      </c>
      <c r="AO40" s="2">
        <f t="shared" si="12"/>
        <v>2.7648638933897018E-7</v>
      </c>
    </row>
    <row r="41" spans="2:41" x14ac:dyDescent="0.2">
      <c r="B41" s="6" t="s">
        <v>14</v>
      </c>
      <c r="C41" s="17">
        <v>1.0397562309141399</v>
      </c>
      <c r="D41" s="6" t="s">
        <v>15</v>
      </c>
      <c r="J41" s="19" t="s">
        <v>78</v>
      </c>
      <c r="K41" s="6">
        <f>ROUND(SUM(K14:K17)/$C$5 * 100, 2)</f>
        <v>23.84</v>
      </c>
      <c r="L41" s="6" t="s">
        <v>58</v>
      </c>
      <c r="AF41" s="2">
        <v>37</v>
      </c>
      <c r="AG41" s="2">
        <f t="shared" si="13"/>
        <v>5641.0255766677437</v>
      </c>
      <c r="AH41" s="2">
        <v>-7.0758687797933817E-10</v>
      </c>
      <c r="AI41" s="2">
        <f t="shared" si="14"/>
        <v>5641.0255768059869</v>
      </c>
      <c r="AJ41" s="2">
        <v>2.5410372472833842E-8</v>
      </c>
      <c r="AK41" s="2">
        <f t="shared" si="9"/>
        <v>5641.0255767368653</v>
      </c>
      <c r="AL41" s="2">
        <v>1.2350028555374593E-8</v>
      </c>
      <c r="AM41" s="2">
        <f t="shared" si="10"/>
        <v>-8.7387181484531839E-18</v>
      </c>
      <c r="AN41" s="2">
        <f t="shared" si="11"/>
        <v>3.1381882564220245E-16</v>
      </c>
      <c r="AO41" s="2">
        <f t="shared" si="12"/>
        <v>1.3824319466948509E-7</v>
      </c>
    </row>
    <row r="42" spans="2:41" x14ac:dyDescent="0.2">
      <c r="B42" s="6" t="s">
        <v>130</v>
      </c>
      <c r="C42" s="23">
        <v>1.7363179204150701E-5</v>
      </c>
      <c r="D42" s="6" t="s">
        <v>129</v>
      </c>
      <c r="J42" s="20" t="s">
        <v>69</v>
      </c>
      <c r="K42" s="6">
        <f>ROUND(SUM(K18:K22)/$C$5 * 100, 2)</f>
        <v>4.84</v>
      </c>
      <c r="L42" s="6" t="s">
        <v>58</v>
      </c>
      <c r="AF42" s="2">
        <v>38</v>
      </c>
      <c r="AG42" s="2">
        <f t="shared" si="13"/>
        <v>5641.0255766677437</v>
      </c>
      <c r="AH42" s="2">
        <v>-7.0758687797933817E-10</v>
      </c>
      <c r="AI42" s="2">
        <f t="shared" si="14"/>
        <v>5641.0255767368653</v>
      </c>
      <c r="AJ42" s="2">
        <v>1.2350028555374593E-8</v>
      </c>
      <c r="AK42" s="2">
        <f t="shared" si="9"/>
        <v>5641.0255767023045</v>
      </c>
      <c r="AL42" s="2">
        <v>5.8225850807502866E-9</v>
      </c>
      <c r="AM42" s="2">
        <f t="shared" si="10"/>
        <v>-4.1199847990571679E-18</v>
      </c>
      <c r="AN42" s="2">
        <f t="shared" si="11"/>
        <v>7.1909092013364117E-17</v>
      </c>
      <c r="AO42" s="2">
        <f t="shared" si="12"/>
        <v>6.9121597334742546E-8</v>
      </c>
    </row>
    <row r="43" spans="2:41" x14ac:dyDescent="0.2">
      <c r="B43" s="6" t="s">
        <v>123</v>
      </c>
      <c r="C43" s="17">
        <v>333.91694458017901</v>
      </c>
      <c r="D43" s="6" t="s">
        <v>10</v>
      </c>
      <c r="J43" s="15" t="s">
        <v>70</v>
      </c>
      <c r="K43" s="6">
        <f>ROUND(SUM(K23:K26)/$C$5*100, 2)</f>
        <v>5.2</v>
      </c>
      <c r="L43" s="6" t="s">
        <v>58</v>
      </c>
      <c r="N43" s="6" t="s">
        <v>151</v>
      </c>
      <c r="O43" s="6">
        <v>3</v>
      </c>
      <c r="AF43" s="2">
        <v>39</v>
      </c>
      <c r="AG43" s="2">
        <f t="shared" si="13"/>
        <v>5641.0255766677437</v>
      </c>
      <c r="AH43" s="2">
        <v>-7.0758687797933817E-10</v>
      </c>
      <c r="AI43" s="2">
        <f t="shared" si="14"/>
        <v>5641.0255767023045</v>
      </c>
      <c r="AJ43" s="2">
        <v>5.8225850807502866E-9</v>
      </c>
      <c r="AK43" s="2">
        <f t="shared" si="9"/>
        <v>5641.0255766850241</v>
      </c>
      <c r="AL43" s="2">
        <v>2.5565896066837013E-9</v>
      </c>
      <c r="AM43" s="2">
        <f t="shared" si="10"/>
        <v>-1.8090092580677443E-18</v>
      </c>
      <c r="AN43" s="2">
        <f t="shared" si="11"/>
        <v>1.4885960501477762E-17</v>
      </c>
      <c r="AO43" s="2">
        <f t="shared" si="12"/>
        <v>3.4560798667371273E-8</v>
      </c>
    </row>
    <row r="44" spans="2:41" x14ac:dyDescent="0.2">
      <c r="B44" s="6" t="s">
        <v>16</v>
      </c>
      <c r="C44" s="1">
        <v>9.80149119240094</v>
      </c>
      <c r="D44" s="6" t="s">
        <v>17</v>
      </c>
      <c r="J44" s="10" t="s">
        <v>59</v>
      </c>
      <c r="K44" s="10">
        <f>SUM(K39:K43)</f>
        <v>100.00000000000001</v>
      </c>
      <c r="L44" s="10" t="s">
        <v>58</v>
      </c>
      <c r="N44" s="6" t="s">
        <v>152</v>
      </c>
      <c r="O44" s="6">
        <f>O43*C6</f>
        <v>1200</v>
      </c>
      <c r="P44" s="6" t="s">
        <v>125</v>
      </c>
      <c r="AF44" s="2">
        <v>40</v>
      </c>
      <c r="AG44" s="2">
        <f t="shared" si="13"/>
        <v>5641.0255766677437</v>
      </c>
      <c r="AH44" s="2">
        <v>-7.0758687797933817E-10</v>
      </c>
      <c r="AI44" s="2">
        <f t="shared" si="14"/>
        <v>5641.0255766850241</v>
      </c>
      <c r="AJ44" s="2">
        <v>2.5565896066837013E-9</v>
      </c>
      <c r="AK44" s="5">
        <f>(AG44+AI44)/2</f>
        <v>5641.0255766763839</v>
      </c>
      <c r="AL44" s="2">
        <v>9.2495611170306802E-10</v>
      </c>
      <c r="AM44" s="2">
        <f t="shared" si="10"/>
        <v>-6.5448680734788188E-19</v>
      </c>
      <c r="AN44" s="2">
        <f t="shared" si="11"/>
        <v>2.3647331818186323E-18</v>
      </c>
      <c r="AO44" s="2">
        <f t="shared" si="12"/>
        <v>1.7280399333685637E-8</v>
      </c>
    </row>
    <row r="45" spans="2:41" x14ac:dyDescent="0.2">
      <c r="N45" s="6" t="s">
        <v>150</v>
      </c>
      <c r="O45" s="6">
        <f>O44*2*PI()/60</f>
        <v>125.66370614359172</v>
      </c>
      <c r="P45" s="6" t="s">
        <v>27</v>
      </c>
    </row>
    <row r="46" spans="2:41" x14ac:dyDescent="0.2">
      <c r="B46" s="33" t="s">
        <v>145</v>
      </c>
      <c r="C46" s="36"/>
      <c r="D46" s="36"/>
      <c r="J46" s="33" t="s">
        <v>56</v>
      </c>
      <c r="K46" s="33"/>
      <c r="L46" s="33"/>
      <c r="N46" s="6" t="s">
        <v>153</v>
      </c>
      <c r="O46" s="6">
        <f>G12*1000/O45</f>
        <v>6900.3497652166825</v>
      </c>
      <c r="P46" s="6" t="s">
        <v>128</v>
      </c>
    </row>
    <row r="47" spans="2:41" x14ac:dyDescent="0.2">
      <c r="B47" s="6" t="s">
        <v>14</v>
      </c>
      <c r="C47" s="17">
        <v>1.00854450666398</v>
      </c>
      <c r="D47" s="6" t="s">
        <v>15</v>
      </c>
      <c r="J47" s="6" t="s">
        <v>57</v>
      </c>
      <c r="K47" s="6">
        <f>ROUND($C$13/$C$5 * 100, 2)</f>
        <v>10.64</v>
      </c>
      <c r="L47" s="6" t="s">
        <v>58</v>
      </c>
      <c r="N47" s="6" t="s">
        <v>154</v>
      </c>
      <c r="O47" s="6">
        <f>0.377*O46^0.6945</f>
        <v>174.75810731249831</v>
      </c>
    </row>
    <row r="48" spans="2:41" x14ac:dyDescent="0.2">
      <c r="B48" s="6" t="s">
        <v>130</v>
      </c>
      <c r="C48" s="23">
        <v>1.7265641515845801E-5</v>
      </c>
      <c r="D48" s="6" t="s">
        <v>129</v>
      </c>
      <c r="J48" s="11" t="s">
        <v>52</v>
      </c>
      <c r="K48" s="6">
        <f>ROUND(K13/$C$5 * 100, 2)</f>
        <v>55.48</v>
      </c>
      <c r="L48" s="6" t="s">
        <v>58</v>
      </c>
    </row>
    <row r="49" spans="2:12" x14ac:dyDescent="0.2">
      <c r="B49" s="6" t="s">
        <v>123</v>
      </c>
      <c r="C49" s="17">
        <v>332.721752148093</v>
      </c>
      <c r="D49" s="6" t="s">
        <v>10</v>
      </c>
      <c r="J49" s="20" t="s">
        <v>149</v>
      </c>
      <c r="K49" s="6">
        <f>ROUND(SUM(K14:K26)/$C$5 * 100, 2)</f>
        <v>33.89</v>
      </c>
      <c r="L49" s="6" t="s">
        <v>58</v>
      </c>
    </row>
    <row r="50" spans="2:12" x14ac:dyDescent="0.2">
      <c r="B50" s="6" t="s">
        <v>16</v>
      </c>
      <c r="C50" s="1">
        <v>9.8005536647414697</v>
      </c>
      <c r="D50" s="6" t="s">
        <v>17</v>
      </c>
      <c r="J50" s="10" t="s">
        <v>59</v>
      </c>
      <c r="K50" s="10">
        <f>SUM(K47:K49)</f>
        <v>100.01</v>
      </c>
      <c r="L50" s="10" t="s">
        <v>58</v>
      </c>
    </row>
    <row r="52" spans="2:12" x14ac:dyDescent="0.2">
      <c r="B52" s="33" t="s">
        <v>71</v>
      </c>
      <c r="C52" s="33"/>
      <c r="D52" s="33"/>
    </row>
    <row r="53" spans="2:12" x14ac:dyDescent="0.2">
      <c r="B53" s="6" t="s">
        <v>137</v>
      </c>
      <c r="C53" s="17">
        <v>30</v>
      </c>
    </row>
    <row r="54" spans="2:12" x14ac:dyDescent="0.2">
      <c r="B54" s="6" t="s">
        <v>139</v>
      </c>
      <c r="C54" s="17">
        <v>0.8</v>
      </c>
    </row>
    <row r="55" spans="2:12" x14ac:dyDescent="0.2">
      <c r="B55" s="6" t="s">
        <v>140</v>
      </c>
      <c r="C55" s="17">
        <v>0.8</v>
      </c>
    </row>
    <row r="56" spans="2:12" x14ac:dyDescent="0.2">
      <c r="B56" s="6" t="s">
        <v>141</v>
      </c>
      <c r="C56" s="17">
        <v>0.8</v>
      </c>
    </row>
  </sheetData>
  <mergeCells count="23">
    <mergeCell ref="B52:D52"/>
    <mergeCell ref="J7:L7"/>
    <mergeCell ref="J38:L38"/>
    <mergeCell ref="B40:D40"/>
    <mergeCell ref="B46:D46"/>
    <mergeCell ref="J46:L46"/>
    <mergeCell ref="B35:D35"/>
    <mergeCell ref="J11:L11"/>
    <mergeCell ref="B12:D12"/>
    <mergeCell ref="B29:D29"/>
    <mergeCell ref="J30:L30"/>
    <mergeCell ref="F33:H33"/>
    <mergeCell ref="N12:P12"/>
    <mergeCell ref="F14:H14"/>
    <mergeCell ref="N16:P16"/>
    <mergeCell ref="B17:D17"/>
    <mergeCell ref="B24:D24"/>
    <mergeCell ref="F24:H24"/>
    <mergeCell ref="B1:D1"/>
    <mergeCell ref="B3:D3"/>
    <mergeCell ref="F3:H3"/>
    <mergeCell ref="J3:L3"/>
    <mergeCell ref="N3:P3"/>
  </mergeCells>
  <conditionalFormatting sqref="K28">
    <cfRule type="containsText" dxfId="23" priority="1" operator="containsText" text="FALSE">
      <formula>NOT(ISERROR(SEARCH("FALSE",K28)))</formula>
    </cfRule>
    <cfRule type="containsText" dxfId="22" priority="2" operator="containsText" text="TRUE">
      <formula>NOT(ISERROR(SEARCH("TRUE",K28)))</formula>
    </cfRule>
    <cfRule type="cellIs" dxfId="21" priority="3" operator="equal">
      <formula>1</formula>
    </cfRule>
    <cfRule type="cellIs" dxfId="20" priority="4" operator="equal">
      <formula>TRUE</formula>
    </cfRule>
    <cfRule type="containsText" dxfId="19" priority="5" operator="containsText" text="YES">
      <formula>NOT(ISERROR(SEARCH("YES",K28)))</formula>
    </cfRule>
    <cfRule type="cellIs" dxfId="18" priority="6" operator="equal">
      <formula>"""YES"""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C3698-4BD1-224F-813F-4E4531A991C5}">
  <dimension ref="B1:AO81"/>
  <sheetViews>
    <sheetView zoomScale="88" workbookViewId="0">
      <selection activeCell="E16" sqref="E1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21.332031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16384" width="10.83203125" style="6"/>
  </cols>
  <sheetData>
    <row r="1" spans="2:41" x14ac:dyDescent="0.2">
      <c r="B1" s="30" t="s">
        <v>0</v>
      </c>
      <c r="C1" s="30"/>
      <c r="D1" s="30"/>
    </row>
    <row r="2" spans="2:41" x14ac:dyDescent="0.2">
      <c r="U2" s="16" t="s">
        <v>93</v>
      </c>
      <c r="AF2" s="29" t="s">
        <v>160</v>
      </c>
    </row>
    <row r="3" spans="2:41" x14ac:dyDescent="0.2">
      <c r="B3" s="33" t="s">
        <v>118</v>
      </c>
      <c r="C3" s="36"/>
      <c r="D3" s="36"/>
      <c r="F3" s="31" t="s">
        <v>80</v>
      </c>
      <c r="G3" s="32"/>
      <c r="H3" s="32"/>
      <c r="J3" s="33" t="s">
        <v>98</v>
      </c>
      <c r="K3" s="33"/>
      <c r="L3" s="33"/>
      <c r="N3" s="33" t="s">
        <v>92</v>
      </c>
      <c r="O3" s="33"/>
      <c r="P3" s="33"/>
      <c r="U3" s="7" t="s">
        <v>41</v>
      </c>
      <c r="V3" s="7" t="s">
        <v>42</v>
      </c>
      <c r="W3" s="7" t="s">
        <v>43</v>
      </c>
      <c r="X3" s="7" t="s">
        <v>44</v>
      </c>
      <c r="Y3" s="7" t="s">
        <v>45</v>
      </c>
      <c r="Z3" s="7" t="s">
        <v>46</v>
      </c>
      <c r="AA3" s="7" t="s">
        <v>47</v>
      </c>
      <c r="AB3" s="7" t="s">
        <v>48</v>
      </c>
      <c r="AC3" s="7" t="s">
        <v>49</v>
      </c>
      <c r="AD3" s="7" t="s">
        <v>50</v>
      </c>
      <c r="AF3" s="7" t="s">
        <v>41</v>
      </c>
      <c r="AG3" s="7" t="s">
        <v>42</v>
      </c>
      <c r="AH3" s="7" t="s">
        <v>43</v>
      </c>
      <c r="AI3" s="7" t="s">
        <v>44</v>
      </c>
      <c r="AJ3" s="7" t="s">
        <v>45</v>
      </c>
      <c r="AK3" s="7" t="s">
        <v>46</v>
      </c>
      <c r="AL3" s="7" t="s">
        <v>47</v>
      </c>
      <c r="AM3" s="7" t="s">
        <v>48</v>
      </c>
      <c r="AN3" s="7" t="s">
        <v>49</v>
      </c>
      <c r="AO3" s="7" t="s">
        <v>50</v>
      </c>
    </row>
    <row r="4" spans="2:41" x14ac:dyDescent="0.2">
      <c r="B4" s="6" t="s">
        <v>36</v>
      </c>
      <c r="C4" s="3" t="s">
        <v>161</v>
      </c>
      <c r="F4" s="6" t="s">
        <v>84</v>
      </c>
      <c r="G4" s="17">
        <f>500*0.3048/60</f>
        <v>2.54</v>
      </c>
      <c r="H4" s="6" t="s">
        <v>10</v>
      </c>
      <c r="J4" s="6" t="s">
        <v>99</v>
      </c>
      <c r="K4" s="6">
        <f>(1+$C$25/100)*MAX(G10,G29)</f>
        <v>375.58017165990799</v>
      </c>
      <c r="L4" s="6" t="s">
        <v>101</v>
      </c>
      <c r="N4" s="6" t="s">
        <v>162</v>
      </c>
      <c r="O4" s="6">
        <f xml:space="preserve"> $C$5 * $C$74</f>
        <v>17611.823611953656</v>
      </c>
      <c r="P4" s="6" t="s">
        <v>20</v>
      </c>
      <c r="U4" s="2">
        <v>0</v>
      </c>
      <c r="V4" s="3">
        <v>0</v>
      </c>
      <c r="W4" s="2">
        <f t="shared" ref="W4:W34" si="0" xml:space="preserve"> $O$22 * TAN($O$19/180*PI()) + $O$23 / (2 * SQRT($O$22^2 + V4^2)) - V4</f>
        <v>1.2129810044508067</v>
      </c>
      <c r="X4" s="3">
        <v>1</v>
      </c>
      <c r="Y4" s="2">
        <f t="shared" ref="Y4:Y34" si="1" xml:space="preserve"> $O$22 * TAN($O$19/180*PI()) + $O$23 / (2 * SQRT($O$22^2 + X4^2)) - X4</f>
        <v>-2.7023792179367234E-2</v>
      </c>
      <c r="Z4" s="2">
        <f xml:space="preserve"> (V4 + X4)/2</f>
        <v>0.5</v>
      </c>
      <c r="AA4" s="2">
        <f t="shared" ref="AA4:AA34" si="2" xml:space="preserve"> $O$22 * TAN($O$19/180*PI()) + $O$23 / (2 * SQRT($O$22^2 + Z4^2)) - Z4</f>
        <v>0.49424101806543896</v>
      </c>
      <c r="AB4" s="2">
        <f>W4*AA4</f>
        <v>0.59950496653380547</v>
      </c>
      <c r="AC4" s="2">
        <f>Y4*AA4</f>
        <v>-1.3356266558719309E-2</v>
      </c>
      <c r="AD4" s="2">
        <f>X4-V4</f>
        <v>1</v>
      </c>
      <c r="AF4" s="2">
        <v>0</v>
      </c>
      <c r="AH4" s="2">
        <f>K30</f>
        <v>-9.5658969357828028E-3</v>
      </c>
      <c r="AJ4" s="2">
        <f>K30</f>
        <v>-9.5658969357828028E-3</v>
      </c>
      <c r="AL4" s="2">
        <f>K30</f>
        <v>-9.5658969357828028E-3</v>
      </c>
    </row>
    <row r="5" spans="2:41" x14ac:dyDescent="0.2">
      <c r="B5" s="10" t="s">
        <v>37</v>
      </c>
      <c r="C5" s="10">
        <v>1797.0233330096501</v>
      </c>
      <c r="D5" s="10" t="s">
        <v>7</v>
      </c>
      <c r="F5" s="6" t="s">
        <v>87</v>
      </c>
      <c r="G5" s="17">
        <f>1000*0.3048</f>
        <v>304.8</v>
      </c>
      <c r="H5" s="6" t="s">
        <v>8</v>
      </c>
      <c r="J5" s="6" t="s">
        <v>100</v>
      </c>
      <c r="K5" s="6">
        <f>K4/$C$21</f>
        <v>46.947521457488499</v>
      </c>
      <c r="L5" s="6" t="s">
        <v>101</v>
      </c>
      <c r="N5" s="6" t="s">
        <v>22</v>
      </c>
      <c r="O5" s="6">
        <f xml:space="preserve"> 0.5 * $C$71 * $C$7^2</f>
        <v>852.48812999507209</v>
      </c>
      <c r="P5" s="6" t="s">
        <v>23</v>
      </c>
      <c r="U5" s="2">
        <v>1</v>
      </c>
      <c r="V5" s="2">
        <f>IF(AB4&gt;0, Z4, V4)</f>
        <v>0.5</v>
      </c>
      <c r="W5" s="2">
        <f t="shared" si="0"/>
        <v>0.49424101806543896</v>
      </c>
      <c r="X5" s="2">
        <f>IF(AC4&gt;0, Z4, X4)</f>
        <v>1</v>
      </c>
      <c r="Y5" s="2">
        <f t="shared" si="1"/>
        <v>-2.7023792179367234E-2</v>
      </c>
      <c r="Z5" s="2">
        <f t="shared" ref="Z5:Z34" si="3" xml:space="preserve"> (V5 + X5)/2</f>
        <v>0.75</v>
      </c>
      <c r="AA5" s="2">
        <f t="shared" si="2"/>
        <v>0.23013440580125055</v>
      </c>
      <c r="AB5" s="2">
        <f t="shared" ref="AB5:AB34" si="4">W5*AA5</f>
        <v>0.11374186301509494</v>
      </c>
      <c r="AC5" s="2">
        <f t="shared" ref="AC5:AC34" si="5">Y5*AA5</f>
        <v>-6.2191043556951604E-3</v>
      </c>
      <c r="AD5" s="2">
        <f t="shared" ref="AD5:AD34" si="6">X5-V5</f>
        <v>0.5</v>
      </c>
      <c r="AF5" s="2">
        <v>1</v>
      </c>
      <c r="AG5" s="3">
        <v>500</v>
      </c>
      <c r="AH5" s="2">
        <f t="dataTable" ref="AH5:AH44" dt2D="0" dtr="0" r1="C5" ca="1"/>
        <v>-621.89103273221076</v>
      </c>
      <c r="AI5" s="3">
        <v>10000</v>
      </c>
      <c r="AJ5" s="2">
        <f t="dataTable" ref="AJ5:AJ44" dt2D="0" dtr="0" r1="C5"/>
        <v>2056.9817898443343</v>
      </c>
      <c r="AK5" s="2">
        <f>(AG5+AI5)/2</f>
        <v>5250</v>
      </c>
      <c r="AL5" s="2">
        <f t="dataTable" ref="AL5:AL44" dt2D="0" dtr="0" r1="C5" ca="1"/>
        <v>1536.5187747271589</v>
      </c>
      <c r="AM5" s="2">
        <f>AH5*AL5</f>
        <v>-955547.24762750394</v>
      </c>
      <c r="AN5" s="2">
        <f>AJ5*AL5</f>
        <v>3160591.139367695</v>
      </c>
      <c r="AO5" s="2">
        <f>AI5-AG5</f>
        <v>9500</v>
      </c>
    </row>
    <row r="6" spans="2:41" x14ac:dyDescent="0.2">
      <c r="B6" s="6" t="s">
        <v>163</v>
      </c>
      <c r="C6" s="17">
        <v>195.79609179184601</v>
      </c>
      <c r="D6" s="6" t="s">
        <v>125</v>
      </c>
      <c r="F6" s="6" t="s">
        <v>88</v>
      </c>
      <c r="G6" s="6">
        <f xml:space="preserve"> $G$5/$G$4</f>
        <v>120</v>
      </c>
      <c r="H6" s="6" t="s">
        <v>13</v>
      </c>
      <c r="J6" s="6" t="s">
        <v>164</v>
      </c>
      <c r="K6" s="6">
        <f>(1+$C$32/100)*MAX(G20)</f>
        <v>72.903729455877723</v>
      </c>
      <c r="L6" s="6" t="s">
        <v>101</v>
      </c>
      <c r="N6" s="6" t="s">
        <v>114</v>
      </c>
      <c r="O6" s="6">
        <f xml:space="preserve"> ($C$21+$C$28) * 0.4 * ($C$5/($C$21+$C$28) *2.20462/1000)^(2/3) * 0.3048^2</f>
        <v>0.19353628151677937</v>
      </c>
      <c r="P6" s="6" t="s">
        <v>115</v>
      </c>
      <c r="U6" s="2">
        <v>2</v>
      </c>
      <c r="V6" s="2">
        <f t="shared" ref="V6:V34" si="7">IF(AB5&gt;0, Z5, V5)</f>
        <v>0.75</v>
      </c>
      <c r="W6" s="2">
        <f t="shared" si="0"/>
        <v>0.23013440580125055</v>
      </c>
      <c r="X6" s="2">
        <f t="shared" ref="X6:X34" si="8">IF(AC5&gt;0, Z5, X5)</f>
        <v>1</v>
      </c>
      <c r="Y6" s="2">
        <f t="shared" si="1"/>
        <v>-2.7023792179367234E-2</v>
      </c>
      <c r="Z6" s="2">
        <f t="shared" si="3"/>
        <v>0.875</v>
      </c>
      <c r="AA6" s="2">
        <f t="shared" si="2"/>
        <v>0.1010509772663688</v>
      </c>
      <c r="AB6" s="2">
        <f t="shared" si="4"/>
        <v>2.3255306608831461E-2</v>
      </c>
      <c r="AC6" s="2">
        <f t="shared" si="5"/>
        <v>-2.7307806091683134E-3</v>
      </c>
      <c r="AD6" s="2">
        <f t="shared" si="6"/>
        <v>0.25</v>
      </c>
      <c r="AF6" s="2">
        <v>2</v>
      </c>
      <c r="AG6" s="2">
        <f>IF(AM5&gt;0,AK5,AG5)</f>
        <v>500</v>
      </c>
      <c r="AH6" s="2">
        <v>-621.89103273221076</v>
      </c>
      <c r="AI6" s="2">
        <f>IF(AN5&gt;0,AK5,AI5)</f>
        <v>5250</v>
      </c>
      <c r="AJ6" s="2">
        <v>1536.5187747271589</v>
      </c>
      <c r="AK6" s="2">
        <f t="shared" ref="AK6:AK44" si="9">(AG6+AI6)/2</f>
        <v>2875</v>
      </c>
      <c r="AL6" s="2">
        <v>323.59122700249486</v>
      </c>
      <c r="AM6" s="2">
        <f t="shared" ref="AM6:AM44" si="10">AH6*AL6</f>
        <v>-201238.48234366477</v>
      </c>
      <c r="AN6" s="2">
        <f t="shared" ref="AN6:AN44" si="11">AJ6*AL6</f>
        <v>497203.99562633131</v>
      </c>
      <c r="AO6" s="2">
        <f t="shared" ref="AO6:AO44" si="12">AI6-AG6</f>
        <v>4750</v>
      </c>
    </row>
    <row r="7" spans="2:41" x14ac:dyDescent="0.2">
      <c r="B7" s="6" t="s">
        <v>9</v>
      </c>
      <c r="C7" s="17">
        <f>148.017864698311 * 1000/3600</f>
        <v>41.116073527308608</v>
      </c>
      <c r="D7" s="6" t="s">
        <v>10</v>
      </c>
      <c r="F7" s="6" t="s">
        <v>19</v>
      </c>
      <c r="G7" s="6">
        <f xml:space="preserve"> $C$5 * $C$68 / $C$21</f>
        <v>2201.6885463791332</v>
      </c>
      <c r="H7" s="6" t="s">
        <v>20</v>
      </c>
      <c r="J7" s="6" t="s">
        <v>165</v>
      </c>
      <c r="K7" s="6">
        <f>K6/$C$28</f>
        <v>72.903729455877723</v>
      </c>
      <c r="L7" s="6" t="s">
        <v>101</v>
      </c>
      <c r="N7" s="6" t="s">
        <v>166</v>
      </c>
      <c r="O7" s="17">
        <v>9.1534090314177498E-3</v>
      </c>
      <c r="U7" s="2">
        <v>3</v>
      </c>
      <c r="V7" s="2">
        <f t="shared" si="7"/>
        <v>0.875</v>
      </c>
      <c r="W7" s="2">
        <f t="shared" si="0"/>
        <v>0.1010509772663688</v>
      </c>
      <c r="X7" s="2">
        <f t="shared" si="8"/>
        <v>1</v>
      </c>
      <c r="Y7" s="2">
        <f t="shared" si="1"/>
        <v>-2.7023792179367234E-2</v>
      </c>
      <c r="Z7" s="2">
        <f t="shared" si="3"/>
        <v>0.9375</v>
      </c>
      <c r="AA7" s="2">
        <f t="shared" si="2"/>
        <v>3.691230586533456E-2</v>
      </c>
      <c r="AB7" s="2">
        <f t="shared" si="4"/>
        <v>3.7300245808471744E-3</v>
      </c>
      <c r="AC7" s="2">
        <f t="shared" si="5"/>
        <v>-9.9751048256603927E-4</v>
      </c>
      <c r="AD7" s="2">
        <f t="shared" si="6"/>
        <v>0.125</v>
      </c>
      <c r="AF7" s="2">
        <v>3</v>
      </c>
      <c r="AG7" s="2">
        <f t="shared" ref="AG7:AG44" si="13">IF(AM6&gt;0,AK6,AG6)</f>
        <v>500</v>
      </c>
      <c r="AH7" s="2">
        <v>-621.89103273221076</v>
      </c>
      <c r="AI7" s="2">
        <f t="shared" ref="AI7:AI44" si="14">IF(AN6&gt;0,AK6,AI6)</f>
        <v>2875</v>
      </c>
      <c r="AJ7" s="2">
        <v>323.59122700249486</v>
      </c>
      <c r="AK7" s="2">
        <f t="shared" si="9"/>
        <v>1687.5</v>
      </c>
      <c r="AL7" s="2">
        <v>-43.336579727457774</v>
      </c>
      <c r="AM7" s="2">
        <f t="shared" si="10"/>
        <v>26950.630321790504</v>
      </c>
      <c r="AN7" s="2">
        <f t="shared" si="11"/>
        <v>-14023.337008099506</v>
      </c>
      <c r="AO7" s="2">
        <f t="shared" si="12"/>
        <v>2375</v>
      </c>
    </row>
    <row r="8" spans="2:41" x14ac:dyDescent="0.2">
      <c r="B8" s="6" t="s">
        <v>95</v>
      </c>
      <c r="C8" s="17">
        <v>1.9728095276486299</v>
      </c>
      <c r="D8" s="6" t="s">
        <v>8</v>
      </c>
      <c r="F8" t="s">
        <v>97</v>
      </c>
      <c r="G8" s="6">
        <f>G10/$C$21</f>
        <v>31.298347638325666</v>
      </c>
      <c r="H8" s="6" t="s">
        <v>18</v>
      </c>
      <c r="N8" s="6" t="s">
        <v>167</v>
      </c>
      <c r="O8" s="17">
        <v>0.272912140344656</v>
      </c>
      <c r="U8" s="2">
        <v>4</v>
      </c>
      <c r="V8" s="2">
        <f t="shared" si="7"/>
        <v>0.9375</v>
      </c>
      <c r="W8" s="2">
        <f t="shared" si="0"/>
        <v>3.691230586533456E-2</v>
      </c>
      <c r="X8" s="2">
        <f t="shared" si="8"/>
        <v>1</v>
      </c>
      <c r="Y8" s="2">
        <f t="shared" si="1"/>
        <v>-2.7023792179367234E-2</v>
      </c>
      <c r="Z8" s="2">
        <f t="shared" si="3"/>
        <v>0.96875</v>
      </c>
      <c r="AA8" s="2">
        <f t="shared" si="2"/>
        <v>4.9213486988928246E-3</v>
      </c>
      <c r="AB8" s="2">
        <f t="shared" si="4"/>
        <v>1.8165832844349822E-4</v>
      </c>
      <c r="AC8" s="2">
        <f t="shared" si="5"/>
        <v>-1.3299350448107901E-4</v>
      </c>
      <c r="AD8" s="2">
        <f t="shared" si="6"/>
        <v>6.25E-2</v>
      </c>
      <c r="AF8" s="2">
        <v>4</v>
      </c>
      <c r="AG8" s="2">
        <f t="shared" si="13"/>
        <v>1687.5</v>
      </c>
      <c r="AH8" s="2">
        <v>-43.336579727457774</v>
      </c>
      <c r="AI8" s="2">
        <f t="shared" si="14"/>
        <v>2875</v>
      </c>
      <c r="AJ8" s="2">
        <v>323.59122700249486</v>
      </c>
      <c r="AK8" s="2">
        <f t="shared" si="9"/>
        <v>2281.25</v>
      </c>
      <c r="AL8" s="2">
        <v>168.86107617049765</v>
      </c>
      <c r="AM8" s="2">
        <f t="shared" si="10"/>
        <v>-7317.8614903270918</v>
      </c>
      <c r="AN8" s="2">
        <f t="shared" si="11"/>
        <v>54641.962830973083</v>
      </c>
      <c r="AO8" s="2">
        <f t="shared" si="12"/>
        <v>1187.5</v>
      </c>
    </row>
    <row r="9" spans="2:41" x14ac:dyDescent="0.2">
      <c r="B9" s="6" t="s">
        <v>131</v>
      </c>
      <c r="C9" s="17">
        <f>(0.548288+0.530863+0.513438+0.496013+0.478588+0.461163+0.443738+0.426313)/8</f>
        <v>0.48730050000000003</v>
      </c>
      <c r="D9" s="6" t="s">
        <v>8</v>
      </c>
      <c r="F9" t="s">
        <v>146</v>
      </c>
      <c r="G9" s="6">
        <f xml:space="preserve"> (G7/$C$68*1000) / (G8*1000)</f>
        <v>7.176989636064472</v>
      </c>
      <c r="H9" s="6" t="s">
        <v>147</v>
      </c>
      <c r="J9" s="33" t="s">
        <v>21</v>
      </c>
      <c r="K9" s="33"/>
      <c r="L9" s="33"/>
      <c r="N9" s="6" t="s">
        <v>168</v>
      </c>
      <c r="O9" s="6">
        <f xml:space="preserve"> $O$8/$C$12 + $O$7</f>
        <v>1.8250480376239647E-2</v>
      </c>
      <c r="U9" s="2">
        <v>5</v>
      </c>
      <c r="V9" s="2">
        <f t="shared" si="7"/>
        <v>0.96875</v>
      </c>
      <c r="W9" s="2">
        <f t="shared" si="0"/>
        <v>4.9213486988928246E-3</v>
      </c>
      <c r="X9" s="2">
        <f t="shared" si="8"/>
        <v>1</v>
      </c>
      <c r="Y9" s="2">
        <f t="shared" si="1"/>
        <v>-2.7023792179367234E-2</v>
      </c>
      <c r="Z9" s="2">
        <f t="shared" si="3"/>
        <v>0.984375</v>
      </c>
      <c r="AA9" s="2">
        <f t="shared" si="2"/>
        <v>-1.1056679987458518E-2</v>
      </c>
      <c r="AB9" s="2">
        <f t="shared" si="4"/>
        <v>-5.4413777670353307E-5</v>
      </c>
      <c r="AC9" s="2">
        <f t="shared" si="5"/>
        <v>2.987934221748477E-4</v>
      </c>
      <c r="AD9" s="2">
        <f t="shared" si="6"/>
        <v>3.125E-2</v>
      </c>
      <c r="AF9" s="2">
        <v>5</v>
      </c>
      <c r="AG9" s="2">
        <f t="shared" si="13"/>
        <v>1687.5</v>
      </c>
      <c r="AH9" s="2">
        <v>-43.336579727457774</v>
      </c>
      <c r="AI9" s="2">
        <f t="shared" si="14"/>
        <v>2281.25</v>
      </c>
      <c r="AJ9" s="2">
        <v>168.86107617049765</v>
      </c>
      <c r="AK9" s="2">
        <f t="shared" si="9"/>
        <v>1984.375</v>
      </c>
      <c r="AL9" s="2">
        <v>69.757110478432878</v>
      </c>
      <c r="AM9" s="2">
        <f t="shared" si="10"/>
        <v>-3023.0345798056865</v>
      </c>
      <c r="AN9" s="2">
        <f t="shared" si="11"/>
        <v>11779.260745932474</v>
      </c>
      <c r="AO9" s="2">
        <f t="shared" si="12"/>
        <v>593.75</v>
      </c>
    </row>
    <row r="10" spans="2:41" x14ac:dyDescent="0.2">
      <c r="B10" s="6" t="s">
        <v>169</v>
      </c>
      <c r="C10" s="17">
        <v>2.1</v>
      </c>
      <c r="D10" s="6" t="s">
        <v>8</v>
      </c>
      <c r="F10" s="25" t="s">
        <v>82</v>
      </c>
      <c r="G10" s="25">
        <f xml:space="preserve"> 1/1000 * (($C$5*$C$68)/$C$24 * ( ($G$4/2) + SQRT( ($G$4/2)^2 + ($C$5*$C$68) / (2*$C$65*PI()*$C$8^2 * $C$21) ) ) )</f>
        <v>250.38678110660533</v>
      </c>
      <c r="H10" s="25" t="s">
        <v>101</v>
      </c>
      <c r="J10" s="6" t="s">
        <v>96</v>
      </c>
      <c r="K10" s="6">
        <f xml:space="preserve"> $C$18 * (G10*G6 + G20*G13 + G29*G25 + G33*G32)/3600</f>
        <v>69.523461685211942</v>
      </c>
      <c r="L10" s="6" t="s">
        <v>102</v>
      </c>
      <c r="N10" s="6" t="s">
        <v>38</v>
      </c>
      <c r="O10" s="6">
        <f xml:space="preserve"> O5 * $C$12 * O9</f>
        <v>466.74953662356734</v>
      </c>
      <c r="P10" s="6" t="s">
        <v>20</v>
      </c>
      <c r="U10" s="2">
        <v>6</v>
      </c>
      <c r="V10" s="2">
        <f t="shared" si="7"/>
        <v>0.96875</v>
      </c>
      <c r="W10" s="2">
        <f t="shared" si="0"/>
        <v>4.9213486988928246E-3</v>
      </c>
      <c r="X10" s="2">
        <f t="shared" si="8"/>
        <v>0.984375</v>
      </c>
      <c r="Y10" s="2">
        <f t="shared" si="1"/>
        <v>-1.1056679987458518E-2</v>
      </c>
      <c r="Z10" s="2">
        <f t="shared" si="3"/>
        <v>0.9765625</v>
      </c>
      <c r="AA10" s="2">
        <f t="shared" si="2"/>
        <v>-3.0690624851948956E-3</v>
      </c>
      <c r="AB10" s="2">
        <f t="shared" si="4"/>
        <v>-1.5103926668334678E-5</v>
      </c>
      <c r="AC10" s="2">
        <f t="shared" si="5"/>
        <v>3.3933641760314102E-5</v>
      </c>
      <c r="AD10" s="2">
        <f t="shared" si="6"/>
        <v>1.5625E-2</v>
      </c>
      <c r="AF10" s="2">
        <v>6</v>
      </c>
      <c r="AG10" s="2">
        <f t="shared" si="13"/>
        <v>1687.5</v>
      </c>
      <c r="AH10" s="2">
        <v>-43.336579727457774</v>
      </c>
      <c r="AI10" s="2">
        <f t="shared" si="14"/>
        <v>1984.375</v>
      </c>
      <c r="AJ10" s="2">
        <v>69.757110478432878</v>
      </c>
      <c r="AK10" s="2">
        <f t="shared" si="9"/>
        <v>1835.9375</v>
      </c>
      <c r="AL10" s="2">
        <v>14.935243612543672</v>
      </c>
      <c r="AM10" s="2">
        <f t="shared" si="10"/>
        <v>-647.24237556400328</v>
      </c>
      <c r="AN10" s="2">
        <f t="shared" si="11"/>
        <v>1041.839438702518</v>
      </c>
      <c r="AO10" s="2">
        <f t="shared" si="12"/>
        <v>296.875</v>
      </c>
    </row>
    <row r="11" spans="2:41" x14ac:dyDescent="0.2">
      <c r="B11" s="6" t="s">
        <v>170</v>
      </c>
      <c r="C11" s="17">
        <f>(0.500656+0.484769+0.468881+0.452994+0.437106+0.421219+0.405331+0.389444)/8</f>
        <v>0.44505</v>
      </c>
      <c r="D11" s="6" t="s">
        <v>8</v>
      </c>
      <c r="J11" s="6" t="s">
        <v>171</v>
      </c>
      <c r="K11" s="6">
        <f xml:space="preserve"> (G6 + G13 + G25 + G32)/60</f>
        <v>65.86898092039425</v>
      </c>
      <c r="L11" s="6" t="s">
        <v>103</v>
      </c>
      <c r="N11" s="6" t="s">
        <v>172</v>
      </c>
      <c r="O11" s="6">
        <f xml:space="preserve"> 1.78 * (1 - 0.045 * $C$13^0.68) - 0.64</f>
        <v>0.84103862492786796</v>
      </c>
      <c r="U11" s="2">
        <v>7</v>
      </c>
      <c r="V11" s="2">
        <f t="shared" si="7"/>
        <v>0.96875</v>
      </c>
      <c r="W11" s="2">
        <f t="shared" si="0"/>
        <v>4.9213486988928246E-3</v>
      </c>
      <c r="X11" s="2">
        <f t="shared" si="8"/>
        <v>0.9765625</v>
      </c>
      <c r="Y11" s="2">
        <f t="shared" si="1"/>
        <v>-3.0690624851948956E-3</v>
      </c>
      <c r="Z11" s="2">
        <f t="shared" si="3"/>
        <v>0.97265625</v>
      </c>
      <c r="AA11" s="2">
        <f t="shared" si="2"/>
        <v>9.2578975035806366E-4</v>
      </c>
      <c r="AB11" s="2">
        <f t="shared" si="4"/>
        <v>4.5561341833729693E-6</v>
      </c>
      <c r="AC11" s="2">
        <f t="shared" si="5"/>
        <v>-2.8413065920018808E-6</v>
      </c>
      <c r="AD11" s="2">
        <f t="shared" si="6"/>
        <v>7.8125E-3</v>
      </c>
      <c r="AF11" s="2">
        <v>7</v>
      </c>
      <c r="AG11" s="2">
        <f t="shared" si="13"/>
        <v>1687.5</v>
      </c>
      <c r="AH11" s="2">
        <v>-43.336579727457774</v>
      </c>
      <c r="AI11" s="2">
        <f t="shared" si="14"/>
        <v>1835.9375</v>
      </c>
      <c r="AJ11" s="2">
        <v>14.935243612543672</v>
      </c>
      <c r="AK11" s="2">
        <f t="shared" si="9"/>
        <v>1761.71875</v>
      </c>
      <c r="AL11" s="2">
        <v>-13.772539222362184</v>
      </c>
      <c r="AM11" s="2">
        <f t="shared" si="10"/>
        <v>596.85474405943808</v>
      </c>
      <c r="AN11" s="2">
        <f t="shared" si="11"/>
        <v>-205.69622844929199</v>
      </c>
      <c r="AO11" s="2">
        <f t="shared" si="12"/>
        <v>148.4375</v>
      </c>
    </row>
    <row r="12" spans="2:41" x14ac:dyDescent="0.2">
      <c r="B12" s="6" t="s">
        <v>173</v>
      </c>
      <c r="C12" s="17">
        <v>29.999999999999901</v>
      </c>
      <c r="D12" s="6" t="s">
        <v>174</v>
      </c>
      <c r="F12" s="31" t="s">
        <v>86</v>
      </c>
      <c r="G12" s="32"/>
      <c r="H12" s="32"/>
      <c r="N12" s="6" t="s">
        <v>175</v>
      </c>
      <c r="O12" s="6">
        <f xml:space="preserve"> O4 / (O5 * $C$12)</f>
        <v>0.68864394284119512</v>
      </c>
      <c r="U12" s="2">
        <v>8</v>
      </c>
      <c r="V12" s="2">
        <f t="shared" si="7"/>
        <v>0.97265625</v>
      </c>
      <c r="W12" s="2">
        <f t="shared" si="0"/>
        <v>9.2578975035806366E-4</v>
      </c>
      <c r="X12" s="2">
        <f t="shared" si="8"/>
        <v>0.9765625</v>
      </c>
      <c r="Y12" s="2">
        <f t="shared" si="1"/>
        <v>-3.0690624851948956E-3</v>
      </c>
      <c r="Z12" s="2">
        <f t="shared" si="3"/>
        <v>0.974609375</v>
      </c>
      <c r="AA12" s="2">
        <f t="shared" si="2"/>
        <v>-1.0717241831594837E-3</v>
      </c>
      <c r="AB12" s="2">
        <f t="shared" si="4"/>
        <v>-9.921912639799182E-7</v>
      </c>
      <c r="AC12" s="2">
        <f t="shared" si="5"/>
        <v>3.2891884850109143E-6</v>
      </c>
      <c r="AD12" s="2">
        <f t="shared" si="6"/>
        <v>3.90625E-3</v>
      </c>
      <c r="AF12" s="2">
        <v>8</v>
      </c>
      <c r="AG12" s="2">
        <f t="shared" si="13"/>
        <v>1761.71875</v>
      </c>
      <c r="AH12" s="2">
        <v>-13.772539222362184</v>
      </c>
      <c r="AI12" s="2">
        <f t="shared" si="14"/>
        <v>1835.9375</v>
      </c>
      <c r="AJ12" s="2">
        <v>14.935243612543672</v>
      </c>
      <c r="AK12" s="2">
        <f t="shared" si="9"/>
        <v>1798.828125</v>
      </c>
      <c r="AL12" s="2">
        <v>0.68878752866885407</v>
      </c>
      <c r="AM12" s="2">
        <f t="shared" si="10"/>
        <v>-9.4863532544657101</v>
      </c>
      <c r="AN12" s="2">
        <f t="shared" si="11"/>
        <v>10.287209537951245</v>
      </c>
      <c r="AO12" s="2">
        <f t="shared" si="12"/>
        <v>74.21875</v>
      </c>
    </row>
    <row r="13" spans="2:41" x14ac:dyDescent="0.2">
      <c r="B13" s="6" t="s">
        <v>176</v>
      </c>
      <c r="C13" s="17">
        <v>6.9366667832603497</v>
      </c>
      <c r="F13" s="9" t="s">
        <v>89</v>
      </c>
      <c r="G13" s="6">
        <f xml:space="preserve"> $C$17/$C$7</f>
        <v>2432.1388552236554</v>
      </c>
      <c r="H13" s="6" t="s">
        <v>13</v>
      </c>
      <c r="J13" s="28" t="s">
        <v>51</v>
      </c>
      <c r="K13" s="28"/>
      <c r="L13" s="28"/>
      <c r="N13" s="6" t="s">
        <v>177</v>
      </c>
      <c r="O13" s="6">
        <f xml:space="preserve"> O9 + O12^2 / ( PI() * O11 * $C$13 )</f>
        <v>4.4125031059958172E-2</v>
      </c>
      <c r="U13" s="2">
        <v>9</v>
      </c>
      <c r="V13" s="2">
        <f t="shared" si="7"/>
        <v>0.97265625</v>
      </c>
      <c r="W13" s="2">
        <f t="shared" si="0"/>
        <v>9.2578975035806366E-4</v>
      </c>
      <c r="X13" s="2">
        <f t="shared" si="8"/>
        <v>0.974609375</v>
      </c>
      <c r="Y13" s="2">
        <f t="shared" si="1"/>
        <v>-1.0717241831594837E-3</v>
      </c>
      <c r="Z13" s="2">
        <f t="shared" si="3"/>
        <v>0.9736328125</v>
      </c>
      <c r="AA13" s="2">
        <f t="shared" si="2"/>
        <v>-7.2989235436637934E-5</v>
      </c>
      <c r="AB13" s="2">
        <f t="shared" si="4"/>
        <v>-6.757268605371096E-8</v>
      </c>
      <c r="AC13" s="2">
        <f t="shared" si="5"/>
        <v>7.8224328727766035E-8</v>
      </c>
      <c r="AD13" s="2">
        <f t="shared" si="6"/>
        <v>1.953125E-3</v>
      </c>
      <c r="AF13" s="2">
        <v>9</v>
      </c>
      <c r="AG13" s="2">
        <f t="shared" si="13"/>
        <v>1761.71875</v>
      </c>
      <c r="AH13" s="2">
        <v>-13.772539222362184</v>
      </c>
      <c r="AI13" s="2">
        <f t="shared" si="14"/>
        <v>1798.828125</v>
      </c>
      <c r="AJ13" s="2">
        <v>0.68878752866885407</v>
      </c>
      <c r="AK13" s="2">
        <f t="shared" si="9"/>
        <v>1780.2734375</v>
      </c>
      <c r="AL13" s="2">
        <v>-6.5150662178646144</v>
      </c>
      <c r="AM13" s="2">
        <f t="shared" si="10"/>
        <v>89.729005021827248</v>
      </c>
      <c r="AN13" s="2">
        <f t="shared" si="11"/>
        <v>-4.4874963593169053</v>
      </c>
      <c r="AO13" s="2">
        <f t="shared" si="12"/>
        <v>37.109375</v>
      </c>
    </row>
    <row r="14" spans="2:41" x14ac:dyDescent="0.2">
      <c r="F14" s="6" t="s">
        <v>178</v>
      </c>
      <c r="G14" s="6">
        <f>O21*$C$10</f>
        <v>43.057809450239937</v>
      </c>
      <c r="H14" s="6" t="s">
        <v>10</v>
      </c>
      <c r="J14" s="10" t="s">
        <v>79</v>
      </c>
      <c r="K14" s="18">
        <f>C5</f>
        <v>1797.0233330096501</v>
      </c>
      <c r="L14" s="6" t="s">
        <v>7</v>
      </c>
      <c r="N14" s="6" t="s">
        <v>39</v>
      </c>
      <c r="O14" s="6">
        <f xml:space="preserve"> O5 * O13 * $C$12</f>
        <v>1128.4819564283428</v>
      </c>
      <c r="P14" s="6" t="s">
        <v>20</v>
      </c>
      <c r="U14" s="2">
        <v>10</v>
      </c>
      <c r="V14" s="2">
        <f t="shared" si="7"/>
        <v>0.97265625</v>
      </c>
      <c r="W14" s="2">
        <f t="shared" si="0"/>
        <v>9.2578975035806366E-4</v>
      </c>
      <c r="X14" s="2">
        <f t="shared" si="8"/>
        <v>0.9736328125</v>
      </c>
      <c r="Y14" s="2">
        <f t="shared" si="1"/>
        <v>-7.2989235436637934E-5</v>
      </c>
      <c r="Z14" s="2">
        <f t="shared" si="3"/>
        <v>0.97314453125</v>
      </c>
      <c r="AA14" s="2">
        <f t="shared" si="2"/>
        <v>4.2639474453609605E-4</v>
      </c>
      <c r="AB14" s="2">
        <f t="shared" si="4"/>
        <v>3.9475188409806271E-7</v>
      </c>
      <c r="AC14" s="2">
        <f t="shared" si="5"/>
        <v>-3.1122226397890198E-8</v>
      </c>
      <c r="AD14" s="2">
        <f t="shared" si="6"/>
        <v>9.765625E-4</v>
      </c>
      <c r="AF14" s="2">
        <v>10</v>
      </c>
      <c r="AG14" s="2">
        <f t="shared" si="13"/>
        <v>1780.2734375</v>
      </c>
      <c r="AH14" s="2">
        <v>-6.5150662178646144</v>
      </c>
      <c r="AI14" s="2">
        <f t="shared" si="14"/>
        <v>1798.828125</v>
      </c>
      <c r="AJ14" s="2">
        <v>0.68878752866885407</v>
      </c>
      <c r="AK14" s="2">
        <f t="shared" si="9"/>
        <v>1789.55078125</v>
      </c>
      <c r="AL14" s="2">
        <v>-2.9064308429092307</v>
      </c>
      <c r="AM14" s="2">
        <f t="shared" si="10"/>
        <v>18.935589399197706</v>
      </c>
      <c r="AN14" s="2">
        <f t="shared" si="11"/>
        <v>-2.0019133175343833</v>
      </c>
      <c r="AO14" s="2">
        <f t="shared" si="12"/>
        <v>18.5546875</v>
      </c>
    </row>
    <row r="15" spans="2:41" x14ac:dyDescent="0.2">
      <c r="B15" s="33" t="s">
        <v>11</v>
      </c>
      <c r="C15" s="33"/>
      <c r="D15" s="33"/>
      <c r="F15" s="6" t="s">
        <v>179</v>
      </c>
      <c r="G15" s="6">
        <f>G14/$C$73</f>
        <v>0.12941086409966696</v>
      </c>
      <c r="H15" s="6" t="s">
        <v>122</v>
      </c>
      <c r="J15" s="11" t="s">
        <v>52</v>
      </c>
      <c r="K15" s="6">
        <f xml:space="preserve"> 1000 * K10 / ($C$60 * $C$61 * $C$62)</f>
        <v>408.96153932477608</v>
      </c>
      <c r="L15" s="6" t="s">
        <v>7</v>
      </c>
      <c r="N15" s="6" t="s">
        <v>180</v>
      </c>
      <c r="O15" s="6">
        <f>O4/O14</f>
        <v>15.606650608482267</v>
      </c>
      <c r="U15" s="2">
        <v>11</v>
      </c>
      <c r="V15" s="2">
        <f t="shared" si="7"/>
        <v>0.97314453125</v>
      </c>
      <c r="W15" s="2">
        <f t="shared" si="0"/>
        <v>4.2639474453609605E-4</v>
      </c>
      <c r="X15" s="2">
        <f t="shared" si="8"/>
        <v>0.9736328125</v>
      </c>
      <c r="Y15" s="2">
        <f t="shared" si="1"/>
        <v>-7.2989235436637934E-5</v>
      </c>
      <c r="Z15" s="2">
        <f t="shared" si="3"/>
        <v>0.973388671875</v>
      </c>
      <c r="AA15" s="2">
        <f t="shared" si="2"/>
        <v>1.7670137734060454E-4</v>
      </c>
      <c r="AB15" s="2">
        <f t="shared" si="4"/>
        <v>7.5344538650323385E-8</v>
      </c>
      <c r="AC15" s="2">
        <f t="shared" si="5"/>
        <v>-1.2897298432691584E-8</v>
      </c>
      <c r="AD15" s="2">
        <f t="shared" si="6"/>
        <v>4.8828125E-4</v>
      </c>
      <c r="AF15" s="2">
        <v>11</v>
      </c>
      <c r="AG15" s="2">
        <f t="shared" si="13"/>
        <v>1789.55078125</v>
      </c>
      <c r="AH15" s="2">
        <v>-2.9064308429092307</v>
      </c>
      <c r="AI15" s="2">
        <f t="shared" si="14"/>
        <v>1798.828125</v>
      </c>
      <c r="AJ15" s="2">
        <v>0.68878752866885407</v>
      </c>
      <c r="AK15" s="2">
        <f t="shared" si="9"/>
        <v>1794.189453125</v>
      </c>
      <c r="AL15" s="2">
        <v>-1.1071436640950196</v>
      </c>
      <c r="AM15" s="2">
        <f t="shared" si="10"/>
        <v>3.2178364928573022</v>
      </c>
      <c r="AN15" s="2">
        <f t="shared" si="11"/>
        <v>-0.76258674827338846</v>
      </c>
      <c r="AO15" s="2">
        <f t="shared" si="12"/>
        <v>9.27734375</v>
      </c>
    </row>
    <row r="16" spans="2:41" x14ac:dyDescent="0.2">
      <c r="B16" s="6" t="s">
        <v>68</v>
      </c>
      <c r="C16" s="6">
        <f>C35*100</f>
        <v>600</v>
      </c>
      <c r="D16" s="6" t="s">
        <v>7</v>
      </c>
      <c r="F16" s="9" t="s">
        <v>19</v>
      </c>
      <c r="G16" s="6">
        <f>O20</f>
        <v>1128.4819564283428</v>
      </c>
      <c r="H16" s="6" t="s">
        <v>20</v>
      </c>
      <c r="J16" s="12" t="s">
        <v>126</v>
      </c>
      <c r="K16" s="6">
        <f xml:space="preserve"> $C$78 * ( $C$21 * (0.0095 * MAX(G7,G26) - 1.9275) +  $C$28 * (0.0095 * MAX(O20) - 1.9275) )</f>
        <v>128.56112648870669</v>
      </c>
      <c r="L16" s="6" t="s">
        <v>7</v>
      </c>
      <c r="N16" s="6" t="s">
        <v>113</v>
      </c>
      <c r="O16" s="6">
        <f>(O13*$C$12)/(0.3048^2)/($C$5*2.20462/1000)^(2/3)</f>
        <v>5.6909492678161628</v>
      </c>
      <c r="U16" s="2">
        <v>12</v>
      </c>
      <c r="V16" s="2">
        <f t="shared" si="7"/>
        <v>0.973388671875</v>
      </c>
      <c r="W16" s="2">
        <f t="shared" si="0"/>
        <v>1.7670137734060454E-4</v>
      </c>
      <c r="X16" s="2">
        <f t="shared" si="8"/>
        <v>0.9736328125</v>
      </c>
      <c r="Y16" s="2">
        <f t="shared" si="1"/>
        <v>-7.2989235436637934E-5</v>
      </c>
      <c r="Z16" s="2">
        <f t="shared" si="3"/>
        <v>0.9735107421875</v>
      </c>
      <c r="AA16" s="2">
        <f t="shared" si="2"/>
        <v>5.1855726777350064E-5</v>
      </c>
      <c r="AB16" s="2">
        <f t="shared" si="4"/>
        <v>9.1629783445558244E-9</v>
      </c>
      <c r="AC16" s="2">
        <f t="shared" si="5"/>
        <v>-3.7849098504899737E-9</v>
      </c>
      <c r="AD16" s="2">
        <f t="shared" si="6"/>
        <v>2.44140625E-4</v>
      </c>
      <c r="AF16" s="2">
        <v>12</v>
      </c>
      <c r="AG16" s="2">
        <f t="shared" si="13"/>
        <v>1794.189453125</v>
      </c>
      <c r="AH16" s="2">
        <v>-1.1071436640950196</v>
      </c>
      <c r="AI16" s="2">
        <f t="shared" si="14"/>
        <v>1798.828125</v>
      </c>
      <c r="AJ16" s="2">
        <v>0.68878752866885407</v>
      </c>
      <c r="AK16" s="2">
        <f t="shared" si="9"/>
        <v>1796.5087890625</v>
      </c>
      <c r="AL16" s="2">
        <v>-0.20875855721760672</v>
      </c>
      <c r="AM16" s="2">
        <f t="shared" si="10"/>
        <v>0.2311257139490909</v>
      </c>
      <c r="AN16" s="2">
        <f t="shared" si="11"/>
        <v>-0.14379029071439089</v>
      </c>
      <c r="AO16" s="2">
        <f t="shared" si="12"/>
        <v>4.638671875</v>
      </c>
    </row>
    <row r="17" spans="2:41" x14ac:dyDescent="0.2">
      <c r="B17" s="6" t="s">
        <v>12</v>
      </c>
      <c r="C17" s="17">
        <f>100*1000</f>
        <v>100000</v>
      </c>
      <c r="D17" s="6" t="s">
        <v>8</v>
      </c>
      <c r="F17" s="9" t="s">
        <v>97</v>
      </c>
      <c r="G17" s="6">
        <f xml:space="preserve"> 1/1000 * (O25 + O20 * (O30 * O27 + $C$7 * SIN(O19/180*PI())))</f>
        <v>48.602486303918482</v>
      </c>
      <c r="H17" s="6" t="s">
        <v>101</v>
      </c>
      <c r="J17" s="12" t="s">
        <v>127</v>
      </c>
      <c r="K17" s="6">
        <v>0</v>
      </c>
      <c r="L17" s="6" t="s">
        <v>7</v>
      </c>
      <c r="U17" s="2">
        <v>13</v>
      </c>
      <c r="V17" s="2">
        <f t="shared" si="7"/>
        <v>0.9735107421875</v>
      </c>
      <c r="W17" s="2">
        <f t="shared" si="0"/>
        <v>5.1855726777350064E-5</v>
      </c>
      <c r="X17" s="2">
        <f t="shared" si="8"/>
        <v>0.9736328125</v>
      </c>
      <c r="Y17" s="2">
        <f t="shared" si="1"/>
        <v>-7.2989235436637934E-5</v>
      </c>
      <c r="Z17" s="2">
        <f t="shared" si="3"/>
        <v>0.97357177734375</v>
      </c>
      <c r="AA17" s="2">
        <f t="shared" si="2"/>
        <v>-1.0566840357384422E-5</v>
      </c>
      <c r="AB17" s="2">
        <f t="shared" si="4"/>
        <v>-5.4795118647240265E-10</v>
      </c>
      <c r="AC17" s="2">
        <f t="shared" si="5"/>
        <v>7.7126559866649883E-10</v>
      </c>
      <c r="AD17" s="2">
        <f t="shared" si="6"/>
        <v>1.220703125E-4</v>
      </c>
      <c r="AF17" s="2">
        <v>13</v>
      </c>
      <c r="AG17" s="2">
        <f t="shared" si="13"/>
        <v>1796.5087890625</v>
      </c>
      <c r="AH17" s="2">
        <v>-0.20875855721760672</v>
      </c>
      <c r="AI17" s="2">
        <f t="shared" si="14"/>
        <v>1798.828125</v>
      </c>
      <c r="AJ17" s="2">
        <v>0.68878752866885407</v>
      </c>
      <c r="AK17" s="2">
        <f t="shared" si="9"/>
        <v>1797.66845703125</v>
      </c>
      <c r="AL17" s="2">
        <v>0.24011924733531487</v>
      </c>
      <c r="AM17" s="2">
        <f t="shared" si="10"/>
        <v>-5.0126947633897988E-2</v>
      </c>
      <c r="AN17" s="2">
        <f t="shared" si="11"/>
        <v>0.16539114295791685</v>
      </c>
      <c r="AO17" s="2">
        <f t="shared" si="12"/>
        <v>2.3193359375</v>
      </c>
    </row>
    <row r="18" spans="2:41" x14ac:dyDescent="0.2">
      <c r="B18" s="6" t="s">
        <v>136</v>
      </c>
      <c r="C18" s="17">
        <v>1</v>
      </c>
      <c r="F18" t="s">
        <v>146</v>
      </c>
      <c r="G18" s="6">
        <f xml:space="preserve"> (G16/$C$74*1000) / (G17*1000)</f>
        <v>2.3691116141996358</v>
      </c>
      <c r="H18" s="6" t="s">
        <v>147</v>
      </c>
      <c r="J18" s="13" t="s">
        <v>53</v>
      </c>
      <c r="K18" s="6">
        <f xml:space="preserve"> $C$78 * (0.2138 * K4 + 0.2138 * K6)</f>
        <v>76.708686446843998</v>
      </c>
      <c r="L18" s="6" t="s">
        <v>7</v>
      </c>
      <c r="N18" s="31" t="s">
        <v>181</v>
      </c>
      <c r="O18" s="34"/>
      <c r="P18" s="34"/>
      <c r="U18" s="2">
        <v>14</v>
      </c>
      <c r="V18" s="2">
        <f t="shared" si="7"/>
        <v>0.9735107421875</v>
      </c>
      <c r="W18" s="2">
        <f t="shared" si="0"/>
        <v>5.1855726777350064E-5</v>
      </c>
      <c r="X18" s="2">
        <f t="shared" si="8"/>
        <v>0.97357177734375</v>
      </c>
      <c r="Y18" s="2">
        <f t="shared" si="1"/>
        <v>-1.0566840357384422E-5</v>
      </c>
      <c r="Z18" s="2">
        <f t="shared" si="3"/>
        <v>0.973541259765625</v>
      </c>
      <c r="AA18" s="2">
        <f t="shared" si="2"/>
        <v>2.0644421701021543E-5</v>
      </c>
      <c r="AB18" s="2">
        <f t="shared" si="4"/>
        <v>1.0705314912045696E-9</v>
      </c>
      <c r="AC18" s="2">
        <f t="shared" si="5"/>
        <v>-2.1814630838521719E-10</v>
      </c>
      <c r="AD18" s="2">
        <f t="shared" si="6"/>
        <v>6.103515625E-5</v>
      </c>
      <c r="AF18" s="2">
        <v>14</v>
      </c>
      <c r="AG18" s="2">
        <f t="shared" si="13"/>
        <v>1796.5087890625</v>
      </c>
      <c r="AH18" s="2">
        <v>-0.20875855721760672</v>
      </c>
      <c r="AI18" s="2">
        <f t="shared" si="14"/>
        <v>1797.66845703125</v>
      </c>
      <c r="AJ18" s="2">
        <v>0.24011924733531487</v>
      </c>
      <c r="AK18" s="2">
        <f t="shared" si="9"/>
        <v>1797.088623046875</v>
      </c>
      <c r="AL18" s="2">
        <v>1.5706619377851894E-2</v>
      </c>
      <c r="AM18" s="2">
        <f t="shared" si="10"/>
        <v>-3.2788912000864651E-3</v>
      </c>
      <c r="AN18" s="2">
        <f t="shared" si="11"/>
        <v>3.7714616231920681E-3</v>
      </c>
      <c r="AO18" s="2">
        <f t="shared" si="12"/>
        <v>1.15966796875</v>
      </c>
    </row>
    <row r="19" spans="2:41" x14ac:dyDescent="0.2">
      <c r="F19" s="9" t="s">
        <v>148</v>
      </c>
      <c r="G19" s="6">
        <f>O23 / ($C$29*$C$11/PI())</f>
        <v>5.1250374474623467E-2</v>
      </c>
      <c r="J19" s="13" t="s">
        <v>77</v>
      </c>
      <c r="K19" s="6">
        <f xml:space="preserve"> $C$78 * (0.1149 * K4 + 0.1149 * K6)</f>
        <v>41.224640190563022</v>
      </c>
      <c r="L19" s="6" t="s">
        <v>7</v>
      </c>
      <c r="N19" s="6" t="s">
        <v>25</v>
      </c>
      <c r="O19" s="6">
        <f xml:space="preserve"> 90 - $C$81</f>
        <v>85</v>
      </c>
      <c r="P19" s="6" t="s">
        <v>40</v>
      </c>
      <c r="U19" s="2">
        <v>15</v>
      </c>
      <c r="V19" s="2">
        <f t="shared" si="7"/>
        <v>0.973541259765625</v>
      </c>
      <c r="W19" s="2">
        <f t="shared" si="0"/>
        <v>2.0644421701021543E-5</v>
      </c>
      <c r="X19" s="2">
        <f t="shared" si="8"/>
        <v>0.97357177734375</v>
      </c>
      <c r="Y19" s="2">
        <f t="shared" si="1"/>
        <v>-1.0566840357384422E-5</v>
      </c>
      <c r="Z19" s="2">
        <f t="shared" si="3"/>
        <v>0.9735565185546875</v>
      </c>
      <c r="AA19" s="2">
        <f t="shared" si="2"/>
        <v>5.0387852948974299E-6</v>
      </c>
      <c r="AB19" s="2">
        <f t="shared" si="4"/>
        <v>1.0402280848876873E-10</v>
      </c>
      <c r="AC19" s="2">
        <f t="shared" si="5"/>
        <v>-5.3244039806317328E-11</v>
      </c>
      <c r="AD19" s="2">
        <f t="shared" si="6"/>
        <v>3.0517578125E-5</v>
      </c>
      <c r="AF19" s="2">
        <v>15</v>
      </c>
      <c r="AG19" s="2">
        <f t="shared" si="13"/>
        <v>1796.5087890625</v>
      </c>
      <c r="AH19" s="2">
        <v>-0.20875855721760672</v>
      </c>
      <c r="AI19" s="2">
        <f t="shared" si="14"/>
        <v>1797.088623046875</v>
      </c>
      <c r="AJ19" s="2">
        <v>1.5706619377851894E-2</v>
      </c>
      <c r="AK19" s="2">
        <f t="shared" si="9"/>
        <v>1796.7987060546875</v>
      </c>
      <c r="AL19" s="2">
        <v>-9.6519357852230314E-2</v>
      </c>
      <c r="AM19" s="2">
        <f t="shared" si="10"/>
        <v>2.0149241888801482E-2</v>
      </c>
      <c r="AN19" s="2">
        <f t="shared" si="11"/>
        <v>-1.5159928163796621E-3</v>
      </c>
      <c r="AO19" s="2">
        <f t="shared" si="12"/>
        <v>0.579833984375</v>
      </c>
    </row>
    <row r="20" spans="2:41" x14ac:dyDescent="0.2">
      <c r="B20" s="33" t="s">
        <v>110</v>
      </c>
      <c r="C20" s="33"/>
      <c r="D20" s="33"/>
      <c r="F20" s="26" t="s">
        <v>132</v>
      </c>
      <c r="G20" s="25">
        <f xml:space="preserve"> $C$28 * G17</f>
        <v>48.602486303918482</v>
      </c>
      <c r="H20" s="25" t="s">
        <v>101</v>
      </c>
      <c r="J20" s="14" t="s">
        <v>60</v>
      </c>
      <c r="K20" s="6">
        <f xml:space="preserve"> $C$79 * (14.86 * ($C$5*2.20462)^0.144 * ($C$36/(PI()*$C$37))^0.778 * ($C$36*3.28084)^0.383 * $C$35^0.455 * 0.453592)</f>
        <v>208.73787874874571</v>
      </c>
      <c r="L20" s="6" t="s">
        <v>7</v>
      </c>
      <c r="N20" s="6" t="s">
        <v>19</v>
      </c>
      <c r="O20" s="6">
        <f xml:space="preserve"> O14 / $C$28</f>
        <v>1128.4819564283428</v>
      </c>
      <c r="P20" s="6" t="s">
        <v>20</v>
      </c>
      <c r="U20" s="2">
        <v>16</v>
      </c>
      <c r="V20" s="2">
        <f t="shared" si="7"/>
        <v>0.9735565185546875</v>
      </c>
      <c r="W20" s="2">
        <f t="shared" si="0"/>
        <v>5.0387852948974299E-6</v>
      </c>
      <c r="X20" s="2">
        <f t="shared" si="8"/>
        <v>0.97357177734375</v>
      </c>
      <c r="Y20" s="2">
        <f t="shared" si="1"/>
        <v>-1.0566840357384422E-5</v>
      </c>
      <c r="Z20" s="2">
        <f t="shared" si="3"/>
        <v>0.97356414794921875</v>
      </c>
      <c r="AA20" s="2">
        <f t="shared" si="2"/>
        <v>-2.7640288754460229E-6</v>
      </c>
      <c r="AB20" s="2">
        <f t="shared" si="4"/>
        <v>-1.39273480522693E-11</v>
      </c>
      <c r="AC20" s="2">
        <f t="shared" si="5"/>
        <v>2.9207051870038913E-11</v>
      </c>
      <c r="AD20" s="2">
        <f t="shared" si="6"/>
        <v>1.52587890625E-5</v>
      </c>
      <c r="AF20" s="2">
        <v>16</v>
      </c>
      <c r="AG20" s="2">
        <f t="shared" si="13"/>
        <v>1796.7987060546875</v>
      </c>
      <c r="AH20" s="2">
        <v>-9.6519357852230314E-2</v>
      </c>
      <c r="AI20" s="2">
        <f t="shared" si="14"/>
        <v>1797.088623046875</v>
      </c>
      <c r="AJ20" s="2">
        <v>1.5706619377851894E-2</v>
      </c>
      <c r="AK20" s="2">
        <f t="shared" si="9"/>
        <v>1796.9436645507812</v>
      </c>
      <c r="AL20" s="2">
        <v>-4.0404759132570689E-2</v>
      </c>
      <c r="AM20" s="2">
        <f t="shared" si="10"/>
        <v>3.8998414056497614E-3</v>
      </c>
      <c r="AN20" s="2">
        <f t="shared" si="11"/>
        <v>-6.3462217274907302E-4</v>
      </c>
      <c r="AO20" s="2">
        <f t="shared" si="12"/>
        <v>0.2899169921875</v>
      </c>
    </row>
    <row r="21" spans="2:41" x14ac:dyDescent="0.2">
      <c r="B21" s="6" t="s">
        <v>94</v>
      </c>
      <c r="C21" s="17">
        <v>8</v>
      </c>
      <c r="J21" s="14" t="s">
        <v>61</v>
      </c>
      <c r="K21" s="6">
        <f xml:space="preserve"> $C$79 * C41 * $C$5</f>
        <v>46.722606658250903</v>
      </c>
      <c r="L21" s="6" t="s">
        <v>7</v>
      </c>
      <c r="N21" s="6" t="s">
        <v>26</v>
      </c>
      <c r="O21" s="6">
        <f>$C$6*2*PI()/60</f>
        <v>20.503718785828539</v>
      </c>
      <c r="P21" s="6" t="s">
        <v>27</v>
      </c>
      <c r="U21" s="2">
        <v>17</v>
      </c>
      <c r="V21" s="2">
        <f t="shared" si="7"/>
        <v>0.9735565185546875</v>
      </c>
      <c r="W21" s="2">
        <f t="shared" si="0"/>
        <v>5.0387852948974299E-6</v>
      </c>
      <c r="X21" s="2">
        <f t="shared" si="8"/>
        <v>0.97356414794921875</v>
      </c>
      <c r="Y21" s="2">
        <f t="shared" si="1"/>
        <v>-2.7640288754460229E-6</v>
      </c>
      <c r="Z21" s="2">
        <f t="shared" si="3"/>
        <v>0.97356033325195312</v>
      </c>
      <c r="AA21" s="2">
        <f t="shared" si="2"/>
        <v>1.1373778736611939E-6</v>
      </c>
      <c r="AB21" s="2">
        <f t="shared" si="4"/>
        <v>5.7310029045457304E-12</v>
      </c>
      <c r="AC21" s="2">
        <f t="shared" si="5"/>
        <v>-3.1437452850929387E-12</v>
      </c>
      <c r="AD21" s="2">
        <f t="shared" si="6"/>
        <v>7.62939453125E-6</v>
      </c>
      <c r="AF21" s="2">
        <v>17</v>
      </c>
      <c r="AG21" s="2">
        <f t="shared" si="13"/>
        <v>1796.9436645507812</v>
      </c>
      <c r="AH21" s="2">
        <v>-4.0404759132570689E-2</v>
      </c>
      <c r="AI21" s="2">
        <f t="shared" si="14"/>
        <v>1797.088623046875</v>
      </c>
      <c r="AJ21" s="2">
        <v>1.5706619377851894E-2</v>
      </c>
      <c r="AK21" s="2">
        <f t="shared" si="9"/>
        <v>1797.0161437988281</v>
      </c>
      <c r="AL21" s="2">
        <v>-1.2348667349442621E-2</v>
      </c>
      <c r="AM21" s="2">
        <f t="shared" si="10"/>
        <v>4.9894492986246922E-4</v>
      </c>
      <c r="AN21" s="2">
        <f t="shared" si="11"/>
        <v>-1.9395581788140246E-4</v>
      </c>
      <c r="AO21" s="2">
        <f t="shared" si="12"/>
        <v>0.14495849609375</v>
      </c>
    </row>
    <row r="22" spans="2:41" x14ac:dyDescent="0.2">
      <c r="B22" s="6" t="s">
        <v>109</v>
      </c>
      <c r="C22" s="17">
        <v>2</v>
      </c>
      <c r="F22" s="33" t="s">
        <v>81</v>
      </c>
      <c r="G22" s="33"/>
      <c r="H22" s="33"/>
      <c r="J22" s="14" t="s">
        <v>182</v>
      </c>
      <c r="K22" s="6">
        <f xml:space="preserve"> $C$79 * (0.04674 * ($C$5*2.20462)^0.397 * ($C$12*3.28084^2)^0.36 * $C$46^0.397 * $C$13^1.712 * 0.453592)</f>
        <v>155.07638017332232</v>
      </c>
      <c r="L22" s="6" t="s">
        <v>7</v>
      </c>
      <c r="N22" s="6" t="s">
        <v>28</v>
      </c>
      <c r="O22" s="6">
        <f xml:space="preserve"> $C$7 * COS(O19/180*PI()) / (O21 * $C$10)</f>
        <v>8.3225365453883912E-2</v>
      </c>
      <c r="U22" s="2">
        <v>18</v>
      </c>
      <c r="V22" s="2">
        <f t="shared" si="7"/>
        <v>0.97356033325195312</v>
      </c>
      <c r="W22" s="2">
        <f t="shared" si="0"/>
        <v>1.1373778736611939E-6</v>
      </c>
      <c r="X22" s="2">
        <f t="shared" si="8"/>
        <v>0.97356414794921875</v>
      </c>
      <c r="Y22" s="2">
        <f t="shared" si="1"/>
        <v>-2.7640288754460229E-6</v>
      </c>
      <c r="Z22" s="2">
        <f t="shared" si="3"/>
        <v>0.97356224060058594</v>
      </c>
      <c r="AA22" s="2">
        <f t="shared" si="2"/>
        <v>-8.1332558488078632E-7</v>
      </c>
      <c r="AB22" s="2">
        <f t="shared" si="4"/>
        <v>-9.250585243259557E-13</v>
      </c>
      <c r="AC22" s="2">
        <f t="shared" si="5"/>
        <v>2.2480554017495187E-12</v>
      </c>
      <c r="AD22" s="2">
        <f t="shared" si="6"/>
        <v>3.814697265625E-6</v>
      </c>
      <c r="AF22" s="2">
        <v>18</v>
      </c>
      <c r="AG22" s="2">
        <f t="shared" si="13"/>
        <v>1797.0161437988281</v>
      </c>
      <c r="AH22" s="2">
        <v>-1.2348667349442621E-2</v>
      </c>
      <c r="AI22" s="2">
        <f t="shared" si="14"/>
        <v>1797.088623046875</v>
      </c>
      <c r="AJ22" s="2">
        <v>1.5706619377851894E-2</v>
      </c>
      <c r="AK22" s="2">
        <f t="shared" si="9"/>
        <v>1797.0523834228516</v>
      </c>
      <c r="AL22" s="2">
        <v>1.6792474211797526E-3</v>
      </c>
      <c r="AM22" s="2">
        <f t="shared" si="10"/>
        <v>-2.0736467801558134E-5</v>
      </c>
      <c r="AN22" s="2">
        <f t="shared" si="11"/>
        <v>2.6375300085709724E-5</v>
      </c>
      <c r="AO22" s="2">
        <f t="shared" si="12"/>
        <v>7.2479248046875E-2</v>
      </c>
    </row>
    <row r="23" spans="2:41" x14ac:dyDescent="0.2">
      <c r="B23" s="6" t="s">
        <v>119</v>
      </c>
      <c r="C23" s="6">
        <f>$C$22*$C$9/PI()</f>
        <v>0.31022513338460861</v>
      </c>
      <c r="F23" s="6" t="s">
        <v>85</v>
      </c>
      <c r="G23" s="17">
        <f>300*0.3048/60</f>
        <v>1.524</v>
      </c>
      <c r="H23" s="6" t="s">
        <v>10</v>
      </c>
      <c r="J23" s="14" t="s">
        <v>62</v>
      </c>
      <c r="K23" s="6">
        <f xml:space="preserve"> $C$79 * (3.184 * ($C$5*2.20462)^0.887 * ($C$50*3.28084*3.28084)^0.101 * ($C$49)^0.138 ) / ( 174.04 * ($C$51*3.28084)^0.223 ) * 0.453592</f>
        <v>20.744477754338458</v>
      </c>
      <c r="L23" s="6" t="s">
        <v>7</v>
      </c>
      <c r="N23" s="6" t="s">
        <v>29</v>
      </c>
      <c r="O23" s="6">
        <f xml:space="preserve"> O20 / ( $C$71 * PI() * $C$10^2 * O21^2 * $C$10^2)</f>
        <v>4.3561941362196877E-2</v>
      </c>
      <c r="U23" s="2">
        <v>19</v>
      </c>
      <c r="V23" s="2">
        <f t="shared" si="7"/>
        <v>0.97356033325195312</v>
      </c>
      <c r="W23" s="2">
        <f t="shared" si="0"/>
        <v>1.1373778736611939E-6</v>
      </c>
      <c r="X23" s="2">
        <f t="shared" si="8"/>
        <v>0.97356224060058594</v>
      </c>
      <c r="Y23" s="2">
        <f t="shared" si="1"/>
        <v>-8.1332558488078632E-7</v>
      </c>
      <c r="Z23" s="2">
        <f t="shared" si="3"/>
        <v>0.97356128692626953</v>
      </c>
      <c r="AA23" s="2">
        <f t="shared" si="2"/>
        <v>1.6202612340698863E-7</v>
      </c>
      <c r="AB23" s="2">
        <f t="shared" si="4"/>
        <v>1.8428492771820694E-13</v>
      </c>
      <c r="AC23" s="2">
        <f t="shared" si="5"/>
        <v>-1.3177999158595548E-13</v>
      </c>
      <c r="AD23" s="2">
        <f t="shared" si="6"/>
        <v>1.9073486328125E-6</v>
      </c>
      <c r="AF23" s="2">
        <v>19</v>
      </c>
      <c r="AG23" s="2">
        <f t="shared" si="13"/>
        <v>1797.0161437988281</v>
      </c>
      <c r="AH23" s="2">
        <v>-1.2348667349442621E-2</v>
      </c>
      <c r="AI23" s="2">
        <f t="shared" si="14"/>
        <v>1797.0523834228516</v>
      </c>
      <c r="AJ23" s="2">
        <v>1.6792474211797526E-3</v>
      </c>
      <c r="AK23" s="2">
        <f t="shared" si="9"/>
        <v>1797.0342636108398</v>
      </c>
      <c r="AL23" s="2">
        <v>-5.3348555798038433E-3</v>
      </c>
      <c r="AM23" s="2">
        <f t="shared" si="10"/>
        <v>6.5878356912315507E-5</v>
      </c>
      <c r="AN23" s="2">
        <f t="shared" si="11"/>
        <v>-8.9585424747520183E-6</v>
      </c>
      <c r="AO23" s="2">
        <f t="shared" si="12"/>
        <v>3.62396240234375E-2</v>
      </c>
    </row>
    <row r="24" spans="2:41" x14ac:dyDescent="0.2">
      <c r="B24" s="6" t="s">
        <v>183</v>
      </c>
      <c r="C24" s="17">
        <v>0.75</v>
      </c>
      <c r="F24" s="6" t="s">
        <v>91</v>
      </c>
      <c r="G24" s="17">
        <f>1000*0.3048</f>
        <v>304.8</v>
      </c>
      <c r="H24" s="6" t="s">
        <v>8</v>
      </c>
      <c r="J24" s="14" t="s">
        <v>63</v>
      </c>
      <c r="K24" s="6">
        <f xml:space="preserve"> $C$79 * ( 1.68 * ($C$5*2.20462)^0.567 * ($C$55*3.28084*3.28084)^1.249 * ($C$54)^0.482 ) / (639.95 * ($C$56*3.28084)^0.747 * (COS($C$57/180*PI()))^0.882 ) * 0.453592</f>
        <v>7.7248010547846411</v>
      </c>
      <c r="L24" s="6" t="s">
        <v>7</v>
      </c>
      <c r="N24" s="6" t="s">
        <v>1</v>
      </c>
      <c r="O24" s="17">
        <v>8.8999999999999999E-3</v>
      </c>
      <c r="U24" s="2">
        <v>20</v>
      </c>
      <c r="V24" s="2">
        <f t="shared" si="7"/>
        <v>0.97356128692626953</v>
      </c>
      <c r="W24" s="2">
        <f t="shared" si="0"/>
        <v>1.6202612340698863E-7</v>
      </c>
      <c r="X24" s="2">
        <f t="shared" si="8"/>
        <v>0.97356224060058594</v>
      </c>
      <c r="Y24" s="2">
        <f t="shared" si="1"/>
        <v>-8.1332558488078632E-7</v>
      </c>
      <c r="Z24" s="2">
        <f t="shared" si="3"/>
        <v>0.97356176376342773</v>
      </c>
      <c r="AA24" s="2">
        <f t="shared" si="2"/>
        <v>-3.2564973606596936E-7</v>
      </c>
      <c r="AB24" s="2">
        <f t="shared" si="4"/>
        <v>-5.2763764323278031E-14</v>
      </c>
      <c r="AC24" s="2">
        <f t="shared" si="5"/>
        <v>2.6485926205212822E-13</v>
      </c>
      <c r="AD24" s="2">
        <f t="shared" si="6"/>
        <v>9.5367431640625E-7</v>
      </c>
      <c r="AF24" s="2">
        <v>20</v>
      </c>
      <c r="AG24" s="2">
        <f t="shared" si="13"/>
        <v>1797.0342636108398</v>
      </c>
      <c r="AH24" s="2">
        <v>-5.3348555798038433E-3</v>
      </c>
      <c r="AI24" s="2">
        <f t="shared" si="14"/>
        <v>1797.0523834228516</v>
      </c>
      <c r="AJ24" s="2">
        <v>1.6792474211797526E-3</v>
      </c>
      <c r="AK24" s="2">
        <f t="shared" si="9"/>
        <v>1797.0433235168457</v>
      </c>
      <c r="AL24" s="2">
        <v>-1.8277977903835563E-3</v>
      </c>
      <c r="AM24" s="2">
        <f t="shared" si="10"/>
        <v>9.7510372407808499E-6</v>
      </c>
      <c r="AN24" s="2">
        <f t="shared" si="11"/>
        <v>-3.0693247259396367E-6</v>
      </c>
      <c r="AO24" s="2">
        <f t="shared" si="12"/>
        <v>1.811981201171875E-2</v>
      </c>
    </row>
    <row r="25" spans="2:41" x14ac:dyDescent="0.2">
      <c r="B25" s="6" t="s">
        <v>155</v>
      </c>
      <c r="C25" s="17">
        <v>50</v>
      </c>
      <c r="D25" s="6" t="s">
        <v>58</v>
      </c>
      <c r="F25" s="6" t="s">
        <v>90</v>
      </c>
      <c r="G25" s="6">
        <f xml:space="preserve"> $G$24/$G$23</f>
        <v>200</v>
      </c>
      <c r="H25" s="6" t="s">
        <v>13</v>
      </c>
      <c r="J25" s="14" t="s">
        <v>112</v>
      </c>
      <c r="K25" s="6">
        <f>$C$79*(0.14*$G$10*1000/745.7)*0.453592</f>
        <v>17.058100270027115</v>
      </c>
      <c r="L25" s="6" t="s">
        <v>7</v>
      </c>
      <c r="N25" s="6" t="s">
        <v>30</v>
      </c>
      <c r="O25" s="6">
        <f xml:space="preserve"> ($C$30 * $O$24 / 8) * (1 + 4.65 * O22^2) * ( PI() * $C$71 * O21^3 * $C$10^5)</f>
        <v>1088.7214199312705</v>
      </c>
      <c r="P25" s="6" t="s">
        <v>18</v>
      </c>
      <c r="U25" s="2">
        <v>21</v>
      </c>
      <c r="V25" s="2">
        <f t="shared" si="7"/>
        <v>0.97356128692626953</v>
      </c>
      <c r="W25" s="2">
        <f t="shared" si="0"/>
        <v>1.6202612340698863E-7</v>
      </c>
      <c r="X25" s="2">
        <f t="shared" si="8"/>
        <v>0.97356176376342773</v>
      </c>
      <c r="Y25" s="2">
        <f t="shared" si="1"/>
        <v>-3.2564973606596936E-7</v>
      </c>
      <c r="Z25" s="2">
        <f t="shared" si="3"/>
        <v>0.97356152534484863</v>
      </c>
      <c r="AA25" s="2">
        <f t="shared" si="2"/>
        <v>-8.1811807661757996E-8</v>
      </c>
      <c r="AB25" s="2">
        <f t="shared" si="4"/>
        <v>-1.3255650044352818E-14</v>
      </c>
      <c r="AC25" s="2">
        <f t="shared" si="5"/>
        <v>2.6641993572131341E-14</v>
      </c>
      <c r="AD25" s="2">
        <f t="shared" si="6"/>
        <v>4.76837158203125E-7</v>
      </c>
      <c r="AF25" s="2">
        <v>21</v>
      </c>
      <c r="AG25" s="2">
        <f t="shared" si="13"/>
        <v>1797.0433235168457</v>
      </c>
      <c r="AH25" s="2">
        <v>-1.8277977903835563E-3</v>
      </c>
      <c r="AI25" s="2">
        <f t="shared" si="14"/>
        <v>1797.0523834228516</v>
      </c>
      <c r="AJ25" s="2">
        <v>1.6792474211797526E-3</v>
      </c>
      <c r="AK25" s="2">
        <f t="shared" si="9"/>
        <v>1797.0478534698486</v>
      </c>
      <c r="AL25" s="2">
        <v>-7.427361310874403E-5</v>
      </c>
      <c r="AM25" s="2">
        <f t="shared" si="10"/>
        <v>1.3575714592396547E-7</v>
      </c>
      <c r="AN25" s="2">
        <f t="shared" si="11"/>
        <v>-1.2472377327456107E-7</v>
      </c>
      <c r="AO25" s="2">
        <f t="shared" si="12"/>
        <v>9.059906005859375E-3</v>
      </c>
    </row>
    <row r="26" spans="2:41" x14ac:dyDescent="0.2">
      <c r="F26" s="6" t="s">
        <v>19</v>
      </c>
      <c r="G26" s="6">
        <f xml:space="preserve"> $C$5 * $C$68 / $C$21</f>
        <v>2201.6885463791332</v>
      </c>
      <c r="H26" s="6" t="s">
        <v>20</v>
      </c>
      <c r="J26" s="15" t="s">
        <v>64</v>
      </c>
      <c r="K26" s="6">
        <f xml:space="preserve"> $C$80 * (0.0268 * $C$5)</f>
        <v>38.528180259726902</v>
      </c>
      <c r="L26" s="6" t="s">
        <v>7</v>
      </c>
      <c r="N26" s="6" t="s">
        <v>31</v>
      </c>
      <c r="O26" s="18">
        <f>Z34</f>
        <v>0.9735614457167685</v>
      </c>
      <c r="U26" s="2">
        <v>22</v>
      </c>
      <c r="V26" s="2">
        <f t="shared" si="7"/>
        <v>0.97356128692626953</v>
      </c>
      <c r="W26" s="2">
        <f t="shared" si="0"/>
        <v>1.6202612340698863E-7</v>
      </c>
      <c r="X26" s="2">
        <f t="shared" si="8"/>
        <v>0.97356152534484863</v>
      </c>
      <c r="Y26" s="2">
        <f t="shared" si="1"/>
        <v>-8.1811807661757996E-8</v>
      </c>
      <c r="Z26" s="2">
        <f t="shared" si="3"/>
        <v>0.97356140613555908</v>
      </c>
      <c r="AA26" s="2">
        <f t="shared" si="2"/>
        <v>4.0107157484037259E-8</v>
      </c>
      <c r="AB26" s="2">
        <f t="shared" si="4"/>
        <v>6.4984072480121489E-15</v>
      </c>
      <c r="AC26" s="2">
        <f t="shared" si="5"/>
        <v>-3.2812390539438941E-15</v>
      </c>
      <c r="AD26" s="2">
        <f t="shared" si="6"/>
        <v>2.384185791015625E-7</v>
      </c>
      <c r="AF26" s="2">
        <v>22</v>
      </c>
      <c r="AG26" s="2">
        <f t="shared" si="13"/>
        <v>1797.0478534698486</v>
      </c>
      <c r="AH26" s="2">
        <v>-7.427361310874403E-5</v>
      </c>
      <c r="AI26" s="2">
        <f t="shared" si="14"/>
        <v>1797.0523834228516</v>
      </c>
      <c r="AJ26" s="2">
        <v>1.6792474211797526E-3</v>
      </c>
      <c r="AK26" s="2">
        <f t="shared" si="9"/>
        <v>1797.0501184463501</v>
      </c>
      <c r="AL26" s="2">
        <v>8.023165228223661E-4</v>
      </c>
      <c r="AM26" s="2">
        <f t="shared" si="10"/>
        <v>-5.9590947006861219E-8</v>
      </c>
      <c r="AN26" s="2">
        <f t="shared" si="11"/>
        <v>1.3472879519193643E-6</v>
      </c>
      <c r="AO26" s="2">
        <f t="shared" si="12"/>
        <v>4.5299530029296875E-3</v>
      </c>
    </row>
    <row r="27" spans="2:41" x14ac:dyDescent="0.2">
      <c r="B27" s="33" t="s">
        <v>184</v>
      </c>
      <c r="C27" s="33"/>
      <c r="D27" s="33"/>
      <c r="F27" t="s">
        <v>97</v>
      </c>
      <c r="G27" s="6">
        <f>G29/$C$21</f>
        <v>27.316918355645306</v>
      </c>
      <c r="H27" t="s">
        <v>101</v>
      </c>
      <c r="J27" s="15" t="s">
        <v>65</v>
      </c>
      <c r="K27" s="6">
        <f xml:space="preserve"> $C$80 * (11.5 * ($C$5*2.20462/1000)^0.4 * 0.453592)</f>
        <v>7.23782698303385</v>
      </c>
      <c r="L27" s="6" t="s">
        <v>7</v>
      </c>
      <c r="N27" s="6" t="s">
        <v>32</v>
      </c>
      <c r="O27" s="6">
        <f xml:space="preserve"> O21 * $C$10 * O26 - $C$7 * SIN(O19/180*PI())</f>
        <v>0.95980876351752187</v>
      </c>
      <c r="P27" s="6" t="s">
        <v>10</v>
      </c>
      <c r="U27" s="2">
        <v>23</v>
      </c>
      <c r="V27" s="2">
        <f t="shared" si="7"/>
        <v>0.97356140613555908</v>
      </c>
      <c r="W27" s="2">
        <f t="shared" si="0"/>
        <v>4.0107157484037259E-8</v>
      </c>
      <c r="X27" s="2">
        <f t="shared" si="8"/>
        <v>0.97356152534484863</v>
      </c>
      <c r="Y27" s="2">
        <f t="shared" si="1"/>
        <v>-8.1811807661757996E-8</v>
      </c>
      <c r="Z27" s="2">
        <f t="shared" si="3"/>
        <v>0.97356146574020386</v>
      </c>
      <c r="AA27" s="2">
        <f t="shared" si="2"/>
        <v>-2.0852325088860368E-8</v>
      </c>
      <c r="AB27" s="2">
        <f t="shared" si="4"/>
        <v>-8.3632748624726402E-16</v>
      </c>
      <c r="AC27" s="2">
        <f t="shared" si="5"/>
        <v>1.7059664094702951E-15</v>
      </c>
      <c r="AD27" s="2">
        <f t="shared" si="6"/>
        <v>1.1920928955078125E-7</v>
      </c>
      <c r="AF27" s="2">
        <v>23</v>
      </c>
      <c r="AG27" s="2">
        <f t="shared" si="13"/>
        <v>1797.0478534698486</v>
      </c>
      <c r="AH27" s="2">
        <v>-7.427361310874403E-5</v>
      </c>
      <c r="AI27" s="2">
        <f t="shared" si="14"/>
        <v>1797.0501184463501</v>
      </c>
      <c r="AJ27" s="2">
        <v>8.023165228223661E-4</v>
      </c>
      <c r="AK27" s="2">
        <f t="shared" si="9"/>
        <v>1797.0489859580994</v>
      </c>
      <c r="AL27" s="2">
        <v>3.6419232765183551E-4</v>
      </c>
      <c r="AM27" s="2">
        <f t="shared" si="10"/>
        <v>-2.7049880041185371E-8</v>
      </c>
      <c r="AN27" s="2">
        <f t="shared" si="11"/>
        <v>2.9219752196020453E-7</v>
      </c>
      <c r="AO27" s="2">
        <f t="shared" si="12"/>
        <v>2.2649765014648438E-3</v>
      </c>
    </row>
    <row r="28" spans="2:41" x14ac:dyDescent="0.2">
      <c r="B28" s="6" t="s">
        <v>185</v>
      </c>
      <c r="C28" s="17">
        <v>1</v>
      </c>
      <c r="F28" t="s">
        <v>146</v>
      </c>
      <c r="G28" s="6">
        <f xml:space="preserve"> (G26/$C$68*1000) / (G27*1000)</f>
        <v>8.2230328363442471</v>
      </c>
      <c r="H28" s="6" t="s">
        <v>147</v>
      </c>
      <c r="J28" s="15" t="s">
        <v>66</v>
      </c>
      <c r="K28" s="6">
        <f xml:space="preserve"> $C$80 * (8 * ($C$5/1000))</f>
        <v>11.500949331261761</v>
      </c>
      <c r="L28" s="6" t="s">
        <v>7</v>
      </c>
      <c r="N28" s="6" t="s">
        <v>33</v>
      </c>
      <c r="O28" s="6">
        <f xml:space="preserve"> 1/$C$31 - O25 * SQRT( (2*$C$71*PI()*$C$10^2) / O20^3 )</f>
        <v>1.1815124194383566</v>
      </c>
      <c r="U28" s="2">
        <v>24</v>
      </c>
      <c r="V28" s="2">
        <f t="shared" si="7"/>
        <v>0.97356140613555908</v>
      </c>
      <c r="W28" s="2">
        <f t="shared" si="0"/>
        <v>4.0107157484037259E-8</v>
      </c>
      <c r="X28" s="2">
        <f t="shared" si="8"/>
        <v>0.97356146574020386</v>
      </c>
      <c r="Y28" s="2">
        <f t="shared" si="1"/>
        <v>-2.0852325088860368E-8</v>
      </c>
      <c r="Z28" s="2">
        <f t="shared" si="3"/>
        <v>0.97356143593788147</v>
      </c>
      <c r="AA28" s="2">
        <f t="shared" si="2"/>
        <v>9.6274161975884454E-9</v>
      </c>
      <c r="AB28" s="2">
        <f t="shared" si="4"/>
        <v>3.8612829760105095E-16</v>
      </c>
      <c r="AC28" s="2">
        <f t="shared" si="5"/>
        <v>-2.0075401231787423E-16</v>
      </c>
      <c r="AD28" s="2">
        <f t="shared" si="6"/>
        <v>5.9604644775390625E-8</v>
      </c>
      <c r="AF28" s="2">
        <v>24</v>
      </c>
      <c r="AG28" s="2">
        <f t="shared" si="13"/>
        <v>1797.0478534698486</v>
      </c>
      <c r="AH28" s="2">
        <v>-7.427361310874403E-5</v>
      </c>
      <c r="AI28" s="2">
        <f t="shared" si="14"/>
        <v>1797.0489859580994</v>
      </c>
      <c r="AJ28" s="2">
        <v>3.6419232765183551E-4</v>
      </c>
      <c r="AK28" s="2">
        <f t="shared" si="9"/>
        <v>1797.048419713974</v>
      </c>
      <c r="AL28" s="2">
        <v>1.447886081678007E-4</v>
      </c>
      <c r="AM28" s="2">
        <f t="shared" si="10"/>
        <v>-1.0753973065608765E-8</v>
      </c>
      <c r="AN28" s="2">
        <f t="shared" si="11"/>
        <v>5.2730900226100899E-8</v>
      </c>
      <c r="AO28" s="2">
        <f t="shared" si="12"/>
        <v>1.1324882507324219E-3</v>
      </c>
    </row>
    <row r="29" spans="2:41" x14ac:dyDescent="0.2">
      <c r="B29" s="6" t="s">
        <v>186</v>
      </c>
      <c r="C29" s="17">
        <v>6</v>
      </c>
      <c r="F29" s="25" t="s">
        <v>83</v>
      </c>
      <c r="G29" s="25">
        <f xml:space="preserve"> 1/1000 * IF( $G$23&gt;=2*SQRT(($C$5*$C$68)/(2*$C$65*$C$21*PI()*$C$8*$C$8)), ($C$5*$C$68)/$C$24 * ( ($G$23/2) - SQRT( ($G$23/2)^2 - ($C$5*$C$68)/(2*$C$65*$C$21*PI()*$C$8*$C$8 ) ) ), 1/$C$24 * SQRT(($C$5*$C$68)^3/(2*$C$65*$C$21*PI()*$C$8*$C$8)) )</f>
        <v>218.53534684516245</v>
      </c>
      <c r="H29" s="25" t="s">
        <v>101</v>
      </c>
      <c r="J29" s="15" t="s">
        <v>67</v>
      </c>
      <c r="K29" s="6">
        <f xml:space="preserve"> $C$80 * (13 * ($C$5*2.20462/1000)^1.3 * 0.453592)</f>
        <v>28.245705222204336</v>
      </c>
      <c r="L29" s="6" t="s">
        <v>7</v>
      </c>
      <c r="N29" s="6" t="s">
        <v>34</v>
      </c>
      <c r="O29" s="17">
        <v>1.1499999999999999</v>
      </c>
      <c r="U29" s="2">
        <v>25</v>
      </c>
      <c r="V29" s="2">
        <f t="shared" si="7"/>
        <v>0.97356143593788147</v>
      </c>
      <c r="W29" s="2">
        <f t="shared" si="0"/>
        <v>9.6274161975884454E-9</v>
      </c>
      <c r="X29" s="2">
        <f t="shared" si="8"/>
        <v>0.97356146574020386</v>
      </c>
      <c r="Y29" s="2">
        <f t="shared" si="1"/>
        <v>-2.0852325088860368E-8</v>
      </c>
      <c r="Z29" s="2">
        <f t="shared" si="3"/>
        <v>0.97356145083904266</v>
      </c>
      <c r="AA29" s="2">
        <f t="shared" si="2"/>
        <v>-5.6124545011471128E-9</v>
      </c>
      <c r="AB29" s="2">
        <f t="shared" si="4"/>
        <v>-5.4033435372571891E-17</v>
      </c>
      <c r="AC29" s="2">
        <f t="shared" si="5"/>
        <v>1.1703272580435724E-16</v>
      </c>
      <c r="AD29" s="2">
        <f t="shared" si="6"/>
        <v>2.9802322387695312E-8</v>
      </c>
      <c r="AF29" s="2">
        <v>25</v>
      </c>
      <c r="AG29" s="2">
        <f t="shared" si="13"/>
        <v>1797.0478534698486</v>
      </c>
      <c r="AH29" s="2">
        <v>-7.427361310874403E-5</v>
      </c>
      <c r="AI29" s="2">
        <f t="shared" si="14"/>
        <v>1797.048419713974</v>
      </c>
      <c r="AJ29" s="2">
        <v>1.447886081678007E-4</v>
      </c>
      <c r="AK29" s="2">
        <f t="shared" si="9"/>
        <v>1797.0481365919113</v>
      </c>
      <c r="AL29" s="2">
        <v>3.5428277669780073E-5</v>
      </c>
      <c r="AM29" s="2">
        <f t="shared" si="10"/>
        <v>-2.6313861887544006E-9</v>
      </c>
      <c r="AN29" s="2">
        <f t="shared" si="11"/>
        <v>5.12961101358983E-9</v>
      </c>
      <c r="AO29" s="2">
        <f t="shared" si="12"/>
        <v>5.6624412536621094E-4</v>
      </c>
    </row>
    <row r="30" spans="2:41" x14ac:dyDescent="0.2">
      <c r="B30" s="6" t="s">
        <v>187</v>
      </c>
      <c r="C30" s="6">
        <f>$C$29*$C$11/PI()</f>
        <v>0.84998288907657626</v>
      </c>
      <c r="J30" s="10" t="s">
        <v>54</v>
      </c>
      <c r="K30" s="10">
        <f>$C$5 - $C$16 - SUM(K15:K29)</f>
        <v>-9.5658969357828028E-3</v>
      </c>
      <c r="L30" s="10" t="s">
        <v>7</v>
      </c>
      <c r="N30" s="6" t="s">
        <v>35</v>
      </c>
      <c r="O30" s="6">
        <f xml:space="preserve"> 1/$C$77 * LN( EXP($C$77 * O28) + EXP($C$77 * O29) )</f>
        <v>1.1924540553652039</v>
      </c>
      <c r="U30" s="2">
        <v>26</v>
      </c>
      <c r="V30" s="2">
        <f>IF(AB29&gt;0, Z29, V29)</f>
        <v>0.97356143593788147</v>
      </c>
      <c r="W30" s="2">
        <f t="shared" si="0"/>
        <v>9.6274161975884454E-9</v>
      </c>
      <c r="X30" s="2">
        <f t="shared" si="8"/>
        <v>0.97356145083904266</v>
      </c>
      <c r="Y30" s="2">
        <f t="shared" si="1"/>
        <v>-5.6124545011471128E-9</v>
      </c>
      <c r="Z30" s="2">
        <f t="shared" si="3"/>
        <v>0.97356144338846207</v>
      </c>
      <c r="AA30" s="2">
        <f t="shared" si="2"/>
        <v>2.0074808482206663E-9</v>
      </c>
      <c r="AB30" s="2">
        <f t="shared" si="4"/>
        <v>1.9326853634508234E-17</v>
      </c>
      <c r="AC30" s="2">
        <f t="shared" si="5"/>
        <v>-1.1266894922562702E-17</v>
      </c>
      <c r="AD30" s="2">
        <f t="shared" si="6"/>
        <v>1.4901161193847656E-8</v>
      </c>
      <c r="AF30" s="2">
        <v>26</v>
      </c>
      <c r="AG30" s="2">
        <f t="shared" si="13"/>
        <v>1797.0478534698486</v>
      </c>
      <c r="AH30" s="2">
        <v>-7.427361310874403E-5</v>
      </c>
      <c r="AI30" s="2">
        <f t="shared" si="14"/>
        <v>1797.0481365919113</v>
      </c>
      <c r="AJ30" s="2">
        <v>3.5428277669780073E-5</v>
      </c>
      <c r="AK30" s="2">
        <f t="shared" si="9"/>
        <v>1797.04799503088</v>
      </c>
      <c r="AL30" s="2">
        <v>-1.9422665900492575E-5</v>
      </c>
      <c r="AM30" s="2">
        <f t="shared" si="10"/>
        <v>1.442591572633581E-9</v>
      </c>
      <c r="AN30" s="2">
        <f t="shared" si="11"/>
        <v>-6.8811160061001996E-10</v>
      </c>
      <c r="AO30" s="2">
        <f t="shared" si="12"/>
        <v>2.8312206268310547E-4</v>
      </c>
    </row>
    <row r="31" spans="2:41" x14ac:dyDescent="0.2">
      <c r="B31" s="6" t="s">
        <v>188</v>
      </c>
      <c r="C31" s="17">
        <v>0.75</v>
      </c>
      <c r="F31" s="31" t="s">
        <v>156</v>
      </c>
      <c r="G31" s="32"/>
      <c r="H31" s="32"/>
      <c r="J31" s="6" t="s">
        <v>55</v>
      </c>
      <c r="K31" s="4" t="str">
        <f>IF(ABS(K30)&lt;1, "TRUE", "FALSE")</f>
        <v>TRUE</v>
      </c>
      <c r="U31" s="2">
        <v>27</v>
      </c>
      <c r="V31" s="2">
        <f t="shared" si="7"/>
        <v>0.97356144338846207</v>
      </c>
      <c r="W31" s="2">
        <f t="shared" si="0"/>
        <v>2.0074808482206663E-9</v>
      </c>
      <c r="X31" s="2">
        <f t="shared" si="8"/>
        <v>0.97356145083904266</v>
      </c>
      <c r="Y31" s="2">
        <f t="shared" si="1"/>
        <v>-5.6124545011471128E-9</v>
      </c>
      <c r="Z31" s="2">
        <f t="shared" si="3"/>
        <v>0.97356144711375237</v>
      </c>
      <c r="AA31" s="2">
        <f t="shared" si="2"/>
        <v>-1.8024868264632232E-9</v>
      </c>
      <c r="AB31" s="2">
        <f t="shared" si="4"/>
        <v>-3.6184577832949683E-18</v>
      </c>
      <c r="AC31" s="2">
        <f t="shared" si="5"/>
        <v>1.0116375302441892E-17</v>
      </c>
      <c r="AD31" s="2">
        <f t="shared" si="6"/>
        <v>7.4505805969238281E-9</v>
      </c>
      <c r="AF31" s="2">
        <v>27</v>
      </c>
      <c r="AG31" s="2">
        <f t="shared" si="13"/>
        <v>1797.04799503088</v>
      </c>
      <c r="AH31" s="2">
        <v>-1.9422665900492575E-5</v>
      </c>
      <c r="AI31" s="2">
        <f t="shared" si="14"/>
        <v>1797.0481365919113</v>
      </c>
      <c r="AJ31" s="2">
        <v>3.5428277669780073E-5</v>
      </c>
      <c r="AK31" s="2">
        <f t="shared" si="9"/>
        <v>1797.0480658113956</v>
      </c>
      <c r="AL31" s="2">
        <v>8.0028064530779375E-6</v>
      </c>
      <c r="AM31" s="2">
        <f t="shared" si="10"/>
        <v>-1.5543583600443879E-10</v>
      </c>
      <c r="AN31" s="2">
        <f t="shared" si="11"/>
        <v>2.8352564915715296E-10</v>
      </c>
      <c r="AO31" s="2">
        <f t="shared" si="12"/>
        <v>1.4156103134155273E-4</v>
      </c>
    </row>
    <row r="32" spans="2:41" x14ac:dyDescent="0.2">
      <c r="B32" s="6" t="s">
        <v>155</v>
      </c>
      <c r="C32" s="17">
        <v>50</v>
      </c>
      <c r="D32" s="6" t="s">
        <v>58</v>
      </c>
      <c r="F32" s="9" t="s">
        <v>157</v>
      </c>
      <c r="G32" s="17">
        <f>20*60</f>
        <v>1200</v>
      </c>
      <c r="H32" s="6" t="s">
        <v>13</v>
      </c>
      <c r="U32" s="2">
        <v>28</v>
      </c>
      <c r="V32" s="2">
        <f t="shared" si="7"/>
        <v>0.97356144338846207</v>
      </c>
      <c r="W32" s="2">
        <f t="shared" si="0"/>
        <v>2.0074808482206663E-9</v>
      </c>
      <c r="X32" s="2">
        <f t="shared" si="8"/>
        <v>0.97356144711375237</v>
      </c>
      <c r="Y32" s="2">
        <f t="shared" si="1"/>
        <v>-1.8024868264632232E-9</v>
      </c>
      <c r="Z32" s="2">
        <f t="shared" si="3"/>
        <v>0.97356144525110722</v>
      </c>
      <c r="AA32" s="2">
        <f t="shared" si="2"/>
        <v>1.0249701087872154E-10</v>
      </c>
      <c r="AB32" s="2">
        <f t="shared" si="4"/>
        <v>2.0576078633889878E-19</v>
      </c>
      <c r="AC32" s="2">
        <f t="shared" si="5"/>
        <v>-1.8474951186075325E-19</v>
      </c>
      <c r="AD32" s="2">
        <f t="shared" si="6"/>
        <v>3.7252902984619141E-9</v>
      </c>
      <c r="AF32" s="2">
        <v>28</v>
      </c>
      <c r="AG32" s="2">
        <f t="shared" si="13"/>
        <v>1797.04799503088</v>
      </c>
      <c r="AH32" s="2">
        <v>-1.9422665900492575E-5</v>
      </c>
      <c r="AI32" s="2">
        <f t="shared" si="14"/>
        <v>1797.0480658113956</v>
      </c>
      <c r="AJ32" s="2">
        <v>8.0028064530779375E-6</v>
      </c>
      <c r="AK32" s="2">
        <f t="shared" si="9"/>
        <v>1797.0480304211378</v>
      </c>
      <c r="AL32" s="2">
        <v>-5.8807038385566557E-6</v>
      </c>
      <c r="AM32" s="2">
        <f t="shared" si="10"/>
        <v>1.1421894591603015E-10</v>
      </c>
      <c r="AN32" s="2">
        <f t="shared" si="11"/>
        <v>-4.7062134627841402E-11</v>
      </c>
      <c r="AO32" s="2">
        <f t="shared" si="12"/>
        <v>7.0780515670776367E-5</v>
      </c>
    </row>
    <row r="33" spans="2:41" x14ac:dyDescent="0.2">
      <c r="F33" s="26" t="s">
        <v>132</v>
      </c>
      <c r="G33" s="25">
        <f xml:space="preserve"> G20</f>
        <v>48.602486303918482</v>
      </c>
      <c r="H33" s="25" t="s">
        <v>101</v>
      </c>
      <c r="J33" s="27" t="s">
        <v>56</v>
      </c>
      <c r="K33" s="27"/>
      <c r="L33" s="27"/>
      <c r="U33" s="2">
        <v>29</v>
      </c>
      <c r="V33" s="2">
        <f t="shared" si="7"/>
        <v>0.97356144525110722</v>
      </c>
      <c r="W33" s="2">
        <f t="shared" si="0"/>
        <v>1.0249701087872154E-10</v>
      </c>
      <c r="X33" s="2">
        <f t="shared" si="8"/>
        <v>0.97356144711375237</v>
      </c>
      <c r="Y33" s="2">
        <f t="shared" si="1"/>
        <v>-1.8024868264632232E-9</v>
      </c>
      <c r="Z33" s="2">
        <f t="shared" si="3"/>
        <v>0.97356144618242979</v>
      </c>
      <c r="AA33" s="2">
        <f t="shared" si="2"/>
        <v>-8.4999496330340207E-10</v>
      </c>
      <c r="AB33" s="2">
        <f t="shared" si="4"/>
        <v>-8.7121943000567318E-20</v>
      </c>
      <c r="AC33" s="2">
        <f t="shared" si="5"/>
        <v>1.5321047239144731E-18</v>
      </c>
      <c r="AD33" s="2">
        <f t="shared" si="6"/>
        <v>1.862645149230957E-9</v>
      </c>
      <c r="AF33" s="2">
        <v>29</v>
      </c>
      <c r="AG33" s="2">
        <f t="shared" si="13"/>
        <v>1797.0480304211378</v>
      </c>
      <c r="AH33" s="2">
        <v>-5.8807038385566557E-6</v>
      </c>
      <c r="AI33" s="2">
        <f t="shared" si="14"/>
        <v>1797.0480658113956</v>
      </c>
      <c r="AJ33" s="2">
        <v>8.0028064530779375E-6</v>
      </c>
      <c r="AK33" s="2">
        <f t="shared" si="9"/>
        <v>1797.0480481162667</v>
      </c>
      <c r="AL33" s="2">
        <v>1.0610510798869655E-6</v>
      </c>
      <c r="AM33" s="2">
        <f t="shared" si="10"/>
        <v>-6.2397271583959625E-12</v>
      </c>
      <c r="AN33" s="2">
        <f t="shared" si="11"/>
        <v>8.4913864291647213E-12</v>
      </c>
      <c r="AO33" s="2">
        <f t="shared" si="12"/>
        <v>3.5390257835388184E-5</v>
      </c>
    </row>
    <row r="34" spans="2:41" x14ac:dyDescent="0.2">
      <c r="B34" s="33" t="s">
        <v>104</v>
      </c>
      <c r="C34" s="33"/>
      <c r="D34" s="33"/>
      <c r="J34" s="6" t="s">
        <v>57</v>
      </c>
      <c r="K34" s="6">
        <f>ROUND($C$16/$C$5 * 100, 2)</f>
        <v>33.39</v>
      </c>
      <c r="L34" s="6" t="s">
        <v>58</v>
      </c>
      <c r="U34" s="2">
        <v>30</v>
      </c>
      <c r="V34" s="2">
        <f t="shared" si="7"/>
        <v>0.97356144525110722</v>
      </c>
      <c r="W34" s="2">
        <f t="shared" si="0"/>
        <v>1.0249701087872154E-10</v>
      </c>
      <c r="X34" s="2">
        <f t="shared" si="8"/>
        <v>0.97356144618242979</v>
      </c>
      <c r="Y34" s="2">
        <f t="shared" si="1"/>
        <v>-8.4999496330340207E-10</v>
      </c>
      <c r="Z34" s="2">
        <f t="shared" si="3"/>
        <v>0.9735614457167685</v>
      </c>
      <c r="AA34" s="2">
        <f t="shared" si="2"/>
        <v>-3.7374892070118904E-10</v>
      </c>
      <c r="AB34" s="2">
        <f t="shared" si="4"/>
        <v>-3.8308147191020207E-20</v>
      </c>
      <c r="AC34" s="2">
        <f t="shared" si="5"/>
        <v>3.1768470013609331E-19</v>
      </c>
      <c r="AD34" s="2">
        <f t="shared" si="6"/>
        <v>9.3132257461547852E-10</v>
      </c>
      <c r="AF34" s="2">
        <v>30</v>
      </c>
      <c r="AG34" s="2">
        <f t="shared" si="13"/>
        <v>1797.0480304211378</v>
      </c>
      <c r="AH34" s="2">
        <v>-5.8807038385566557E-6</v>
      </c>
      <c r="AI34" s="2">
        <f t="shared" si="14"/>
        <v>1797.0480481162667</v>
      </c>
      <c r="AJ34" s="2">
        <v>1.0610510798869655E-6</v>
      </c>
      <c r="AK34" s="2">
        <f t="shared" si="9"/>
        <v>1797.0480392687023</v>
      </c>
      <c r="AL34" s="2">
        <v>-2.4098267203953583E-6</v>
      </c>
      <c r="AM34" s="2">
        <f t="shared" si="10"/>
        <v>1.417147724488538E-11</v>
      </c>
      <c r="AN34" s="2">
        <f t="shared" si="11"/>
        <v>-2.5569492440159593E-12</v>
      </c>
      <c r="AO34" s="2">
        <f t="shared" si="12"/>
        <v>1.7695128917694092E-5</v>
      </c>
    </row>
    <row r="35" spans="2:41" x14ac:dyDescent="0.2">
      <c r="B35" s="6" t="s">
        <v>105</v>
      </c>
      <c r="C35" s="17">
        <v>6</v>
      </c>
      <c r="J35" s="11" t="s">
        <v>52</v>
      </c>
      <c r="K35" s="6">
        <f>ROUND(K15/$C$5 * 100, 2)</f>
        <v>22.76</v>
      </c>
      <c r="L35" s="6" t="s">
        <v>58</v>
      </c>
      <c r="AF35" s="2">
        <v>31</v>
      </c>
      <c r="AG35" s="2">
        <f t="shared" si="13"/>
        <v>1797.0480392687023</v>
      </c>
      <c r="AH35" s="2">
        <v>-2.4098267203953583E-6</v>
      </c>
      <c r="AI35" s="2">
        <f t="shared" si="14"/>
        <v>1797.0480481162667</v>
      </c>
      <c r="AJ35" s="2">
        <v>1.0610510798869655E-6</v>
      </c>
      <c r="AK35" s="2">
        <f t="shared" si="9"/>
        <v>1797.0480436924845</v>
      </c>
      <c r="AL35" s="2">
        <v>-6.7438736550684553E-7</v>
      </c>
      <c r="AM35" s="2">
        <f t="shared" si="10"/>
        <v>1.6251566932954273E-12</v>
      </c>
      <c r="AN35" s="2">
        <f t="shared" si="11"/>
        <v>-7.1555944243316412E-13</v>
      </c>
      <c r="AO35" s="2">
        <f t="shared" si="12"/>
        <v>8.8475644588470459E-6</v>
      </c>
    </row>
    <row r="36" spans="2:41" x14ac:dyDescent="0.2">
      <c r="B36" s="6" t="s">
        <v>106</v>
      </c>
      <c r="C36" s="17">
        <v>9.1440000000000001</v>
      </c>
      <c r="D36" s="6" t="s">
        <v>8</v>
      </c>
      <c r="J36" s="19" t="s">
        <v>78</v>
      </c>
      <c r="K36" s="6">
        <f>ROUND(SUM(K16:K19)/$C$5 * 100, 2)</f>
        <v>13.72</v>
      </c>
      <c r="L36" s="6" t="s">
        <v>58</v>
      </c>
      <c r="AF36" s="2">
        <v>32</v>
      </c>
      <c r="AG36" s="2">
        <f t="shared" si="13"/>
        <v>1797.0480436924845</v>
      </c>
      <c r="AH36" s="2">
        <v>-6.7438736550684553E-7</v>
      </c>
      <c r="AI36" s="2">
        <f t="shared" si="14"/>
        <v>1797.0480481162667</v>
      </c>
      <c r="AJ36" s="2">
        <v>1.0610510798869655E-6</v>
      </c>
      <c r="AK36" s="2">
        <f t="shared" si="9"/>
        <v>1797.0480459043756</v>
      </c>
      <c r="AL36" s="2">
        <v>1.9333219825057313E-7</v>
      </c>
      <c r="AM36" s="2">
        <f t="shared" si="10"/>
        <v>-1.3038079184585118E-13</v>
      </c>
      <c r="AN36" s="2">
        <f t="shared" si="11"/>
        <v>2.0513533773069151E-13</v>
      </c>
      <c r="AO36" s="2">
        <f t="shared" si="12"/>
        <v>4.4237822294235229E-6</v>
      </c>
    </row>
    <row r="37" spans="2:41" x14ac:dyDescent="0.2">
      <c r="B37" s="6" t="s">
        <v>107</v>
      </c>
      <c r="C37" s="17">
        <v>1.8675309360000001</v>
      </c>
      <c r="D37" s="6" t="s">
        <v>8</v>
      </c>
      <c r="J37" s="20" t="s">
        <v>69</v>
      </c>
      <c r="K37" s="6">
        <f>ROUND(SUM(K20:K25)/$C$5 * 100, 2)</f>
        <v>25.38</v>
      </c>
      <c r="L37" s="6" t="s">
        <v>58</v>
      </c>
      <c r="AF37" s="2">
        <v>33</v>
      </c>
      <c r="AG37" s="2">
        <f t="shared" si="13"/>
        <v>1797.0480436924845</v>
      </c>
      <c r="AH37" s="2">
        <v>-6.7438736550684553E-7</v>
      </c>
      <c r="AI37" s="2">
        <f t="shared" si="14"/>
        <v>1797.0480459043756</v>
      </c>
      <c r="AJ37" s="2">
        <v>1.9333219825057313E-7</v>
      </c>
      <c r="AK37" s="2">
        <f t="shared" si="9"/>
        <v>1797.0480447984301</v>
      </c>
      <c r="AL37" s="2">
        <v>-2.4052792468864936E-7</v>
      </c>
      <c r="AM37" s="2">
        <f t="shared" si="10"/>
        <v>1.6220899346160719E-13</v>
      </c>
      <c r="AN37" s="2">
        <f t="shared" si="11"/>
        <v>-4.6501792420704882E-14</v>
      </c>
      <c r="AO37" s="2">
        <f t="shared" si="12"/>
        <v>2.2118911147117615E-6</v>
      </c>
    </row>
    <row r="38" spans="2:41" x14ac:dyDescent="0.2">
      <c r="J38" s="15" t="s">
        <v>70</v>
      </c>
      <c r="K38" s="6">
        <f>ROUND(SUM(K26:K29)/$C$5*100, 2)</f>
        <v>4.76</v>
      </c>
      <c r="L38" s="6" t="s">
        <v>58</v>
      </c>
      <c r="AF38" s="2">
        <v>34</v>
      </c>
      <c r="AG38" s="2">
        <f t="shared" si="13"/>
        <v>1797.0480447984301</v>
      </c>
      <c r="AH38" s="2">
        <v>-2.4052792468864936E-7</v>
      </c>
      <c r="AI38" s="2">
        <f t="shared" si="14"/>
        <v>1797.0480459043756</v>
      </c>
      <c r="AJ38" s="2">
        <v>1.9333219825057313E-7</v>
      </c>
      <c r="AK38" s="2">
        <f t="shared" si="9"/>
        <v>1797.0480453514028</v>
      </c>
      <c r="AL38" s="2">
        <v>-2.3597976905875839E-8</v>
      </c>
      <c r="AM38" s="2">
        <f t="shared" si="10"/>
        <v>5.6759724120209908E-15</v>
      </c>
      <c r="AN38" s="2">
        <f t="shared" si="11"/>
        <v>-4.562248749479234E-15</v>
      </c>
      <c r="AO38" s="2">
        <f t="shared" si="12"/>
        <v>1.1059455573558807E-6</v>
      </c>
    </row>
    <row r="39" spans="2:41" x14ac:dyDescent="0.2">
      <c r="B39" s="33" t="s">
        <v>108</v>
      </c>
      <c r="C39" s="33"/>
      <c r="D39" s="33"/>
      <c r="J39" s="10" t="s">
        <v>59</v>
      </c>
      <c r="K39" s="10">
        <f>SUM(K34:K38)</f>
        <v>100.01</v>
      </c>
      <c r="L39" s="10" t="s">
        <v>58</v>
      </c>
      <c r="AF39" s="2">
        <v>35</v>
      </c>
      <c r="AG39" s="2">
        <f t="shared" si="13"/>
        <v>1797.0480453514028</v>
      </c>
      <c r="AH39" s="2">
        <v>-2.3597976905875839E-8</v>
      </c>
      <c r="AI39" s="2">
        <f t="shared" si="14"/>
        <v>1797.0480459043756</v>
      </c>
      <c r="AJ39" s="2">
        <v>1.9333219825057313E-7</v>
      </c>
      <c r="AK39" s="2">
        <f t="shared" si="9"/>
        <v>1797.0480456278892</v>
      </c>
      <c r="AL39" s="2">
        <v>8.4867451732861809E-8</v>
      </c>
      <c r="AM39" s="2">
        <f t="shared" si="10"/>
        <v>-2.0027001660526055E-15</v>
      </c>
      <c r="AN39" s="2">
        <f t="shared" si="11"/>
        <v>1.6407611003438585E-14</v>
      </c>
      <c r="AO39" s="2">
        <f t="shared" si="12"/>
        <v>5.5297277867794037E-7</v>
      </c>
    </row>
    <row r="40" spans="2:41" x14ac:dyDescent="0.2">
      <c r="B40" s="6" t="s">
        <v>116</v>
      </c>
      <c r="C40" s="22" t="s">
        <v>189</v>
      </c>
      <c r="AF40" s="2">
        <v>36</v>
      </c>
      <c r="AG40" s="2">
        <f t="shared" si="13"/>
        <v>1797.0480453514028</v>
      </c>
      <c r="AH40" s="2">
        <v>-2.3597976905875839E-8</v>
      </c>
      <c r="AI40" s="2">
        <f t="shared" si="14"/>
        <v>1797.0480456278892</v>
      </c>
      <c r="AJ40" s="2">
        <v>8.4867451732861809E-8</v>
      </c>
      <c r="AK40" s="2">
        <f t="shared" si="9"/>
        <v>1797.048045489646</v>
      </c>
      <c r="AL40" s="2">
        <v>3.0634737413492985E-8</v>
      </c>
      <c r="AM40" s="2">
        <f t="shared" si="10"/>
        <v>-7.22917826001178E-16</v>
      </c>
      <c r="AN40" s="2">
        <f t="shared" si="11"/>
        <v>2.5998920987885117E-15</v>
      </c>
      <c r="AO40" s="2">
        <f t="shared" si="12"/>
        <v>2.7648638933897018E-7</v>
      </c>
    </row>
    <row r="41" spans="2:41" x14ac:dyDescent="0.2">
      <c r="B41" s="6" t="s">
        <v>117</v>
      </c>
      <c r="C41" s="6">
        <f>IF(C40="wheeled",0.0325,0.014)</f>
        <v>3.2500000000000001E-2</v>
      </c>
      <c r="J41" s="33" t="s">
        <v>111</v>
      </c>
      <c r="K41" s="33"/>
      <c r="L41" s="33"/>
      <c r="AF41" s="2">
        <v>37</v>
      </c>
      <c r="AG41" s="2">
        <f t="shared" si="13"/>
        <v>1797.0480453514028</v>
      </c>
      <c r="AH41" s="2">
        <v>-2.3597976905875839E-8</v>
      </c>
      <c r="AI41" s="2">
        <f t="shared" si="14"/>
        <v>1797.048045489646</v>
      </c>
      <c r="AJ41" s="2">
        <v>3.0634737413492985E-8</v>
      </c>
      <c r="AK41" s="2">
        <f t="shared" si="9"/>
        <v>1797.0480454205244</v>
      </c>
      <c r="AL41" s="2">
        <v>3.5181528801331297E-9</v>
      </c>
      <c r="AM41" s="2">
        <f t="shared" si="10"/>
        <v>-8.3021290416722163E-17</v>
      </c>
      <c r="AN41" s="2">
        <f t="shared" si="11"/>
        <v>1.0777768966340249E-16</v>
      </c>
      <c r="AO41" s="2">
        <f t="shared" si="12"/>
        <v>1.3824319466948509E-7</v>
      </c>
    </row>
    <row r="42" spans="2:41" x14ac:dyDescent="0.2">
      <c r="B42" s="6" t="s">
        <v>190</v>
      </c>
      <c r="C42" s="17">
        <v>0.30480000000000002</v>
      </c>
      <c r="D42" s="6" t="s">
        <v>8</v>
      </c>
      <c r="J42" s="6" t="s">
        <v>57</v>
      </c>
      <c r="K42" s="6">
        <f>ROUND(C16,2)</f>
        <v>600</v>
      </c>
      <c r="L42" s="6" t="s">
        <v>7</v>
      </c>
      <c r="AF42" s="2">
        <v>38</v>
      </c>
      <c r="AG42" s="2">
        <f t="shared" si="13"/>
        <v>1797.0480453514028</v>
      </c>
      <c r="AH42" s="2">
        <v>-2.3597976905875839E-8</v>
      </c>
      <c r="AI42" s="2">
        <f t="shared" si="14"/>
        <v>1797.0480454205244</v>
      </c>
      <c r="AJ42" s="2">
        <v>3.5181528801331297E-9</v>
      </c>
      <c r="AK42" s="2">
        <f t="shared" si="9"/>
        <v>1797.0480453859636</v>
      </c>
      <c r="AL42" s="2">
        <v>-1.0039684639195912E-8</v>
      </c>
      <c r="AM42" s="2">
        <f t="shared" si="10"/>
        <v>2.3691624625802153E-16</v>
      </c>
      <c r="AN42" s="2">
        <f t="shared" si="11"/>
        <v>-3.5321145429015437E-17</v>
      </c>
      <c r="AO42" s="2">
        <f t="shared" si="12"/>
        <v>6.9121597334742546E-8</v>
      </c>
    </row>
    <row r="43" spans="2:41" x14ac:dyDescent="0.2">
      <c r="B43" s="6" t="s">
        <v>191</v>
      </c>
      <c r="C43" s="17">
        <v>5.7</v>
      </c>
      <c r="J43" s="11" t="s">
        <v>52</v>
      </c>
      <c r="K43" s="6">
        <f>ROUND(K15, 2)</f>
        <v>408.96</v>
      </c>
      <c r="L43" s="6" t="s">
        <v>7</v>
      </c>
      <c r="AF43" s="2">
        <v>39</v>
      </c>
      <c r="AG43" s="2">
        <f t="shared" si="13"/>
        <v>1797.0480453859636</v>
      </c>
      <c r="AH43" s="2">
        <v>-1.0039684639195912E-8</v>
      </c>
      <c r="AI43" s="2">
        <f t="shared" si="14"/>
        <v>1797.0480454205244</v>
      </c>
      <c r="AJ43" s="2">
        <v>3.5181528801331297E-9</v>
      </c>
      <c r="AK43" s="2">
        <f t="shared" si="9"/>
        <v>1797.048045403244</v>
      </c>
      <c r="AL43" s="2">
        <v>-3.2605385058559477E-9</v>
      </c>
      <c r="AM43" s="2">
        <f t="shared" si="10"/>
        <v>3.2734778352748747E-17</v>
      </c>
      <c r="AN43" s="2">
        <f t="shared" si="11"/>
        <v>-1.1471072935162074E-17</v>
      </c>
      <c r="AO43" s="2">
        <f t="shared" si="12"/>
        <v>3.4560798667371273E-8</v>
      </c>
    </row>
    <row r="44" spans="2:41" x14ac:dyDescent="0.2">
      <c r="J44" s="19" t="s">
        <v>78</v>
      </c>
      <c r="K44" s="6">
        <f>ROUND(SUM(K16:K19), 2)</f>
        <v>246.49</v>
      </c>
      <c r="L44" s="6" t="s">
        <v>7</v>
      </c>
      <c r="AF44" s="2">
        <v>40</v>
      </c>
      <c r="AG44" s="2">
        <f t="shared" si="13"/>
        <v>1797.048045403244</v>
      </c>
      <c r="AH44" s="2">
        <v>-3.2605385058559477E-9</v>
      </c>
      <c r="AI44" s="2">
        <f t="shared" si="14"/>
        <v>1797.0480454205244</v>
      </c>
      <c r="AJ44" s="2">
        <v>3.5181528801331297E-9</v>
      </c>
      <c r="AK44" s="5">
        <f t="shared" si="9"/>
        <v>1797.0480454118842</v>
      </c>
      <c r="AL44" s="2">
        <v>1.2869350030086935E-10</v>
      </c>
      <c r="AM44" s="2">
        <f t="shared" si="10"/>
        <v>-4.196101131843685E-19</v>
      </c>
      <c r="AN44" s="2">
        <f t="shared" si="11"/>
        <v>4.5276340873791728E-19</v>
      </c>
      <c r="AO44" s="2">
        <f t="shared" si="12"/>
        <v>1.7280399333685637E-8</v>
      </c>
    </row>
    <row r="45" spans="2:41" x14ac:dyDescent="0.2">
      <c r="B45" s="33" t="s">
        <v>192</v>
      </c>
      <c r="C45" s="33"/>
      <c r="D45" s="33"/>
      <c r="J45" s="20" t="s">
        <v>69</v>
      </c>
      <c r="K45" s="6">
        <f>ROUND(SUM(K20:K25), 2)</f>
        <v>456.06</v>
      </c>
      <c r="L45" s="6" t="s">
        <v>7</v>
      </c>
    </row>
    <row r="46" spans="2:41" x14ac:dyDescent="0.2">
      <c r="B46" s="6" t="s">
        <v>191</v>
      </c>
      <c r="C46" s="17">
        <v>3</v>
      </c>
      <c r="J46" s="15" t="s">
        <v>70</v>
      </c>
      <c r="K46" s="6">
        <f>ROUND(SUM(K26:K29), 2)</f>
        <v>85.51</v>
      </c>
      <c r="L46" s="6" t="s">
        <v>7</v>
      </c>
    </row>
    <row r="47" spans="2:41" x14ac:dyDescent="0.2">
      <c r="J47" s="10" t="s">
        <v>59</v>
      </c>
      <c r="K47" s="10">
        <f>SUM(K42:K46)</f>
        <v>1797.02</v>
      </c>
      <c r="L47" s="6" t="s">
        <v>7</v>
      </c>
    </row>
    <row r="48" spans="2:41" x14ac:dyDescent="0.2">
      <c r="B48" s="33" t="s">
        <v>193</v>
      </c>
      <c r="C48" s="33"/>
      <c r="D48" s="33"/>
    </row>
    <row r="49" spans="2:4" x14ac:dyDescent="0.2">
      <c r="B49" s="6" t="s">
        <v>194</v>
      </c>
      <c r="C49" s="17">
        <v>4.3036300000000001</v>
      </c>
    </row>
    <row r="50" spans="2:4" x14ac:dyDescent="0.2">
      <c r="B50" s="6" t="s">
        <v>195</v>
      </c>
      <c r="C50" s="17">
        <f>39.5112*0.3048^2</f>
        <v>3.6707105940480003</v>
      </c>
      <c r="D50" s="6" t="s">
        <v>174</v>
      </c>
    </row>
    <row r="51" spans="2:4" x14ac:dyDescent="0.2">
      <c r="B51" s="6" t="s">
        <v>196</v>
      </c>
      <c r="C51" s="17">
        <f>0.15*3.7875*0.3048</f>
        <v>0.1731645</v>
      </c>
      <c r="D51" s="6" t="s">
        <v>8</v>
      </c>
    </row>
    <row r="53" spans="2:4" x14ac:dyDescent="0.2">
      <c r="B53" s="33" t="s">
        <v>197</v>
      </c>
      <c r="C53" s="33"/>
      <c r="D53" s="33"/>
    </row>
    <row r="54" spans="2:4" x14ac:dyDescent="0.2">
      <c r="B54" s="6" t="s">
        <v>198</v>
      </c>
      <c r="C54" s="17">
        <v>1.1798999999999999</v>
      </c>
    </row>
    <row r="55" spans="2:4" x14ac:dyDescent="0.2">
      <c r="B55" s="6" t="s">
        <v>199</v>
      </c>
      <c r="C55" s="17">
        <f>27.34325*0.3048^2</f>
        <v>2.5402710484800002</v>
      </c>
      <c r="D55" s="6" t="s">
        <v>174</v>
      </c>
    </row>
    <row r="56" spans="2:4" x14ac:dyDescent="0.2">
      <c r="B56" s="6" t="s">
        <v>200</v>
      </c>
      <c r="C56" s="17">
        <f>0.115*9.73719*0.3048</f>
        <v>0.34130798388000005</v>
      </c>
      <c r="D56" s="6" t="s">
        <v>8</v>
      </c>
    </row>
    <row r="57" spans="2:4" x14ac:dyDescent="0.2">
      <c r="B57" s="6" t="s">
        <v>201</v>
      </c>
      <c r="C57" s="17">
        <v>35</v>
      </c>
      <c r="D57" s="6" t="s">
        <v>40</v>
      </c>
    </row>
    <row r="59" spans="2:4" x14ac:dyDescent="0.2">
      <c r="B59" s="31" t="s">
        <v>2</v>
      </c>
      <c r="C59" s="32"/>
      <c r="D59" s="32"/>
    </row>
    <row r="60" spans="2:4" x14ac:dyDescent="0.2">
      <c r="B60" s="6" t="s">
        <v>3</v>
      </c>
      <c r="C60" s="17">
        <v>250</v>
      </c>
      <c r="D60" s="6" t="s">
        <v>4</v>
      </c>
    </row>
    <row r="61" spans="2:4" x14ac:dyDescent="0.2">
      <c r="B61" s="6" t="s">
        <v>5</v>
      </c>
      <c r="C61" s="17">
        <v>0.85</v>
      </c>
    </row>
    <row r="62" spans="2:4" x14ac:dyDescent="0.2">
      <c r="B62" s="6" t="s">
        <v>6</v>
      </c>
      <c r="C62" s="17">
        <v>0.8</v>
      </c>
    </row>
    <row r="64" spans="2:4" x14ac:dyDescent="0.2">
      <c r="B64" s="33" t="s">
        <v>144</v>
      </c>
      <c r="C64" s="36"/>
      <c r="D64" s="36"/>
    </row>
    <row r="65" spans="2:4" x14ac:dyDescent="0.2">
      <c r="B65" s="6" t="s">
        <v>14</v>
      </c>
      <c r="C65" s="17">
        <v>1.0397562309141399</v>
      </c>
      <c r="D65" s="6" t="s">
        <v>15</v>
      </c>
    </row>
    <row r="66" spans="2:4" x14ac:dyDescent="0.2">
      <c r="B66" s="6" t="s">
        <v>130</v>
      </c>
      <c r="C66" s="23">
        <v>1.7363179204150701E-5</v>
      </c>
      <c r="D66" s="6" t="s">
        <v>129</v>
      </c>
    </row>
    <row r="67" spans="2:4" x14ac:dyDescent="0.2">
      <c r="B67" s="6" t="s">
        <v>123</v>
      </c>
      <c r="C67" s="17">
        <v>333.91694458017901</v>
      </c>
      <c r="D67" s="6" t="s">
        <v>10</v>
      </c>
    </row>
    <row r="68" spans="2:4" x14ac:dyDescent="0.2">
      <c r="B68" s="6" t="s">
        <v>16</v>
      </c>
      <c r="C68" s="1">
        <v>9.80149119240094</v>
      </c>
      <c r="D68" s="6" t="s">
        <v>17</v>
      </c>
    </row>
    <row r="70" spans="2:4" x14ac:dyDescent="0.2">
      <c r="B70" s="33" t="s">
        <v>145</v>
      </c>
      <c r="C70" s="36"/>
      <c r="D70" s="36"/>
    </row>
    <row r="71" spans="2:4" x14ac:dyDescent="0.2">
      <c r="B71" s="6" t="s">
        <v>14</v>
      </c>
      <c r="C71" s="17">
        <v>1.00854450666398</v>
      </c>
      <c r="D71" s="6" t="s">
        <v>15</v>
      </c>
    </row>
    <row r="72" spans="2:4" x14ac:dyDescent="0.2">
      <c r="B72" s="6" t="s">
        <v>130</v>
      </c>
      <c r="C72" s="23">
        <v>1.7265641515845801E-5</v>
      </c>
      <c r="D72" s="6" t="s">
        <v>129</v>
      </c>
    </row>
    <row r="73" spans="2:4" x14ac:dyDescent="0.2">
      <c r="B73" s="6" t="s">
        <v>123</v>
      </c>
      <c r="C73" s="17">
        <v>332.721752148093</v>
      </c>
      <c r="D73" s="6" t="s">
        <v>10</v>
      </c>
    </row>
    <row r="74" spans="2:4" x14ac:dyDescent="0.2">
      <c r="B74" s="6" t="s">
        <v>16</v>
      </c>
      <c r="C74" s="1">
        <v>9.8005536647414697</v>
      </c>
      <c r="D74" s="6" t="s">
        <v>17</v>
      </c>
    </row>
    <row r="76" spans="2:4" x14ac:dyDescent="0.2">
      <c r="B76" s="33" t="s">
        <v>71</v>
      </c>
      <c r="C76" s="33"/>
      <c r="D76" s="33"/>
    </row>
    <row r="77" spans="2:4" x14ac:dyDescent="0.2">
      <c r="B77" s="6" t="s">
        <v>137</v>
      </c>
      <c r="C77" s="17">
        <v>30</v>
      </c>
    </row>
    <row r="78" spans="2:4" x14ac:dyDescent="0.2">
      <c r="B78" s="6" t="s">
        <v>139</v>
      </c>
      <c r="C78" s="17">
        <v>0.8</v>
      </c>
    </row>
    <row r="79" spans="2:4" x14ac:dyDescent="0.2">
      <c r="B79" s="6" t="s">
        <v>140</v>
      </c>
      <c r="C79" s="17">
        <v>0.8</v>
      </c>
    </row>
    <row r="80" spans="2:4" x14ac:dyDescent="0.2">
      <c r="B80" s="6" t="s">
        <v>141</v>
      </c>
      <c r="C80" s="17">
        <v>0.8</v>
      </c>
    </row>
    <row r="81" spans="2:4" x14ac:dyDescent="0.2">
      <c r="B81" s="6" t="s">
        <v>202</v>
      </c>
      <c r="C81" s="17">
        <v>5</v>
      </c>
      <c r="D81" s="6" t="s">
        <v>40</v>
      </c>
    </row>
  </sheetData>
  <mergeCells count="23">
    <mergeCell ref="B53:D53"/>
    <mergeCell ref="B59:D59"/>
    <mergeCell ref="B64:D64"/>
    <mergeCell ref="B70:D70"/>
    <mergeCell ref="B76:D76"/>
    <mergeCell ref="N3:P3"/>
    <mergeCell ref="B48:D48"/>
    <mergeCell ref="F12:H12"/>
    <mergeCell ref="B15:D15"/>
    <mergeCell ref="N18:P18"/>
    <mergeCell ref="B20:D20"/>
    <mergeCell ref="F22:H22"/>
    <mergeCell ref="B27:D27"/>
    <mergeCell ref="F31:H31"/>
    <mergeCell ref="B34:D34"/>
    <mergeCell ref="B39:D39"/>
    <mergeCell ref="J41:L41"/>
    <mergeCell ref="B45:D45"/>
    <mergeCell ref="J9:L9"/>
    <mergeCell ref="B1:D1"/>
    <mergeCell ref="B3:D3"/>
    <mergeCell ref="F3:H3"/>
    <mergeCell ref="J3:L3"/>
  </mergeCells>
  <conditionalFormatting sqref="K31">
    <cfRule type="containsText" dxfId="17" priority="1" operator="containsText" text="FALSE">
      <formula>NOT(ISERROR(SEARCH("FALSE",K31)))</formula>
    </cfRule>
    <cfRule type="containsText" dxfId="16" priority="2" operator="containsText" text="TRUE">
      <formula>NOT(ISERROR(SEARCH("TRUE",K31)))</formula>
    </cfRule>
    <cfRule type="cellIs" dxfId="15" priority="3" operator="equal">
      <formula>1</formula>
    </cfRule>
    <cfRule type="cellIs" dxfId="14" priority="4" operator="equal">
      <formula>TRUE</formula>
    </cfRule>
    <cfRule type="containsText" dxfId="13" priority="5" operator="containsText" text="YES">
      <formula>NOT(ISERROR(SEARCH("YES",K31)))</formula>
    </cfRule>
    <cfRule type="cellIs" dxfId="12" priority="6" operator="equal">
      <formula>"""YES"""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3E1A9-C4C4-A348-BC37-5AE9FA751E17}">
  <dimension ref="B1:AO81"/>
  <sheetViews>
    <sheetView zoomScale="88" workbookViewId="0">
      <selection activeCell="D10" sqref="D10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21.332031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16384" width="10.83203125" style="6"/>
  </cols>
  <sheetData>
    <row r="1" spans="2:41" x14ac:dyDescent="0.2">
      <c r="B1" s="30" t="s">
        <v>0</v>
      </c>
      <c r="C1" s="30"/>
      <c r="D1" s="30"/>
    </row>
    <row r="2" spans="2:41" x14ac:dyDescent="0.2">
      <c r="U2" s="16" t="s">
        <v>93</v>
      </c>
      <c r="AF2" s="29" t="s">
        <v>160</v>
      </c>
    </row>
    <row r="3" spans="2:41" x14ac:dyDescent="0.2">
      <c r="B3" s="33" t="s">
        <v>118</v>
      </c>
      <c r="C3" s="36"/>
      <c r="D3" s="36"/>
      <c r="F3" s="31" t="s">
        <v>80</v>
      </c>
      <c r="G3" s="32"/>
      <c r="H3" s="32"/>
      <c r="J3" s="33" t="s">
        <v>98</v>
      </c>
      <c r="K3" s="33"/>
      <c r="L3" s="33"/>
      <c r="N3" s="33" t="s">
        <v>92</v>
      </c>
      <c r="O3" s="33"/>
      <c r="P3" s="33"/>
      <c r="U3" s="7" t="s">
        <v>41</v>
      </c>
      <c r="V3" s="7" t="s">
        <v>42</v>
      </c>
      <c r="W3" s="7" t="s">
        <v>43</v>
      </c>
      <c r="X3" s="7" t="s">
        <v>44</v>
      </c>
      <c r="Y3" s="7" t="s">
        <v>45</v>
      </c>
      <c r="Z3" s="7" t="s">
        <v>46</v>
      </c>
      <c r="AA3" s="7" t="s">
        <v>47</v>
      </c>
      <c r="AB3" s="7" t="s">
        <v>48</v>
      </c>
      <c r="AC3" s="7" t="s">
        <v>49</v>
      </c>
      <c r="AD3" s="7" t="s">
        <v>50</v>
      </c>
      <c r="AF3" s="7" t="s">
        <v>41</v>
      </c>
      <c r="AG3" s="7" t="s">
        <v>42</v>
      </c>
      <c r="AH3" s="7" t="s">
        <v>43</v>
      </c>
      <c r="AI3" s="7" t="s">
        <v>44</v>
      </c>
      <c r="AJ3" s="7" t="s">
        <v>45</v>
      </c>
      <c r="AK3" s="7" t="s">
        <v>46</v>
      </c>
      <c r="AL3" s="7" t="s">
        <v>47</v>
      </c>
      <c r="AM3" s="7" t="s">
        <v>48</v>
      </c>
      <c r="AN3" s="7" t="s">
        <v>49</v>
      </c>
      <c r="AO3" s="7" t="s">
        <v>50</v>
      </c>
    </row>
    <row r="4" spans="2:41" x14ac:dyDescent="0.2">
      <c r="B4" s="6" t="s">
        <v>36</v>
      </c>
      <c r="C4" s="3" t="s">
        <v>161</v>
      </c>
      <c r="F4" s="6" t="s">
        <v>84</v>
      </c>
      <c r="G4" s="17">
        <f>500*0.3048/60</f>
        <v>2.54</v>
      </c>
      <c r="H4" s="6" t="s">
        <v>10</v>
      </c>
      <c r="J4" s="6" t="s">
        <v>99</v>
      </c>
      <c r="K4" s="6">
        <f>(1+$C$25/100)*MAX(G10,G29)</f>
        <v>344.78343874026996</v>
      </c>
      <c r="L4" s="6" t="s">
        <v>101</v>
      </c>
      <c r="N4" s="6" t="s">
        <v>162</v>
      </c>
      <c r="O4" s="6">
        <f xml:space="preserve"> $C$5 * $C$74</f>
        <v>18350.398872336675</v>
      </c>
      <c r="P4" s="6" t="s">
        <v>20</v>
      </c>
      <c r="U4" s="2">
        <v>0</v>
      </c>
      <c r="V4" s="3">
        <v>0</v>
      </c>
      <c r="W4" s="2">
        <f t="shared" ref="W4:W34" si="0" xml:space="preserve"> $O$22 * TAN($O$19/180*PI()) + $O$23 / (2 * SQRT($O$22^2 + V4^2)) - V4</f>
        <v>1.2095792927668332</v>
      </c>
      <c r="X4" s="3">
        <v>1</v>
      </c>
      <c r="Y4" s="2">
        <f t="shared" ref="Y4:Y34" si="1" xml:space="preserve"> $O$22 * TAN($O$19/180*PI()) + $O$23 / (2 * SQRT($O$22^2 + X4^2)) - X4</f>
        <v>-2.7281892294243715E-2</v>
      </c>
      <c r="Z4" s="2">
        <f xml:space="preserve"> (V4 + X4)/2</f>
        <v>0.5</v>
      </c>
      <c r="AA4" s="2">
        <f t="shared" ref="AA4:AA34" si="2" xml:space="preserve"> $O$22 * TAN($O$19/180*PI()) + $O$23 / (2 * SQRT($O$22^2 + Z4^2)) - Z4</f>
        <v>0.49370497721976314</v>
      </c>
      <c r="AB4" s="2">
        <f>W4*AA4</f>
        <v>0.59717531718094663</v>
      </c>
      <c r="AC4" s="2">
        <f>Y4*AA4</f>
        <v>-1.3469206013641625E-2</v>
      </c>
      <c r="AD4" s="2">
        <f>X4-V4</f>
        <v>1</v>
      </c>
      <c r="AF4" s="2">
        <v>0</v>
      </c>
      <c r="AH4" s="2">
        <f>K30</f>
        <v>-5.5939918288459012E-3</v>
      </c>
      <c r="AJ4" s="2">
        <f>K30</f>
        <v>-5.5939918288459012E-3</v>
      </c>
      <c r="AL4" s="2">
        <f>K30</f>
        <v>-5.5939918288459012E-3</v>
      </c>
    </row>
    <row r="5" spans="2:41" x14ac:dyDescent="0.2">
      <c r="B5" s="10" t="s">
        <v>37</v>
      </c>
      <c r="C5" s="10">
        <v>1872.38389789693</v>
      </c>
      <c r="D5" s="10" t="s">
        <v>7</v>
      </c>
      <c r="F5" s="6" t="s">
        <v>87</v>
      </c>
      <c r="G5" s="17">
        <f>1000*0.3048</f>
        <v>304.8</v>
      </c>
      <c r="H5" s="6" t="s">
        <v>8</v>
      </c>
      <c r="J5" s="6" t="s">
        <v>100</v>
      </c>
      <c r="K5" s="6">
        <f>K4/$C$21</f>
        <v>43.097929842533745</v>
      </c>
      <c r="L5" s="6" t="s">
        <v>101</v>
      </c>
      <c r="N5" s="6" t="s">
        <v>22</v>
      </c>
      <c r="O5" s="6">
        <f xml:space="preserve"> 0.5 * $C$71 * $C$7^2</f>
        <v>807.77125589002947</v>
      </c>
      <c r="P5" s="6" t="s">
        <v>23</v>
      </c>
      <c r="U5" s="2">
        <v>1</v>
      </c>
      <c r="V5" s="2">
        <f>IF(AB4&gt;0, Z4, V4)</f>
        <v>0.5</v>
      </c>
      <c r="W5" s="2">
        <f t="shared" si="0"/>
        <v>0.49370497721976314</v>
      </c>
      <c r="X5" s="2">
        <f>IF(AC4&gt;0, Z4, X4)</f>
        <v>1</v>
      </c>
      <c r="Y5" s="2">
        <f t="shared" si="1"/>
        <v>-2.7281892294243715E-2</v>
      </c>
      <c r="Z5" s="2">
        <f t="shared" ref="Z5:Z34" si="3" xml:space="preserve"> (V5 + X5)/2</f>
        <v>0.75</v>
      </c>
      <c r="AA5" s="2">
        <f t="shared" si="2"/>
        <v>0.22978274844703472</v>
      </c>
      <c r="AB5" s="2">
        <f t="shared" ref="AB5:AB34" si="4">W5*AA5</f>
        <v>0.11344488658753785</v>
      </c>
      <c r="AC5" s="2">
        <f t="shared" ref="AC5:AC34" si="5">Y5*AA5</f>
        <v>-6.2689081942072988E-3</v>
      </c>
      <c r="AD5" s="2">
        <f t="shared" ref="AD5:AD34" si="6">X5-V5</f>
        <v>0.5</v>
      </c>
      <c r="AF5" s="2">
        <v>1</v>
      </c>
      <c r="AG5" s="3">
        <v>500</v>
      </c>
      <c r="AH5" s="2">
        <f t="dataTable" ref="AH5:AH44" dt2D="0" dtr="0" r1="C5"/>
        <v>-668.00160945288599</v>
      </c>
      <c r="AI5" s="3">
        <v>10000</v>
      </c>
      <c r="AJ5" s="2">
        <f t="dataTable" ref="AJ5:AJ44" dt2D="0" dtr="0" r1="C5" ca="1"/>
        <v>2623.419747036035</v>
      </c>
      <c r="AK5" s="2">
        <f>(AG5+AI5)/2</f>
        <v>5250</v>
      </c>
      <c r="AL5" s="2">
        <f t="dataTable" ref="AL5:AL44" dt2D="0" dtr="0" r1="C5" ca="1"/>
        <v>1640.6216198538932</v>
      </c>
      <c r="AM5" s="2">
        <f>AH5*AL5</f>
        <v>-1095937.8825656015</v>
      </c>
      <c r="AN5" s="2">
        <f>AJ5*AL5</f>
        <v>4304039.1549389502</v>
      </c>
      <c r="AO5" s="2">
        <f>AI5-AG5</f>
        <v>9500</v>
      </c>
    </row>
    <row r="6" spans="2:41" x14ac:dyDescent="0.2">
      <c r="B6" s="6" t="s">
        <v>163</v>
      </c>
      <c r="C6" s="17">
        <v>190.586601763609</v>
      </c>
      <c r="D6" s="6" t="s">
        <v>125</v>
      </c>
      <c r="F6" s="6" t="s">
        <v>88</v>
      </c>
      <c r="G6" s="6">
        <f xml:space="preserve"> $G$5/$G$4</f>
        <v>120</v>
      </c>
      <c r="H6" s="6" t="s">
        <v>13</v>
      </c>
      <c r="J6" s="6" t="s">
        <v>164</v>
      </c>
      <c r="K6" s="6">
        <f>(1+$C$32/100)*MAX(G20)</f>
        <v>66.354911518603473</v>
      </c>
      <c r="L6" s="6" t="s">
        <v>101</v>
      </c>
      <c r="N6" s="6" t="s">
        <v>114</v>
      </c>
      <c r="O6" s="6">
        <f xml:space="preserve"> ($C$21+$C$28) * 0.4 * ($C$5/($C$21+$C$28) *2.20462/1000)^(2/3) * 0.3048^2</f>
        <v>0.19890995243209392</v>
      </c>
      <c r="P6" s="6" t="s">
        <v>115</v>
      </c>
      <c r="U6" s="2">
        <v>2</v>
      </c>
      <c r="V6" s="2">
        <f t="shared" ref="V6:V34" si="7">IF(AB5&gt;0, Z5, V5)</f>
        <v>0.75</v>
      </c>
      <c r="W6" s="2">
        <f t="shared" si="0"/>
        <v>0.22978274844703472</v>
      </c>
      <c r="X6" s="2">
        <f t="shared" ref="X6:X34" si="8">IF(AC5&gt;0, Z5, X5)</f>
        <v>1</v>
      </c>
      <c r="Y6" s="2">
        <f t="shared" si="1"/>
        <v>-2.7281892294243715E-2</v>
      </c>
      <c r="Z6" s="2">
        <f t="shared" si="3"/>
        <v>0.875</v>
      </c>
      <c r="AA6" s="2">
        <f t="shared" si="2"/>
        <v>0.10075269045682822</v>
      </c>
      <c r="AB6" s="2">
        <f t="shared" si="4"/>
        <v>2.3151230126603316E-2</v>
      </c>
      <c r="AC6" s="2">
        <f t="shared" si="5"/>
        <v>-2.7487240493984642E-3</v>
      </c>
      <c r="AD6" s="2">
        <f t="shared" si="6"/>
        <v>0.25</v>
      </c>
      <c r="AF6" s="2">
        <v>2</v>
      </c>
      <c r="AG6" s="2">
        <f>IF(AM5&gt;0,AK5,AG5)</f>
        <v>500</v>
      </c>
      <c r="AH6" s="2">
        <v>-668.00160945288599</v>
      </c>
      <c r="AI6" s="2">
        <f>IF(AN5&gt;0,AK5,AI5)</f>
        <v>5250</v>
      </c>
      <c r="AJ6" s="2">
        <v>1640.6216198538932</v>
      </c>
      <c r="AK6" s="2">
        <f t="shared" ref="AK6:AK44" si="9">(AG6+AI6)/2</f>
        <v>2875</v>
      </c>
      <c r="AL6" s="2">
        <v>352.85730784973339</v>
      </c>
      <c r="AM6" s="2">
        <f t="shared" ref="AM6:AM44" si="10">AH6*AL6</f>
        <v>-235709.24955083436</v>
      </c>
      <c r="AN6" s="2">
        <f t="shared" ref="AN6:AN44" si="11">AJ6*AL6</f>
        <v>578905.32798171346</v>
      </c>
      <c r="AO6" s="2">
        <f t="shared" ref="AO6:AO44" si="12">AI6-AG6</f>
        <v>4750</v>
      </c>
    </row>
    <row r="7" spans="2:41" x14ac:dyDescent="0.2">
      <c r="B7" s="6" t="s">
        <v>9</v>
      </c>
      <c r="C7" s="17">
        <f>144.083470933289* 1000/3600</f>
        <v>40.023186370358054</v>
      </c>
      <c r="D7" s="6" t="s">
        <v>10</v>
      </c>
      <c r="F7" s="6" t="s">
        <v>19</v>
      </c>
      <c r="G7" s="6">
        <f xml:space="preserve"> $C$5 * $C$68 / $C$21</f>
        <v>2294.0192855037626</v>
      </c>
      <c r="H7" s="6" t="s">
        <v>20</v>
      </c>
      <c r="J7" s="6" t="s">
        <v>165</v>
      </c>
      <c r="K7" s="6">
        <f>K6/$C$28</f>
        <v>66.354911518603473</v>
      </c>
      <c r="L7" s="6" t="s">
        <v>101</v>
      </c>
      <c r="N7" s="6" t="s">
        <v>166</v>
      </c>
      <c r="O7" s="17">
        <v>9.1534090314177498E-3</v>
      </c>
      <c r="U7" s="2">
        <v>3</v>
      </c>
      <c r="V7" s="2">
        <f t="shared" si="7"/>
        <v>0.875</v>
      </c>
      <c r="W7" s="2">
        <f t="shared" si="0"/>
        <v>0.10075269045682822</v>
      </c>
      <c r="X7" s="2">
        <f t="shared" si="8"/>
        <v>1</v>
      </c>
      <c r="Y7" s="2">
        <f t="shared" si="1"/>
        <v>-2.7281892294243715E-2</v>
      </c>
      <c r="Z7" s="2">
        <f t="shared" si="3"/>
        <v>0.9375</v>
      </c>
      <c r="AA7" s="2">
        <f t="shared" si="2"/>
        <v>3.6635436265653465E-2</v>
      </c>
      <c r="AB7" s="2">
        <f t="shared" si="4"/>
        <v>3.6911187698242423E-3</v>
      </c>
      <c r="AC7" s="2">
        <f t="shared" si="5"/>
        <v>-9.9948402635218793E-4</v>
      </c>
      <c r="AD7" s="2">
        <f t="shared" si="6"/>
        <v>0.125</v>
      </c>
      <c r="AF7" s="2">
        <v>3</v>
      </c>
      <c r="AG7" s="2">
        <f t="shared" ref="AG7:AG44" si="13">IF(AM6&gt;0,AK6,AG6)</f>
        <v>500</v>
      </c>
      <c r="AH7" s="2">
        <v>-668.00160945288599</v>
      </c>
      <c r="AI7" s="2">
        <f t="shared" ref="AI7:AI44" si="14">IF(AN6&gt;0,AK6,AI6)</f>
        <v>2875</v>
      </c>
      <c r="AJ7" s="2">
        <v>352.85730784973339</v>
      </c>
      <c r="AK7" s="2">
        <f t="shared" si="9"/>
        <v>1687.5</v>
      </c>
      <c r="AL7" s="2">
        <v>-79.007111910285403</v>
      </c>
      <c r="AM7" s="2">
        <f t="shared" si="10"/>
        <v>52776.877914294928</v>
      </c>
      <c r="AN7" s="2">
        <f t="shared" si="11"/>
        <v>-27878.236809645914</v>
      </c>
      <c r="AO7" s="2">
        <f t="shared" si="12"/>
        <v>2375</v>
      </c>
    </row>
    <row r="8" spans="2:41" x14ac:dyDescent="0.2">
      <c r="B8" s="6" t="s">
        <v>95</v>
      </c>
      <c r="C8" s="17">
        <v>2.3354503566492499</v>
      </c>
      <c r="D8" s="6" t="s">
        <v>8</v>
      </c>
      <c r="F8" t="s">
        <v>97</v>
      </c>
      <c r="G8" s="6">
        <f>G10/$C$21</f>
        <v>28.731953228355831</v>
      </c>
      <c r="H8" s="6" t="s">
        <v>18</v>
      </c>
      <c r="N8" s="6" t="s">
        <v>167</v>
      </c>
      <c r="O8" s="17">
        <v>0.272912140344656</v>
      </c>
      <c r="U8" s="2">
        <v>4</v>
      </c>
      <c r="V8" s="2">
        <f t="shared" si="7"/>
        <v>0.9375</v>
      </c>
      <c r="W8" s="2">
        <f t="shared" si="0"/>
        <v>3.6635436265653465E-2</v>
      </c>
      <c r="X8" s="2">
        <f t="shared" si="8"/>
        <v>1</v>
      </c>
      <c r="Y8" s="2">
        <f t="shared" si="1"/>
        <v>-2.7281892294243715E-2</v>
      </c>
      <c r="Z8" s="2">
        <f t="shared" si="3"/>
        <v>0.96875</v>
      </c>
      <c r="AA8" s="2">
        <f t="shared" si="2"/>
        <v>4.6541632594292448E-3</v>
      </c>
      <c r="AB8" s="2">
        <f t="shared" si="4"/>
        <v>1.705073014607661E-4</v>
      </c>
      <c r="AC8" s="2">
        <f t="shared" si="5"/>
        <v>-1.2697438076357493E-4</v>
      </c>
      <c r="AD8" s="2">
        <f t="shared" si="6"/>
        <v>6.25E-2</v>
      </c>
      <c r="AF8" s="2">
        <v>4</v>
      </c>
      <c r="AG8" s="2">
        <f t="shared" si="13"/>
        <v>1687.5</v>
      </c>
      <c r="AH8" s="2">
        <v>-79.007111910285403</v>
      </c>
      <c r="AI8" s="2">
        <f t="shared" si="14"/>
        <v>2875</v>
      </c>
      <c r="AJ8" s="2">
        <v>352.85730784973339</v>
      </c>
      <c r="AK8" s="2">
        <f t="shared" si="9"/>
        <v>2281.25</v>
      </c>
      <c r="AL8" s="2">
        <v>159.70548551776392</v>
      </c>
      <c r="AM8" s="2">
        <f t="shared" si="10"/>
        <v>-12617.869166988439</v>
      </c>
      <c r="AN8" s="2">
        <f t="shared" si="11"/>
        <v>56353.247668632757</v>
      </c>
      <c r="AO8" s="2">
        <f t="shared" si="12"/>
        <v>1187.5</v>
      </c>
    </row>
    <row r="9" spans="2:41" x14ac:dyDescent="0.2">
      <c r="B9" s="6" t="s">
        <v>131</v>
      </c>
      <c r="C9" s="17">
        <f>(0.548288+0.530863+0.513438+0.496013+0.478588+0.461163+0.443738+0.426313)/8</f>
        <v>0.48730050000000003</v>
      </c>
      <c r="D9" s="6" t="s">
        <v>8</v>
      </c>
      <c r="F9" t="s">
        <v>146</v>
      </c>
      <c r="G9" s="6">
        <f xml:space="preserve"> (G7/$C$68*1000) / (G8*1000)</f>
        <v>8.1459128579581606</v>
      </c>
      <c r="H9" s="6" t="s">
        <v>147</v>
      </c>
      <c r="J9" s="33" t="s">
        <v>21</v>
      </c>
      <c r="K9" s="33"/>
      <c r="L9" s="33"/>
      <c r="N9" s="6" t="s">
        <v>168</v>
      </c>
      <c r="O9" s="6">
        <f xml:space="preserve"> $O$8/$C$12 + $O$7</f>
        <v>1.8250480376239647E-2</v>
      </c>
      <c r="U9" s="2">
        <v>5</v>
      </c>
      <c r="V9" s="2">
        <f t="shared" si="7"/>
        <v>0.96875</v>
      </c>
      <c r="W9" s="2">
        <f t="shared" si="0"/>
        <v>4.6541632594292448E-3</v>
      </c>
      <c r="X9" s="2">
        <f t="shared" si="8"/>
        <v>1</v>
      </c>
      <c r="Y9" s="2">
        <f t="shared" si="1"/>
        <v>-2.7281892294243715E-2</v>
      </c>
      <c r="Z9" s="2">
        <f t="shared" si="3"/>
        <v>0.984375</v>
      </c>
      <c r="AA9" s="2">
        <f t="shared" si="2"/>
        <v>-1.1319251423550059E-2</v>
      </c>
      <c r="AB9" s="2">
        <f t="shared" si="4"/>
        <v>-5.2681644099728861E-5</v>
      </c>
      <c r="AC9" s="2">
        <f t="shared" si="5"/>
        <v>3.0881059818875755E-4</v>
      </c>
      <c r="AD9" s="2">
        <f t="shared" si="6"/>
        <v>3.125E-2</v>
      </c>
      <c r="AF9" s="2">
        <v>5</v>
      </c>
      <c r="AG9" s="2">
        <f t="shared" si="13"/>
        <v>1687.5</v>
      </c>
      <c r="AH9" s="2">
        <v>-79.007111910285403</v>
      </c>
      <c r="AI9" s="2">
        <f t="shared" si="14"/>
        <v>2281.25</v>
      </c>
      <c r="AJ9" s="2">
        <v>159.70548551776392</v>
      </c>
      <c r="AK9" s="2">
        <f t="shared" si="9"/>
        <v>1984.375</v>
      </c>
      <c r="AL9" s="2">
        <v>45.825584990316656</v>
      </c>
      <c r="AM9" s="2">
        <f t="shared" si="10"/>
        <v>-3620.5471216842429</v>
      </c>
      <c r="AN9" s="2">
        <f t="shared" si="11"/>
        <v>7318.5973000140766</v>
      </c>
      <c r="AO9" s="2">
        <f t="shared" si="12"/>
        <v>593.75</v>
      </c>
    </row>
    <row r="10" spans="2:41" x14ac:dyDescent="0.2">
      <c r="B10" s="6" t="s">
        <v>169</v>
      </c>
      <c r="C10" s="17">
        <v>2.0999999999999899</v>
      </c>
      <c r="D10" s="6" t="s">
        <v>8</v>
      </c>
      <c r="F10" s="25" t="s">
        <v>82</v>
      </c>
      <c r="G10" s="25">
        <f xml:space="preserve"> 1/1000 * (($C$5*$C$68)/$C$24 * ( ($G$4/2) + SQRT( ($G$4/2)^2 + ($C$5*$C$68) / (2*$C$65*PI()*$C$8^2 * $C$21) ) ) )</f>
        <v>229.85562582684665</v>
      </c>
      <c r="H10" s="25" t="s">
        <v>101</v>
      </c>
      <c r="J10" s="6" t="s">
        <v>96</v>
      </c>
      <c r="K10" s="6">
        <f xml:space="preserve"> $C$18 * (G10*G6 + G20*G13 + G29*G25 + G33*G32)/3600</f>
        <v>64.016966162052441</v>
      </c>
      <c r="L10" s="6" t="s">
        <v>102</v>
      </c>
      <c r="N10" s="6" t="s">
        <v>38</v>
      </c>
      <c r="O10" s="6">
        <f xml:space="preserve"> O5 * $C$12 * O9</f>
        <v>442.26640362334166</v>
      </c>
      <c r="P10" s="6" t="s">
        <v>20</v>
      </c>
      <c r="U10" s="2">
        <v>6</v>
      </c>
      <c r="V10" s="2">
        <f t="shared" si="7"/>
        <v>0.96875</v>
      </c>
      <c r="W10" s="2">
        <f t="shared" si="0"/>
        <v>4.6541632594292448E-3</v>
      </c>
      <c r="X10" s="2">
        <f t="shared" si="8"/>
        <v>0.984375</v>
      </c>
      <c r="Y10" s="2">
        <f t="shared" si="1"/>
        <v>-1.1319251423550059E-2</v>
      </c>
      <c r="Z10" s="2">
        <f t="shared" si="3"/>
        <v>0.9765625</v>
      </c>
      <c r="AA10" s="2">
        <f t="shared" si="2"/>
        <v>-3.3339226657794763E-3</v>
      </c>
      <c r="AB10" s="2">
        <f t="shared" si="4"/>
        <v>-1.5516620380849243E-5</v>
      </c>
      <c r="AC10" s="2">
        <f t="shared" si="5"/>
        <v>3.7737508880630141E-5</v>
      </c>
      <c r="AD10" s="2">
        <f t="shared" si="6"/>
        <v>1.5625E-2</v>
      </c>
      <c r="AF10" s="2">
        <v>6</v>
      </c>
      <c r="AG10" s="2">
        <f t="shared" si="13"/>
        <v>1687.5</v>
      </c>
      <c r="AH10" s="2">
        <v>-79.007111910285403</v>
      </c>
      <c r="AI10" s="2">
        <f t="shared" si="14"/>
        <v>1984.375</v>
      </c>
      <c r="AJ10" s="2">
        <v>45.825584990316656</v>
      </c>
      <c r="AK10" s="2">
        <f t="shared" si="9"/>
        <v>1835.9375</v>
      </c>
      <c r="AL10" s="2">
        <v>-15.252878159495594</v>
      </c>
      <c r="AM10" s="2">
        <f t="shared" si="10"/>
        <v>1205.0858517012164</v>
      </c>
      <c r="AN10" s="2">
        <f t="shared" si="11"/>
        <v>-698.97206444491007</v>
      </c>
      <c r="AO10" s="2">
        <f t="shared" si="12"/>
        <v>296.875</v>
      </c>
    </row>
    <row r="11" spans="2:41" x14ac:dyDescent="0.2">
      <c r="B11" s="6" t="s">
        <v>170</v>
      </c>
      <c r="C11" s="17">
        <f>(0.500656+0.484769+0.468881+0.452994+0.437106+0.421219+0.405331+0.389444)/8</f>
        <v>0.44505</v>
      </c>
      <c r="D11" s="6" t="s">
        <v>8</v>
      </c>
      <c r="J11" s="6" t="s">
        <v>171</v>
      </c>
      <c r="K11" s="6">
        <f xml:space="preserve"> (G6 + G13 + G25 + G32)/60</f>
        <v>66.975861522968728</v>
      </c>
      <c r="L11" s="6" t="s">
        <v>103</v>
      </c>
      <c r="N11" s="6" t="s">
        <v>172</v>
      </c>
      <c r="O11" s="6">
        <f xml:space="preserve"> 1.78 * (1 - 0.045 * $C$13^0.68) - 0.64</f>
        <v>0.7746986257273597</v>
      </c>
      <c r="U11" s="2">
        <v>7</v>
      </c>
      <c r="V11" s="2">
        <f t="shared" si="7"/>
        <v>0.96875</v>
      </c>
      <c r="W11" s="2">
        <f t="shared" si="0"/>
        <v>4.6541632594292448E-3</v>
      </c>
      <c r="X11" s="2">
        <f t="shared" si="8"/>
        <v>0.9765625</v>
      </c>
      <c r="Y11" s="2">
        <f t="shared" si="1"/>
        <v>-3.3339226657794763E-3</v>
      </c>
      <c r="Z11" s="2">
        <f t="shared" si="3"/>
        <v>0.97265625</v>
      </c>
      <c r="AA11" s="2">
        <f t="shared" si="2"/>
        <v>6.5977155882857019E-4</v>
      </c>
      <c r="AB11" s="2">
        <f t="shared" si="4"/>
        <v>3.0706845487162921E-6</v>
      </c>
      <c r="AC11" s="2">
        <f t="shared" si="5"/>
        <v>-2.1996273542152273E-6</v>
      </c>
      <c r="AD11" s="2">
        <f t="shared" si="6"/>
        <v>7.8125E-3</v>
      </c>
      <c r="AF11" s="2">
        <v>7</v>
      </c>
      <c r="AG11" s="2">
        <f t="shared" si="13"/>
        <v>1835.9375</v>
      </c>
      <c r="AH11" s="2">
        <v>-15.252878159495594</v>
      </c>
      <c r="AI11" s="2">
        <f t="shared" si="14"/>
        <v>1984.375</v>
      </c>
      <c r="AJ11" s="2">
        <v>45.825584990316656</v>
      </c>
      <c r="AK11" s="2">
        <f t="shared" si="9"/>
        <v>1910.15625</v>
      </c>
      <c r="AL11" s="2">
        <v>15.625050430647661</v>
      </c>
      <c r="AM11" s="2">
        <f t="shared" si="10"/>
        <v>-238.32699045464295</v>
      </c>
      <c r="AN11" s="2">
        <f t="shared" si="11"/>
        <v>716.02707648762828</v>
      </c>
      <c r="AO11" s="2">
        <f t="shared" si="12"/>
        <v>148.4375</v>
      </c>
    </row>
    <row r="12" spans="2:41" x14ac:dyDescent="0.2">
      <c r="B12" s="6" t="s">
        <v>173</v>
      </c>
      <c r="C12" s="17">
        <v>29.999999999999901</v>
      </c>
      <c r="D12" s="6" t="s">
        <v>174</v>
      </c>
      <c r="F12" s="31" t="s">
        <v>86</v>
      </c>
      <c r="G12" s="32"/>
      <c r="H12" s="32"/>
      <c r="N12" s="6" t="s">
        <v>175</v>
      </c>
      <c r="O12" s="6">
        <f xml:space="preserve"> O4 / (O5 * $C$12)</f>
        <v>0.75724403158819387</v>
      </c>
      <c r="U12" s="2">
        <v>8</v>
      </c>
      <c r="V12" s="2">
        <f t="shared" si="7"/>
        <v>0.97265625</v>
      </c>
      <c r="W12" s="2">
        <f t="shared" si="0"/>
        <v>6.5977155882857019E-4</v>
      </c>
      <c r="X12" s="2">
        <f t="shared" si="8"/>
        <v>0.9765625</v>
      </c>
      <c r="Y12" s="2">
        <f t="shared" si="1"/>
        <v>-3.3339226657794763E-3</v>
      </c>
      <c r="Z12" s="2">
        <f t="shared" si="3"/>
        <v>0.974609375</v>
      </c>
      <c r="AA12" s="2">
        <f t="shared" si="2"/>
        <v>-1.3371622214340961E-3</v>
      </c>
      <c r="AB12" s="2">
        <f t="shared" si="4"/>
        <v>-8.8222160324224731E-7</v>
      </c>
      <c r="AC12" s="2">
        <f t="shared" si="5"/>
        <v>4.4579954378631679E-6</v>
      </c>
      <c r="AD12" s="2">
        <f t="shared" si="6"/>
        <v>3.90625E-3</v>
      </c>
      <c r="AF12" s="2">
        <v>8</v>
      </c>
      <c r="AG12" s="2">
        <f t="shared" si="13"/>
        <v>1835.9375</v>
      </c>
      <c r="AH12" s="2">
        <v>-15.252878159495594</v>
      </c>
      <c r="AI12" s="2">
        <f t="shared" si="14"/>
        <v>1910.15625</v>
      </c>
      <c r="AJ12" s="2">
        <v>15.625050430647661</v>
      </c>
      <c r="AK12" s="2">
        <f t="shared" si="9"/>
        <v>1873.046875</v>
      </c>
      <c r="AL12" s="2">
        <v>0.27026062141021612</v>
      </c>
      <c r="AM12" s="2">
        <f t="shared" si="10"/>
        <v>-4.1222523296795925</v>
      </c>
      <c r="AN12" s="2">
        <f t="shared" si="11"/>
        <v>4.2228358389528022</v>
      </c>
      <c r="AO12" s="2">
        <f t="shared" si="12"/>
        <v>74.21875</v>
      </c>
    </row>
    <row r="13" spans="2:41" x14ac:dyDescent="0.2">
      <c r="B13" s="6" t="s">
        <v>176</v>
      </c>
      <c r="C13" s="17">
        <v>9.3141939997289107</v>
      </c>
      <c r="F13" s="9" t="s">
        <v>89</v>
      </c>
      <c r="G13" s="6">
        <f xml:space="preserve"> $C$17/$C$7</f>
        <v>2498.5516913781239</v>
      </c>
      <c r="H13" s="6" t="s">
        <v>13</v>
      </c>
      <c r="J13" s="28" t="s">
        <v>51</v>
      </c>
      <c r="K13" s="28"/>
      <c r="L13" s="28"/>
      <c r="N13" s="6" t="s">
        <v>177</v>
      </c>
      <c r="O13" s="6">
        <f xml:space="preserve"> O9 + O12^2 / ( PI() * O11 * $C$13 )</f>
        <v>4.3546010208463812E-2</v>
      </c>
      <c r="U13" s="2">
        <v>9</v>
      </c>
      <c r="V13" s="2">
        <f t="shared" si="7"/>
        <v>0.97265625</v>
      </c>
      <c r="W13" s="2">
        <f t="shared" si="0"/>
        <v>6.5977155882857019E-4</v>
      </c>
      <c r="X13" s="2">
        <f t="shared" si="8"/>
        <v>0.974609375</v>
      </c>
      <c r="Y13" s="2">
        <f t="shared" si="1"/>
        <v>-1.3371622214340961E-3</v>
      </c>
      <c r="Z13" s="2">
        <f t="shared" si="3"/>
        <v>0.9736328125</v>
      </c>
      <c r="AA13" s="2">
        <f t="shared" si="2"/>
        <v>-3.3871706254207101E-4</v>
      </c>
      <c r="AB13" s="2">
        <f t="shared" si="4"/>
        <v>-2.2347588435521649E-7</v>
      </c>
      <c r="AC13" s="2">
        <f t="shared" si="5"/>
        <v>4.5291965978638734E-7</v>
      </c>
      <c r="AD13" s="2">
        <f t="shared" si="6"/>
        <v>1.953125E-3</v>
      </c>
      <c r="AF13" s="2">
        <v>9</v>
      </c>
      <c r="AG13" s="2">
        <f t="shared" si="13"/>
        <v>1835.9375</v>
      </c>
      <c r="AH13" s="2">
        <v>-15.252878159495594</v>
      </c>
      <c r="AI13" s="2">
        <f t="shared" si="14"/>
        <v>1873.046875</v>
      </c>
      <c r="AJ13" s="2">
        <v>0.27026062141021612</v>
      </c>
      <c r="AK13" s="2">
        <f t="shared" si="9"/>
        <v>1854.4921875</v>
      </c>
      <c r="AL13" s="2">
        <v>-7.4703299806583345</v>
      </c>
      <c r="AM13" s="2">
        <f t="shared" si="10"/>
        <v>113.94403300620866</v>
      </c>
      <c r="AN13" s="2">
        <f t="shared" si="11"/>
        <v>-2.0189360227120892</v>
      </c>
      <c r="AO13" s="2">
        <f t="shared" si="12"/>
        <v>37.109375</v>
      </c>
    </row>
    <row r="14" spans="2:41" x14ac:dyDescent="0.2">
      <c r="F14" s="6" t="s">
        <v>178</v>
      </c>
      <c r="G14" s="6">
        <f>O21*$C$10</f>
        <v>41.91218275812362</v>
      </c>
      <c r="H14" s="6" t="s">
        <v>10</v>
      </c>
      <c r="J14" s="10" t="s">
        <v>79</v>
      </c>
      <c r="K14" s="18">
        <f>C5</f>
        <v>1872.38389789693</v>
      </c>
      <c r="L14" s="6" t="s">
        <v>7</v>
      </c>
      <c r="N14" s="6" t="s">
        <v>39</v>
      </c>
      <c r="O14" s="6">
        <f xml:space="preserve"> O5 * O13 * $C$12</f>
        <v>1055.2564606527221</v>
      </c>
      <c r="P14" s="6" t="s">
        <v>20</v>
      </c>
      <c r="U14" s="2">
        <v>10</v>
      </c>
      <c r="V14" s="2">
        <f t="shared" si="7"/>
        <v>0.97265625</v>
      </c>
      <c r="W14" s="2">
        <f t="shared" si="0"/>
        <v>6.5977155882857019E-4</v>
      </c>
      <c r="X14" s="2">
        <f t="shared" si="8"/>
        <v>0.9736328125</v>
      </c>
      <c r="Y14" s="2">
        <f t="shared" si="1"/>
        <v>-3.3871706254207101E-4</v>
      </c>
      <c r="Z14" s="2">
        <f t="shared" si="3"/>
        <v>0.97314453125</v>
      </c>
      <c r="AA14" s="2">
        <f t="shared" si="2"/>
        <v>1.6052180727443854E-4</v>
      </c>
      <c r="AB14" s="2">
        <f t="shared" si="4"/>
        <v>1.0590772301143563E-7</v>
      </c>
      <c r="AC14" s="2">
        <f t="shared" si="5"/>
        <v>-5.4371475033942271E-8</v>
      </c>
      <c r="AD14" s="2">
        <f t="shared" si="6"/>
        <v>9.765625E-4</v>
      </c>
      <c r="AF14" s="2">
        <v>10</v>
      </c>
      <c r="AG14" s="2">
        <f t="shared" si="13"/>
        <v>1854.4921875</v>
      </c>
      <c r="AH14" s="2">
        <v>-7.4703299806583345</v>
      </c>
      <c r="AI14" s="2">
        <f t="shared" si="14"/>
        <v>1873.046875</v>
      </c>
      <c r="AJ14" s="2">
        <v>0.27026062141021612</v>
      </c>
      <c r="AK14" s="2">
        <f t="shared" si="9"/>
        <v>1863.76953125</v>
      </c>
      <c r="AL14" s="2">
        <v>-3.5947816972136479</v>
      </c>
      <c r="AM14" s="2">
        <f t="shared" si="10"/>
        <v>26.854205486616966</v>
      </c>
      <c r="AN14" s="2">
        <f t="shared" si="11"/>
        <v>-0.97152793532303183</v>
      </c>
      <c r="AO14" s="2">
        <f t="shared" si="12"/>
        <v>18.5546875</v>
      </c>
    </row>
    <row r="15" spans="2:41" x14ac:dyDescent="0.2">
      <c r="B15" s="33" t="s">
        <v>11</v>
      </c>
      <c r="C15" s="33"/>
      <c r="D15" s="33"/>
      <c r="F15" s="6" t="s">
        <v>179</v>
      </c>
      <c r="G15" s="6">
        <f>G14/$C$73</f>
        <v>0.12596766663896591</v>
      </c>
      <c r="H15" s="6" t="s">
        <v>122</v>
      </c>
      <c r="J15" s="11" t="s">
        <v>52</v>
      </c>
      <c r="K15" s="6">
        <f xml:space="preserve"> 1000 * K10 / ($C$60 * $C$61 * $C$62)</f>
        <v>376.5703891885438</v>
      </c>
      <c r="L15" s="6" t="s">
        <v>7</v>
      </c>
      <c r="N15" s="6" t="s">
        <v>180</v>
      </c>
      <c r="O15" s="6">
        <f>O4/O14</f>
        <v>17.38951577798079</v>
      </c>
      <c r="U15" s="2">
        <v>11</v>
      </c>
      <c r="V15" s="2">
        <f t="shared" si="7"/>
        <v>0.97314453125</v>
      </c>
      <c r="W15" s="2">
        <f t="shared" si="0"/>
        <v>1.6052180727443854E-4</v>
      </c>
      <c r="X15" s="2">
        <f t="shared" si="8"/>
        <v>0.9736328125</v>
      </c>
      <c r="Y15" s="2">
        <f t="shared" si="1"/>
        <v>-3.3871706254207101E-4</v>
      </c>
      <c r="Z15" s="2">
        <f t="shared" si="3"/>
        <v>0.973388671875</v>
      </c>
      <c r="AA15" s="2">
        <f t="shared" si="2"/>
        <v>-8.9098986842395256E-5</v>
      </c>
      <c r="AB15" s="2">
        <f t="shared" si="4"/>
        <v>-1.4302330394262707E-8</v>
      </c>
      <c r="AC15" s="2">
        <f t="shared" si="5"/>
        <v>3.0179347098730759E-8</v>
      </c>
      <c r="AD15" s="2">
        <f t="shared" si="6"/>
        <v>4.8828125E-4</v>
      </c>
      <c r="AF15" s="2">
        <v>11</v>
      </c>
      <c r="AG15" s="2">
        <f t="shared" si="13"/>
        <v>1863.76953125</v>
      </c>
      <c r="AH15" s="2">
        <v>-3.5947816972136479</v>
      </c>
      <c r="AI15" s="2">
        <f t="shared" si="14"/>
        <v>1873.046875</v>
      </c>
      <c r="AJ15" s="2">
        <v>0.27026062141021612</v>
      </c>
      <c r="AK15" s="2">
        <f t="shared" si="9"/>
        <v>1868.408203125</v>
      </c>
      <c r="AL15" s="2">
        <v>-1.6609462313510903</v>
      </c>
      <c r="AM15" s="2">
        <f t="shared" si="10"/>
        <v>5.9707391125168847</v>
      </c>
      <c r="AN15" s="2">
        <f t="shared" si="11"/>
        <v>-0.44888836061390225</v>
      </c>
      <c r="AO15" s="2">
        <f t="shared" si="12"/>
        <v>9.27734375</v>
      </c>
    </row>
    <row r="16" spans="2:41" x14ac:dyDescent="0.2">
      <c r="B16" s="6" t="s">
        <v>68</v>
      </c>
      <c r="C16" s="6">
        <f>C35*100</f>
        <v>600</v>
      </c>
      <c r="D16" s="6" t="s">
        <v>7</v>
      </c>
      <c r="F16" s="9" t="s">
        <v>19</v>
      </c>
      <c r="G16" s="6">
        <f>O20</f>
        <v>1055.2564606527221</v>
      </c>
      <c r="H16" s="6" t="s">
        <v>20</v>
      </c>
      <c r="J16" s="12" t="s">
        <v>126</v>
      </c>
      <c r="K16" s="6">
        <f xml:space="preserve"> $C$78 * ( $C$21 * (0.0095 * MAX(G7,G26) - 1.9275) +  $C$28 * (0.0095 * MAX(O20) - 1.9275) )</f>
        <v>133.61832165958944</v>
      </c>
      <c r="L16" s="6" t="s">
        <v>7</v>
      </c>
      <c r="N16" s="6" t="s">
        <v>113</v>
      </c>
      <c r="O16" s="6">
        <f>(O13*$C$12)/(0.3048^2)/($C$5*2.20462/1000)^(2/3)</f>
        <v>5.4645441488807167</v>
      </c>
      <c r="U16" s="2">
        <v>12</v>
      </c>
      <c r="V16" s="2">
        <f t="shared" si="7"/>
        <v>0.97314453125</v>
      </c>
      <c r="W16" s="2">
        <f t="shared" si="0"/>
        <v>1.6052180727443854E-4</v>
      </c>
      <c r="X16" s="2">
        <f t="shared" si="8"/>
        <v>0.973388671875</v>
      </c>
      <c r="Y16" s="2">
        <f t="shared" si="1"/>
        <v>-8.9098986842395256E-5</v>
      </c>
      <c r="Z16" s="2">
        <f t="shared" si="3"/>
        <v>0.9732666015625</v>
      </c>
      <c r="AA16" s="2">
        <f t="shared" si="2"/>
        <v>3.5711070287880453E-5</v>
      </c>
      <c r="AB16" s="2">
        <f t="shared" si="4"/>
        <v>5.7324055423150743E-9</v>
      </c>
      <c r="AC16" s="2">
        <f t="shared" si="5"/>
        <v>-3.1818201817077128E-9</v>
      </c>
      <c r="AD16" s="2">
        <f t="shared" si="6"/>
        <v>2.44140625E-4</v>
      </c>
      <c r="AF16" s="2">
        <v>12</v>
      </c>
      <c r="AG16" s="2">
        <f t="shared" si="13"/>
        <v>1868.408203125</v>
      </c>
      <c r="AH16" s="2">
        <v>-1.6609462313510903</v>
      </c>
      <c r="AI16" s="2">
        <f t="shared" si="14"/>
        <v>1873.046875</v>
      </c>
      <c r="AJ16" s="2">
        <v>0.27026062141021612</v>
      </c>
      <c r="AK16" s="2">
        <f t="shared" si="9"/>
        <v>1870.7275390625</v>
      </c>
      <c r="AL16" s="2">
        <v>-0.69501414055116584</v>
      </c>
      <c r="AM16" s="2">
        <f t="shared" si="10"/>
        <v>1.1543811174841758</v>
      </c>
      <c r="AN16" s="2">
        <f t="shared" si="11"/>
        <v>-0.18783495351424537</v>
      </c>
      <c r="AO16" s="2">
        <f t="shared" si="12"/>
        <v>4.638671875</v>
      </c>
    </row>
    <row r="17" spans="2:41" x14ac:dyDescent="0.2">
      <c r="B17" s="6" t="s">
        <v>12</v>
      </c>
      <c r="C17" s="17">
        <f>100*1000</f>
        <v>100000</v>
      </c>
      <c r="D17" s="6" t="s">
        <v>8</v>
      </c>
      <c r="F17" s="9" t="s">
        <v>97</v>
      </c>
      <c r="G17" s="6">
        <f xml:space="preserve"> 1/1000 * (O25 + O20 * (O30 * O27 + $C$7 * SIN(O19/180*PI())))</f>
        <v>44.236607679068982</v>
      </c>
      <c r="H17" s="6" t="s">
        <v>101</v>
      </c>
      <c r="J17" s="12" t="s">
        <v>127</v>
      </c>
      <c r="K17" s="6">
        <v>0</v>
      </c>
      <c r="L17" s="6" t="s">
        <v>7</v>
      </c>
      <c r="U17" s="2">
        <v>13</v>
      </c>
      <c r="V17" s="2">
        <f t="shared" si="7"/>
        <v>0.9732666015625</v>
      </c>
      <c r="W17" s="2">
        <f t="shared" si="0"/>
        <v>3.5711070287880453E-5</v>
      </c>
      <c r="X17" s="2">
        <f t="shared" si="8"/>
        <v>0.973388671875</v>
      </c>
      <c r="Y17" s="2">
        <f t="shared" si="1"/>
        <v>-8.9098986842395256E-5</v>
      </c>
      <c r="Z17" s="2">
        <f t="shared" si="3"/>
        <v>0.97332763671875</v>
      </c>
      <c r="AA17" s="2">
        <f t="shared" si="2"/>
        <v>-2.6694043243513654E-5</v>
      </c>
      <c r="AB17" s="2">
        <f t="shared" si="4"/>
        <v>-9.5327285453683651E-10</v>
      </c>
      <c r="AC17" s="2">
        <f t="shared" si="5"/>
        <v>2.3784122077241531E-9</v>
      </c>
      <c r="AD17" s="2">
        <f t="shared" si="6"/>
        <v>1.220703125E-4</v>
      </c>
      <c r="AF17" s="2">
        <v>13</v>
      </c>
      <c r="AG17" s="2">
        <f t="shared" si="13"/>
        <v>1870.7275390625</v>
      </c>
      <c r="AH17" s="2">
        <v>-0.69501414055116584</v>
      </c>
      <c r="AI17" s="2">
        <f t="shared" si="14"/>
        <v>1873.046875</v>
      </c>
      <c r="AJ17" s="2">
        <v>0.27026062141021612</v>
      </c>
      <c r="AK17" s="2">
        <f t="shared" si="9"/>
        <v>1871.88720703125</v>
      </c>
      <c r="AL17" s="2">
        <v>-0.2122946959498222</v>
      </c>
      <c r="AM17" s="2">
        <f t="shared" si="10"/>
        <v>0.14754781564913674</v>
      </c>
      <c r="AN17" s="2">
        <f t="shared" si="11"/>
        <v>-5.7374896449491841E-2</v>
      </c>
      <c r="AO17" s="2">
        <f t="shared" si="12"/>
        <v>2.3193359375</v>
      </c>
    </row>
    <row r="18" spans="2:41" x14ac:dyDescent="0.2">
      <c r="B18" s="6" t="s">
        <v>136</v>
      </c>
      <c r="C18" s="17">
        <v>1</v>
      </c>
      <c r="F18" t="s">
        <v>146</v>
      </c>
      <c r="G18" s="6">
        <f xml:space="preserve"> (G16/$C$74*1000) / (G17*1000)</f>
        <v>2.4340281315094532</v>
      </c>
      <c r="H18" s="6" t="s">
        <v>147</v>
      </c>
      <c r="J18" s="13" t="s">
        <v>53</v>
      </c>
      <c r="K18" s="6">
        <f xml:space="preserve"> $C$78 * (0.2138 * K4 + 0.2138 * K6)</f>
        <v>70.321103428277723</v>
      </c>
      <c r="L18" s="6" t="s">
        <v>7</v>
      </c>
      <c r="N18" s="31" t="s">
        <v>181</v>
      </c>
      <c r="O18" s="34"/>
      <c r="P18" s="34"/>
      <c r="U18" s="2">
        <v>14</v>
      </c>
      <c r="V18" s="2">
        <f t="shared" si="7"/>
        <v>0.9732666015625</v>
      </c>
      <c r="W18" s="2">
        <f t="shared" si="0"/>
        <v>3.5711070287880453E-5</v>
      </c>
      <c r="X18" s="2">
        <f t="shared" si="8"/>
        <v>0.97332763671875</v>
      </c>
      <c r="Y18" s="2">
        <f t="shared" si="1"/>
        <v>-2.6694043243513654E-5</v>
      </c>
      <c r="Z18" s="2">
        <f t="shared" si="3"/>
        <v>0.973297119140625</v>
      </c>
      <c r="AA18" s="2">
        <f t="shared" si="2"/>
        <v>4.5084922786209347E-6</v>
      </c>
      <c r="AB18" s="2">
        <f t="shared" si="4"/>
        <v>1.6100308465419849E-10</v>
      </c>
      <c r="AC18" s="2">
        <f t="shared" si="5"/>
        <v>-1.2034988784855465E-10</v>
      </c>
      <c r="AD18" s="2">
        <f t="shared" si="6"/>
        <v>6.103515625E-5</v>
      </c>
      <c r="AF18" s="2">
        <v>14</v>
      </c>
      <c r="AG18" s="2">
        <f t="shared" si="13"/>
        <v>1871.88720703125</v>
      </c>
      <c r="AH18" s="2">
        <v>-0.2122946959498222</v>
      </c>
      <c r="AI18" s="2">
        <f t="shared" si="14"/>
        <v>1873.046875</v>
      </c>
      <c r="AJ18" s="2">
        <v>0.27026062141021612</v>
      </c>
      <c r="AK18" s="2">
        <f t="shared" si="9"/>
        <v>1872.467041015625</v>
      </c>
      <c r="AL18" s="2">
        <v>2.9003598950339438E-2</v>
      </c>
      <c r="AM18" s="2">
        <f t="shared" si="10"/>
        <v>-6.1573102206128934E-3</v>
      </c>
      <c r="AN18" s="2">
        <f t="shared" si="11"/>
        <v>7.838530675451429E-3</v>
      </c>
      <c r="AO18" s="2">
        <f t="shared" si="12"/>
        <v>1.15966796875</v>
      </c>
    </row>
    <row r="19" spans="2:41" x14ac:dyDescent="0.2">
      <c r="F19" s="9" t="s">
        <v>148</v>
      </c>
      <c r="G19" s="6">
        <f>O23 / ($C$29*$C$11/PI())</f>
        <v>5.0580573350196653E-2</v>
      </c>
      <c r="J19" s="13" t="s">
        <v>77</v>
      </c>
      <c r="K19" s="6">
        <f xml:space="preserve"> $C$78 * (0.1149 * K4 + 0.1149 * K6)</f>
        <v>37.791837155795648</v>
      </c>
      <c r="L19" s="6" t="s">
        <v>7</v>
      </c>
      <c r="N19" s="6" t="s">
        <v>25</v>
      </c>
      <c r="O19" s="6">
        <f xml:space="preserve"> 90 - $C$81</f>
        <v>85</v>
      </c>
      <c r="P19" s="6" t="s">
        <v>40</v>
      </c>
      <c r="U19" s="2">
        <v>15</v>
      </c>
      <c r="V19" s="2">
        <f t="shared" si="7"/>
        <v>0.973297119140625</v>
      </c>
      <c r="W19" s="2">
        <f t="shared" si="0"/>
        <v>4.5084922786209347E-6</v>
      </c>
      <c r="X19" s="2">
        <f t="shared" si="8"/>
        <v>0.97332763671875</v>
      </c>
      <c r="Y19" s="2">
        <f t="shared" si="1"/>
        <v>-2.6694043243513654E-5</v>
      </c>
      <c r="Z19" s="2">
        <f t="shared" si="3"/>
        <v>0.9733123779296875</v>
      </c>
      <c r="AA19" s="2">
        <f t="shared" si="2"/>
        <v>-1.1092780793031665E-5</v>
      </c>
      <c r="AB19" s="2">
        <f t="shared" si="4"/>
        <v>-5.0011716553817866E-11</v>
      </c>
      <c r="AC19" s="2">
        <f t="shared" si="5"/>
        <v>2.9611117018000496E-10</v>
      </c>
      <c r="AD19" s="2">
        <f t="shared" si="6"/>
        <v>3.0517578125E-5</v>
      </c>
      <c r="AF19" s="2">
        <v>15</v>
      </c>
      <c r="AG19" s="2">
        <f t="shared" si="13"/>
        <v>1871.88720703125</v>
      </c>
      <c r="AH19" s="2">
        <v>-0.2122946959498222</v>
      </c>
      <c r="AI19" s="2">
        <f t="shared" si="14"/>
        <v>1872.467041015625</v>
      </c>
      <c r="AJ19" s="2">
        <v>2.9003598950339438E-2</v>
      </c>
      <c r="AK19" s="2">
        <f t="shared" si="9"/>
        <v>1872.1771240234375</v>
      </c>
      <c r="AL19" s="2">
        <v>-9.164035025605699E-2</v>
      </c>
      <c r="AM19" s="2">
        <f t="shared" si="10"/>
        <v>1.9454760294344831E-2</v>
      </c>
      <c r="AN19" s="2">
        <f t="shared" si="11"/>
        <v>-2.6578999664953131E-3</v>
      </c>
      <c r="AO19" s="2">
        <f t="shared" si="12"/>
        <v>0.579833984375</v>
      </c>
    </row>
    <row r="20" spans="2:41" x14ac:dyDescent="0.2">
      <c r="B20" s="33" t="s">
        <v>110</v>
      </c>
      <c r="C20" s="33"/>
      <c r="D20" s="33"/>
      <c r="F20" s="26" t="s">
        <v>132</v>
      </c>
      <c r="G20" s="25">
        <f xml:space="preserve"> $C$28 * G17</f>
        <v>44.236607679068982</v>
      </c>
      <c r="H20" s="25" t="s">
        <v>101</v>
      </c>
      <c r="J20" s="14" t="s">
        <v>60</v>
      </c>
      <c r="K20" s="6">
        <f xml:space="preserve"> $C$79 * (14.86 * ($C$5*2.20462)^0.144 * ($C$36/(PI()*$C$37))^0.778 * ($C$36*3.28084)^0.383 * $C$35^0.455 * 0.453592)</f>
        <v>209.97635663410404</v>
      </c>
      <c r="L20" s="6" t="s">
        <v>7</v>
      </c>
      <c r="N20" s="6" t="s">
        <v>19</v>
      </c>
      <c r="O20" s="6">
        <f xml:space="preserve"> O14 / $C$28</f>
        <v>1055.2564606527221</v>
      </c>
      <c r="P20" s="6" t="s">
        <v>20</v>
      </c>
      <c r="U20" s="2">
        <v>16</v>
      </c>
      <c r="V20" s="2">
        <f t="shared" si="7"/>
        <v>0.973297119140625</v>
      </c>
      <c r="W20" s="2">
        <f t="shared" si="0"/>
        <v>4.5084922786209347E-6</v>
      </c>
      <c r="X20" s="2">
        <f t="shared" si="8"/>
        <v>0.9733123779296875</v>
      </c>
      <c r="Y20" s="2">
        <f t="shared" si="1"/>
        <v>-1.1092780793031665E-5</v>
      </c>
      <c r="Z20" s="2">
        <f t="shared" si="3"/>
        <v>0.97330474853515625</v>
      </c>
      <c r="AA20" s="2">
        <f t="shared" si="2"/>
        <v>-3.2921455849210801E-6</v>
      </c>
      <c r="AB20" s="2">
        <f t="shared" si="4"/>
        <v>-1.4842612949712689E-11</v>
      </c>
      <c r="AC20" s="2">
        <f t="shared" si="5"/>
        <v>3.6519049312276553E-11</v>
      </c>
      <c r="AD20" s="2">
        <f t="shared" si="6"/>
        <v>1.52587890625E-5</v>
      </c>
      <c r="AF20" s="2">
        <v>16</v>
      </c>
      <c r="AG20" s="2">
        <f t="shared" si="13"/>
        <v>1872.1771240234375</v>
      </c>
      <c r="AH20" s="2">
        <v>-9.164035025605699E-2</v>
      </c>
      <c r="AI20" s="2">
        <f t="shared" si="14"/>
        <v>1872.467041015625</v>
      </c>
      <c r="AJ20" s="2">
        <v>2.9003598950339438E-2</v>
      </c>
      <c r="AK20" s="2">
        <f t="shared" si="9"/>
        <v>1872.3220825195312</v>
      </c>
      <c r="AL20" s="2">
        <v>-3.1317273324248163E-2</v>
      </c>
      <c r="AM20" s="2">
        <f t="shared" si="10"/>
        <v>2.8699258964987721E-3</v>
      </c>
      <c r="AN20" s="2">
        <f t="shared" si="11"/>
        <v>-9.0831363571465724E-4</v>
      </c>
      <c r="AO20" s="2">
        <f t="shared" si="12"/>
        <v>0.2899169921875</v>
      </c>
    </row>
    <row r="21" spans="2:41" x14ac:dyDescent="0.2">
      <c r="B21" s="6" t="s">
        <v>94</v>
      </c>
      <c r="C21" s="17">
        <v>8</v>
      </c>
      <c r="J21" s="14" t="s">
        <v>61</v>
      </c>
      <c r="K21" s="6">
        <f xml:space="preserve"> $C$79 * C41 * $C$5</f>
        <v>48.681981345320182</v>
      </c>
      <c r="L21" s="6" t="s">
        <v>7</v>
      </c>
      <c r="N21" s="6" t="s">
        <v>26</v>
      </c>
      <c r="O21" s="6">
        <f>$C$6*2*PI()/60</f>
        <v>19.958182265773249</v>
      </c>
      <c r="P21" s="6" t="s">
        <v>27</v>
      </c>
      <c r="U21" s="2">
        <v>17</v>
      </c>
      <c r="V21" s="2">
        <f t="shared" si="7"/>
        <v>0.973297119140625</v>
      </c>
      <c r="W21" s="2">
        <f t="shared" si="0"/>
        <v>4.5084922786209347E-6</v>
      </c>
      <c r="X21" s="2">
        <f t="shared" si="8"/>
        <v>0.97330474853515625</v>
      </c>
      <c r="Y21" s="2">
        <f t="shared" si="1"/>
        <v>-3.2921455849210801E-6</v>
      </c>
      <c r="Z21" s="2">
        <f t="shared" si="3"/>
        <v>0.97330093383789062</v>
      </c>
      <c r="AA21" s="2">
        <f t="shared" si="2"/>
        <v>6.0817301494875409E-7</v>
      </c>
      <c r="AB21" s="2">
        <f t="shared" si="4"/>
        <v>2.7419433419620722E-12</v>
      </c>
      <c r="AC21" s="2">
        <f t="shared" si="5"/>
        <v>-2.002194106031683E-12</v>
      </c>
      <c r="AD21" s="2">
        <f t="shared" si="6"/>
        <v>7.62939453125E-6</v>
      </c>
      <c r="AF21" s="2">
        <v>17</v>
      </c>
      <c r="AG21" s="2">
        <f t="shared" si="13"/>
        <v>1872.3220825195312</v>
      </c>
      <c r="AH21" s="2">
        <v>-3.1317273324248163E-2</v>
      </c>
      <c r="AI21" s="2">
        <f t="shared" si="14"/>
        <v>1872.467041015625</v>
      </c>
      <c r="AJ21" s="2">
        <v>2.9003598950339438E-2</v>
      </c>
      <c r="AK21" s="2">
        <f t="shared" si="9"/>
        <v>1872.3945617675781</v>
      </c>
      <c r="AL21" s="2">
        <v>-1.1565221525415836E-3</v>
      </c>
      <c r="AM21" s="2">
        <f t="shared" si="10"/>
        <v>3.6219120356692603E-5</v>
      </c>
      <c r="AN21" s="2">
        <f t="shared" si="11"/>
        <v>-3.354330468949938E-5</v>
      </c>
      <c r="AO21" s="2">
        <f t="shared" si="12"/>
        <v>0.14495849609375</v>
      </c>
    </row>
    <row r="22" spans="2:41" x14ac:dyDescent="0.2">
      <c r="B22" s="6" t="s">
        <v>109</v>
      </c>
      <c r="C22" s="17">
        <v>2</v>
      </c>
      <c r="F22" s="33" t="s">
        <v>81</v>
      </c>
      <c r="G22" s="33"/>
      <c r="H22" s="33"/>
      <c r="J22" s="14" t="s">
        <v>182</v>
      </c>
      <c r="K22" s="6">
        <f xml:space="preserve"> $C$79 * (0.04674 * ($C$5*2.20462)^0.397 * ($C$12*3.28084^2)^0.36 * $C$46^0.397 * $C$13^1.712 * 0.453592)</f>
        <v>261.068874343917</v>
      </c>
      <c r="L22" s="6" t="s">
        <v>7</v>
      </c>
      <c r="N22" s="6" t="s">
        <v>28</v>
      </c>
      <c r="O22" s="6">
        <f xml:space="preserve"> $C$7 * COS(O19/180*PI()) / (O21 * $C$10)</f>
        <v>8.3227603662813371E-2</v>
      </c>
      <c r="U22" s="2">
        <v>18</v>
      </c>
      <c r="V22" s="2">
        <f t="shared" si="7"/>
        <v>0.97330093383789062</v>
      </c>
      <c r="W22" s="2">
        <f t="shared" si="0"/>
        <v>6.0817301494875409E-7</v>
      </c>
      <c r="X22" s="2">
        <f t="shared" si="8"/>
        <v>0.97330474853515625</v>
      </c>
      <c r="Y22" s="2">
        <f t="shared" si="1"/>
        <v>-3.2921455849210801E-6</v>
      </c>
      <c r="Z22" s="2">
        <f t="shared" si="3"/>
        <v>0.97330284118652344</v>
      </c>
      <c r="AA22" s="2">
        <f t="shared" si="2"/>
        <v>-1.341986367919823E-6</v>
      </c>
      <c r="AB22" s="2">
        <f t="shared" si="4"/>
        <v>-8.1615989539792671E-13</v>
      </c>
      <c r="AC22" s="2">
        <f t="shared" si="5"/>
        <v>4.4180144961715216E-12</v>
      </c>
      <c r="AD22" s="2">
        <f t="shared" si="6"/>
        <v>3.814697265625E-6</v>
      </c>
      <c r="AF22" s="2">
        <v>18</v>
      </c>
      <c r="AG22" s="2">
        <f t="shared" si="13"/>
        <v>1872.3945617675781</v>
      </c>
      <c r="AH22" s="2">
        <v>-1.1565221525415836E-3</v>
      </c>
      <c r="AI22" s="2">
        <f t="shared" si="14"/>
        <v>1872.467041015625</v>
      </c>
      <c r="AJ22" s="2">
        <v>2.9003598950339438E-2</v>
      </c>
      <c r="AK22" s="2">
        <f t="shared" si="9"/>
        <v>1872.4308013916016</v>
      </c>
      <c r="AL22" s="2">
        <v>1.392345933118122E-2</v>
      </c>
      <c r="AM22" s="2">
        <f t="shared" si="10"/>
        <v>-1.6102789156522904E-5</v>
      </c>
      <c r="AN22" s="2">
        <f t="shared" si="11"/>
        <v>4.0383043044294148E-4</v>
      </c>
      <c r="AO22" s="2">
        <f t="shared" si="12"/>
        <v>7.2479248046875E-2</v>
      </c>
    </row>
    <row r="23" spans="2:41" x14ac:dyDescent="0.2">
      <c r="B23" s="6" t="s">
        <v>119</v>
      </c>
      <c r="C23" s="6">
        <f>$C$22*$C$9/PI()</f>
        <v>0.31022513338460861</v>
      </c>
      <c r="F23" s="6" t="s">
        <v>85</v>
      </c>
      <c r="G23" s="17">
        <f>300*0.3048/60</f>
        <v>1.524</v>
      </c>
      <c r="H23" s="6" t="s">
        <v>10</v>
      </c>
      <c r="J23" s="14" t="s">
        <v>62</v>
      </c>
      <c r="K23" s="6">
        <f xml:space="preserve"> $C$79 * (3.184 * ($C$5*2.20462)^0.887 * ($C$50*3.28084*3.28084)^0.101 * ($C$49)^0.138 ) / ( 174.04 * ($C$51*3.28084)^0.223 ) * 0.453592</f>
        <v>21.514320490475249</v>
      </c>
      <c r="L23" s="6" t="s">
        <v>7</v>
      </c>
      <c r="N23" s="6" t="s">
        <v>29</v>
      </c>
      <c r="O23" s="6">
        <f xml:space="preserve"> O20 / ( $C$71 * PI() * $C$10^2 * O21^2 * $C$10^2)</f>
        <v>4.2992621867349833E-2</v>
      </c>
      <c r="U23" s="2">
        <v>19</v>
      </c>
      <c r="V23" s="2">
        <f t="shared" si="7"/>
        <v>0.97330093383789062</v>
      </c>
      <c r="W23" s="2">
        <f t="shared" si="0"/>
        <v>6.0817301494875409E-7</v>
      </c>
      <c r="X23" s="2">
        <f t="shared" si="8"/>
        <v>0.97330284118652344</v>
      </c>
      <c r="Y23" s="2">
        <f t="shared" si="1"/>
        <v>-1.341986367919823E-6</v>
      </c>
      <c r="Z23" s="2">
        <f t="shared" si="3"/>
        <v>0.97330188751220703</v>
      </c>
      <c r="AA23" s="2">
        <f t="shared" si="2"/>
        <v>-3.6690669724670499E-7</v>
      </c>
      <c r="AB23" s="2">
        <f t="shared" si="4"/>
        <v>-2.2314275226941829E-13</v>
      </c>
      <c r="AC23" s="2">
        <f t="shared" si="5"/>
        <v>4.9238378600356376E-13</v>
      </c>
      <c r="AD23" s="2">
        <f t="shared" si="6"/>
        <v>1.9073486328125E-6</v>
      </c>
      <c r="AF23" s="2">
        <v>19</v>
      </c>
      <c r="AG23" s="2">
        <f t="shared" si="13"/>
        <v>1872.3945617675781</v>
      </c>
      <c r="AH23" s="2">
        <v>-1.1565221525415836E-3</v>
      </c>
      <c r="AI23" s="2">
        <f t="shared" si="14"/>
        <v>1872.4308013916016</v>
      </c>
      <c r="AJ23" s="2">
        <v>1.392345933118122E-2</v>
      </c>
      <c r="AK23" s="2">
        <f t="shared" si="9"/>
        <v>1872.4126815795898</v>
      </c>
      <c r="AL23" s="2">
        <v>6.3834882801074855E-3</v>
      </c>
      <c r="AM23" s="2">
        <f t="shared" si="10"/>
        <v>-7.3826456064338807E-6</v>
      </c>
      <c r="AN23" s="2">
        <f t="shared" si="11"/>
        <v>8.8880239459148531E-5</v>
      </c>
      <c r="AO23" s="2">
        <f t="shared" si="12"/>
        <v>3.62396240234375E-2</v>
      </c>
    </row>
    <row r="24" spans="2:41" x14ac:dyDescent="0.2">
      <c r="B24" s="6" t="s">
        <v>183</v>
      </c>
      <c r="C24" s="17">
        <v>0.75</v>
      </c>
      <c r="F24" s="6" t="s">
        <v>91</v>
      </c>
      <c r="G24" s="17">
        <f>1000*0.3048</f>
        <v>304.8</v>
      </c>
      <c r="H24" s="6" t="s">
        <v>8</v>
      </c>
      <c r="J24" s="14" t="s">
        <v>63</v>
      </c>
      <c r="K24" s="6">
        <f xml:space="preserve"> $C$79 * ( 1.68 * ($C$5*2.20462)^0.567 * ($C$55*3.28084*3.28084)^1.249 * ($C$54)^0.482 ) / (639.95 * ($C$56*3.28084)^0.747 * (COS($C$57/180*PI()))^0.882 ) * 0.453592</f>
        <v>7.9068455097735804</v>
      </c>
      <c r="L24" s="6" t="s">
        <v>7</v>
      </c>
      <c r="N24" s="6" t="s">
        <v>1</v>
      </c>
      <c r="O24" s="17">
        <v>8.8999999999999999E-3</v>
      </c>
      <c r="U24" s="2">
        <v>20</v>
      </c>
      <c r="V24" s="2">
        <f t="shared" si="7"/>
        <v>0.97330093383789062</v>
      </c>
      <c r="W24" s="2">
        <f t="shared" si="0"/>
        <v>6.0817301494875409E-7</v>
      </c>
      <c r="X24" s="2">
        <f t="shared" si="8"/>
        <v>0.97330188751220703</v>
      </c>
      <c r="Y24" s="2">
        <f t="shared" si="1"/>
        <v>-3.6690669724670499E-7</v>
      </c>
      <c r="Z24" s="2">
        <f t="shared" si="3"/>
        <v>0.97330141067504883</v>
      </c>
      <c r="AA24" s="2">
        <f t="shared" si="2"/>
        <v>1.2063315368848748E-7</v>
      </c>
      <c r="AB24" s="2">
        <f t="shared" si="4"/>
        <v>7.336582878150385E-14</v>
      </c>
      <c r="AC24" s="2">
        <f t="shared" si="5"/>
        <v>-4.4261111998297109E-14</v>
      </c>
      <c r="AD24" s="2">
        <f t="shared" si="6"/>
        <v>9.5367431640625E-7</v>
      </c>
      <c r="AF24" s="2">
        <v>20</v>
      </c>
      <c r="AG24" s="2">
        <f t="shared" si="13"/>
        <v>1872.3945617675781</v>
      </c>
      <c r="AH24" s="2">
        <v>-1.1565221525415836E-3</v>
      </c>
      <c r="AI24" s="2">
        <f t="shared" si="14"/>
        <v>1872.4126815795898</v>
      </c>
      <c r="AJ24" s="2">
        <v>6.3834882801074855E-3</v>
      </c>
      <c r="AK24" s="2">
        <f t="shared" si="9"/>
        <v>1872.403621673584</v>
      </c>
      <c r="AL24" s="2">
        <v>2.6134879863093374E-3</v>
      </c>
      <c r="AM24" s="2">
        <f t="shared" si="10"/>
        <v>-3.0225567515680436E-6</v>
      </c>
      <c r="AN24" s="2">
        <f t="shared" si="11"/>
        <v>1.6683169930807367E-5</v>
      </c>
      <c r="AO24" s="2">
        <f t="shared" si="12"/>
        <v>1.811981201171875E-2</v>
      </c>
    </row>
    <row r="25" spans="2:41" x14ac:dyDescent="0.2">
      <c r="B25" s="6" t="s">
        <v>155</v>
      </c>
      <c r="C25" s="17">
        <v>50</v>
      </c>
      <c r="D25" s="6" t="s">
        <v>58</v>
      </c>
      <c r="F25" s="6" t="s">
        <v>90</v>
      </c>
      <c r="G25" s="6">
        <f xml:space="preserve"> $G$24/$G$23</f>
        <v>200</v>
      </c>
      <c r="H25" s="6" t="s">
        <v>13</v>
      </c>
      <c r="J25" s="14" t="s">
        <v>112</v>
      </c>
      <c r="K25" s="6">
        <f>$C$79*(0.14*$G$10*1000/745.7)*0.453592</f>
        <v>15.659374251529725</v>
      </c>
      <c r="L25" s="6" t="s">
        <v>7</v>
      </c>
      <c r="N25" s="6" t="s">
        <v>30</v>
      </c>
      <c r="O25" s="6">
        <f xml:space="preserve"> ($C$30 * $O$24 / 8) * (1 + 4.65 * O22^2) * ( PI() * $C$71 * O21^3 * $C$10^5)</f>
        <v>1004.1128836304101</v>
      </c>
      <c r="P25" s="6" t="s">
        <v>18</v>
      </c>
      <c r="U25" s="2">
        <v>21</v>
      </c>
      <c r="V25" s="2">
        <f t="shared" si="7"/>
        <v>0.97330141067504883</v>
      </c>
      <c r="W25" s="2">
        <f t="shared" si="0"/>
        <v>1.2063315368848748E-7</v>
      </c>
      <c r="X25" s="2">
        <f t="shared" si="8"/>
        <v>0.97330188751220703</v>
      </c>
      <c r="Y25" s="2">
        <f t="shared" si="1"/>
        <v>-3.6690669724670499E-7</v>
      </c>
      <c r="Z25" s="2">
        <f t="shared" si="3"/>
        <v>0.97330164909362793</v>
      </c>
      <c r="AA25" s="2">
        <f t="shared" si="2"/>
        <v>-1.2313677311137639E-7</v>
      </c>
      <c r="AB25" s="2">
        <f t="shared" si="4"/>
        <v>-1.4854377275449079E-14</v>
      </c>
      <c r="AC25" s="2">
        <f t="shared" si="5"/>
        <v>4.5179706731911982E-14</v>
      </c>
      <c r="AD25" s="2">
        <f t="shared" si="6"/>
        <v>4.76837158203125E-7</v>
      </c>
      <c r="AF25" s="2">
        <v>21</v>
      </c>
      <c r="AG25" s="2">
        <f t="shared" si="13"/>
        <v>1872.3945617675781</v>
      </c>
      <c r="AH25" s="2">
        <v>-1.1565221525415836E-3</v>
      </c>
      <c r="AI25" s="2">
        <f t="shared" si="14"/>
        <v>1872.403621673584</v>
      </c>
      <c r="AJ25" s="2">
        <v>2.6134879863093374E-3</v>
      </c>
      <c r="AK25" s="2">
        <f t="shared" si="9"/>
        <v>1872.3990917205811</v>
      </c>
      <c r="AL25" s="2">
        <v>7.284841474302084E-4</v>
      </c>
      <c r="AM25" s="2">
        <f t="shared" si="10"/>
        <v>-8.4250805427840499E-7</v>
      </c>
      <c r="AN25" s="2">
        <f t="shared" si="11"/>
        <v>1.9038845675256499E-6</v>
      </c>
      <c r="AO25" s="2">
        <f t="shared" si="12"/>
        <v>9.059906005859375E-3</v>
      </c>
    </row>
    <row r="26" spans="2:41" x14ac:dyDescent="0.2">
      <c r="F26" s="6" t="s">
        <v>19</v>
      </c>
      <c r="G26" s="6">
        <f xml:space="preserve"> $C$5 * $C$68 / $C$21</f>
        <v>2294.0192855037626</v>
      </c>
      <c r="H26" s="6" t="s">
        <v>20</v>
      </c>
      <c r="J26" s="15" t="s">
        <v>64</v>
      </c>
      <c r="K26" s="6">
        <f xml:space="preserve"> $C$80 * (0.0268 * $C$5)</f>
        <v>40.143910770910182</v>
      </c>
      <c r="L26" s="6" t="s">
        <v>7</v>
      </c>
      <c r="N26" s="6" t="s">
        <v>31</v>
      </c>
      <c r="O26" s="18">
        <f>Z34</f>
        <v>0.97330152848735452</v>
      </c>
      <c r="U26" s="2">
        <v>22</v>
      </c>
      <c r="V26" s="2">
        <f t="shared" si="7"/>
        <v>0.97330141067504883</v>
      </c>
      <c r="W26" s="2">
        <f t="shared" si="0"/>
        <v>1.2063315368848748E-7</v>
      </c>
      <c r="X26" s="2">
        <f t="shared" si="8"/>
        <v>0.97330164909362793</v>
      </c>
      <c r="Y26" s="2">
        <f t="shared" si="1"/>
        <v>-1.2313677311137639E-7</v>
      </c>
      <c r="Z26" s="2">
        <f t="shared" si="3"/>
        <v>0.97330152988433838</v>
      </c>
      <c r="AA26" s="2">
        <f t="shared" si="2"/>
        <v>-1.2518099890002077E-9</v>
      </c>
      <c r="AB26" s="2">
        <f t="shared" si="4"/>
        <v>-1.5100978679184588E-16</v>
      </c>
      <c r="AC26" s="2">
        <f t="shared" si="5"/>
        <v>1.5414384259407314E-16</v>
      </c>
      <c r="AD26" s="2">
        <f t="shared" si="6"/>
        <v>2.384185791015625E-7</v>
      </c>
      <c r="AF26" s="2">
        <v>22</v>
      </c>
      <c r="AG26" s="2">
        <f t="shared" si="13"/>
        <v>1872.3945617675781</v>
      </c>
      <c r="AH26" s="2">
        <v>-1.1565221525415836E-3</v>
      </c>
      <c r="AI26" s="2">
        <f t="shared" si="14"/>
        <v>1872.3990917205811</v>
      </c>
      <c r="AJ26" s="2">
        <v>7.284841474302084E-4</v>
      </c>
      <c r="AK26" s="2">
        <f t="shared" si="9"/>
        <v>1872.3968267440796</v>
      </c>
      <c r="AL26" s="2">
        <v>-2.1417651760202716E-4</v>
      </c>
      <c r="AM26" s="2">
        <f t="shared" si="10"/>
        <v>2.4769988716095684E-7</v>
      </c>
      <c r="AN26" s="2">
        <f t="shared" si="11"/>
        <v>-1.5602419782488377E-7</v>
      </c>
      <c r="AO26" s="2">
        <f t="shared" si="12"/>
        <v>4.5299530029296875E-3</v>
      </c>
    </row>
    <row r="27" spans="2:41" x14ac:dyDescent="0.2">
      <c r="B27" s="33" t="s">
        <v>184</v>
      </c>
      <c r="C27" s="33"/>
      <c r="D27" s="33"/>
      <c r="F27" t="s">
        <v>97</v>
      </c>
      <c r="G27" s="6">
        <f>G29/$C$21</f>
        <v>24.541889332447564</v>
      </c>
      <c r="H27" t="s">
        <v>101</v>
      </c>
      <c r="J27" s="15" t="s">
        <v>65</v>
      </c>
      <c r="K27" s="6">
        <f xml:space="preserve"> $C$80 * (11.5 * ($C$5*2.20462/1000)^0.4 * 0.453592)</f>
        <v>7.3577439432592504</v>
      </c>
      <c r="L27" s="6" t="s">
        <v>7</v>
      </c>
      <c r="N27" s="6" t="s">
        <v>32</v>
      </c>
      <c r="O27" s="6">
        <f xml:space="preserve"> O21 * $C$10 * O26 - $C$7 * SIN(O19/180*PI())</f>
        <v>0.92230547783455563</v>
      </c>
      <c r="P27" s="6" t="s">
        <v>10</v>
      </c>
      <c r="U27" s="2">
        <v>23</v>
      </c>
      <c r="V27" s="2">
        <f t="shared" si="7"/>
        <v>0.97330141067504883</v>
      </c>
      <c r="W27" s="2">
        <f t="shared" si="0"/>
        <v>1.2063315368848748E-7</v>
      </c>
      <c r="X27" s="2">
        <f t="shared" si="8"/>
        <v>0.97330152988433838</v>
      </c>
      <c r="Y27" s="2">
        <f t="shared" si="1"/>
        <v>-1.2518099890002077E-9</v>
      </c>
      <c r="Z27" s="2">
        <f t="shared" si="3"/>
        <v>0.9733014702796936</v>
      </c>
      <c r="AA27" s="2">
        <f t="shared" si="2"/>
        <v>5.9690671738721335E-8</v>
      </c>
      <c r="AB27" s="2">
        <f t="shared" si="4"/>
        <v>7.2006739776262264E-15</v>
      </c>
      <c r="AC27" s="2">
        <f t="shared" si="5"/>
        <v>-7.4721379132663761E-17</v>
      </c>
      <c r="AD27" s="2">
        <f t="shared" si="6"/>
        <v>1.1920928955078125E-7</v>
      </c>
      <c r="AF27" s="2">
        <v>23</v>
      </c>
      <c r="AG27" s="2">
        <f t="shared" si="13"/>
        <v>1872.3968267440796</v>
      </c>
      <c r="AH27" s="2">
        <v>-1.1565221525415836E-3</v>
      </c>
      <c r="AI27" s="2">
        <f t="shared" si="14"/>
        <v>1872.3990917205811</v>
      </c>
      <c r="AJ27" s="2">
        <v>7.284841474302084E-4</v>
      </c>
      <c r="AK27" s="2">
        <f t="shared" si="9"/>
        <v>1872.3979592323303</v>
      </c>
      <c r="AL27" s="2">
        <v>-2.1417651760202716E-4</v>
      </c>
      <c r="AM27" s="2">
        <f t="shared" si="10"/>
        <v>2.4769988716095684E-7</v>
      </c>
      <c r="AN27" s="2">
        <f t="shared" si="11"/>
        <v>-1.5602419782488377E-7</v>
      </c>
      <c r="AO27" s="2">
        <f t="shared" si="12"/>
        <v>2.2649765014648438E-3</v>
      </c>
    </row>
    <row r="28" spans="2:41" x14ac:dyDescent="0.2">
      <c r="B28" s="6" t="s">
        <v>185</v>
      </c>
      <c r="C28" s="17">
        <v>1</v>
      </c>
      <c r="F28" t="s">
        <v>146</v>
      </c>
      <c r="G28" s="6">
        <f xml:space="preserve"> (G26/$C$68*1000) / (G27*1000)</f>
        <v>9.5366735652122099</v>
      </c>
      <c r="H28" s="6" t="s">
        <v>147</v>
      </c>
      <c r="J28" s="15" t="s">
        <v>66</v>
      </c>
      <c r="K28" s="6">
        <f xml:space="preserve"> $C$80 * (8 * ($C$5/1000))</f>
        <v>11.983256946540353</v>
      </c>
      <c r="L28" s="6" t="s">
        <v>7</v>
      </c>
      <c r="N28" s="6" t="s">
        <v>33</v>
      </c>
      <c r="O28" s="6">
        <f xml:space="preserve"> 1/$C$31 - O25 * SQRT( (2*$C$71*PI()*$C$10^2) / O20^3 )</f>
        <v>1.1784865197630296</v>
      </c>
      <c r="U28" s="2">
        <v>24</v>
      </c>
      <c r="V28" s="2">
        <f t="shared" si="7"/>
        <v>0.9733014702796936</v>
      </c>
      <c r="W28" s="2">
        <f t="shared" si="0"/>
        <v>5.9690671738721335E-8</v>
      </c>
      <c r="X28" s="2">
        <f t="shared" si="8"/>
        <v>0.97330152988433838</v>
      </c>
      <c r="Y28" s="2">
        <f t="shared" si="1"/>
        <v>-1.2518099890002077E-9</v>
      </c>
      <c r="Z28" s="2">
        <f t="shared" si="3"/>
        <v>0.97330150008201599</v>
      </c>
      <c r="AA28" s="2">
        <f t="shared" si="2"/>
        <v>2.9219430874860564E-8</v>
      </c>
      <c r="AB28" s="2">
        <f t="shared" si="4"/>
        <v>1.7441274567435611E-15</v>
      </c>
      <c r="AC28" s="2">
        <f t="shared" si="5"/>
        <v>-3.6577175442051531E-17</v>
      </c>
      <c r="AD28" s="2">
        <f t="shared" si="6"/>
        <v>5.9604644775390625E-8</v>
      </c>
      <c r="AF28" s="2">
        <v>24</v>
      </c>
      <c r="AG28" s="2">
        <f t="shared" si="13"/>
        <v>1872.3979592323303</v>
      </c>
      <c r="AH28" s="2">
        <v>-1.1565221525415836E-3</v>
      </c>
      <c r="AI28" s="2">
        <f t="shared" si="14"/>
        <v>1872.3990917205811</v>
      </c>
      <c r="AJ28" s="2">
        <v>-2.1417651760202716E-4</v>
      </c>
      <c r="AK28" s="2">
        <f t="shared" si="9"/>
        <v>1872.3985254764557</v>
      </c>
      <c r="AL28" s="2">
        <v>-2.1417651760202716E-4</v>
      </c>
      <c r="AM28" s="2">
        <f t="shared" si="10"/>
        <v>2.4769988716095684E-7</v>
      </c>
      <c r="AN28" s="2">
        <f t="shared" si="11"/>
        <v>4.5871580692131453E-8</v>
      </c>
      <c r="AO28" s="2">
        <f t="shared" si="12"/>
        <v>1.1324882507324219E-3</v>
      </c>
    </row>
    <row r="29" spans="2:41" x14ac:dyDescent="0.2">
      <c r="B29" s="6" t="s">
        <v>186</v>
      </c>
      <c r="C29" s="17">
        <v>6</v>
      </c>
      <c r="F29" s="25" t="s">
        <v>83</v>
      </c>
      <c r="G29" s="25">
        <f xml:space="preserve"> 1/1000 * IF( $G$23&gt;=2*SQRT(($C$5*$C$68)/(2*$C$65*$C$21*PI()*$C$8*$C$8)), ($C$5*$C$68)/$C$24 * ( ($G$23/2) - SQRT( ($G$23/2)^2 - ($C$5*$C$68)/(2*$C$65*$C$21*PI()*$C$8*$C$8 ) ) ), 1/$C$24 * SQRT(($C$5*$C$68)^3/(2*$C$65*$C$21*PI()*$C$8*$C$8)) )</f>
        <v>196.33511465958051</v>
      </c>
      <c r="H29" s="25" t="s">
        <v>101</v>
      </c>
      <c r="J29" s="15" t="s">
        <v>67</v>
      </c>
      <c r="K29" s="6">
        <f xml:space="preserve"> $C$80 * (13 * ($C$5*2.20462/1000)^1.3 * 0.453592)</f>
        <v>29.795176220722499</v>
      </c>
      <c r="L29" s="6" t="s">
        <v>7</v>
      </c>
      <c r="N29" s="6" t="s">
        <v>34</v>
      </c>
      <c r="O29" s="17">
        <v>1.1499999999999999</v>
      </c>
      <c r="U29" s="2">
        <v>25</v>
      </c>
      <c r="V29" s="2">
        <f t="shared" si="7"/>
        <v>0.97330150008201599</v>
      </c>
      <c r="W29" s="2">
        <f t="shared" si="0"/>
        <v>2.9219430874860564E-8</v>
      </c>
      <c r="X29" s="2">
        <f t="shared" si="8"/>
        <v>0.97330152988433838</v>
      </c>
      <c r="Y29" s="2">
        <f t="shared" si="1"/>
        <v>-1.2518099890002077E-9</v>
      </c>
      <c r="Z29" s="2">
        <f t="shared" si="3"/>
        <v>0.97330151498317719</v>
      </c>
      <c r="AA29" s="2">
        <f t="shared" si="2"/>
        <v>1.3983810442930178E-8</v>
      </c>
      <c r="AB29" s="2">
        <f t="shared" si="4"/>
        <v>4.0859898260435161E-16</v>
      </c>
      <c r="AC29" s="2">
        <f t="shared" si="5"/>
        <v>-1.7505073596745415E-17</v>
      </c>
      <c r="AD29" s="2">
        <f t="shared" si="6"/>
        <v>2.9802322387695312E-8</v>
      </c>
      <c r="AF29" s="2">
        <v>25</v>
      </c>
      <c r="AG29" s="2">
        <f t="shared" si="13"/>
        <v>1872.3985254764557</v>
      </c>
      <c r="AH29" s="2">
        <v>-1.1565221525415836E-3</v>
      </c>
      <c r="AI29" s="2">
        <f t="shared" si="14"/>
        <v>1872.3985254764557</v>
      </c>
      <c r="AJ29" s="2">
        <v>-6.8519143542289385E-4</v>
      </c>
      <c r="AK29" s="2">
        <f t="shared" si="9"/>
        <v>1872.3985254764557</v>
      </c>
      <c r="AL29" s="2">
        <v>-2.1417651760202716E-4</v>
      </c>
      <c r="AM29" s="2">
        <f t="shared" si="10"/>
        <v>2.4769988716095684E-7</v>
      </c>
      <c r="AN29" s="2">
        <f t="shared" si="11"/>
        <v>1.4675191552960968E-7</v>
      </c>
      <c r="AO29" s="2">
        <f t="shared" si="12"/>
        <v>0</v>
      </c>
    </row>
    <row r="30" spans="2:41" x14ac:dyDescent="0.2">
      <c r="B30" s="6" t="s">
        <v>187</v>
      </c>
      <c r="C30" s="6">
        <f>$C$29*$C$11/PI()</f>
        <v>0.84998288907657626</v>
      </c>
      <c r="J30" s="10" t="s">
        <v>54</v>
      </c>
      <c r="K30" s="10">
        <f>$C$5 - $C$16 - SUM(K15:K29)</f>
        <v>-5.5939918288459012E-3</v>
      </c>
      <c r="L30" s="10" t="s">
        <v>7</v>
      </c>
      <c r="N30" s="6" t="s">
        <v>35</v>
      </c>
      <c r="O30" s="6">
        <f xml:space="preserve"> 1/$C$77 * LN( EXP($C$77 * O28) + EXP($C$77 * O29) )</f>
        <v>1.1903028934535129</v>
      </c>
      <c r="U30" s="2">
        <v>26</v>
      </c>
      <c r="V30" s="2">
        <f>IF(AB29&gt;0, Z29, V29)</f>
        <v>0.97330151498317719</v>
      </c>
      <c r="W30" s="2">
        <f t="shared" si="0"/>
        <v>1.3983810442930178E-8</v>
      </c>
      <c r="X30" s="2">
        <f t="shared" si="8"/>
        <v>0.97330152988433838</v>
      </c>
      <c r="Y30" s="2">
        <f t="shared" si="1"/>
        <v>-1.2518099890002077E-9</v>
      </c>
      <c r="Z30" s="2">
        <f t="shared" si="3"/>
        <v>0.97330152243375778</v>
      </c>
      <c r="AA30" s="2">
        <f t="shared" si="2"/>
        <v>6.3660001714538339E-9</v>
      </c>
      <c r="AB30" s="2">
        <f t="shared" si="4"/>
        <v>8.9020939677271426E-17</v>
      </c>
      <c r="AC30" s="2">
        <f t="shared" si="5"/>
        <v>-7.969022604602944E-18</v>
      </c>
      <c r="AD30" s="2">
        <f t="shared" si="6"/>
        <v>1.4901161193847656E-8</v>
      </c>
      <c r="AF30" s="2">
        <v>26</v>
      </c>
      <c r="AG30" s="2">
        <f t="shared" si="13"/>
        <v>1872.3985254764557</v>
      </c>
      <c r="AH30" s="2">
        <v>-1.1565221525415836E-3</v>
      </c>
      <c r="AI30" s="2">
        <f t="shared" si="14"/>
        <v>1872.3985254764557</v>
      </c>
      <c r="AJ30" s="2">
        <v>-9.2085677465547633E-4</v>
      </c>
      <c r="AK30" s="2">
        <f t="shared" si="9"/>
        <v>1872.3985254764557</v>
      </c>
      <c r="AL30" s="2">
        <v>-2.1417651760202716E-4</v>
      </c>
      <c r="AM30" s="2">
        <f t="shared" si="10"/>
        <v>2.4769988716095684E-7</v>
      </c>
      <c r="AN30" s="2">
        <f t="shared" si="11"/>
        <v>1.9722589720594459E-7</v>
      </c>
      <c r="AO30" s="2">
        <f t="shared" si="12"/>
        <v>0</v>
      </c>
    </row>
    <row r="31" spans="2:41" x14ac:dyDescent="0.2">
      <c r="B31" s="6" t="s">
        <v>188</v>
      </c>
      <c r="C31" s="17">
        <v>0.75</v>
      </c>
      <c r="F31" s="31" t="s">
        <v>156</v>
      </c>
      <c r="G31" s="32"/>
      <c r="H31" s="32"/>
      <c r="J31" s="6" t="s">
        <v>55</v>
      </c>
      <c r="K31" s="4" t="str">
        <f>IF(ABS(K30)&lt;1, "TRUE", "FALSE")</f>
        <v>TRUE</v>
      </c>
      <c r="U31" s="2">
        <v>27</v>
      </c>
      <c r="V31" s="2">
        <f t="shared" si="7"/>
        <v>0.97330152243375778</v>
      </c>
      <c r="W31" s="2">
        <f t="shared" si="0"/>
        <v>6.3660001714538339E-9</v>
      </c>
      <c r="X31" s="2">
        <f t="shared" si="8"/>
        <v>0.97330152988433838</v>
      </c>
      <c r="Y31" s="2">
        <f t="shared" si="1"/>
        <v>-1.2518099890002077E-9</v>
      </c>
      <c r="Z31" s="2">
        <f t="shared" si="3"/>
        <v>0.97330152615904808</v>
      </c>
      <c r="AA31" s="2">
        <f t="shared" si="2"/>
        <v>2.5570950912268131E-9</v>
      </c>
      <c r="AB31" s="2">
        <f t="shared" si="4"/>
        <v>1.6278467789173649E-17</v>
      </c>
      <c r="AC31" s="2">
        <f t="shared" si="5"/>
        <v>-3.200997178021122E-18</v>
      </c>
      <c r="AD31" s="2">
        <f t="shared" si="6"/>
        <v>7.4505805969238281E-9</v>
      </c>
      <c r="AF31" s="2">
        <v>27</v>
      </c>
      <c r="AG31" s="2">
        <f t="shared" si="13"/>
        <v>1872.3985254764557</v>
      </c>
      <c r="AH31" s="2">
        <v>-1.1565221525415836E-3</v>
      </c>
      <c r="AI31" s="2">
        <f t="shared" si="14"/>
        <v>1872.3985254764557</v>
      </c>
      <c r="AJ31" s="2">
        <v>-1.038689458709996E-3</v>
      </c>
      <c r="AK31" s="2">
        <f t="shared" si="9"/>
        <v>1872.3985254764557</v>
      </c>
      <c r="AL31" s="2">
        <v>-2.1417651760202716E-4</v>
      </c>
      <c r="AM31" s="2">
        <f t="shared" si="10"/>
        <v>2.4769988716095684E-7</v>
      </c>
      <c r="AN31" s="2">
        <f t="shared" si="11"/>
        <v>2.2246289113644152E-7</v>
      </c>
      <c r="AO31" s="2">
        <f t="shared" si="12"/>
        <v>0</v>
      </c>
    </row>
    <row r="32" spans="2:41" x14ac:dyDescent="0.2">
      <c r="B32" s="6" t="s">
        <v>155</v>
      </c>
      <c r="C32" s="17">
        <v>50</v>
      </c>
      <c r="D32" s="6" t="s">
        <v>58</v>
      </c>
      <c r="F32" s="9" t="s">
        <v>157</v>
      </c>
      <c r="G32" s="17">
        <f>20*60</f>
        <v>1200</v>
      </c>
      <c r="H32" s="6" t="s">
        <v>13</v>
      </c>
      <c r="U32" s="2">
        <v>28</v>
      </c>
      <c r="V32" s="2">
        <f t="shared" si="7"/>
        <v>0.97330152615904808</v>
      </c>
      <c r="W32" s="2">
        <f t="shared" si="0"/>
        <v>2.5570950912268131E-9</v>
      </c>
      <c r="X32" s="2">
        <f t="shared" si="8"/>
        <v>0.97330152988433838</v>
      </c>
      <c r="Y32" s="2">
        <f t="shared" si="1"/>
        <v>-1.2518099890002077E-9</v>
      </c>
      <c r="Z32" s="2">
        <f t="shared" si="3"/>
        <v>0.97330152802169323</v>
      </c>
      <c r="AA32" s="2">
        <f t="shared" si="2"/>
        <v>6.5264249560215148E-10</v>
      </c>
      <c r="AB32" s="2">
        <f t="shared" si="4"/>
        <v>1.6688689218302785E-18</v>
      </c>
      <c r="AC32" s="2">
        <f t="shared" si="5"/>
        <v>-8.1698439524079734E-19</v>
      </c>
      <c r="AD32" s="2">
        <f t="shared" si="6"/>
        <v>3.7252902984619141E-9</v>
      </c>
      <c r="AF32" s="2">
        <v>28</v>
      </c>
      <c r="AG32" s="2">
        <f t="shared" si="13"/>
        <v>1872.3985254764557</v>
      </c>
      <c r="AH32" s="2">
        <v>-1.1565221525415836E-3</v>
      </c>
      <c r="AI32" s="2">
        <f t="shared" si="14"/>
        <v>1872.3985254764557</v>
      </c>
      <c r="AJ32" s="2">
        <v>-1.0976058042615477E-3</v>
      </c>
      <c r="AK32" s="2">
        <f t="shared" si="9"/>
        <v>1872.3985254764557</v>
      </c>
      <c r="AL32" s="2">
        <v>-2.1417651760202716E-4</v>
      </c>
      <c r="AM32" s="2">
        <f t="shared" si="10"/>
        <v>2.4769988716095684E-7</v>
      </c>
      <c r="AN32" s="2">
        <f t="shared" si="11"/>
        <v>2.3508138885651055E-7</v>
      </c>
      <c r="AO32" s="2">
        <f t="shared" si="12"/>
        <v>0</v>
      </c>
    </row>
    <row r="33" spans="2:41" x14ac:dyDescent="0.2">
      <c r="F33" s="26" t="s">
        <v>132</v>
      </c>
      <c r="G33" s="25">
        <f xml:space="preserve"> G20</f>
        <v>44.236607679068982</v>
      </c>
      <c r="H33" s="25" t="s">
        <v>101</v>
      </c>
      <c r="J33" s="27" t="s">
        <v>56</v>
      </c>
      <c r="K33" s="27"/>
      <c r="L33" s="27"/>
      <c r="U33" s="2">
        <v>29</v>
      </c>
      <c r="V33" s="2">
        <f t="shared" si="7"/>
        <v>0.97330152802169323</v>
      </c>
      <c r="W33" s="2">
        <f t="shared" si="0"/>
        <v>6.5264249560215148E-10</v>
      </c>
      <c r="X33" s="2">
        <f t="shared" si="8"/>
        <v>0.97330152988433838</v>
      </c>
      <c r="Y33" s="2">
        <f t="shared" si="1"/>
        <v>-1.2518099890002077E-9</v>
      </c>
      <c r="Z33" s="2">
        <f t="shared" si="3"/>
        <v>0.9733015289530158</v>
      </c>
      <c r="AA33" s="2">
        <f t="shared" si="2"/>
        <v>-2.9958380221017933E-10</v>
      </c>
      <c r="AB33" s="2">
        <f t="shared" si="4"/>
        <v>-1.9552112031643278E-19</v>
      </c>
      <c r="AC33" s="2">
        <f t="shared" si="5"/>
        <v>3.7502199614936498E-19</v>
      </c>
      <c r="AD33" s="2">
        <f t="shared" si="6"/>
        <v>1.862645149230957E-9</v>
      </c>
      <c r="AF33" s="2">
        <v>29</v>
      </c>
      <c r="AG33" s="2">
        <f t="shared" si="13"/>
        <v>1872.3985254764557</v>
      </c>
      <c r="AH33" s="2">
        <v>-1.1565221525415836E-3</v>
      </c>
      <c r="AI33" s="2">
        <f t="shared" si="14"/>
        <v>1872.3985254764557</v>
      </c>
      <c r="AJ33" s="2">
        <v>-1.1270639784015657E-3</v>
      </c>
      <c r="AK33" s="2">
        <f t="shared" si="9"/>
        <v>1872.3985254764557</v>
      </c>
      <c r="AL33" s="2">
        <v>-2.1417651760202716E-4</v>
      </c>
      <c r="AM33" s="2">
        <f t="shared" si="10"/>
        <v>2.4769988716095684E-7</v>
      </c>
      <c r="AN33" s="2">
        <f t="shared" si="11"/>
        <v>2.4139063800873371E-7</v>
      </c>
      <c r="AO33" s="2">
        <f t="shared" si="12"/>
        <v>0</v>
      </c>
    </row>
    <row r="34" spans="2:41" x14ac:dyDescent="0.2">
      <c r="B34" s="33" t="s">
        <v>104</v>
      </c>
      <c r="C34" s="33"/>
      <c r="D34" s="33"/>
      <c r="J34" s="6" t="s">
        <v>57</v>
      </c>
      <c r="K34" s="6">
        <f>ROUND($C$16/$C$5 * 100, 2)</f>
        <v>32.04</v>
      </c>
      <c r="L34" s="6" t="s">
        <v>58</v>
      </c>
      <c r="U34" s="2">
        <v>30</v>
      </c>
      <c r="V34" s="2">
        <f t="shared" si="7"/>
        <v>0.97330152802169323</v>
      </c>
      <c r="W34" s="2">
        <f t="shared" si="0"/>
        <v>6.5264249560215148E-10</v>
      </c>
      <c r="X34" s="2">
        <f t="shared" si="8"/>
        <v>0.9733015289530158</v>
      </c>
      <c r="Y34" s="2">
        <f t="shared" si="1"/>
        <v>-2.9958380221017933E-10</v>
      </c>
      <c r="Z34" s="2">
        <f t="shared" si="3"/>
        <v>0.97330152848735452</v>
      </c>
      <c r="AA34" s="2">
        <f t="shared" si="2"/>
        <v>1.7652934669598608E-10</v>
      </c>
      <c r="AB34" s="2">
        <f t="shared" si="4"/>
        <v>1.1521055337468577E-19</v>
      </c>
      <c r="AC34" s="2">
        <f t="shared" si="5"/>
        <v>-5.2885332884862467E-20</v>
      </c>
      <c r="AD34" s="2">
        <f t="shared" si="6"/>
        <v>9.3132257461547852E-10</v>
      </c>
      <c r="AF34" s="2">
        <v>30</v>
      </c>
      <c r="AG34" s="2">
        <f t="shared" si="13"/>
        <v>1872.3985254764557</v>
      </c>
      <c r="AH34" s="2">
        <v>-1.1565221525415836E-3</v>
      </c>
      <c r="AI34" s="2">
        <f t="shared" si="14"/>
        <v>1872.3985254764557</v>
      </c>
      <c r="AJ34" s="2">
        <v>-1.1419508878134366E-3</v>
      </c>
      <c r="AK34" s="2">
        <f t="shared" si="9"/>
        <v>1872.3985254764557</v>
      </c>
      <c r="AL34" s="2">
        <v>-2.1417651760202716E-4</v>
      </c>
      <c r="AM34" s="2">
        <f t="shared" si="10"/>
        <v>2.4769988716095684E-7</v>
      </c>
      <c r="AN34" s="2">
        <f t="shared" si="11"/>
        <v>2.4457906442442505E-7</v>
      </c>
      <c r="AO34" s="2">
        <f t="shared" si="12"/>
        <v>0</v>
      </c>
    </row>
    <row r="35" spans="2:41" x14ac:dyDescent="0.2">
      <c r="B35" s="6" t="s">
        <v>105</v>
      </c>
      <c r="C35" s="17">
        <v>6</v>
      </c>
      <c r="J35" s="11" t="s">
        <v>52</v>
      </c>
      <c r="K35" s="6">
        <f>ROUND(K15/$C$5 * 100, 2)</f>
        <v>20.11</v>
      </c>
      <c r="L35" s="6" t="s">
        <v>58</v>
      </c>
      <c r="AF35" s="2">
        <v>31</v>
      </c>
      <c r="AG35" s="2">
        <f t="shared" si="13"/>
        <v>1872.3985254764557</v>
      </c>
      <c r="AH35" s="2">
        <v>-1.1565221525415836E-3</v>
      </c>
      <c r="AI35" s="2">
        <f t="shared" si="14"/>
        <v>1872.3985254764557</v>
      </c>
      <c r="AJ35" s="2">
        <v>-1.1490786978356482E-3</v>
      </c>
      <c r="AK35" s="2">
        <f t="shared" si="9"/>
        <v>1872.3985254764557</v>
      </c>
      <c r="AL35" s="2">
        <v>-2.1417651760202716E-4</v>
      </c>
      <c r="AM35" s="2">
        <f t="shared" si="10"/>
        <v>2.4769988716095684E-7</v>
      </c>
      <c r="AN35" s="2">
        <f t="shared" si="11"/>
        <v>2.4610567395311117E-7</v>
      </c>
      <c r="AO35" s="2">
        <f t="shared" si="12"/>
        <v>0</v>
      </c>
    </row>
    <row r="36" spans="2:41" x14ac:dyDescent="0.2">
      <c r="B36" s="6" t="s">
        <v>106</v>
      </c>
      <c r="C36" s="17">
        <v>9.1440000000000001</v>
      </c>
      <c r="D36" s="6" t="s">
        <v>8</v>
      </c>
      <c r="J36" s="19" t="s">
        <v>78</v>
      </c>
      <c r="K36" s="6">
        <f>ROUND(SUM(K16:K19)/$C$5 * 100, 2)</f>
        <v>12.91</v>
      </c>
      <c r="L36" s="6" t="s">
        <v>58</v>
      </c>
      <c r="AF36" s="2">
        <v>32</v>
      </c>
      <c r="AG36" s="2">
        <f t="shared" si="13"/>
        <v>1872.3985254764557</v>
      </c>
      <c r="AH36" s="2">
        <v>-1.1565221525415836E-3</v>
      </c>
      <c r="AI36" s="2">
        <f t="shared" si="14"/>
        <v>1872.3985254764557</v>
      </c>
      <c r="AJ36" s="2">
        <v>-1.1528004256433633E-3</v>
      </c>
      <c r="AK36" s="2">
        <f t="shared" si="9"/>
        <v>1872.3985254764557</v>
      </c>
      <c r="AL36" s="2">
        <v>-2.1417651760202716E-4</v>
      </c>
      <c r="AM36" s="2">
        <f t="shared" si="10"/>
        <v>2.4769988716095684E-7</v>
      </c>
      <c r="AN36" s="2">
        <f t="shared" si="11"/>
        <v>2.469027806544302E-7</v>
      </c>
      <c r="AO36" s="2">
        <f t="shared" si="12"/>
        <v>0</v>
      </c>
    </row>
    <row r="37" spans="2:41" x14ac:dyDescent="0.2">
      <c r="B37" s="6" t="s">
        <v>107</v>
      </c>
      <c r="C37" s="17">
        <v>1.8675309360000001</v>
      </c>
      <c r="D37" s="6" t="s">
        <v>8</v>
      </c>
      <c r="J37" s="20" t="s">
        <v>69</v>
      </c>
      <c r="K37" s="6">
        <f>ROUND(SUM(K20:K25)/$C$5 * 100, 2)</f>
        <v>30.17</v>
      </c>
      <c r="L37" s="6" t="s">
        <v>58</v>
      </c>
      <c r="AF37" s="2">
        <v>33</v>
      </c>
      <c r="AG37" s="2">
        <f t="shared" si="13"/>
        <v>1872.3985254764557</v>
      </c>
      <c r="AH37" s="2">
        <v>-1.1565221525415836E-3</v>
      </c>
      <c r="AI37" s="2">
        <f t="shared" si="14"/>
        <v>1872.3985254764557</v>
      </c>
      <c r="AJ37" s="2">
        <v>-1.1546612890924735E-3</v>
      </c>
      <c r="AK37" s="2">
        <f t="shared" si="9"/>
        <v>1872.3985254764557</v>
      </c>
      <c r="AL37" s="2">
        <v>-2.1417651760202716E-4</v>
      </c>
      <c r="AM37" s="2">
        <f t="shared" si="10"/>
        <v>2.4769988716095684E-7</v>
      </c>
      <c r="AN37" s="2">
        <f t="shared" si="11"/>
        <v>2.4730133390769349E-7</v>
      </c>
      <c r="AO37" s="2">
        <f t="shared" si="12"/>
        <v>0</v>
      </c>
    </row>
    <row r="38" spans="2:41" x14ac:dyDescent="0.2">
      <c r="J38" s="15" t="s">
        <v>70</v>
      </c>
      <c r="K38" s="6">
        <f>ROUND(SUM(K26:K29)/$C$5*100, 2)</f>
        <v>4.7699999999999996</v>
      </c>
      <c r="L38" s="6" t="s">
        <v>58</v>
      </c>
      <c r="AF38" s="2">
        <v>34</v>
      </c>
      <c r="AG38" s="2">
        <f t="shared" si="13"/>
        <v>1872.3985254764557</v>
      </c>
      <c r="AH38" s="2">
        <v>-1.1565221525415836E-3</v>
      </c>
      <c r="AI38" s="2">
        <f t="shared" si="14"/>
        <v>1872.3985254764557</v>
      </c>
      <c r="AJ38" s="2">
        <v>-1.1555917208170285E-3</v>
      </c>
      <c r="AK38" s="2">
        <f t="shared" si="9"/>
        <v>1872.3985254764557</v>
      </c>
      <c r="AL38" s="2">
        <v>-2.1417651760202716E-4</v>
      </c>
      <c r="AM38" s="2">
        <f t="shared" si="10"/>
        <v>2.4769988716095684E-7</v>
      </c>
      <c r="AN38" s="2">
        <f t="shared" si="11"/>
        <v>2.4750061053432517E-7</v>
      </c>
      <c r="AO38" s="2">
        <f t="shared" si="12"/>
        <v>0</v>
      </c>
    </row>
    <row r="39" spans="2:41" x14ac:dyDescent="0.2">
      <c r="B39" s="33" t="s">
        <v>108</v>
      </c>
      <c r="C39" s="33"/>
      <c r="D39" s="33"/>
      <c r="J39" s="10" t="s">
        <v>59</v>
      </c>
      <c r="K39" s="10">
        <f>SUM(K34:K38)</f>
        <v>100</v>
      </c>
      <c r="L39" s="10" t="s">
        <v>58</v>
      </c>
      <c r="AF39" s="2">
        <v>35</v>
      </c>
      <c r="AG39" s="2">
        <f t="shared" si="13"/>
        <v>1872.3985254764557</v>
      </c>
      <c r="AH39" s="2">
        <v>-1.1565221525415836E-3</v>
      </c>
      <c r="AI39" s="2">
        <f t="shared" si="14"/>
        <v>1872.3985254764557</v>
      </c>
      <c r="AJ39" s="2">
        <v>-1.1560569369066798E-3</v>
      </c>
      <c r="AK39" s="2">
        <f t="shared" si="9"/>
        <v>1872.3985254764557</v>
      </c>
      <c r="AL39" s="2">
        <v>-2.1417651760202716E-4</v>
      </c>
      <c r="AM39" s="2">
        <f t="shared" si="10"/>
        <v>2.4769988716095684E-7</v>
      </c>
      <c r="AN39" s="2">
        <f t="shared" si="11"/>
        <v>2.4760024889633913E-7</v>
      </c>
      <c r="AO39" s="2">
        <f t="shared" si="12"/>
        <v>0</v>
      </c>
    </row>
    <row r="40" spans="2:41" x14ac:dyDescent="0.2">
      <c r="B40" s="6" t="s">
        <v>116</v>
      </c>
      <c r="C40" s="22" t="s">
        <v>189</v>
      </c>
      <c r="AF40" s="2">
        <v>36</v>
      </c>
      <c r="AG40" s="2">
        <f t="shared" si="13"/>
        <v>1872.3985254764557</v>
      </c>
      <c r="AH40" s="2">
        <v>-1.1565221525415836E-3</v>
      </c>
      <c r="AI40" s="2">
        <f t="shared" si="14"/>
        <v>1872.3985254764557</v>
      </c>
      <c r="AJ40" s="2">
        <v>-1.1562895449515054E-3</v>
      </c>
      <c r="AK40" s="2">
        <f t="shared" si="9"/>
        <v>1872.3985254764557</v>
      </c>
      <c r="AL40" s="2">
        <v>-2.1417651760202716E-4</v>
      </c>
      <c r="AM40" s="2">
        <f t="shared" si="10"/>
        <v>2.4769988716095684E-7</v>
      </c>
      <c r="AN40" s="2">
        <f t="shared" si="11"/>
        <v>2.4765006807734608E-7</v>
      </c>
      <c r="AO40" s="2">
        <f t="shared" si="12"/>
        <v>0</v>
      </c>
    </row>
    <row r="41" spans="2:41" x14ac:dyDescent="0.2">
      <c r="B41" s="6" t="s">
        <v>117</v>
      </c>
      <c r="C41" s="6">
        <f>IF(C40="wheeled",0.0325,0.014)</f>
        <v>3.2500000000000001E-2</v>
      </c>
      <c r="J41" s="33" t="s">
        <v>111</v>
      </c>
      <c r="K41" s="33"/>
      <c r="L41" s="33"/>
      <c r="AF41" s="2">
        <v>37</v>
      </c>
      <c r="AG41" s="2">
        <f t="shared" si="13"/>
        <v>1872.3985254764557</v>
      </c>
      <c r="AH41" s="2">
        <v>-1.1565221525415836E-3</v>
      </c>
      <c r="AI41" s="2">
        <f t="shared" si="14"/>
        <v>1872.3985254764557</v>
      </c>
      <c r="AJ41" s="2">
        <v>-1.1564058486328577E-3</v>
      </c>
      <c r="AK41" s="2">
        <f t="shared" si="9"/>
        <v>1872.3985254764557</v>
      </c>
      <c r="AL41" s="2">
        <v>-2.1417651760202716E-4</v>
      </c>
      <c r="AM41" s="2">
        <f t="shared" si="10"/>
        <v>2.4769988716095684E-7</v>
      </c>
      <c r="AN41" s="2">
        <f t="shared" si="11"/>
        <v>2.4767497759480241E-7</v>
      </c>
      <c r="AO41" s="2">
        <f t="shared" si="12"/>
        <v>0</v>
      </c>
    </row>
    <row r="42" spans="2:41" x14ac:dyDescent="0.2">
      <c r="B42" s="6" t="s">
        <v>190</v>
      </c>
      <c r="C42" s="17">
        <v>0.30480000000000002</v>
      </c>
      <c r="D42" s="6" t="s">
        <v>8</v>
      </c>
      <c r="J42" s="6" t="s">
        <v>57</v>
      </c>
      <c r="K42" s="6">
        <f>ROUND(C16,2)</f>
        <v>600</v>
      </c>
      <c r="L42" s="6" t="s">
        <v>7</v>
      </c>
      <c r="AF42" s="2">
        <v>38</v>
      </c>
      <c r="AG42" s="2">
        <f t="shared" si="13"/>
        <v>1872.3985254764557</v>
      </c>
      <c r="AH42" s="2">
        <v>-1.1565221525415836E-3</v>
      </c>
      <c r="AI42" s="2">
        <f t="shared" si="14"/>
        <v>1872.3985254764557</v>
      </c>
      <c r="AJ42" s="2">
        <v>-1.1564640005872207E-3</v>
      </c>
      <c r="AK42" s="2">
        <f t="shared" si="9"/>
        <v>1872.3985254764557</v>
      </c>
      <c r="AL42" s="2">
        <v>-2.1417651760202716E-4</v>
      </c>
      <c r="AM42" s="2">
        <f t="shared" si="10"/>
        <v>2.4769988716095684E-7</v>
      </c>
      <c r="AN42" s="2">
        <f t="shared" si="11"/>
        <v>2.4768743237787963E-7</v>
      </c>
      <c r="AO42" s="2">
        <f t="shared" si="12"/>
        <v>0</v>
      </c>
    </row>
    <row r="43" spans="2:41" x14ac:dyDescent="0.2">
      <c r="B43" s="6" t="s">
        <v>191</v>
      </c>
      <c r="C43" s="17">
        <v>5.7</v>
      </c>
      <c r="J43" s="11" t="s">
        <v>52</v>
      </c>
      <c r="K43" s="6">
        <f>ROUND(K15, 2)</f>
        <v>376.57</v>
      </c>
      <c r="L43" s="6" t="s">
        <v>7</v>
      </c>
      <c r="AF43" s="2">
        <v>39</v>
      </c>
      <c r="AG43" s="2">
        <f t="shared" si="13"/>
        <v>1872.3985254764557</v>
      </c>
      <c r="AH43" s="2">
        <v>-1.1565221525415836E-3</v>
      </c>
      <c r="AI43" s="2">
        <f t="shared" si="14"/>
        <v>1872.3985254764557</v>
      </c>
      <c r="AJ43" s="2">
        <v>-1.1564930762233416E-3</v>
      </c>
      <c r="AK43" s="2">
        <f t="shared" si="9"/>
        <v>1872.3985254764557</v>
      </c>
      <c r="AL43" s="2">
        <v>-2.1417651760202716E-4</v>
      </c>
      <c r="AM43" s="2">
        <f t="shared" si="10"/>
        <v>2.4769988716095684E-7</v>
      </c>
      <c r="AN43" s="2">
        <f t="shared" si="11"/>
        <v>2.4769365969637109E-7</v>
      </c>
      <c r="AO43" s="2">
        <f t="shared" si="12"/>
        <v>0</v>
      </c>
    </row>
    <row r="44" spans="2:41" x14ac:dyDescent="0.2">
      <c r="J44" s="19" t="s">
        <v>78</v>
      </c>
      <c r="K44" s="6">
        <f>ROUND(SUM(K16:K19), 2)</f>
        <v>241.73</v>
      </c>
      <c r="L44" s="6" t="s">
        <v>7</v>
      </c>
      <c r="AF44" s="2">
        <v>40</v>
      </c>
      <c r="AG44" s="2">
        <f t="shared" si="13"/>
        <v>1872.3985254764557</v>
      </c>
      <c r="AH44" s="2">
        <v>-1.1565221525415836E-3</v>
      </c>
      <c r="AI44" s="2">
        <f t="shared" si="14"/>
        <v>1872.3985254764557</v>
      </c>
      <c r="AJ44" s="2">
        <v>-1.1565076144961495E-3</v>
      </c>
      <c r="AK44" s="5">
        <f t="shared" si="9"/>
        <v>1872.3985254764557</v>
      </c>
      <c r="AL44" s="2">
        <v>-2.1417651760202716E-4</v>
      </c>
      <c r="AM44" s="2">
        <f t="shared" si="10"/>
        <v>2.4769988716095684E-7</v>
      </c>
      <c r="AN44" s="2">
        <f t="shared" si="11"/>
        <v>2.4769677345301299E-7</v>
      </c>
      <c r="AO44" s="2">
        <f t="shared" si="12"/>
        <v>0</v>
      </c>
    </row>
    <row r="45" spans="2:41" x14ac:dyDescent="0.2">
      <c r="B45" s="33" t="s">
        <v>192</v>
      </c>
      <c r="C45" s="33"/>
      <c r="D45" s="33"/>
      <c r="J45" s="20" t="s">
        <v>69</v>
      </c>
      <c r="K45" s="6">
        <f>ROUND(SUM(K20:K25), 2)</f>
        <v>564.80999999999995</v>
      </c>
      <c r="L45" s="6" t="s">
        <v>7</v>
      </c>
    </row>
    <row r="46" spans="2:41" x14ac:dyDescent="0.2">
      <c r="B46" s="6" t="s">
        <v>191</v>
      </c>
      <c r="C46" s="17">
        <v>3</v>
      </c>
      <c r="J46" s="15" t="s">
        <v>70</v>
      </c>
      <c r="K46" s="6">
        <f>ROUND(SUM(K26:K29), 2)</f>
        <v>89.28</v>
      </c>
      <c r="L46" s="6" t="s">
        <v>7</v>
      </c>
    </row>
    <row r="47" spans="2:41" x14ac:dyDescent="0.2">
      <c r="J47" s="10" t="s">
        <v>59</v>
      </c>
      <c r="K47" s="10">
        <f>SUM(K42:K46)</f>
        <v>1872.3899999999999</v>
      </c>
      <c r="L47" s="6" t="s">
        <v>7</v>
      </c>
    </row>
    <row r="48" spans="2:41" x14ac:dyDescent="0.2">
      <c r="B48" s="33" t="s">
        <v>193</v>
      </c>
      <c r="C48" s="33"/>
      <c r="D48" s="33"/>
    </row>
    <row r="49" spans="2:4" x14ac:dyDescent="0.2">
      <c r="B49" s="6" t="s">
        <v>194</v>
      </c>
      <c r="C49" s="17">
        <v>4.3036300000000001</v>
      </c>
    </row>
    <row r="50" spans="2:4" x14ac:dyDescent="0.2">
      <c r="B50" s="6" t="s">
        <v>195</v>
      </c>
      <c r="C50" s="17">
        <f>39.5112*0.3048^2</f>
        <v>3.6707105940480003</v>
      </c>
      <c r="D50" s="6" t="s">
        <v>174</v>
      </c>
    </row>
    <row r="51" spans="2:4" x14ac:dyDescent="0.2">
      <c r="B51" s="6" t="s">
        <v>196</v>
      </c>
      <c r="C51" s="17">
        <f>0.15*3.7875*0.3048</f>
        <v>0.1731645</v>
      </c>
      <c r="D51" s="6" t="s">
        <v>8</v>
      </c>
    </row>
    <row r="53" spans="2:4" x14ac:dyDescent="0.2">
      <c r="B53" s="33" t="s">
        <v>197</v>
      </c>
      <c r="C53" s="33"/>
      <c r="D53" s="33"/>
    </row>
    <row r="54" spans="2:4" x14ac:dyDescent="0.2">
      <c r="B54" s="6" t="s">
        <v>198</v>
      </c>
      <c r="C54" s="17">
        <v>1.1798999999999999</v>
      </c>
    </row>
    <row r="55" spans="2:4" x14ac:dyDescent="0.2">
      <c r="B55" s="6" t="s">
        <v>199</v>
      </c>
      <c r="C55" s="17">
        <f>27.34325*0.3048^2</f>
        <v>2.5402710484800002</v>
      </c>
      <c r="D55" s="6" t="s">
        <v>174</v>
      </c>
    </row>
    <row r="56" spans="2:4" x14ac:dyDescent="0.2">
      <c r="B56" s="6" t="s">
        <v>200</v>
      </c>
      <c r="C56" s="17">
        <f>0.115*9.73719*0.3048</f>
        <v>0.34130798388000005</v>
      </c>
      <c r="D56" s="6" t="s">
        <v>8</v>
      </c>
    </row>
    <row r="57" spans="2:4" x14ac:dyDescent="0.2">
      <c r="B57" s="6" t="s">
        <v>201</v>
      </c>
      <c r="C57" s="17">
        <v>35</v>
      </c>
      <c r="D57" s="6" t="s">
        <v>40</v>
      </c>
    </row>
    <row r="59" spans="2:4" x14ac:dyDescent="0.2">
      <c r="B59" s="31" t="s">
        <v>2</v>
      </c>
      <c r="C59" s="32"/>
      <c r="D59" s="32"/>
    </row>
    <row r="60" spans="2:4" x14ac:dyDescent="0.2">
      <c r="B60" s="6" t="s">
        <v>3</v>
      </c>
      <c r="C60" s="17">
        <v>250</v>
      </c>
      <c r="D60" s="6" t="s">
        <v>4</v>
      </c>
    </row>
    <row r="61" spans="2:4" x14ac:dyDescent="0.2">
      <c r="B61" s="6" t="s">
        <v>5</v>
      </c>
      <c r="C61" s="17">
        <v>0.85</v>
      </c>
    </row>
    <row r="62" spans="2:4" x14ac:dyDescent="0.2">
      <c r="B62" s="6" t="s">
        <v>6</v>
      </c>
      <c r="C62" s="17">
        <v>0.8</v>
      </c>
    </row>
    <row r="64" spans="2:4" x14ac:dyDescent="0.2">
      <c r="B64" s="33" t="s">
        <v>144</v>
      </c>
      <c r="C64" s="36"/>
      <c r="D64" s="36"/>
    </row>
    <row r="65" spans="2:4" x14ac:dyDescent="0.2">
      <c r="B65" s="6" t="s">
        <v>14</v>
      </c>
      <c r="C65" s="17">
        <v>1.0397562309141399</v>
      </c>
      <c r="D65" s="6" t="s">
        <v>15</v>
      </c>
    </row>
    <row r="66" spans="2:4" x14ac:dyDescent="0.2">
      <c r="B66" s="6" t="s">
        <v>130</v>
      </c>
      <c r="C66" s="23">
        <v>1.7363179204150701E-5</v>
      </c>
      <c r="D66" s="6" t="s">
        <v>129</v>
      </c>
    </row>
    <row r="67" spans="2:4" x14ac:dyDescent="0.2">
      <c r="B67" s="6" t="s">
        <v>123</v>
      </c>
      <c r="C67" s="17">
        <v>333.91694458017901</v>
      </c>
      <c r="D67" s="6" t="s">
        <v>10</v>
      </c>
    </row>
    <row r="68" spans="2:4" x14ac:dyDescent="0.2">
      <c r="B68" s="6" t="s">
        <v>16</v>
      </c>
      <c r="C68" s="1">
        <v>9.80149119240094</v>
      </c>
      <c r="D68" s="6" t="s">
        <v>17</v>
      </c>
    </row>
    <row r="70" spans="2:4" x14ac:dyDescent="0.2">
      <c r="B70" s="33" t="s">
        <v>145</v>
      </c>
      <c r="C70" s="36"/>
      <c r="D70" s="36"/>
    </row>
    <row r="71" spans="2:4" x14ac:dyDescent="0.2">
      <c r="B71" s="6" t="s">
        <v>14</v>
      </c>
      <c r="C71" s="17">
        <v>1.00854450666398</v>
      </c>
      <c r="D71" s="6" t="s">
        <v>15</v>
      </c>
    </row>
    <row r="72" spans="2:4" x14ac:dyDescent="0.2">
      <c r="B72" s="6" t="s">
        <v>130</v>
      </c>
      <c r="C72" s="23">
        <v>1.7265641515845801E-5</v>
      </c>
      <c r="D72" s="6" t="s">
        <v>129</v>
      </c>
    </row>
    <row r="73" spans="2:4" x14ac:dyDescent="0.2">
      <c r="B73" s="6" t="s">
        <v>123</v>
      </c>
      <c r="C73" s="17">
        <v>332.721752148093</v>
      </c>
      <c r="D73" s="6" t="s">
        <v>10</v>
      </c>
    </row>
    <row r="74" spans="2:4" x14ac:dyDescent="0.2">
      <c r="B74" s="6" t="s">
        <v>16</v>
      </c>
      <c r="C74" s="1">
        <v>9.8005536647414697</v>
      </c>
      <c r="D74" s="6" t="s">
        <v>17</v>
      </c>
    </row>
    <row r="76" spans="2:4" x14ac:dyDescent="0.2">
      <c r="B76" s="33" t="s">
        <v>71</v>
      </c>
      <c r="C76" s="33"/>
      <c r="D76" s="33"/>
    </row>
    <row r="77" spans="2:4" x14ac:dyDescent="0.2">
      <c r="B77" s="6" t="s">
        <v>137</v>
      </c>
      <c r="C77" s="17">
        <v>30</v>
      </c>
    </row>
    <row r="78" spans="2:4" x14ac:dyDescent="0.2">
      <c r="B78" s="6" t="s">
        <v>139</v>
      </c>
      <c r="C78" s="17">
        <v>0.8</v>
      </c>
    </row>
    <row r="79" spans="2:4" x14ac:dyDescent="0.2">
      <c r="B79" s="6" t="s">
        <v>140</v>
      </c>
      <c r="C79" s="17">
        <v>0.8</v>
      </c>
    </row>
    <row r="80" spans="2:4" x14ac:dyDescent="0.2">
      <c r="B80" s="6" t="s">
        <v>141</v>
      </c>
      <c r="C80" s="17">
        <v>0.8</v>
      </c>
    </row>
    <row r="81" spans="2:4" x14ac:dyDescent="0.2">
      <c r="B81" s="6" t="s">
        <v>202</v>
      </c>
      <c r="C81" s="17">
        <v>5</v>
      </c>
      <c r="D81" s="6" t="s">
        <v>40</v>
      </c>
    </row>
  </sheetData>
  <mergeCells count="23">
    <mergeCell ref="B53:D53"/>
    <mergeCell ref="B59:D59"/>
    <mergeCell ref="B64:D64"/>
    <mergeCell ref="B70:D70"/>
    <mergeCell ref="B76:D76"/>
    <mergeCell ref="N3:P3"/>
    <mergeCell ref="B48:D48"/>
    <mergeCell ref="F12:H12"/>
    <mergeCell ref="B15:D15"/>
    <mergeCell ref="N18:P18"/>
    <mergeCell ref="B20:D20"/>
    <mergeCell ref="F22:H22"/>
    <mergeCell ref="B27:D27"/>
    <mergeCell ref="F31:H31"/>
    <mergeCell ref="B34:D34"/>
    <mergeCell ref="B39:D39"/>
    <mergeCell ref="J41:L41"/>
    <mergeCell ref="B45:D45"/>
    <mergeCell ref="J9:L9"/>
    <mergeCell ref="B1:D1"/>
    <mergeCell ref="B3:D3"/>
    <mergeCell ref="F3:H3"/>
    <mergeCell ref="J3:L3"/>
  </mergeCells>
  <conditionalFormatting sqref="K31">
    <cfRule type="containsText" dxfId="11" priority="1" operator="containsText" text="FALSE">
      <formula>NOT(ISERROR(SEARCH("FALSE",K31)))</formula>
    </cfRule>
    <cfRule type="containsText" dxfId="10" priority="2" operator="containsText" text="TRUE">
      <formula>NOT(ISERROR(SEARCH("TRUE",K31)))</formula>
    </cfRule>
    <cfRule type="cellIs" dxfId="9" priority="3" operator="equal">
      <formula>1</formula>
    </cfRule>
    <cfRule type="cellIs" dxfId="8" priority="4" operator="equal">
      <formula>TRUE</formula>
    </cfRule>
    <cfRule type="containsText" dxfId="7" priority="5" operator="containsText" text="YES">
      <formula>NOT(ISERROR(SEARCH("YES",K31)))</formula>
    </cfRule>
    <cfRule type="cellIs" dxfId="6" priority="6" operator="equal">
      <formula>"""YES"""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F753-5355-0F46-912E-E2EF6F89CF42}">
  <dimension ref="B1:AO81"/>
  <sheetViews>
    <sheetView tabSelected="1" zoomScale="88" workbookViewId="0">
      <selection activeCell="F18" sqref="F18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21.332031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16384" width="10.83203125" style="6"/>
  </cols>
  <sheetData>
    <row r="1" spans="2:41" x14ac:dyDescent="0.2">
      <c r="B1" s="30" t="s">
        <v>0</v>
      </c>
      <c r="C1" s="30"/>
      <c r="D1" s="30"/>
    </row>
    <row r="2" spans="2:41" x14ac:dyDescent="0.2">
      <c r="U2" s="16" t="s">
        <v>93</v>
      </c>
      <c r="AF2" s="29" t="s">
        <v>160</v>
      </c>
    </row>
    <row r="3" spans="2:41" x14ac:dyDescent="0.2">
      <c r="B3" s="33" t="s">
        <v>118</v>
      </c>
      <c r="C3" s="36"/>
      <c r="D3" s="36"/>
      <c r="F3" s="31" t="s">
        <v>80</v>
      </c>
      <c r="G3" s="32"/>
      <c r="H3" s="32"/>
      <c r="J3" s="33" t="s">
        <v>98</v>
      </c>
      <c r="K3" s="33"/>
      <c r="L3" s="33"/>
      <c r="N3" s="33" t="s">
        <v>92</v>
      </c>
      <c r="O3" s="33"/>
      <c r="P3" s="33"/>
      <c r="U3" s="7" t="s">
        <v>41</v>
      </c>
      <c r="V3" s="7" t="s">
        <v>42</v>
      </c>
      <c r="W3" s="7" t="s">
        <v>43</v>
      </c>
      <c r="X3" s="7" t="s">
        <v>44</v>
      </c>
      <c r="Y3" s="7" t="s">
        <v>45</v>
      </c>
      <c r="Z3" s="7" t="s">
        <v>46</v>
      </c>
      <c r="AA3" s="7" t="s">
        <v>47</v>
      </c>
      <c r="AB3" s="7" t="s">
        <v>48</v>
      </c>
      <c r="AC3" s="7" t="s">
        <v>49</v>
      </c>
      <c r="AD3" s="7" t="s">
        <v>50</v>
      </c>
      <c r="AF3" s="7" t="s">
        <v>41</v>
      </c>
      <c r="AG3" s="7" t="s">
        <v>42</v>
      </c>
      <c r="AH3" s="7" t="s">
        <v>43</v>
      </c>
      <c r="AI3" s="7" t="s">
        <v>44</v>
      </c>
      <c r="AJ3" s="7" t="s">
        <v>45</v>
      </c>
      <c r="AK3" s="7" t="s">
        <v>46</v>
      </c>
      <c r="AL3" s="7" t="s">
        <v>47</v>
      </c>
      <c r="AM3" s="7" t="s">
        <v>48</v>
      </c>
      <c r="AN3" s="7" t="s">
        <v>49</v>
      </c>
      <c r="AO3" s="7" t="s">
        <v>50</v>
      </c>
    </row>
    <row r="4" spans="2:41" x14ac:dyDescent="0.2">
      <c r="B4" s="6" t="s">
        <v>36</v>
      </c>
      <c r="C4" s="3" t="s">
        <v>161</v>
      </c>
      <c r="F4" s="6" t="s">
        <v>84</v>
      </c>
      <c r="G4" s="17">
        <f>500*0.3048/60</f>
        <v>2.54</v>
      </c>
      <c r="H4" s="6" t="s">
        <v>10</v>
      </c>
      <c r="J4" s="6" t="s">
        <v>99</v>
      </c>
      <c r="K4" s="6">
        <f>(1+$C$25/100)*MAX(G10,G29)</f>
        <v>946.55361499300102</v>
      </c>
      <c r="L4" s="6" t="s">
        <v>101</v>
      </c>
      <c r="N4" s="6" t="s">
        <v>162</v>
      </c>
      <c r="O4" s="6">
        <f xml:space="preserve"> $C$5 * $C$74</f>
        <v>30129.109424099999</v>
      </c>
      <c r="P4" s="6" t="s">
        <v>20</v>
      </c>
      <c r="U4" s="2">
        <v>0</v>
      </c>
      <c r="V4" s="3">
        <v>0</v>
      </c>
      <c r="W4" s="2">
        <f t="shared" ref="W4:W34" si="0" xml:space="preserve"> $O$22 * TAN($O$19/180*PI()) + $O$23 / (2 * SQRT($O$22^2 + V4^2)) - V4</f>
        <v>1.1529549460971713</v>
      </c>
      <c r="X4" s="3">
        <v>1</v>
      </c>
      <c r="Y4" s="2">
        <f t="shared" ref="Y4:Y34" si="1" xml:space="preserve"> $O$22 * TAN($O$19/180*PI()) + $O$23 / (2 * SQRT($O$22^2 + X4^2)) - X4</f>
        <v>-4.0616804520580141E-2</v>
      </c>
      <c r="Z4" s="2">
        <f xml:space="preserve"> (V4 + X4)/2</f>
        <v>0.5</v>
      </c>
      <c r="AA4" s="2">
        <f t="shared" ref="AA4:AA34" si="2" xml:space="preserve"> $O$22 * TAN($O$19/180*PI()) + $O$23 / (2 * SQRT($O$22^2 + Z4^2)) - Z4</f>
        <v>0.4763609132720491</v>
      </c>
      <c r="AB4" s="2">
        <f>W4*AA4</f>
        <v>0.54922267108437461</v>
      </c>
      <c r="AC4" s="2">
        <f>Y4*AA4</f>
        <v>-1.9348258095615849E-2</v>
      </c>
      <c r="AD4" s="2">
        <f>X4-V4</f>
        <v>1</v>
      </c>
      <c r="AF4" s="2">
        <v>0</v>
      </c>
      <c r="AH4" s="2">
        <f>K30</f>
        <v>-7.9562572186659963E-3</v>
      </c>
      <c r="AJ4" s="2">
        <f>K30</f>
        <v>-7.9562572186659963E-3</v>
      </c>
      <c r="AL4" s="2">
        <f>K30</f>
        <v>-7.9562572186659963E-3</v>
      </c>
    </row>
    <row r="5" spans="2:41" x14ac:dyDescent="0.2">
      <c r="B5" s="10" t="s">
        <v>37</v>
      </c>
      <c r="C5" s="10">
        <v>3074.2252381610501</v>
      </c>
      <c r="D5" s="10" t="s">
        <v>7</v>
      </c>
      <c r="F5" s="6" t="s">
        <v>87</v>
      </c>
      <c r="G5" s="17">
        <f>1000*0.3048</f>
        <v>304.8</v>
      </c>
      <c r="H5" s="6" t="s">
        <v>8</v>
      </c>
      <c r="J5" s="6" t="s">
        <v>100</v>
      </c>
      <c r="K5" s="6">
        <f>K4/$C$21</f>
        <v>118.31920187412513</v>
      </c>
      <c r="L5" s="6" t="s">
        <v>101</v>
      </c>
      <c r="N5" s="6" t="s">
        <v>22</v>
      </c>
      <c r="O5" s="6">
        <f xml:space="preserve"> 0.5 * $C$71 * $C$7^2</f>
        <v>3984.3733596601419</v>
      </c>
      <c r="P5" s="6" t="s">
        <v>23</v>
      </c>
      <c r="U5" s="2">
        <v>1</v>
      </c>
      <c r="V5" s="2">
        <f>IF(AB4&gt;0, Z4, V4)</f>
        <v>0.5</v>
      </c>
      <c r="W5" s="2">
        <f t="shared" si="0"/>
        <v>0.4763609132720491</v>
      </c>
      <c r="X5" s="2">
        <f>IF(AC4&gt;0, Z4, X4)</f>
        <v>1</v>
      </c>
      <c r="Y5" s="2">
        <f t="shared" si="1"/>
        <v>-4.0616804520580141E-2</v>
      </c>
      <c r="Z5" s="2">
        <f t="shared" ref="Z5:Z34" si="3" xml:space="preserve"> (V5 + X5)/2</f>
        <v>0.75</v>
      </c>
      <c r="AA5" s="2">
        <f t="shared" si="2"/>
        <v>0.21509720367676366</v>
      </c>
      <c r="AB5" s="2">
        <f t="shared" ref="AB5:AB34" si="4">W5*AA5</f>
        <v>0.1024639003857271</v>
      </c>
      <c r="AC5" s="2">
        <f t="shared" ref="AC5:AC34" si="5">Y5*AA5</f>
        <v>-8.7365610746625213E-3</v>
      </c>
      <c r="AD5" s="2">
        <f t="shared" ref="AD5:AD34" si="6">X5-V5</f>
        <v>0.5</v>
      </c>
      <c r="AF5" s="2">
        <v>1</v>
      </c>
      <c r="AG5" s="3">
        <v>500</v>
      </c>
      <c r="AH5" s="2">
        <f t="dataTable" ref="AH5:AH44" dt2D="0" dtr="0" r1="C5"/>
        <v>-1217.7168595391515</v>
      </c>
      <c r="AI5" s="3">
        <v>10000</v>
      </c>
      <c r="AJ5" s="2">
        <f t="dataTable" ref="AJ5:AJ44" dt2D="0" dtr="0" r1="C5" ca="1"/>
        <v>466.20072766272096</v>
      </c>
      <c r="AK5" s="2">
        <f>(AG5+AI5)/2</f>
        <v>5250</v>
      </c>
      <c r="AL5" s="2">
        <f t="dataTable" ref="AL5:AL44" dt2D="0" dtr="0" r1="C5" ca="1"/>
        <v>584.04277203881429</v>
      </c>
      <c r="AM5" s="2">
        <f>AH5*AL5</f>
        <v>-711198.73020364554</v>
      </c>
      <c r="AN5" s="2">
        <f>AJ5*AL5</f>
        <v>272281.16531064786</v>
      </c>
      <c r="AO5" s="2">
        <f>AI5-AG5</f>
        <v>9500</v>
      </c>
    </row>
    <row r="6" spans="2:41" x14ac:dyDescent="0.2">
      <c r="B6" s="6" t="s">
        <v>163</v>
      </c>
      <c r="C6" s="17">
        <v>573.80199821291001</v>
      </c>
      <c r="D6" s="6" t="s">
        <v>125</v>
      </c>
      <c r="F6" s="6" t="s">
        <v>88</v>
      </c>
      <c r="G6" s="6">
        <f xml:space="preserve"> $G$5/$G$4</f>
        <v>120</v>
      </c>
      <c r="H6" s="6" t="s">
        <v>13</v>
      </c>
      <c r="J6" s="6" t="s">
        <v>164</v>
      </c>
      <c r="K6" s="6">
        <f>(1+$C$32/100)*MAX(G20)</f>
        <v>332.77585878896008</v>
      </c>
      <c r="L6" s="6" t="s">
        <v>101</v>
      </c>
      <c r="N6" s="6" t="s">
        <v>114</v>
      </c>
      <c r="O6" s="6">
        <f xml:space="preserve"> ($C$21+$C$28) * 0.4 * ($C$5/($C$21+$C$28) *2.20462/1000)^(2/3) * 0.3048^2</f>
        <v>0.27683247628313107</v>
      </c>
      <c r="P6" s="6" t="s">
        <v>115</v>
      </c>
      <c r="U6" s="2">
        <v>2</v>
      </c>
      <c r="V6" s="2">
        <f t="shared" ref="V6:V34" si="7">IF(AB5&gt;0, Z5, V5)</f>
        <v>0.75</v>
      </c>
      <c r="W6" s="2">
        <f t="shared" si="0"/>
        <v>0.21509720367676366</v>
      </c>
      <c r="X6" s="2">
        <f t="shared" ref="X6:X34" si="8">IF(AC5&gt;0, Z5, X5)</f>
        <v>1</v>
      </c>
      <c r="Y6" s="2">
        <f t="shared" si="1"/>
        <v>-4.0616804520580141E-2</v>
      </c>
      <c r="Z6" s="2">
        <f t="shared" si="3"/>
        <v>0.875</v>
      </c>
      <c r="AA6" s="2">
        <f t="shared" si="2"/>
        <v>8.6837513907431552E-2</v>
      </c>
      <c r="AB6" s="2">
        <f t="shared" si="4"/>
        <v>1.86785064157306E-2</v>
      </c>
      <c r="AC6" s="2">
        <f t="shared" si="5"/>
        <v>-3.5270623274313065E-3</v>
      </c>
      <c r="AD6" s="2">
        <f t="shared" si="6"/>
        <v>0.25</v>
      </c>
      <c r="AF6" s="2">
        <v>2</v>
      </c>
      <c r="AG6" s="2">
        <f>IF(AM5&gt;0,AK5,AG5)</f>
        <v>500</v>
      </c>
      <c r="AH6" s="2">
        <v>-1217.7168595391515</v>
      </c>
      <c r="AI6" s="2">
        <f>IF(AN5&gt;0,AK5,AI5)</f>
        <v>5250</v>
      </c>
      <c r="AJ6" s="2">
        <v>584.04277203881429</v>
      </c>
      <c r="AK6" s="2">
        <f t="shared" ref="AK6:AK44" si="9">(AG6+AI6)/2</f>
        <v>2875</v>
      </c>
      <c r="AL6" s="2">
        <v>-73.911620221926569</v>
      </c>
      <c r="AM6" s="2">
        <f t="shared" ref="AM6:AM44" si="10">AH6*AL6</f>
        <v>90003.426060094862</v>
      </c>
      <c r="AN6" s="2">
        <f t="shared" ref="AN6:AN44" si="11">AJ6*AL6</f>
        <v>-43167.547560294079</v>
      </c>
      <c r="AO6" s="2">
        <f t="shared" ref="AO6:AO44" si="12">AI6-AG6</f>
        <v>4750</v>
      </c>
    </row>
    <row r="7" spans="2:41" x14ac:dyDescent="0.2">
      <c r="B7" s="6" t="s">
        <v>9</v>
      </c>
      <c r="C7" s="17">
        <f>319.999999999999 * 1000/3600</f>
        <v>88.888888888888602</v>
      </c>
      <c r="D7" s="6" t="s">
        <v>10</v>
      </c>
      <c r="F7" s="6" t="s">
        <v>19</v>
      </c>
      <c r="G7" s="6">
        <f xml:space="preserve"> $C$5 * $C$68 / $C$21</f>
        <v>3766.4989494115271</v>
      </c>
      <c r="H7" s="6" t="s">
        <v>20</v>
      </c>
      <c r="J7" s="6" t="s">
        <v>165</v>
      </c>
      <c r="K7" s="6">
        <f>K6/$C$28</f>
        <v>332.77585878896008</v>
      </c>
      <c r="L7" s="6" t="s">
        <v>101</v>
      </c>
      <c r="N7" s="6" t="s">
        <v>166</v>
      </c>
      <c r="O7" s="17">
        <v>9.1534090314177498E-3</v>
      </c>
      <c r="U7" s="2">
        <v>3</v>
      </c>
      <c r="V7" s="2">
        <f t="shared" si="7"/>
        <v>0.875</v>
      </c>
      <c r="W7" s="2">
        <f t="shared" si="0"/>
        <v>8.6837513907431552E-2</v>
      </c>
      <c r="X7" s="2">
        <f t="shared" si="8"/>
        <v>1</v>
      </c>
      <c r="Y7" s="2">
        <f t="shared" si="1"/>
        <v>-4.0616804520580141E-2</v>
      </c>
      <c r="Z7" s="2">
        <f t="shared" si="3"/>
        <v>0.9375</v>
      </c>
      <c r="AA7" s="2">
        <f t="shared" si="2"/>
        <v>2.3029488031129253E-2</v>
      </c>
      <c r="AB7" s="2">
        <f t="shared" si="4"/>
        <v>1.9998234871842148E-3</v>
      </c>
      <c r="AC7" s="2">
        <f t="shared" si="5"/>
        <v>-9.3538421356941686E-4</v>
      </c>
      <c r="AD7" s="2">
        <f t="shared" si="6"/>
        <v>0.125</v>
      </c>
      <c r="AF7" s="2">
        <v>3</v>
      </c>
      <c r="AG7" s="2">
        <f t="shared" ref="AG7:AG44" si="13">IF(AM6&gt;0,AK6,AG6)</f>
        <v>2875</v>
      </c>
      <c r="AH7" s="2">
        <v>-73.911620221926569</v>
      </c>
      <c r="AI7" s="2">
        <f t="shared" ref="AI7:AI44" si="14">IF(AN6&gt;0,AK6,AI6)</f>
        <v>5250</v>
      </c>
      <c r="AJ7" s="2">
        <v>584.04277203881429</v>
      </c>
      <c r="AK7" s="2">
        <f t="shared" si="9"/>
        <v>4062.5</v>
      </c>
      <c r="AL7" s="2">
        <v>315.57426613985308</v>
      </c>
      <c r="AM7" s="2">
        <f t="shared" si="10"/>
        <v>-23324.605310742001</v>
      </c>
      <c r="AN7" s="2">
        <f t="shared" si="11"/>
        <v>184308.86918043433</v>
      </c>
      <c r="AO7" s="2">
        <f t="shared" si="12"/>
        <v>2375</v>
      </c>
    </row>
    <row r="8" spans="2:41" x14ac:dyDescent="0.2">
      <c r="B8" s="6" t="s">
        <v>95</v>
      </c>
      <c r="C8" s="17">
        <v>1.66966602219051</v>
      </c>
      <c r="D8" s="6" t="s">
        <v>8</v>
      </c>
      <c r="F8" t="s">
        <v>97</v>
      </c>
      <c r="G8" s="6">
        <f>G10/$C$21</f>
        <v>78.879467916083414</v>
      </c>
      <c r="H8" s="6" t="s">
        <v>18</v>
      </c>
      <c r="N8" s="6" t="s">
        <v>167</v>
      </c>
      <c r="O8" s="17">
        <v>0.272912140344656</v>
      </c>
      <c r="U8" s="2">
        <v>4</v>
      </c>
      <c r="V8" s="2">
        <f t="shared" si="7"/>
        <v>0.9375</v>
      </c>
      <c r="W8" s="2">
        <f t="shared" si="0"/>
        <v>2.3029488031129253E-2</v>
      </c>
      <c r="X8" s="2">
        <f t="shared" si="8"/>
        <v>1</v>
      </c>
      <c r="Y8" s="2">
        <f t="shared" si="1"/>
        <v>-4.0616804520580141E-2</v>
      </c>
      <c r="Z8" s="2">
        <f t="shared" si="3"/>
        <v>0.96875</v>
      </c>
      <c r="AA8" s="2">
        <f t="shared" si="2"/>
        <v>-8.8119474007740672E-3</v>
      </c>
      <c r="AB8" s="2">
        <f t="shared" si="4"/>
        <v>-2.0293463719706691E-4</v>
      </c>
      <c r="AC8" s="2">
        <f t="shared" si="5"/>
        <v>3.5791314502287458E-4</v>
      </c>
      <c r="AD8" s="2">
        <f t="shared" si="6"/>
        <v>6.25E-2</v>
      </c>
      <c r="AF8" s="2">
        <v>4</v>
      </c>
      <c r="AG8" s="2">
        <f t="shared" si="13"/>
        <v>2875</v>
      </c>
      <c r="AH8" s="2">
        <v>-73.911620221926569</v>
      </c>
      <c r="AI8" s="2">
        <f t="shared" si="14"/>
        <v>4062.5</v>
      </c>
      <c r="AJ8" s="2">
        <v>315.57426613985308</v>
      </c>
      <c r="AK8" s="2">
        <f t="shared" si="9"/>
        <v>3468.75</v>
      </c>
      <c r="AL8" s="2">
        <v>136.11949583116302</v>
      </c>
      <c r="AM8" s="2">
        <f t="shared" si="10"/>
        <v>-10060.812480673037</v>
      </c>
      <c r="AN8" s="2">
        <f t="shared" si="11"/>
        <v>42955.810004246065</v>
      </c>
      <c r="AO8" s="2">
        <f t="shared" si="12"/>
        <v>1187.5</v>
      </c>
    </row>
    <row r="9" spans="2:41" x14ac:dyDescent="0.2">
      <c r="B9" s="6" t="s">
        <v>131</v>
      </c>
      <c r="C9" s="17">
        <f>(0.548288+0.530863+0.513438+0.496013+0.478588+0.461163+0.443738+0.426313)/8</f>
        <v>0.48730050000000003</v>
      </c>
      <c r="D9" s="6" t="s">
        <v>8</v>
      </c>
      <c r="F9" t="s">
        <v>146</v>
      </c>
      <c r="G9" s="6">
        <f xml:space="preserve"> (G7/$C$68*1000) / (G8*1000)</f>
        <v>4.8717133231546237</v>
      </c>
      <c r="H9" s="6" t="s">
        <v>147</v>
      </c>
      <c r="J9" s="33" t="s">
        <v>21</v>
      </c>
      <c r="K9" s="33"/>
      <c r="L9" s="33"/>
      <c r="N9" s="6" t="s">
        <v>168</v>
      </c>
      <c r="O9" s="6">
        <f xml:space="preserve"> $O$8/$C$12 + $O$7</f>
        <v>2.2882455192379279E-2</v>
      </c>
      <c r="U9" s="2">
        <v>5</v>
      </c>
      <c r="V9" s="2">
        <f t="shared" si="7"/>
        <v>0.9375</v>
      </c>
      <c r="W9" s="2">
        <f t="shared" si="0"/>
        <v>2.3029488031129253E-2</v>
      </c>
      <c r="X9" s="2">
        <f t="shared" si="8"/>
        <v>0.96875</v>
      </c>
      <c r="Y9" s="2">
        <f t="shared" si="1"/>
        <v>-8.8119474007740672E-3</v>
      </c>
      <c r="Z9" s="2">
        <f t="shared" si="3"/>
        <v>0.953125</v>
      </c>
      <c r="AA9" s="2">
        <f t="shared" si="2"/>
        <v>7.1039764648147541E-3</v>
      </c>
      <c r="AB9" s="2">
        <f t="shared" si="4"/>
        <v>1.6360094096987528E-4</v>
      </c>
      <c r="AC9" s="2">
        <f t="shared" si="5"/>
        <v>-6.2599866944284524E-5</v>
      </c>
      <c r="AD9" s="2">
        <f t="shared" si="6"/>
        <v>3.125E-2</v>
      </c>
      <c r="AF9" s="2">
        <v>5</v>
      </c>
      <c r="AG9" s="2">
        <f t="shared" si="13"/>
        <v>2875</v>
      </c>
      <c r="AH9" s="2">
        <v>-73.911620221926569</v>
      </c>
      <c r="AI9" s="2">
        <f t="shared" si="14"/>
        <v>3468.75</v>
      </c>
      <c r="AJ9" s="2">
        <v>136.11949583116302</v>
      </c>
      <c r="AK9" s="2">
        <f t="shared" si="9"/>
        <v>3171.875</v>
      </c>
      <c r="AL9" s="2">
        <v>34.948058653524186</v>
      </c>
      <c r="AM9" s="2">
        <f t="shared" si="10"/>
        <v>-2583.067638692894</v>
      </c>
      <c r="AN9" s="2">
        <f t="shared" si="11"/>
        <v>4757.1121241956262</v>
      </c>
      <c r="AO9" s="2">
        <f t="shared" si="12"/>
        <v>593.75</v>
      </c>
    </row>
    <row r="10" spans="2:41" x14ac:dyDescent="0.2">
      <c r="B10" s="6" t="s">
        <v>169</v>
      </c>
      <c r="C10" s="17">
        <v>1.5643086050845501</v>
      </c>
      <c r="D10" s="6" t="s">
        <v>8</v>
      </c>
      <c r="F10" s="25" t="s">
        <v>82</v>
      </c>
      <c r="G10" s="25">
        <f xml:space="preserve"> 1/1000 * (($C$5*$C$68)/$C$24 * ( ($G$4/2) + SQRT( ($G$4/2)^2 + ($C$5*$C$68) / (2*$C$65*PI()*$C$8^2 * $C$21) ) ) )</f>
        <v>631.03574332866731</v>
      </c>
      <c r="H10" s="25" t="s">
        <v>101</v>
      </c>
      <c r="J10" s="6" t="s">
        <v>96</v>
      </c>
      <c r="K10" s="6">
        <f xml:space="preserve"> $C$18 * (G10*G6 + G20*G13 + G29*G25 + G33*G32)/3600</f>
        <v>196.41099827785288</v>
      </c>
      <c r="L10" s="6" t="s">
        <v>102</v>
      </c>
      <c r="N10" s="6" t="s">
        <v>38</v>
      </c>
      <c r="O10" s="6">
        <f xml:space="preserve"> O5 * $C$12 * O9</f>
        <v>1812.3627961010684</v>
      </c>
      <c r="P10" s="6" t="s">
        <v>20</v>
      </c>
      <c r="U10" s="2">
        <v>6</v>
      </c>
      <c r="V10" s="2">
        <f t="shared" si="7"/>
        <v>0.953125</v>
      </c>
      <c r="W10" s="2">
        <f t="shared" si="0"/>
        <v>7.1039764648147541E-3</v>
      </c>
      <c r="X10" s="2">
        <f t="shared" si="8"/>
        <v>0.96875</v>
      </c>
      <c r="Y10" s="2">
        <f t="shared" si="1"/>
        <v>-8.8119474007740672E-3</v>
      </c>
      <c r="Z10" s="2">
        <f t="shared" si="3"/>
        <v>0.9609375</v>
      </c>
      <c r="AA10" s="2">
        <f t="shared" si="2"/>
        <v>-8.5515513019174261E-4</v>
      </c>
      <c r="AB10" s="2">
        <f t="shared" si="4"/>
        <v>-6.0750019186477361E-6</v>
      </c>
      <c r="AC10" s="2">
        <f t="shared" si="5"/>
        <v>7.5355820267517351E-6</v>
      </c>
      <c r="AD10" s="2">
        <f t="shared" si="6"/>
        <v>1.5625E-2</v>
      </c>
      <c r="AF10" s="2">
        <v>6</v>
      </c>
      <c r="AG10" s="2">
        <f t="shared" si="13"/>
        <v>2875</v>
      </c>
      <c r="AH10" s="2">
        <v>-73.911620221926569</v>
      </c>
      <c r="AI10" s="2">
        <f t="shared" si="14"/>
        <v>3171.875</v>
      </c>
      <c r="AJ10" s="2">
        <v>34.948058653524186</v>
      </c>
      <c r="AK10" s="2">
        <f t="shared" si="9"/>
        <v>3023.4375</v>
      </c>
      <c r="AL10" s="2">
        <v>-18.517958375184207</v>
      </c>
      <c r="AM10" s="2">
        <f t="shared" si="10"/>
        <v>1368.6923067120595</v>
      </c>
      <c r="AN10" s="2">
        <f t="shared" si="11"/>
        <v>-647.16669543945716</v>
      </c>
      <c r="AO10" s="2">
        <f t="shared" si="12"/>
        <v>296.875</v>
      </c>
    </row>
    <row r="11" spans="2:41" x14ac:dyDescent="0.2">
      <c r="B11" s="6" t="s">
        <v>170</v>
      </c>
      <c r="C11" s="17">
        <f>(0.500656+0.484769+0.468881+0.452994+0.437106+0.421219+0.405331+0.389444)/8</f>
        <v>0.44505</v>
      </c>
      <c r="D11" s="6" t="s">
        <v>8</v>
      </c>
      <c r="J11" s="6" t="s">
        <v>171</v>
      </c>
      <c r="K11" s="6">
        <f xml:space="preserve"> (G6 + G13 + G25 + G32)/60</f>
        <v>44.083333333333393</v>
      </c>
      <c r="L11" s="6" t="s">
        <v>103</v>
      </c>
      <c r="N11" s="6" t="s">
        <v>172</v>
      </c>
      <c r="O11" s="6">
        <f xml:space="preserve"> 1.78 * (1 - 0.045 * $C$13^0.68) - 0.64</f>
        <v>0.81412322823482175</v>
      </c>
      <c r="U11" s="2">
        <v>7</v>
      </c>
      <c r="V11" s="2">
        <f t="shared" si="7"/>
        <v>0.953125</v>
      </c>
      <c r="W11" s="2">
        <f t="shared" si="0"/>
        <v>7.1039764648147541E-3</v>
      </c>
      <c r="X11" s="2">
        <f t="shared" si="8"/>
        <v>0.9609375</v>
      </c>
      <c r="Y11" s="2">
        <f t="shared" si="1"/>
        <v>-8.5515513019174261E-4</v>
      </c>
      <c r="Z11" s="2">
        <f t="shared" si="3"/>
        <v>0.95703125</v>
      </c>
      <c r="AA11" s="2">
        <f t="shared" si="2"/>
        <v>3.1241147238192379E-3</v>
      </c>
      <c r="AB11" s="2">
        <f t="shared" si="4"/>
        <v>2.2193637471393112E-5</v>
      </c>
      <c r="AC11" s="2">
        <f t="shared" si="5"/>
        <v>-2.6716027333815803E-6</v>
      </c>
      <c r="AD11" s="2">
        <f t="shared" si="6"/>
        <v>7.8125E-3</v>
      </c>
      <c r="AF11" s="2">
        <v>7</v>
      </c>
      <c r="AG11" s="2">
        <f t="shared" si="13"/>
        <v>3023.4375</v>
      </c>
      <c r="AH11" s="2">
        <v>-18.517958375184207</v>
      </c>
      <c r="AI11" s="2">
        <f t="shared" si="14"/>
        <v>3171.875</v>
      </c>
      <c r="AJ11" s="2">
        <v>34.948058653524186</v>
      </c>
      <c r="AK11" s="2">
        <f t="shared" si="9"/>
        <v>3097.65625</v>
      </c>
      <c r="AL11" s="2">
        <v>8.4556573044578727</v>
      </c>
      <c r="AM11" s="2">
        <f t="shared" si="10"/>
        <v>-156.58150999877319</v>
      </c>
      <c r="AN11" s="2">
        <f t="shared" si="11"/>
        <v>295.50880743029393</v>
      </c>
      <c r="AO11" s="2">
        <f t="shared" si="12"/>
        <v>148.4375</v>
      </c>
    </row>
    <row r="12" spans="2:41" x14ac:dyDescent="0.2">
      <c r="B12" s="6" t="s">
        <v>173</v>
      </c>
      <c r="C12" s="17">
        <v>19.878448738899301</v>
      </c>
      <c r="D12" s="6" t="s">
        <v>174</v>
      </c>
      <c r="F12" s="31" t="s">
        <v>86</v>
      </c>
      <c r="G12" s="32"/>
      <c r="H12" s="32"/>
      <c r="N12" s="6" t="s">
        <v>175</v>
      </c>
      <c r="O12" s="6">
        <f xml:space="preserve"> O4 / (O5 * $C$12)</f>
        <v>0.38040286297336562</v>
      </c>
      <c r="U12" s="2">
        <v>8</v>
      </c>
      <c r="V12" s="2">
        <f t="shared" si="7"/>
        <v>0.95703125</v>
      </c>
      <c r="W12" s="2">
        <f t="shared" si="0"/>
        <v>3.1241147238192379E-3</v>
      </c>
      <c r="X12" s="2">
        <f t="shared" si="8"/>
        <v>0.9609375</v>
      </c>
      <c r="Y12" s="2">
        <f t="shared" si="1"/>
        <v>-8.5515513019174261E-4</v>
      </c>
      <c r="Z12" s="2">
        <f t="shared" si="3"/>
        <v>0.958984375</v>
      </c>
      <c r="AA12" s="2">
        <f t="shared" si="2"/>
        <v>1.1344062563410917E-3</v>
      </c>
      <c r="AB12" s="2">
        <f t="shared" si="4"/>
        <v>3.5440152882278653E-6</v>
      </c>
      <c r="AC12" s="2">
        <f t="shared" si="5"/>
        <v>-9.7009332983169369E-7</v>
      </c>
      <c r="AD12" s="2">
        <f t="shared" si="6"/>
        <v>3.90625E-3</v>
      </c>
      <c r="AF12" s="2">
        <v>8</v>
      </c>
      <c r="AG12" s="2">
        <f t="shared" si="13"/>
        <v>3023.4375</v>
      </c>
      <c r="AH12" s="2">
        <v>-18.517958375184207</v>
      </c>
      <c r="AI12" s="2">
        <f t="shared" si="14"/>
        <v>3097.65625</v>
      </c>
      <c r="AJ12" s="2">
        <v>8.4556573044578727</v>
      </c>
      <c r="AK12" s="2">
        <f t="shared" si="9"/>
        <v>3060.546875</v>
      </c>
      <c r="AL12" s="2">
        <v>-4.970955362017321</v>
      </c>
      <c r="AM12" s="2">
        <f t="shared" si="10"/>
        <v>92.051944478735493</v>
      </c>
      <c r="AN12" s="2">
        <f t="shared" si="11"/>
        <v>-42.032695016975786</v>
      </c>
      <c r="AO12" s="2">
        <f t="shared" si="12"/>
        <v>74.21875</v>
      </c>
    </row>
    <row r="13" spans="2:41" x14ac:dyDescent="0.2">
      <c r="B13" s="6" t="s">
        <v>176</v>
      </c>
      <c r="C13" s="17">
        <v>7.8742135758499501</v>
      </c>
      <c r="F13" s="9" t="s">
        <v>89</v>
      </c>
      <c r="G13" s="6">
        <f xml:space="preserve"> $C$17/$C$7</f>
        <v>1125.0000000000036</v>
      </c>
      <c r="H13" s="6" t="s">
        <v>13</v>
      </c>
      <c r="J13" s="28" t="s">
        <v>51</v>
      </c>
      <c r="K13" s="28"/>
      <c r="L13" s="28"/>
      <c r="N13" s="6" t="s">
        <v>177</v>
      </c>
      <c r="O13" s="6">
        <f xml:space="preserve"> O9 + O12^2 / ( PI() * O11 * $C$13 )</f>
        <v>3.0067679737326707E-2</v>
      </c>
      <c r="U13" s="2">
        <v>9</v>
      </c>
      <c r="V13" s="2">
        <f t="shared" si="7"/>
        <v>0.958984375</v>
      </c>
      <c r="W13" s="2">
        <f t="shared" si="0"/>
        <v>1.1344062563410917E-3</v>
      </c>
      <c r="X13" s="2">
        <f t="shared" si="8"/>
        <v>0.9609375</v>
      </c>
      <c r="Y13" s="2">
        <f t="shared" si="1"/>
        <v>-8.5515513019174261E-4</v>
      </c>
      <c r="Z13" s="2">
        <f t="shared" si="3"/>
        <v>0.9599609375</v>
      </c>
      <c r="AA13" s="2">
        <f t="shared" si="2"/>
        <v>1.3960723324235591E-4</v>
      </c>
      <c r="AB13" s="2">
        <f t="shared" si="4"/>
        <v>1.5837131882059858E-7</v>
      </c>
      <c r="AC13" s="2">
        <f t="shared" si="5"/>
        <v>-1.1938584171907585E-7</v>
      </c>
      <c r="AD13" s="2">
        <f t="shared" si="6"/>
        <v>1.953125E-3</v>
      </c>
      <c r="AF13" s="2">
        <v>9</v>
      </c>
      <c r="AG13" s="2">
        <f t="shared" si="13"/>
        <v>3060.546875</v>
      </c>
      <c r="AH13" s="2">
        <v>-4.970955362017321</v>
      </c>
      <c r="AI13" s="2">
        <f t="shared" si="14"/>
        <v>3097.65625</v>
      </c>
      <c r="AJ13" s="2">
        <v>8.4556573044578727</v>
      </c>
      <c r="AK13" s="2">
        <f t="shared" si="9"/>
        <v>3079.1015625</v>
      </c>
      <c r="AL13" s="2">
        <v>1.7573947433788817</v>
      </c>
      <c r="AM13" s="2">
        <f t="shared" si="10"/>
        <v>-8.7359308227803059</v>
      </c>
      <c r="AN13" s="2">
        <f t="shared" si="11"/>
        <v>14.85992769866751</v>
      </c>
      <c r="AO13" s="2">
        <f t="shared" si="12"/>
        <v>37.109375</v>
      </c>
    </row>
    <row r="14" spans="2:41" x14ac:dyDescent="0.2">
      <c r="F14" s="6" t="s">
        <v>178</v>
      </c>
      <c r="G14" s="6">
        <f>O21*$C$10</f>
        <v>93.9968086006281</v>
      </c>
      <c r="H14" s="6" t="s">
        <v>10</v>
      </c>
      <c r="J14" s="10" t="s">
        <v>79</v>
      </c>
      <c r="K14" s="18">
        <f>C5</f>
        <v>3074.2252381610501</v>
      </c>
      <c r="L14" s="6" t="s">
        <v>7</v>
      </c>
      <c r="N14" s="6" t="s">
        <v>39</v>
      </c>
      <c r="O14" s="6">
        <f xml:space="preserve"> O5 * O13 * $C$12</f>
        <v>2381.4552967708319</v>
      </c>
      <c r="P14" s="6" t="s">
        <v>20</v>
      </c>
      <c r="U14" s="2">
        <v>10</v>
      </c>
      <c r="V14" s="2">
        <f t="shared" si="7"/>
        <v>0.9599609375</v>
      </c>
      <c r="W14" s="2">
        <f t="shared" si="0"/>
        <v>1.3960723324235591E-4</v>
      </c>
      <c r="X14" s="2">
        <f t="shared" si="8"/>
        <v>0.9609375</v>
      </c>
      <c r="Y14" s="2">
        <f t="shared" si="1"/>
        <v>-8.5515513019174261E-4</v>
      </c>
      <c r="Z14" s="2">
        <f t="shared" si="3"/>
        <v>0.96044921875</v>
      </c>
      <c r="AA14" s="2">
        <f t="shared" si="2"/>
        <v>-3.5777852404617061E-4</v>
      </c>
      <c r="AB14" s="2">
        <f t="shared" si="4"/>
        <v>-4.9948469855619584E-8</v>
      </c>
      <c r="AC14" s="2">
        <f t="shared" si="5"/>
        <v>3.0595614031051253E-7</v>
      </c>
      <c r="AD14" s="2">
        <f t="shared" si="6"/>
        <v>9.765625E-4</v>
      </c>
      <c r="AF14" s="2">
        <v>10</v>
      </c>
      <c r="AG14" s="2">
        <f t="shared" si="13"/>
        <v>3060.546875</v>
      </c>
      <c r="AH14" s="2">
        <v>-4.970955362017321</v>
      </c>
      <c r="AI14" s="2">
        <f t="shared" si="14"/>
        <v>3079.1015625</v>
      </c>
      <c r="AJ14" s="2">
        <v>1.7573947433788817</v>
      </c>
      <c r="AK14" s="2">
        <f t="shared" si="9"/>
        <v>3069.82421875</v>
      </c>
      <c r="AL14" s="2">
        <v>-1.6030189447355951</v>
      </c>
      <c r="AM14" s="2">
        <f t="shared" si="10"/>
        <v>7.9685356187487546</v>
      </c>
      <c r="AN14" s="2">
        <f t="shared" si="11"/>
        <v>-2.8171370670150968</v>
      </c>
      <c r="AO14" s="2">
        <f t="shared" si="12"/>
        <v>18.5546875</v>
      </c>
    </row>
    <row r="15" spans="2:41" x14ac:dyDescent="0.2">
      <c r="B15" s="33" t="s">
        <v>11</v>
      </c>
      <c r="C15" s="33"/>
      <c r="D15" s="33"/>
      <c r="F15" s="6" t="s">
        <v>179</v>
      </c>
      <c r="G15" s="6">
        <f>G14/$C$73</f>
        <v>0.28250875692308369</v>
      </c>
      <c r="H15" s="6" t="s">
        <v>122</v>
      </c>
      <c r="J15" s="11" t="s">
        <v>52</v>
      </c>
      <c r="K15" s="6">
        <f xml:space="preserve"> 1000 * K10 / ($C$60 * $C$61 * $C$62)</f>
        <v>1155.3588133991348</v>
      </c>
      <c r="L15" s="6" t="s">
        <v>7</v>
      </c>
      <c r="N15" s="6" t="s">
        <v>180</v>
      </c>
      <c r="O15" s="6">
        <f>O4/O14</f>
        <v>12.651553638211892</v>
      </c>
      <c r="U15" s="2">
        <v>11</v>
      </c>
      <c r="V15" s="2">
        <f t="shared" si="7"/>
        <v>0.9599609375</v>
      </c>
      <c r="W15" s="2">
        <f t="shared" si="0"/>
        <v>1.3960723324235591E-4</v>
      </c>
      <c r="X15" s="2">
        <f t="shared" si="8"/>
        <v>0.96044921875</v>
      </c>
      <c r="Y15" s="2">
        <f t="shared" si="1"/>
        <v>-3.5777852404617061E-4</v>
      </c>
      <c r="Z15" s="2">
        <f t="shared" si="3"/>
        <v>0.960205078125</v>
      </c>
      <c r="AA15" s="2">
        <f t="shared" si="2"/>
        <v>-1.0908679015453338E-4</v>
      </c>
      <c r="AB15" s="2">
        <f t="shared" si="4"/>
        <v>-1.5229304956763876E-8</v>
      </c>
      <c r="AC15" s="2">
        <f t="shared" si="5"/>
        <v>3.9028910774423287E-8</v>
      </c>
      <c r="AD15" s="2">
        <f t="shared" si="6"/>
        <v>4.8828125E-4</v>
      </c>
      <c r="AF15" s="2">
        <v>11</v>
      </c>
      <c r="AG15" s="2">
        <f t="shared" si="13"/>
        <v>3069.82421875</v>
      </c>
      <c r="AH15" s="2">
        <v>-1.6030189447355951</v>
      </c>
      <c r="AI15" s="2">
        <f t="shared" si="14"/>
        <v>3079.1015625</v>
      </c>
      <c r="AJ15" s="2">
        <v>1.7573947433788817</v>
      </c>
      <c r="AK15" s="2">
        <f t="shared" si="9"/>
        <v>3074.462890625</v>
      </c>
      <c r="AL15" s="2">
        <v>7.8128536742042343E-2</v>
      </c>
      <c r="AM15" s="2">
        <f t="shared" si="10"/>
        <v>-0.12524152452196488</v>
      </c>
      <c r="AN15" s="2">
        <f t="shared" si="11"/>
        <v>0.13730267977834903</v>
      </c>
      <c r="AO15" s="2">
        <f t="shared" si="12"/>
        <v>9.27734375</v>
      </c>
    </row>
    <row r="16" spans="2:41" x14ac:dyDescent="0.2">
      <c r="B16" s="6" t="s">
        <v>68</v>
      </c>
      <c r="C16" s="6">
        <f>C35*100</f>
        <v>600</v>
      </c>
      <c r="D16" s="6" t="s">
        <v>7</v>
      </c>
      <c r="F16" s="9" t="s">
        <v>19</v>
      </c>
      <c r="G16" s="6">
        <f>O20</f>
        <v>2381.4552967708319</v>
      </c>
      <c r="H16" s="6" t="s">
        <v>20</v>
      </c>
      <c r="J16" s="12" t="s">
        <v>126</v>
      </c>
      <c r="K16" s="6">
        <f xml:space="preserve"> $C$78 * ( $C$21 * (0.0095 * MAX(G7,G26) - 1.9275) +  $C$28 * (0.0095 * MAX(O20) - 1.9275) )</f>
        <v>233.22419637967914</v>
      </c>
      <c r="L16" s="6" t="s">
        <v>7</v>
      </c>
      <c r="N16" s="6" t="s">
        <v>113</v>
      </c>
      <c r="O16" s="6">
        <f>(O13*$C$12)/(0.3048^2)/($C$5*2.20462/1000)^(2/3)</f>
        <v>1.7964130289528559</v>
      </c>
      <c r="U16" s="2">
        <v>12</v>
      </c>
      <c r="V16" s="2">
        <f t="shared" si="7"/>
        <v>0.9599609375</v>
      </c>
      <c r="W16" s="2">
        <f t="shared" si="0"/>
        <v>1.3960723324235591E-4</v>
      </c>
      <c r="X16" s="2">
        <f t="shared" si="8"/>
        <v>0.960205078125</v>
      </c>
      <c r="Y16" s="2">
        <f t="shared" si="1"/>
        <v>-1.0908679015453338E-4</v>
      </c>
      <c r="Z16" s="2">
        <f t="shared" si="3"/>
        <v>0.9600830078125</v>
      </c>
      <c r="AA16" s="2">
        <f t="shared" si="2"/>
        <v>1.5259935248201906E-5</v>
      </c>
      <c r="AB16" s="2">
        <f t="shared" si="4"/>
        <v>2.1303973394589719E-9</v>
      </c>
      <c r="AC16" s="2">
        <f t="shared" si="5"/>
        <v>-1.6646573541923684E-9</v>
      </c>
      <c r="AD16" s="2">
        <f t="shared" si="6"/>
        <v>2.44140625E-4</v>
      </c>
      <c r="AF16" s="2">
        <v>12</v>
      </c>
      <c r="AG16" s="2">
        <f t="shared" si="13"/>
        <v>3069.82421875</v>
      </c>
      <c r="AH16" s="2">
        <v>-1.6030189447355951</v>
      </c>
      <c r="AI16" s="2">
        <f t="shared" si="14"/>
        <v>3074.462890625</v>
      </c>
      <c r="AJ16" s="2">
        <v>7.8128536742042343E-2</v>
      </c>
      <c r="AK16" s="2">
        <f t="shared" si="9"/>
        <v>3072.1435546875</v>
      </c>
      <c r="AL16" s="2">
        <v>-0.76220965352877101</v>
      </c>
      <c r="AM16" s="2">
        <f t="shared" si="10"/>
        <v>1.2218365144669741</v>
      </c>
      <c r="AN16" s="2">
        <f t="shared" si="11"/>
        <v>-5.9550324920861951E-2</v>
      </c>
      <c r="AO16" s="2">
        <f t="shared" si="12"/>
        <v>4.638671875</v>
      </c>
    </row>
    <row r="17" spans="2:41" x14ac:dyDescent="0.2">
      <c r="B17" s="6" t="s">
        <v>12</v>
      </c>
      <c r="C17" s="17">
        <f>100*1000</f>
        <v>100000</v>
      </c>
      <c r="D17" s="6" t="s">
        <v>8</v>
      </c>
      <c r="F17" s="9" t="s">
        <v>97</v>
      </c>
      <c r="G17" s="6">
        <f xml:space="preserve"> 1/1000 * (O25 + O20 * (O30 * O27 + $C$7 * SIN(O19/180*PI())))</f>
        <v>221.85057252597338</v>
      </c>
      <c r="H17" s="6" t="s">
        <v>101</v>
      </c>
      <c r="J17" s="12" t="s">
        <v>127</v>
      </c>
      <c r="K17" s="6">
        <v>0</v>
      </c>
      <c r="L17" s="6" t="s">
        <v>7</v>
      </c>
      <c r="U17" s="2">
        <v>13</v>
      </c>
      <c r="V17" s="2">
        <f t="shared" si="7"/>
        <v>0.9600830078125</v>
      </c>
      <c r="W17" s="2">
        <f t="shared" si="0"/>
        <v>1.5259935248201906E-5</v>
      </c>
      <c r="X17" s="2">
        <f t="shared" si="8"/>
        <v>0.960205078125</v>
      </c>
      <c r="Y17" s="2">
        <f t="shared" si="1"/>
        <v>-1.0908679015453338E-4</v>
      </c>
      <c r="Z17" s="2">
        <f t="shared" si="3"/>
        <v>0.96014404296875</v>
      </c>
      <c r="AA17" s="2">
        <f t="shared" si="2"/>
        <v>-4.6913499013645499E-5</v>
      </c>
      <c r="AB17" s="2">
        <f t="shared" si="4"/>
        <v>-7.1589695721481431E-10</v>
      </c>
      <c r="AC17" s="2">
        <f t="shared" si="5"/>
        <v>5.1176430223164547E-9</v>
      </c>
      <c r="AD17" s="2">
        <f t="shared" si="6"/>
        <v>1.220703125E-4</v>
      </c>
      <c r="AF17" s="2">
        <v>13</v>
      </c>
      <c r="AG17" s="2">
        <f t="shared" si="13"/>
        <v>3072.1435546875</v>
      </c>
      <c r="AH17" s="2">
        <v>-0.76220965352877101</v>
      </c>
      <c r="AI17" s="2">
        <f t="shared" si="14"/>
        <v>3074.462890625</v>
      </c>
      <c r="AJ17" s="2">
        <v>7.8128536742042343E-2</v>
      </c>
      <c r="AK17" s="2">
        <f t="shared" si="9"/>
        <v>3073.30322265625</v>
      </c>
      <c r="AL17" s="2">
        <v>-0.34198243348919277</v>
      </c>
      <c r="AM17" s="2">
        <f t="shared" si="10"/>
        <v>0.26066231214272362</v>
      </c>
      <c r="AN17" s="2">
        <f t="shared" si="11"/>
        <v>-2.6718587119993448E-2</v>
      </c>
      <c r="AO17" s="2">
        <f t="shared" si="12"/>
        <v>2.3193359375</v>
      </c>
    </row>
    <row r="18" spans="2:41" x14ac:dyDescent="0.2">
      <c r="B18" s="6" t="s">
        <v>136</v>
      </c>
      <c r="C18" s="17">
        <v>1</v>
      </c>
      <c r="F18" t="s">
        <v>146</v>
      </c>
      <c r="G18" s="6">
        <f xml:space="preserve"> (G16/$C$74*1000) / (G17*1000)</f>
        <v>1.0952954125474015</v>
      </c>
      <c r="H18" s="6" t="s">
        <v>147</v>
      </c>
      <c r="J18" s="13" t="s">
        <v>53</v>
      </c>
      <c r="K18" s="6">
        <f xml:space="preserve"> $C$78 * (0.2138 * K4 + 0.2138 * K6)</f>
        <v>218.81651319566663</v>
      </c>
      <c r="L18" s="6" t="s">
        <v>7</v>
      </c>
      <c r="N18" s="31" t="s">
        <v>181</v>
      </c>
      <c r="O18" s="34"/>
      <c r="P18" s="34"/>
      <c r="U18" s="2">
        <v>14</v>
      </c>
      <c r="V18" s="2">
        <f t="shared" si="7"/>
        <v>0.9600830078125</v>
      </c>
      <c r="W18" s="2">
        <f t="shared" si="0"/>
        <v>1.5259935248201906E-5</v>
      </c>
      <c r="X18" s="2">
        <f t="shared" si="8"/>
        <v>0.96014404296875</v>
      </c>
      <c r="Y18" s="2">
        <f t="shared" si="1"/>
        <v>-4.6913499013645499E-5</v>
      </c>
      <c r="Z18" s="2">
        <f t="shared" si="3"/>
        <v>0.960113525390625</v>
      </c>
      <c r="AA18" s="2">
        <f t="shared" si="2"/>
        <v>-1.582679977452095E-5</v>
      </c>
      <c r="AB18" s="2">
        <f t="shared" si="4"/>
        <v>-2.415159397454462E-10</v>
      </c>
      <c r="AC18" s="2">
        <f t="shared" si="5"/>
        <v>7.4249055561115338E-10</v>
      </c>
      <c r="AD18" s="2">
        <f t="shared" si="6"/>
        <v>6.103515625E-5</v>
      </c>
      <c r="AF18" s="2">
        <v>14</v>
      </c>
      <c r="AG18" s="2">
        <f t="shared" si="13"/>
        <v>3073.30322265625</v>
      </c>
      <c r="AH18" s="2">
        <v>-0.34198243348919277</v>
      </c>
      <c r="AI18" s="2">
        <f t="shared" si="14"/>
        <v>3074.462890625</v>
      </c>
      <c r="AJ18" s="2">
        <v>7.8128536742042343E-2</v>
      </c>
      <c r="AK18" s="2">
        <f t="shared" si="9"/>
        <v>3073.883056640625</v>
      </c>
      <c r="AL18" s="2">
        <v>-0.13191190966927024</v>
      </c>
      <c r="AM18" s="2">
        <f t="shared" si="10"/>
        <v>4.5111555874903619E-2</v>
      </c>
      <c r="AN18" s="2">
        <f t="shared" si="11"/>
        <v>-1.030608448130855E-2</v>
      </c>
      <c r="AO18" s="2">
        <f t="shared" si="12"/>
        <v>1.15966796875</v>
      </c>
    </row>
    <row r="19" spans="2:41" x14ac:dyDescent="0.2">
      <c r="F19" s="9" t="s">
        <v>148</v>
      </c>
      <c r="G19" s="6">
        <f>O23 / ($C$29*$C$11/PI())</f>
        <v>4.0899332847754093E-2</v>
      </c>
      <c r="J19" s="13" t="s">
        <v>77</v>
      </c>
      <c r="K19" s="6">
        <f xml:space="preserve"> $C$78 * (0.1149 * K4 + 0.1149 * K6)</f>
        <v>117.59596523003786</v>
      </c>
      <c r="L19" s="6" t="s">
        <v>7</v>
      </c>
      <c r="N19" s="6" t="s">
        <v>25</v>
      </c>
      <c r="O19" s="6">
        <f xml:space="preserve"> 90 - $C$81</f>
        <v>85</v>
      </c>
      <c r="P19" s="6" t="s">
        <v>40</v>
      </c>
      <c r="U19" s="2">
        <v>15</v>
      </c>
      <c r="V19" s="2">
        <f t="shared" si="7"/>
        <v>0.9600830078125</v>
      </c>
      <c r="W19" s="2">
        <f t="shared" si="0"/>
        <v>1.5259935248201906E-5</v>
      </c>
      <c r="X19" s="2">
        <f t="shared" si="8"/>
        <v>0.960113525390625</v>
      </c>
      <c r="Y19" s="2">
        <f t="shared" si="1"/>
        <v>-1.582679977452095E-5</v>
      </c>
      <c r="Z19" s="2">
        <f t="shared" si="3"/>
        <v>0.9600982666015625</v>
      </c>
      <c r="AA19" s="2">
        <f t="shared" si="2"/>
        <v>-2.8343673630359945E-7</v>
      </c>
      <c r="AB19" s="2">
        <f t="shared" si="4"/>
        <v>-4.3252262429546063E-12</v>
      </c>
      <c r="AC19" s="2">
        <f t="shared" si="5"/>
        <v>4.485896474220762E-12</v>
      </c>
      <c r="AD19" s="2">
        <f t="shared" si="6"/>
        <v>3.0517578125E-5</v>
      </c>
      <c r="AF19" s="2">
        <v>15</v>
      </c>
      <c r="AG19" s="2">
        <f t="shared" si="13"/>
        <v>3073.883056640625</v>
      </c>
      <c r="AH19" s="2">
        <v>-0.13191190966927024</v>
      </c>
      <c r="AI19" s="2">
        <f t="shared" si="14"/>
        <v>3074.462890625</v>
      </c>
      <c r="AJ19" s="2">
        <v>7.8128536742042343E-2</v>
      </c>
      <c r="AK19" s="2">
        <f t="shared" si="9"/>
        <v>3074.1729736328125</v>
      </c>
      <c r="AL19" s="2">
        <v>-2.6888053724178462E-2</v>
      </c>
      <c r="AM19" s="2">
        <f t="shared" si="10"/>
        <v>3.5468545140463145E-3</v>
      </c>
      <c r="AN19" s="2">
        <f t="shared" si="11"/>
        <v>-2.1007242933114853E-3</v>
      </c>
      <c r="AO19" s="2">
        <f t="shared" si="12"/>
        <v>0.579833984375</v>
      </c>
    </row>
    <row r="20" spans="2:41" x14ac:dyDescent="0.2">
      <c r="B20" s="33" t="s">
        <v>110</v>
      </c>
      <c r="C20" s="33"/>
      <c r="D20" s="33"/>
      <c r="F20" s="26" t="s">
        <v>132</v>
      </c>
      <c r="G20" s="25">
        <f xml:space="preserve"> $C$28 * G17</f>
        <v>221.85057252597338</v>
      </c>
      <c r="H20" s="25" t="s">
        <v>101</v>
      </c>
      <c r="J20" s="14" t="s">
        <v>60</v>
      </c>
      <c r="K20" s="6">
        <f xml:space="preserve"> $C$79 * (14.86 * ($C$5*2.20462)^0.144 * ($C$36/(PI()*$C$37))^0.778 * ($C$36*3.28084)^0.383 * $C$35^0.455 * 0.453592)</f>
        <v>225.51709527068601</v>
      </c>
      <c r="L20" s="6" t="s">
        <v>7</v>
      </c>
      <c r="N20" s="6" t="s">
        <v>19</v>
      </c>
      <c r="O20" s="6">
        <f xml:space="preserve"> O14 / $C$28</f>
        <v>2381.4552967708319</v>
      </c>
      <c r="P20" s="6" t="s">
        <v>20</v>
      </c>
      <c r="U20" s="2">
        <v>16</v>
      </c>
      <c r="V20" s="2">
        <f t="shared" si="7"/>
        <v>0.9600830078125</v>
      </c>
      <c r="W20" s="2">
        <f t="shared" si="0"/>
        <v>1.5259935248201906E-5</v>
      </c>
      <c r="X20" s="2">
        <f t="shared" si="8"/>
        <v>0.9600982666015625</v>
      </c>
      <c r="Y20" s="2">
        <f t="shared" si="1"/>
        <v>-2.8343673630359945E-7</v>
      </c>
      <c r="Z20" s="2">
        <f t="shared" si="3"/>
        <v>0.96009063720703125</v>
      </c>
      <c r="AA20" s="2">
        <f t="shared" si="2"/>
        <v>7.4882481376770116E-6</v>
      </c>
      <c r="AB20" s="2">
        <f t="shared" si="4"/>
        <v>1.142701817034197E-10</v>
      </c>
      <c r="AC20" s="2">
        <f t="shared" si="5"/>
        <v>-2.1224446127746787E-12</v>
      </c>
      <c r="AD20" s="2">
        <f t="shared" si="6"/>
        <v>1.52587890625E-5</v>
      </c>
      <c r="AF20" s="2">
        <v>16</v>
      </c>
      <c r="AG20" s="2">
        <f t="shared" si="13"/>
        <v>3074.1729736328125</v>
      </c>
      <c r="AH20" s="2">
        <v>-2.6888053724178462E-2</v>
      </c>
      <c r="AI20" s="2">
        <f t="shared" si="14"/>
        <v>3074.462890625</v>
      </c>
      <c r="AJ20" s="2">
        <v>7.8128536742042343E-2</v>
      </c>
      <c r="AK20" s="2">
        <f t="shared" si="9"/>
        <v>3074.3179321289062</v>
      </c>
      <c r="AL20" s="2">
        <v>2.562064196308711E-2</v>
      </c>
      <c r="AM20" s="2">
        <f t="shared" si="10"/>
        <v>-6.8888919755142729E-4</v>
      </c>
      <c r="AN20" s="2">
        <f t="shared" si="11"/>
        <v>2.0017032669677631E-3</v>
      </c>
      <c r="AO20" s="2">
        <f t="shared" si="12"/>
        <v>0.2899169921875</v>
      </c>
    </row>
    <row r="21" spans="2:41" x14ac:dyDescent="0.2">
      <c r="B21" s="6" t="s">
        <v>94</v>
      </c>
      <c r="C21" s="17">
        <v>8</v>
      </c>
      <c r="J21" s="14" t="s">
        <v>61</v>
      </c>
      <c r="K21" s="6">
        <f xml:space="preserve"> $C$79 * C41 * $C$5</f>
        <v>79.929856192187316</v>
      </c>
      <c r="L21" s="6" t="s">
        <v>7</v>
      </c>
      <c r="N21" s="6" t="s">
        <v>26</v>
      </c>
      <c r="O21" s="6">
        <f>$C$6*2*PI()/60</f>
        <v>60.088404740027386</v>
      </c>
      <c r="P21" s="6" t="s">
        <v>27</v>
      </c>
      <c r="U21" s="2">
        <v>17</v>
      </c>
      <c r="V21" s="2">
        <f t="shared" si="7"/>
        <v>0.96009063720703125</v>
      </c>
      <c r="W21" s="2">
        <f t="shared" si="0"/>
        <v>7.4882481376770116E-6</v>
      </c>
      <c r="X21" s="2">
        <f t="shared" si="8"/>
        <v>0.9600982666015625</v>
      </c>
      <c r="Y21" s="2">
        <f t="shared" si="1"/>
        <v>-2.8343673630359945E-7</v>
      </c>
      <c r="Z21" s="2">
        <f t="shared" si="3"/>
        <v>0.96009445190429688</v>
      </c>
      <c r="AA21" s="2">
        <f t="shared" si="2"/>
        <v>3.6024054210770373E-6</v>
      </c>
      <c r="AB21" s="2">
        <f t="shared" si="4"/>
        <v>2.6975705685537696E-11</v>
      </c>
      <c r="AC21" s="2">
        <f t="shared" si="5"/>
        <v>-1.0210540353924693E-12</v>
      </c>
      <c r="AD21" s="2">
        <f t="shared" si="6"/>
        <v>7.62939453125E-6</v>
      </c>
      <c r="AF21" s="2">
        <v>17</v>
      </c>
      <c r="AG21" s="2">
        <f t="shared" si="13"/>
        <v>3074.1729736328125</v>
      </c>
      <c r="AH21" s="2">
        <v>-2.6888053724178462E-2</v>
      </c>
      <c r="AI21" s="2">
        <f t="shared" si="14"/>
        <v>3074.3179321289062</v>
      </c>
      <c r="AJ21" s="2">
        <v>2.562064196308711E-2</v>
      </c>
      <c r="AK21" s="2">
        <f t="shared" si="9"/>
        <v>3074.2454528808594</v>
      </c>
      <c r="AL21" s="2">
        <v>-6.3297111000792938E-4</v>
      </c>
      <c r="AM21" s="2">
        <f t="shared" si="10"/>
        <v>1.7019361211746082E-5</v>
      </c>
      <c r="AN21" s="2">
        <f t="shared" si="11"/>
        <v>-1.6217126182490984E-5</v>
      </c>
      <c r="AO21" s="2">
        <f t="shared" si="12"/>
        <v>0.14495849609375</v>
      </c>
    </row>
    <row r="22" spans="2:41" x14ac:dyDescent="0.2">
      <c r="B22" s="6" t="s">
        <v>109</v>
      </c>
      <c r="C22" s="17">
        <v>2</v>
      </c>
      <c r="F22" s="33" t="s">
        <v>81</v>
      </c>
      <c r="G22" s="33"/>
      <c r="H22" s="33"/>
      <c r="J22" s="14" t="s">
        <v>182</v>
      </c>
      <c r="K22" s="6">
        <f xml:space="preserve"> $C$79 * (0.04674 * ($C$5*2.20462)^0.397 * ($C$12*3.28084^2)^0.36 * $C$46^0.397 * $C$13^1.712 * 0.453592)</f>
        <v>205.60298935439482</v>
      </c>
      <c r="L22" s="6" t="s">
        <v>7</v>
      </c>
      <c r="N22" s="6" t="s">
        <v>28</v>
      </c>
      <c r="O22" s="6">
        <f xml:space="preserve"> $C$7 * COS(O19/180*PI()) / (O21 * $C$10)</f>
        <v>8.2419576243712961E-2</v>
      </c>
      <c r="U22" s="2">
        <v>18</v>
      </c>
      <c r="V22" s="2">
        <f t="shared" si="7"/>
        <v>0.96009445190429688</v>
      </c>
      <c r="W22" s="2">
        <f t="shared" si="0"/>
        <v>3.6024054210770373E-6</v>
      </c>
      <c r="X22" s="2">
        <f t="shared" si="8"/>
        <v>0.9600982666015625</v>
      </c>
      <c r="Y22" s="2">
        <f t="shared" si="1"/>
        <v>-2.8343673630359945E-7</v>
      </c>
      <c r="Z22" s="2">
        <f t="shared" si="3"/>
        <v>0.96009635925292969</v>
      </c>
      <c r="AA22" s="2">
        <f t="shared" si="2"/>
        <v>1.6594842725536907E-6</v>
      </c>
      <c r="AB22" s="2">
        <f t="shared" si="4"/>
        <v>5.9781351396394993E-12</v>
      </c>
      <c r="AC22" s="2">
        <f t="shared" si="5"/>
        <v>-4.7035880615977102E-13</v>
      </c>
      <c r="AD22" s="2">
        <f t="shared" si="6"/>
        <v>3.814697265625E-6</v>
      </c>
      <c r="AF22" s="2">
        <v>18</v>
      </c>
      <c r="AG22" s="2">
        <f t="shared" si="13"/>
        <v>3074.2454528808594</v>
      </c>
      <c r="AH22" s="2">
        <v>-6.3297111000792938E-4</v>
      </c>
      <c r="AI22" s="2">
        <f t="shared" si="14"/>
        <v>3074.3179321289062</v>
      </c>
      <c r="AJ22" s="2">
        <v>2.562064196308711E-2</v>
      </c>
      <c r="AK22" s="2">
        <f t="shared" si="9"/>
        <v>3074.2816925048828</v>
      </c>
      <c r="AL22" s="2">
        <v>1.2493384466324642E-2</v>
      </c>
      <c r="AM22" s="2">
        <f t="shared" si="10"/>
        <v>-7.9079514334053313E-6</v>
      </c>
      <c r="AN22" s="2">
        <f t="shared" si="11"/>
        <v>3.2008853031889779E-4</v>
      </c>
      <c r="AO22" s="2">
        <f t="shared" si="12"/>
        <v>7.2479248046875E-2</v>
      </c>
    </row>
    <row r="23" spans="2:41" x14ac:dyDescent="0.2">
      <c r="B23" s="6" t="s">
        <v>119</v>
      </c>
      <c r="C23" s="6">
        <f>$C$22*$C$9/PI()</f>
        <v>0.31022513338460861</v>
      </c>
      <c r="F23" s="6" t="s">
        <v>85</v>
      </c>
      <c r="G23" s="17">
        <f>300*0.3048/60</f>
        <v>1.524</v>
      </c>
      <c r="H23" s="6" t="s">
        <v>10</v>
      </c>
      <c r="J23" s="14" t="s">
        <v>62</v>
      </c>
      <c r="K23" s="6">
        <f xml:space="preserve"> $C$79 * (3.184 * ($C$5*2.20462)^0.887 * ($C$50*3.28084*3.28084)^0.101 * ($C$49)^0.138 ) / ( 174.04 * ($C$51*3.28084)^0.223 ) * 0.453592</f>
        <v>33.399111299123348</v>
      </c>
      <c r="L23" s="6" t="s">
        <v>7</v>
      </c>
      <c r="N23" s="6" t="s">
        <v>29</v>
      </c>
      <c r="O23" s="6">
        <f xml:space="preserve"> O20 / ( $C$71 * PI() * $C$10^2 * O21^2 * $C$10^2)</f>
        <v>3.4763733095238537E-2</v>
      </c>
      <c r="U23" s="2">
        <v>19</v>
      </c>
      <c r="V23" s="2">
        <f t="shared" si="7"/>
        <v>0.96009635925292969</v>
      </c>
      <c r="W23" s="2">
        <f t="shared" si="0"/>
        <v>1.6594842725536907E-6</v>
      </c>
      <c r="X23" s="2">
        <f t="shared" si="8"/>
        <v>0.9600982666015625</v>
      </c>
      <c r="Y23" s="2">
        <f t="shared" si="1"/>
        <v>-2.8343673630359945E-7</v>
      </c>
      <c r="Z23" s="2">
        <f t="shared" si="3"/>
        <v>0.96009731292724609</v>
      </c>
      <c r="AA23" s="2">
        <f t="shared" si="2"/>
        <v>6.8802375063903298E-7</v>
      </c>
      <c r="AB23" s="2">
        <f t="shared" si="4"/>
        <v>1.1417645933288776E-12</v>
      </c>
      <c r="AC23" s="2">
        <f t="shared" si="5"/>
        <v>-1.9501120638048906E-13</v>
      </c>
      <c r="AD23" s="2">
        <f t="shared" si="6"/>
        <v>1.9073486328125E-6</v>
      </c>
      <c r="AF23" s="2">
        <v>19</v>
      </c>
      <c r="AG23" s="2">
        <f t="shared" si="13"/>
        <v>3074.2454528808594</v>
      </c>
      <c r="AH23" s="2">
        <v>-6.3297111000792938E-4</v>
      </c>
      <c r="AI23" s="2">
        <f t="shared" si="14"/>
        <v>3074.2816925048828</v>
      </c>
      <c r="AJ23" s="2">
        <v>1.2493384466324642E-2</v>
      </c>
      <c r="AK23" s="2">
        <f t="shared" si="9"/>
        <v>3074.2635726928711</v>
      </c>
      <c r="AL23" s="2">
        <v>5.930220869686309E-3</v>
      </c>
      <c r="AM23" s="2">
        <f t="shared" si="10"/>
        <v>-3.7536584864775315E-6</v>
      </c>
      <c r="AN23" s="2">
        <f t="shared" si="11"/>
        <v>7.408852929521314E-5</v>
      </c>
      <c r="AO23" s="2">
        <f t="shared" si="12"/>
        <v>3.62396240234375E-2</v>
      </c>
    </row>
    <row r="24" spans="2:41" x14ac:dyDescent="0.2">
      <c r="B24" s="6" t="s">
        <v>183</v>
      </c>
      <c r="C24" s="17">
        <v>0.75</v>
      </c>
      <c r="F24" s="6" t="s">
        <v>91</v>
      </c>
      <c r="G24" s="17">
        <f>1000*0.3048</f>
        <v>304.8</v>
      </c>
      <c r="H24" s="6" t="s">
        <v>8</v>
      </c>
      <c r="J24" s="14" t="s">
        <v>63</v>
      </c>
      <c r="K24" s="6">
        <f xml:space="preserve"> $C$79 * ( 1.68 * ($C$5*2.20462)^0.567 * ($C$55*3.28084*3.28084)^1.249 * ($C$54)^0.482 ) / (639.95 * ($C$56*3.28084)^0.747 * (COS($C$57/180*PI()))^0.882 ) * 0.453592</f>
        <v>10.473732527977958</v>
      </c>
      <c r="L24" s="6" t="s">
        <v>7</v>
      </c>
      <c r="N24" s="6" t="s">
        <v>1</v>
      </c>
      <c r="O24" s="17">
        <v>8.8999999999999999E-3</v>
      </c>
      <c r="U24" s="2">
        <v>20</v>
      </c>
      <c r="V24" s="2">
        <f t="shared" si="7"/>
        <v>0.96009731292724609</v>
      </c>
      <c r="W24" s="2">
        <f t="shared" si="0"/>
        <v>6.8802375063903298E-7</v>
      </c>
      <c r="X24" s="2">
        <f t="shared" si="8"/>
        <v>0.9600982666015625</v>
      </c>
      <c r="Y24" s="2">
        <f t="shared" si="1"/>
        <v>-2.8343673630359945E-7</v>
      </c>
      <c r="Z24" s="2">
        <f t="shared" si="3"/>
        <v>0.9600977897644043</v>
      </c>
      <c r="AA24" s="2">
        <f t="shared" si="2"/>
        <v>2.0229350283784697E-7</v>
      </c>
      <c r="AB24" s="2">
        <f t="shared" si="4"/>
        <v>1.3918273455240334E-13</v>
      </c>
      <c r="AC24" s="2">
        <f t="shared" si="5"/>
        <v>-5.7337410219782275E-14</v>
      </c>
      <c r="AD24" s="2">
        <f t="shared" si="6"/>
        <v>9.5367431640625E-7</v>
      </c>
      <c r="AF24" s="2">
        <v>20</v>
      </c>
      <c r="AG24" s="2">
        <f t="shared" si="13"/>
        <v>3074.2454528808594</v>
      </c>
      <c r="AH24" s="2">
        <v>-6.3297111000792938E-4</v>
      </c>
      <c r="AI24" s="2">
        <f t="shared" si="14"/>
        <v>3074.2635726928711</v>
      </c>
      <c r="AJ24" s="2">
        <v>5.930220869686309E-3</v>
      </c>
      <c r="AK24" s="2">
        <f t="shared" si="9"/>
        <v>3074.2545127868652</v>
      </c>
      <c r="AL24" s="2">
        <v>2.6486284273232741E-3</v>
      </c>
      <c r="AM24" s="2">
        <f t="shared" si="10"/>
        <v>-1.676505275641369E-6</v>
      </c>
      <c r="AN24" s="2">
        <f t="shared" si="11"/>
        <v>1.5706951575756907E-5</v>
      </c>
      <c r="AO24" s="2">
        <f t="shared" si="12"/>
        <v>1.811981201171875E-2</v>
      </c>
    </row>
    <row r="25" spans="2:41" x14ac:dyDescent="0.2">
      <c r="B25" s="6" t="s">
        <v>155</v>
      </c>
      <c r="C25" s="17">
        <v>50</v>
      </c>
      <c r="D25" s="6" t="s">
        <v>58</v>
      </c>
      <c r="F25" s="6" t="s">
        <v>90</v>
      </c>
      <c r="G25" s="6">
        <f xml:space="preserve"> $G$24/$G$23</f>
        <v>200</v>
      </c>
      <c r="H25" s="6" t="s">
        <v>13</v>
      </c>
      <c r="J25" s="14" t="s">
        <v>112</v>
      </c>
      <c r="K25" s="6">
        <f>$C$79*(0.14*$G$10*1000/745.7)*0.453592</f>
        <v>42.990572170375394</v>
      </c>
      <c r="L25" s="6" t="s">
        <v>7</v>
      </c>
      <c r="N25" s="6" t="s">
        <v>30</v>
      </c>
      <c r="O25" s="6">
        <f xml:space="preserve"> ($C$30 * $O$24 / 8) * (1 + 4.65 * O22^2) * ( PI() * $C$71 * O21^3 * $C$10^5)</f>
        <v>6281.2396240221278</v>
      </c>
      <c r="P25" s="6" t="s">
        <v>18</v>
      </c>
      <c r="U25" s="2">
        <v>21</v>
      </c>
      <c r="V25" s="2">
        <f t="shared" si="7"/>
        <v>0.9600977897644043</v>
      </c>
      <c r="W25" s="2">
        <f t="shared" si="0"/>
        <v>2.0229350283784697E-7</v>
      </c>
      <c r="X25" s="2">
        <f t="shared" si="8"/>
        <v>0.9600982666015625</v>
      </c>
      <c r="Y25" s="2">
        <f t="shared" si="1"/>
        <v>-2.8343673630359945E-7</v>
      </c>
      <c r="Z25" s="2">
        <f t="shared" si="3"/>
        <v>0.9600980281829834</v>
      </c>
      <c r="AA25" s="2">
        <f t="shared" si="2"/>
        <v>-4.0571617843099261E-8</v>
      </c>
      <c r="AB25" s="2">
        <f t="shared" si="4"/>
        <v>-8.2073746892790425E-15</v>
      </c>
      <c r="AC25" s="2">
        <f t="shared" si="5"/>
        <v>1.1499486948004935E-14</v>
      </c>
      <c r="AD25" s="2">
        <f t="shared" si="6"/>
        <v>4.76837158203125E-7</v>
      </c>
      <c r="AF25" s="2">
        <v>21</v>
      </c>
      <c r="AG25" s="2">
        <f t="shared" si="13"/>
        <v>3074.2454528808594</v>
      </c>
      <c r="AH25" s="2">
        <v>-6.3297111000792938E-4</v>
      </c>
      <c r="AI25" s="2">
        <f t="shared" si="14"/>
        <v>3074.2545127868652</v>
      </c>
      <c r="AJ25" s="2">
        <v>2.6486284273232741E-3</v>
      </c>
      <c r="AK25" s="2">
        <f t="shared" si="9"/>
        <v>3074.2499828338623</v>
      </c>
      <c r="AL25" s="2">
        <v>1.0073218245452153E-3</v>
      </c>
      <c r="AM25" s="2">
        <f t="shared" si="10"/>
        <v>-6.376056134175977E-7</v>
      </c>
      <c r="AN25" s="2">
        <f t="shared" si="11"/>
        <v>2.6680212199536046E-6</v>
      </c>
      <c r="AO25" s="2">
        <f t="shared" si="12"/>
        <v>9.059906005859375E-3</v>
      </c>
    </row>
    <row r="26" spans="2:41" x14ac:dyDescent="0.2">
      <c r="F26" s="6" t="s">
        <v>19</v>
      </c>
      <c r="G26" s="6">
        <f xml:space="preserve"> $C$5 * $C$68 / $C$21</f>
        <v>3766.4989494115271</v>
      </c>
      <c r="H26" s="6" t="s">
        <v>20</v>
      </c>
      <c r="J26" s="15" t="s">
        <v>64</v>
      </c>
      <c r="K26" s="6">
        <f xml:space="preserve"> $C$80 * (0.0268 * $C$5)</f>
        <v>65.911389106172919</v>
      </c>
      <c r="L26" s="6" t="s">
        <v>7</v>
      </c>
      <c r="N26" s="6" t="s">
        <v>31</v>
      </c>
      <c r="O26" s="18">
        <f>Z34</f>
        <v>0.96009798860177398</v>
      </c>
      <c r="U26" s="2">
        <v>22</v>
      </c>
      <c r="V26" s="2">
        <f t="shared" si="7"/>
        <v>0.9600977897644043</v>
      </c>
      <c r="W26" s="2">
        <f t="shared" si="0"/>
        <v>2.0229350283784697E-7</v>
      </c>
      <c r="X26" s="2">
        <f t="shared" si="8"/>
        <v>0.9600980281829834</v>
      </c>
      <c r="Y26" s="2">
        <f t="shared" si="1"/>
        <v>-4.0571617843099261E-8</v>
      </c>
      <c r="Z26" s="2">
        <f t="shared" si="3"/>
        <v>0.96009790897369385</v>
      </c>
      <c r="AA26" s="2">
        <f t="shared" si="2"/>
        <v>8.0860942164306948E-8</v>
      </c>
      <c r="AB26" s="2">
        <f t="shared" si="4"/>
        <v>1.6357643233186208E-14</v>
      </c>
      <c r="AC26" s="2">
        <f t="shared" si="5"/>
        <v>-3.2806592439232132E-15</v>
      </c>
      <c r="AD26" s="2">
        <f t="shared" si="6"/>
        <v>2.384185791015625E-7</v>
      </c>
      <c r="AF26" s="2">
        <v>22</v>
      </c>
      <c r="AG26" s="2">
        <f t="shared" si="13"/>
        <v>3074.2454528808594</v>
      </c>
      <c r="AH26" s="2">
        <v>-6.3297111000792938E-4</v>
      </c>
      <c r="AI26" s="2">
        <f t="shared" si="14"/>
        <v>3074.2499828338623</v>
      </c>
      <c r="AJ26" s="2">
        <v>1.0073218245452153E-3</v>
      </c>
      <c r="AK26" s="2">
        <f t="shared" si="9"/>
        <v>3074.2477178573608</v>
      </c>
      <c r="AL26" s="2">
        <v>1.8717557895797654E-4</v>
      </c>
      <c r="AM26" s="2">
        <f t="shared" si="10"/>
        <v>-1.1847673397940724E-7</v>
      </c>
      <c r="AN26" s="2">
        <f t="shared" si="11"/>
        <v>1.8854604570625594E-7</v>
      </c>
      <c r="AO26" s="2">
        <f t="shared" si="12"/>
        <v>4.5299530029296875E-3</v>
      </c>
    </row>
    <row r="27" spans="2:41" x14ac:dyDescent="0.2">
      <c r="B27" s="33" t="s">
        <v>184</v>
      </c>
      <c r="C27" s="33"/>
      <c r="D27" s="33"/>
      <c r="F27" t="s">
        <v>97</v>
      </c>
      <c r="G27" s="6">
        <f>G29/$C$21</f>
        <v>72.22045217371334</v>
      </c>
      <c r="H27" t="s">
        <v>101</v>
      </c>
      <c r="J27" s="15" t="s">
        <v>65</v>
      </c>
      <c r="K27" s="6">
        <f xml:space="preserve"> $C$80 * (11.5 * ($C$5*2.20462/1000)^0.4 * 0.453592)</f>
        <v>8.9718289338017829</v>
      </c>
      <c r="L27" s="6" t="s">
        <v>7</v>
      </c>
      <c r="N27" s="6" t="s">
        <v>32</v>
      </c>
      <c r="O27" s="6">
        <f xml:space="preserve"> O21 * $C$10 * O26 - $C$7 * SIN(O19/180*PI())</f>
        <v>1.695507042071867</v>
      </c>
      <c r="P27" s="6" t="s">
        <v>10</v>
      </c>
      <c r="U27" s="2">
        <v>23</v>
      </c>
      <c r="V27" s="2">
        <f t="shared" si="7"/>
        <v>0.96009790897369385</v>
      </c>
      <c r="W27" s="2">
        <f t="shared" si="0"/>
        <v>8.0860942164306948E-8</v>
      </c>
      <c r="X27" s="2">
        <f t="shared" si="8"/>
        <v>0.9600980281829834</v>
      </c>
      <c r="Y27" s="2">
        <f t="shared" si="1"/>
        <v>-4.0571617843099261E-8</v>
      </c>
      <c r="Z27" s="2">
        <f t="shared" si="3"/>
        <v>0.96009796857833862</v>
      </c>
      <c r="AA27" s="2">
        <f t="shared" si="2"/>
        <v>2.0144662160603843E-8</v>
      </c>
      <c r="AB27" s="2">
        <f t="shared" si="4"/>
        <v>1.62891636188809E-15</v>
      </c>
      <c r="AC27" s="2">
        <f t="shared" si="5"/>
        <v>-8.1730153475836146E-16</v>
      </c>
      <c r="AD27" s="2">
        <f t="shared" si="6"/>
        <v>1.1920928955078125E-7</v>
      </c>
      <c r="AF27" s="2">
        <v>23</v>
      </c>
      <c r="AG27" s="2">
        <f t="shared" si="13"/>
        <v>3074.2454528808594</v>
      </c>
      <c r="AH27" s="2">
        <v>-6.3297111000792938E-4</v>
      </c>
      <c r="AI27" s="2">
        <f t="shared" si="14"/>
        <v>3074.2477178573608</v>
      </c>
      <c r="AJ27" s="2">
        <v>1.8717557895797654E-4</v>
      </c>
      <c r="AK27" s="2">
        <f t="shared" si="9"/>
        <v>3074.2465853691101</v>
      </c>
      <c r="AL27" s="2">
        <v>-2.2340543137033819E-4</v>
      </c>
      <c r="AM27" s="2">
        <f t="shared" si="10"/>
        <v>1.4140918387628327E-7</v>
      </c>
      <c r="AN27" s="2">
        <f t="shared" si="11"/>
        <v>-4.1816040959099544E-8</v>
      </c>
      <c r="AO27" s="2">
        <f t="shared" si="12"/>
        <v>2.2649765014648438E-3</v>
      </c>
    </row>
    <row r="28" spans="2:41" x14ac:dyDescent="0.2">
      <c r="B28" s="6" t="s">
        <v>185</v>
      </c>
      <c r="C28" s="17">
        <v>1</v>
      </c>
      <c r="F28" t="s">
        <v>146</v>
      </c>
      <c r="G28" s="6">
        <f xml:space="preserve"> (G26/$C$68*1000) / (G27*1000)</f>
        <v>5.3209048573362443</v>
      </c>
      <c r="H28" s="6" t="s">
        <v>147</v>
      </c>
      <c r="J28" s="15" t="s">
        <v>66</v>
      </c>
      <c r="K28" s="6">
        <f xml:space="preserve"> $C$80 * (8 * ($C$5/1000))</f>
        <v>19.675041524230721</v>
      </c>
      <c r="L28" s="6" t="s">
        <v>7</v>
      </c>
      <c r="N28" s="6" t="s">
        <v>33</v>
      </c>
      <c r="O28" s="6">
        <f xml:space="preserve"> 1/$C$31 - O25 * SQRT( (2*$C$71*PI()*$C$10^2) / O20^3 )</f>
        <v>1.1204990360402458</v>
      </c>
      <c r="U28" s="2">
        <v>24</v>
      </c>
      <c r="V28" s="2">
        <f t="shared" si="7"/>
        <v>0.96009796857833862</v>
      </c>
      <c r="W28" s="2">
        <f t="shared" si="0"/>
        <v>2.0144662160603843E-8</v>
      </c>
      <c r="X28" s="2">
        <f t="shared" si="8"/>
        <v>0.9600980281829834</v>
      </c>
      <c r="Y28" s="2">
        <f t="shared" si="1"/>
        <v>-4.0571617843099261E-8</v>
      </c>
      <c r="Z28" s="2">
        <f t="shared" si="3"/>
        <v>0.96009799838066101</v>
      </c>
      <c r="AA28" s="2">
        <f t="shared" si="2"/>
        <v>-1.0213477841247709E-8</v>
      </c>
      <c r="AB28" s="2">
        <f t="shared" si="4"/>
        <v>-2.0574706059674855E-16</v>
      </c>
      <c r="AC28" s="2">
        <f t="shared" si="5"/>
        <v>4.1437731982406447E-16</v>
      </c>
      <c r="AD28" s="2">
        <f t="shared" si="6"/>
        <v>5.9604644775390625E-8</v>
      </c>
      <c r="AF28" s="2">
        <v>24</v>
      </c>
      <c r="AG28" s="2">
        <f t="shared" si="13"/>
        <v>3074.2465853691101</v>
      </c>
      <c r="AH28" s="2">
        <v>-2.2340543137033819E-4</v>
      </c>
      <c r="AI28" s="2">
        <f t="shared" si="14"/>
        <v>3074.2477178573608</v>
      </c>
      <c r="AJ28" s="2">
        <v>1.8717557895797654E-4</v>
      </c>
      <c r="AK28" s="2">
        <f t="shared" si="9"/>
        <v>3074.2471516132355</v>
      </c>
      <c r="AL28" s="2">
        <v>-1.8622633433551528E-5</v>
      </c>
      <c r="AM28" s="2">
        <f t="shared" si="10"/>
        <v>4.1603974554742613E-9</v>
      </c>
      <c r="AN28" s="2">
        <f t="shared" si="11"/>
        <v>-3.4857021946471777E-9</v>
      </c>
      <c r="AO28" s="2">
        <f t="shared" si="12"/>
        <v>1.1324882507324219E-3</v>
      </c>
    </row>
    <row r="29" spans="2:41" x14ac:dyDescent="0.2">
      <c r="B29" s="6" t="s">
        <v>186</v>
      </c>
      <c r="C29" s="17">
        <v>6</v>
      </c>
      <c r="F29" s="25" t="s">
        <v>83</v>
      </c>
      <c r="G29" s="25">
        <f xml:space="preserve"> 1/1000 * IF( $G$23&gt;=2*SQRT(($C$5*$C$68)/(2*$C$65*$C$21*PI()*$C$8*$C$8)), ($C$5*$C$68)/$C$24 * ( ($G$23/2) - SQRT( ($G$23/2)^2 - ($C$5*$C$68)/(2*$C$65*$C$21*PI()*$C$8*$C$8 ) ) ), 1/$C$24 * SQRT(($C$5*$C$68)^3/(2*$C$65*$C$21*PI()*$C$8*$C$8)) )</f>
        <v>577.76361738970672</v>
      </c>
      <c r="H29" s="25" t="s">
        <v>101</v>
      </c>
      <c r="J29" s="15" t="s">
        <v>67</v>
      </c>
      <c r="K29" s="6">
        <f xml:space="preserve"> $C$80 * (13 * ($C$5*2.20462/1000)^1.3 * 0.453592)</f>
        <v>56.766089834800134</v>
      </c>
      <c r="L29" s="6" t="s">
        <v>7</v>
      </c>
      <c r="N29" s="6" t="s">
        <v>34</v>
      </c>
      <c r="O29" s="17">
        <v>1.1499999999999999</v>
      </c>
      <c r="U29" s="2">
        <v>25</v>
      </c>
      <c r="V29" s="2">
        <f t="shared" si="7"/>
        <v>0.96009796857833862</v>
      </c>
      <c r="W29" s="2">
        <f t="shared" si="0"/>
        <v>2.0144662160603843E-8</v>
      </c>
      <c r="X29" s="2">
        <f t="shared" si="8"/>
        <v>0.96009799838066101</v>
      </c>
      <c r="Y29" s="2">
        <f t="shared" si="1"/>
        <v>-1.0213477841247709E-8</v>
      </c>
      <c r="Z29" s="2">
        <f t="shared" si="3"/>
        <v>0.96009798347949982</v>
      </c>
      <c r="AA29" s="2">
        <f t="shared" si="2"/>
        <v>4.9655921596780672E-9</v>
      </c>
      <c r="AB29" s="2">
        <f t="shared" si="4"/>
        <v>1.0003017648405788E-16</v>
      </c>
      <c r="AC29" s="2">
        <f t="shared" si="5"/>
        <v>-5.0715965491545295E-17</v>
      </c>
      <c r="AD29" s="2">
        <f t="shared" si="6"/>
        <v>2.9802322387695312E-8</v>
      </c>
      <c r="AF29" s="2">
        <v>25</v>
      </c>
      <c r="AG29" s="2">
        <f t="shared" si="13"/>
        <v>3074.2471516132355</v>
      </c>
      <c r="AH29" s="2">
        <v>-1.8622633433551528E-5</v>
      </c>
      <c r="AI29" s="2">
        <f t="shared" si="14"/>
        <v>3074.2477178573608</v>
      </c>
      <c r="AJ29" s="2">
        <v>1.8717557895797654E-4</v>
      </c>
      <c r="AK29" s="2">
        <f t="shared" si="9"/>
        <v>3074.2474347352982</v>
      </c>
      <c r="AL29" s="2">
        <v>8.4784196587861516E-5</v>
      </c>
      <c r="AM29" s="2">
        <f t="shared" si="10"/>
        <v>-1.5789050140139152E-9</v>
      </c>
      <c r="AN29" s="2">
        <f t="shared" si="11"/>
        <v>1.5869531082819879E-8</v>
      </c>
      <c r="AO29" s="2">
        <f t="shared" si="12"/>
        <v>5.6624412536621094E-4</v>
      </c>
    </row>
    <row r="30" spans="2:41" x14ac:dyDescent="0.2">
      <c r="B30" s="6" t="s">
        <v>187</v>
      </c>
      <c r="C30" s="6">
        <f>$C$29*$C$11/PI()</f>
        <v>0.84998288907657626</v>
      </c>
      <c r="J30" s="10" t="s">
        <v>54</v>
      </c>
      <c r="K30" s="10">
        <f>$C$5 - $C$16 - SUM(K15:K29)</f>
        <v>-7.9562572186659963E-3</v>
      </c>
      <c r="L30" s="10" t="s">
        <v>7</v>
      </c>
      <c r="N30" s="6" t="s">
        <v>35</v>
      </c>
      <c r="O30" s="6">
        <f xml:space="preserve"> 1/$C$77 * LN( EXP($C$77 * O28) + EXP($C$77 * O29) )</f>
        <v>1.161516811710531</v>
      </c>
      <c r="U30" s="2">
        <v>26</v>
      </c>
      <c r="V30" s="2">
        <f>IF(AB29&gt;0, Z29, V29)</f>
        <v>0.96009798347949982</v>
      </c>
      <c r="W30" s="2">
        <f t="shared" si="0"/>
        <v>4.9655921596780672E-9</v>
      </c>
      <c r="X30" s="2">
        <f t="shared" si="8"/>
        <v>0.96009799838066101</v>
      </c>
      <c r="Y30" s="2">
        <f t="shared" si="1"/>
        <v>-1.0213477841247709E-8</v>
      </c>
      <c r="Z30" s="2">
        <f t="shared" si="3"/>
        <v>0.96009799093008041</v>
      </c>
      <c r="AA30" s="2">
        <f t="shared" si="2"/>
        <v>-2.6239428407848209E-9</v>
      </c>
      <c r="AB30" s="2">
        <f t="shared" si="4"/>
        <v>-1.3029429997644502E-17</v>
      </c>
      <c r="AC30" s="2">
        <f t="shared" si="5"/>
        <v>2.6799582061056333E-17</v>
      </c>
      <c r="AD30" s="2">
        <f t="shared" si="6"/>
        <v>1.4901161193847656E-8</v>
      </c>
      <c r="AF30" s="2">
        <v>26</v>
      </c>
      <c r="AG30" s="2">
        <f t="shared" si="13"/>
        <v>3074.2471516132355</v>
      </c>
      <c r="AH30" s="2">
        <v>-1.8622633433551528E-5</v>
      </c>
      <c r="AI30" s="2">
        <f t="shared" si="14"/>
        <v>3074.2474347352982</v>
      </c>
      <c r="AJ30" s="2">
        <v>8.4784196587861516E-5</v>
      </c>
      <c r="AK30" s="2">
        <f t="shared" si="9"/>
        <v>3074.2472931742668</v>
      </c>
      <c r="AL30" s="2">
        <v>3.3080782031902345E-5</v>
      </c>
      <c r="AM30" s="2">
        <f t="shared" si="10"/>
        <v>-6.1605127747533524E-10</v>
      </c>
      <c r="AN30" s="2">
        <f t="shared" si="11"/>
        <v>2.8047275270730053E-9</v>
      </c>
      <c r="AO30" s="2">
        <f t="shared" si="12"/>
        <v>2.8312206268310547E-4</v>
      </c>
    </row>
    <row r="31" spans="2:41" x14ac:dyDescent="0.2">
      <c r="B31" s="6" t="s">
        <v>188</v>
      </c>
      <c r="C31" s="17">
        <v>0.75</v>
      </c>
      <c r="F31" s="31" t="s">
        <v>156</v>
      </c>
      <c r="G31" s="32"/>
      <c r="H31" s="32"/>
      <c r="J31" s="6" t="s">
        <v>55</v>
      </c>
      <c r="K31" s="4" t="str">
        <f>IF(ABS(K30)&lt;1, "TRUE", "FALSE")</f>
        <v>TRUE</v>
      </c>
      <c r="U31" s="2">
        <v>27</v>
      </c>
      <c r="V31" s="2">
        <f t="shared" si="7"/>
        <v>0.96009798347949982</v>
      </c>
      <c r="W31" s="2">
        <f t="shared" si="0"/>
        <v>4.9655921596780672E-9</v>
      </c>
      <c r="X31" s="2">
        <f t="shared" si="8"/>
        <v>0.96009799093008041</v>
      </c>
      <c r="Y31" s="2">
        <f t="shared" si="1"/>
        <v>-2.6239428407848209E-9</v>
      </c>
      <c r="Z31" s="2">
        <f t="shared" si="3"/>
        <v>0.96009798720479012</v>
      </c>
      <c r="AA31" s="2">
        <f t="shared" si="2"/>
        <v>1.1708246594466232E-9</v>
      </c>
      <c r="AB31" s="2">
        <f t="shared" si="4"/>
        <v>5.8138377493058951E-18</v>
      </c>
      <c r="AC31" s="2">
        <f t="shared" si="5"/>
        <v>-3.0721769829692929E-18</v>
      </c>
      <c r="AD31" s="2">
        <f t="shared" si="6"/>
        <v>7.4505805969238281E-9</v>
      </c>
      <c r="AF31" s="2">
        <v>27</v>
      </c>
      <c r="AG31" s="2">
        <f t="shared" si="13"/>
        <v>3074.2471516132355</v>
      </c>
      <c r="AH31" s="2">
        <v>-1.8622633433551528E-5</v>
      </c>
      <c r="AI31" s="2">
        <f t="shared" si="14"/>
        <v>3074.2472931742668</v>
      </c>
      <c r="AJ31" s="2">
        <v>3.3080782031902345E-5</v>
      </c>
      <c r="AK31" s="2">
        <f t="shared" si="9"/>
        <v>3074.2472223937511</v>
      </c>
      <c r="AL31" s="2">
        <v>7.2290740718017332E-6</v>
      </c>
      <c r="AM31" s="2">
        <f t="shared" si="10"/>
        <v>-1.3462439650315543E-10</v>
      </c>
      <c r="AN31" s="2">
        <f t="shared" si="11"/>
        <v>2.391434236617499E-10</v>
      </c>
      <c r="AO31" s="2">
        <f t="shared" si="12"/>
        <v>1.4156103134155273E-4</v>
      </c>
    </row>
    <row r="32" spans="2:41" x14ac:dyDescent="0.2">
      <c r="B32" s="6" t="s">
        <v>155</v>
      </c>
      <c r="C32" s="17">
        <v>50</v>
      </c>
      <c r="D32" s="6" t="s">
        <v>58</v>
      </c>
      <c r="F32" s="9" t="s">
        <v>157</v>
      </c>
      <c r="G32" s="17">
        <f>20*60</f>
        <v>1200</v>
      </c>
      <c r="H32" s="6" t="s">
        <v>13</v>
      </c>
      <c r="U32" s="2">
        <v>28</v>
      </c>
      <c r="V32" s="2">
        <f t="shared" si="7"/>
        <v>0.96009798720479012</v>
      </c>
      <c r="W32" s="2">
        <f t="shared" si="0"/>
        <v>1.1708246594466232E-9</v>
      </c>
      <c r="X32" s="2">
        <f t="shared" si="8"/>
        <v>0.96009799093008041</v>
      </c>
      <c r="Y32" s="2">
        <f t="shared" si="1"/>
        <v>-2.6239428407848209E-9</v>
      </c>
      <c r="Z32" s="2">
        <f t="shared" si="3"/>
        <v>0.96009798906743526</v>
      </c>
      <c r="AA32" s="2">
        <f t="shared" si="2"/>
        <v>-7.2655914618025008E-10</v>
      </c>
      <c r="AB32" s="2">
        <f t="shared" si="4"/>
        <v>-8.5067336489432061E-19</v>
      </c>
      <c r="AC32" s="2">
        <f t="shared" si="5"/>
        <v>1.9064496700263993E-18</v>
      </c>
      <c r="AD32" s="2">
        <f t="shared" si="6"/>
        <v>3.7252902984619141E-9</v>
      </c>
      <c r="AF32" s="2">
        <v>28</v>
      </c>
      <c r="AG32" s="2">
        <f t="shared" si="13"/>
        <v>3074.2471516132355</v>
      </c>
      <c r="AH32" s="2">
        <v>-1.8622633433551528E-5</v>
      </c>
      <c r="AI32" s="2">
        <f t="shared" si="14"/>
        <v>3074.2472223937511</v>
      </c>
      <c r="AJ32" s="2">
        <v>7.2290740718017332E-6</v>
      </c>
      <c r="AK32" s="2">
        <f t="shared" si="9"/>
        <v>3074.2471870034933</v>
      </c>
      <c r="AL32" s="2">
        <v>-5.6967796808748972E-6</v>
      </c>
      <c r="AM32" s="2">
        <f t="shared" si="10"/>
        <v>1.0608903974863786E-10</v>
      </c>
      <c r="AN32" s="2">
        <f t="shared" si="11"/>
        <v>-4.1182442283779671E-11</v>
      </c>
      <c r="AO32" s="2">
        <f t="shared" si="12"/>
        <v>7.0780515670776367E-5</v>
      </c>
    </row>
    <row r="33" spans="2:41" x14ac:dyDescent="0.2">
      <c r="F33" s="26" t="s">
        <v>132</v>
      </c>
      <c r="G33" s="25">
        <f xml:space="preserve"> G20</f>
        <v>221.85057252597338</v>
      </c>
      <c r="H33" s="25" t="s">
        <v>101</v>
      </c>
      <c r="J33" s="27" t="s">
        <v>56</v>
      </c>
      <c r="K33" s="27"/>
      <c r="L33" s="27"/>
      <c r="U33" s="2">
        <v>29</v>
      </c>
      <c r="V33" s="2">
        <f t="shared" si="7"/>
        <v>0.96009798720479012</v>
      </c>
      <c r="W33" s="2">
        <f t="shared" si="0"/>
        <v>1.1708246594466232E-9</v>
      </c>
      <c r="X33" s="2">
        <f t="shared" si="8"/>
        <v>0.96009798906743526</v>
      </c>
      <c r="Y33" s="2">
        <f t="shared" si="1"/>
        <v>-7.2655914618025008E-10</v>
      </c>
      <c r="Z33" s="2">
        <f t="shared" si="3"/>
        <v>0.96009798813611269</v>
      </c>
      <c r="AA33" s="2">
        <f t="shared" si="2"/>
        <v>2.2213275663318655E-10</v>
      </c>
      <c r="AB33" s="2">
        <f t="shared" si="4"/>
        <v>2.6007850913699026E-19</v>
      </c>
      <c r="AC33" s="2">
        <f t="shared" si="5"/>
        <v>-1.613925859980733E-19</v>
      </c>
      <c r="AD33" s="2">
        <f t="shared" si="6"/>
        <v>1.862645149230957E-9</v>
      </c>
      <c r="AF33" s="2">
        <v>29</v>
      </c>
      <c r="AG33" s="2">
        <f t="shared" si="13"/>
        <v>3074.2471870034933</v>
      </c>
      <c r="AH33" s="2">
        <v>-5.6967796808748972E-6</v>
      </c>
      <c r="AI33" s="2">
        <f t="shared" si="14"/>
        <v>3074.2472223937511</v>
      </c>
      <c r="AJ33" s="2">
        <v>7.2290740718017332E-6</v>
      </c>
      <c r="AK33" s="2">
        <f t="shared" si="9"/>
        <v>3074.2472046986222</v>
      </c>
      <c r="AL33" s="2">
        <v>-1.215970769408159E-5</v>
      </c>
      <c r="AM33" s="2">
        <f t="shared" si="10"/>
        <v>6.927117571702215E-11</v>
      </c>
      <c r="AN33" s="2">
        <f t="shared" si="11"/>
        <v>-8.7903427611973261E-11</v>
      </c>
      <c r="AO33" s="2">
        <f t="shared" si="12"/>
        <v>3.5390257835388184E-5</v>
      </c>
    </row>
    <row r="34" spans="2:41" x14ac:dyDescent="0.2">
      <c r="B34" s="33" t="s">
        <v>104</v>
      </c>
      <c r="C34" s="33"/>
      <c r="D34" s="33"/>
      <c r="J34" s="6" t="s">
        <v>57</v>
      </c>
      <c r="K34" s="6">
        <f>ROUND($C$16/$C$5 * 100, 2)</f>
        <v>19.52</v>
      </c>
      <c r="L34" s="6" t="s">
        <v>58</v>
      </c>
      <c r="U34" s="2">
        <v>30</v>
      </c>
      <c r="V34" s="2">
        <f t="shared" si="7"/>
        <v>0.96009798813611269</v>
      </c>
      <c r="W34" s="2">
        <f t="shared" si="0"/>
        <v>2.2213275663318655E-10</v>
      </c>
      <c r="X34" s="2">
        <f t="shared" si="8"/>
        <v>0.96009798906743526</v>
      </c>
      <c r="Y34" s="2">
        <f t="shared" si="1"/>
        <v>-7.2655914618025008E-10</v>
      </c>
      <c r="Z34" s="2">
        <f t="shared" si="3"/>
        <v>0.96009798860177398</v>
      </c>
      <c r="AA34" s="2">
        <f t="shared" si="2"/>
        <v>-2.5221313926238054E-10</v>
      </c>
      <c r="AB34" s="2">
        <f t="shared" si="4"/>
        <v>-5.6024799883462362E-20</v>
      </c>
      <c r="AC34" s="2">
        <f t="shared" si="5"/>
        <v>1.8324776311791571E-19</v>
      </c>
      <c r="AD34" s="2">
        <f t="shared" si="6"/>
        <v>9.3132257461547852E-10</v>
      </c>
      <c r="AF34" s="2">
        <v>30</v>
      </c>
      <c r="AG34" s="2">
        <f t="shared" si="13"/>
        <v>3074.2472046986222</v>
      </c>
      <c r="AH34" s="2">
        <v>7.6614787758444436E-7</v>
      </c>
      <c r="AI34" s="2">
        <f t="shared" si="14"/>
        <v>3074.2472223937511</v>
      </c>
      <c r="AJ34" s="2">
        <v>7.6614787758444436E-7</v>
      </c>
      <c r="AK34" s="2">
        <f t="shared" si="9"/>
        <v>3074.2472135461867</v>
      </c>
      <c r="AL34" s="2">
        <v>-1.215970769408159E-5</v>
      </c>
      <c r="AM34" s="2">
        <f t="shared" si="10"/>
        <v>-9.3161342418678479E-12</v>
      </c>
      <c r="AN34" s="2">
        <f t="shared" si="11"/>
        <v>-9.3161342418678479E-12</v>
      </c>
      <c r="AO34" s="2">
        <f t="shared" si="12"/>
        <v>1.7695128917694092E-5</v>
      </c>
    </row>
    <row r="35" spans="2:41" x14ac:dyDescent="0.2">
      <c r="B35" s="6" t="s">
        <v>105</v>
      </c>
      <c r="C35" s="17">
        <v>6</v>
      </c>
      <c r="J35" s="11" t="s">
        <v>52</v>
      </c>
      <c r="K35" s="6">
        <f>ROUND(K15/$C$5 * 100, 2)</f>
        <v>37.58</v>
      </c>
      <c r="L35" s="6" t="s">
        <v>58</v>
      </c>
      <c r="AF35" s="2">
        <v>31</v>
      </c>
      <c r="AG35" s="2">
        <f t="shared" si="13"/>
        <v>3074.2472046986222</v>
      </c>
      <c r="AH35" s="2">
        <v>3.9976102925720625E-6</v>
      </c>
      <c r="AI35" s="2">
        <f t="shared" si="14"/>
        <v>3074.2472223937511</v>
      </c>
      <c r="AJ35" s="2">
        <v>7.6614787758444436E-7</v>
      </c>
      <c r="AK35" s="2">
        <f t="shared" si="9"/>
        <v>3074.2472135461867</v>
      </c>
      <c r="AL35" s="2">
        <v>-1.215970769408159E-5</v>
      </c>
      <c r="AM35" s="2">
        <f t="shared" si="10"/>
        <v>-4.8609772632528262E-11</v>
      </c>
      <c r="AN35" s="2">
        <f t="shared" si="11"/>
        <v>-9.3161342418678479E-12</v>
      </c>
      <c r="AO35" s="2">
        <f t="shared" si="12"/>
        <v>1.7695128917694092E-5</v>
      </c>
    </row>
    <row r="36" spans="2:41" x14ac:dyDescent="0.2">
      <c r="B36" s="6" t="s">
        <v>106</v>
      </c>
      <c r="C36" s="17">
        <v>9.1440000000000001</v>
      </c>
      <c r="D36" s="6" t="s">
        <v>8</v>
      </c>
      <c r="J36" s="19" t="s">
        <v>78</v>
      </c>
      <c r="K36" s="6">
        <f>ROUND(SUM(K16:K19)/$C$5 * 100, 2)</f>
        <v>18.53</v>
      </c>
      <c r="L36" s="6" t="s">
        <v>58</v>
      </c>
      <c r="AF36" s="2">
        <v>32</v>
      </c>
      <c r="AG36" s="2">
        <f t="shared" si="13"/>
        <v>3074.2472046986222</v>
      </c>
      <c r="AH36" s="2">
        <v>5.6133426369342487E-6</v>
      </c>
      <c r="AI36" s="2">
        <f t="shared" si="14"/>
        <v>3074.2472223937511</v>
      </c>
      <c r="AJ36" s="2">
        <v>7.6614787758444436E-7</v>
      </c>
      <c r="AK36" s="2">
        <f t="shared" si="9"/>
        <v>3074.2472135461867</v>
      </c>
      <c r="AL36" s="2">
        <v>-1.215970769408159E-5</v>
      </c>
      <c r="AM36" s="2">
        <f t="shared" si="10"/>
        <v>-6.8256605651845623E-11</v>
      </c>
      <c r="AN36" s="2">
        <f t="shared" si="11"/>
        <v>-9.3161342418678479E-12</v>
      </c>
      <c r="AO36" s="2">
        <f t="shared" si="12"/>
        <v>1.7695128917694092E-5</v>
      </c>
    </row>
    <row r="37" spans="2:41" x14ac:dyDescent="0.2">
      <c r="B37" s="6" t="s">
        <v>107</v>
      </c>
      <c r="C37" s="17">
        <v>1.8675309360000001</v>
      </c>
      <c r="D37" s="6" t="s">
        <v>8</v>
      </c>
      <c r="J37" s="20" t="s">
        <v>69</v>
      </c>
      <c r="K37" s="6">
        <f>ROUND(SUM(K20:K25)/$C$5 * 100, 2)</f>
        <v>19.45</v>
      </c>
      <c r="L37" s="6" t="s">
        <v>58</v>
      </c>
      <c r="AF37" s="2">
        <v>33</v>
      </c>
      <c r="AG37" s="2">
        <f t="shared" si="13"/>
        <v>3074.2472046986222</v>
      </c>
      <c r="AH37" s="2">
        <v>6.4212081269943155E-6</v>
      </c>
      <c r="AI37" s="2">
        <f t="shared" si="14"/>
        <v>3074.2472223937511</v>
      </c>
      <c r="AJ37" s="2">
        <v>7.6614787758444436E-7</v>
      </c>
      <c r="AK37" s="2">
        <f t="shared" si="9"/>
        <v>3074.2472135461867</v>
      </c>
      <c r="AL37" s="2">
        <v>-1.215970769408159E-5</v>
      </c>
      <c r="AM37" s="2">
        <f t="shared" si="10"/>
        <v>-7.8080013867112011E-11</v>
      </c>
      <c r="AN37" s="2">
        <f t="shared" si="11"/>
        <v>-9.3161342418678479E-12</v>
      </c>
      <c r="AO37" s="2">
        <f t="shared" si="12"/>
        <v>1.7695128917694092E-5</v>
      </c>
    </row>
    <row r="38" spans="2:41" x14ac:dyDescent="0.2">
      <c r="J38" s="15" t="s">
        <v>70</v>
      </c>
      <c r="K38" s="6">
        <f>ROUND(SUM(K26:K29)/$C$5*100, 2)</f>
        <v>4.92</v>
      </c>
      <c r="L38" s="6" t="s">
        <v>58</v>
      </c>
      <c r="AF38" s="2">
        <v>34</v>
      </c>
      <c r="AG38" s="2">
        <f t="shared" si="13"/>
        <v>3074.2472046986222</v>
      </c>
      <c r="AH38" s="2">
        <v>6.8251420088927262E-6</v>
      </c>
      <c r="AI38" s="2">
        <f t="shared" si="14"/>
        <v>3074.2472223937511</v>
      </c>
      <c r="AJ38" s="2">
        <v>7.6614787758444436E-7</v>
      </c>
      <c r="AK38" s="2">
        <f t="shared" si="9"/>
        <v>3074.2472135461867</v>
      </c>
      <c r="AL38" s="2">
        <v>-1.215970769408159E-5</v>
      </c>
      <c r="AM38" s="2">
        <f t="shared" si="10"/>
        <v>-8.2991731798732359E-11</v>
      </c>
      <c r="AN38" s="2">
        <f t="shared" si="11"/>
        <v>-9.3161342418678479E-12</v>
      </c>
      <c r="AO38" s="2">
        <f t="shared" si="12"/>
        <v>1.7695128917694092E-5</v>
      </c>
    </row>
    <row r="39" spans="2:41" x14ac:dyDescent="0.2">
      <c r="B39" s="33" t="s">
        <v>108</v>
      </c>
      <c r="C39" s="33"/>
      <c r="D39" s="33"/>
      <c r="J39" s="10" t="s">
        <v>59</v>
      </c>
      <c r="K39" s="10">
        <f>SUM(K34:K38)</f>
        <v>100</v>
      </c>
      <c r="L39" s="10" t="s">
        <v>58</v>
      </c>
      <c r="AF39" s="2">
        <v>35</v>
      </c>
      <c r="AG39" s="2">
        <f t="shared" si="13"/>
        <v>3074.2472046986222</v>
      </c>
      <c r="AH39" s="2">
        <v>7.0271080403472297E-6</v>
      </c>
      <c r="AI39" s="2">
        <f t="shared" si="14"/>
        <v>3074.2472223937511</v>
      </c>
      <c r="AJ39" s="2">
        <v>7.6614787758444436E-7</v>
      </c>
      <c r="AK39" s="2">
        <f t="shared" si="9"/>
        <v>3074.2472135461867</v>
      </c>
      <c r="AL39" s="2">
        <v>-1.215970769408159E-5</v>
      </c>
      <c r="AM39" s="2">
        <f t="shared" si="10"/>
        <v>-8.544757970535281E-11</v>
      </c>
      <c r="AN39" s="2">
        <f t="shared" si="11"/>
        <v>-9.3161342418678479E-12</v>
      </c>
      <c r="AO39" s="2">
        <f t="shared" si="12"/>
        <v>1.7695128917694092E-5</v>
      </c>
    </row>
    <row r="40" spans="2:41" x14ac:dyDescent="0.2">
      <c r="B40" s="6" t="s">
        <v>116</v>
      </c>
      <c r="C40" s="22" t="s">
        <v>189</v>
      </c>
      <c r="AF40" s="2">
        <v>36</v>
      </c>
      <c r="AG40" s="2">
        <f t="shared" si="13"/>
        <v>3074.2472046986222</v>
      </c>
      <c r="AH40" s="2">
        <v>7.1280915108218323E-6</v>
      </c>
      <c r="AI40" s="2">
        <f t="shared" si="14"/>
        <v>3074.2472223937511</v>
      </c>
      <c r="AJ40" s="2">
        <v>7.6614787758444436E-7</v>
      </c>
      <c r="AK40" s="2">
        <f t="shared" si="9"/>
        <v>3074.2472135461867</v>
      </c>
      <c r="AL40" s="2">
        <v>-1.215970769408159E-5</v>
      </c>
      <c r="AM40" s="2">
        <f t="shared" si="10"/>
        <v>-8.6675509188257897E-11</v>
      </c>
      <c r="AN40" s="2">
        <f t="shared" si="11"/>
        <v>-9.3161342418678479E-12</v>
      </c>
      <c r="AO40" s="2">
        <f t="shared" si="12"/>
        <v>1.7695128917694092E-5</v>
      </c>
    </row>
    <row r="41" spans="2:41" x14ac:dyDescent="0.2">
      <c r="B41" s="6" t="s">
        <v>117</v>
      </c>
      <c r="C41" s="6">
        <f>IF(C40="wheeled",0.0325,0.014)</f>
        <v>3.2500000000000001E-2</v>
      </c>
      <c r="J41" s="33" t="s">
        <v>111</v>
      </c>
      <c r="K41" s="33"/>
      <c r="L41" s="33"/>
      <c r="AF41" s="2">
        <v>37</v>
      </c>
      <c r="AG41" s="2">
        <f t="shared" si="13"/>
        <v>3074.2472046986222</v>
      </c>
      <c r="AH41" s="2">
        <v>7.1785830186854582E-6</v>
      </c>
      <c r="AI41" s="2">
        <f t="shared" si="14"/>
        <v>3074.2472223937511</v>
      </c>
      <c r="AJ41" s="2">
        <v>7.6614787758444436E-7</v>
      </c>
      <c r="AK41" s="2">
        <f t="shared" si="9"/>
        <v>3074.2472135461867</v>
      </c>
      <c r="AL41" s="2">
        <v>-1.215970769408159E-5</v>
      </c>
      <c r="AM41" s="2">
        <f t="shared" si="10"/>
        <v>-8.728947116491301E-11</v>
      </c>
      <c r="AN41" s="2">
        <f t="shared" si="11"/>
        <v>-9.3161342418678479E-12</v>
      </c>
      <c r="AO41" s="2">
        <f t="shared" si="12"/>
        <v>1.7695128917694092E-5</v>
      </c>
    </row>
    <row r="42" spans="2:41" x14ac:dyDescent="0.2">
      <c r="B42" s="6" t="s">
        <v>190</v>
      </c>
      <c r="C42" s="17">
        <v>0.30480000000000002</v>
      </c>
      <c r="D42" s="6" t="s">
        <v>8</v>
      </c>
      <c r="J42" s="6" t="s">
        <v>57</v>
      </c>
      <c r="K42" s="6">
        <f>ROUND(C16,2)</f>
        <v>600</v>
      </c>
      <c r="L42" s="6" t="s">
        <v>7</v>
      </c>
      <c r="AF42" s="2">
        <v>38</v>
      </c>
      <c r="AG42" s="2">
        <f t="shared" si="13"/>
        <v>3074.2472046986222</v>
      </c>
      <c r="AH42" s="2">
        <v>7.2038283178699203E-6</v>
      </c>
      <c r="AI42" s="2">
        <f t="shared" si="14"/>
        <v>3074.2472223937511</v>
      </c>
      <c r="AJ42" s="2">
        <v>7.6614787758444436E-7</v>
      </c>
      <c r="AK42" s="2">
        <f t="shared" si="9"/>
        <v>3074.2472135461867</v>
      </c>
      <c r="AL42" s="2">
        <v>-1.215970769408159E-5</v>
      </c>
      <c r="AM42" s="2">
        <f t="shared" si="10"/>
        <v>-8.7596446623645705E-11</v>
      </c>
      <c r="AN42" s="2">
        <f t="shared" si="11"/>
        <v>-9.3161342418678479E-12</v>
      </c>
      <c r="AO42" s="2">
        <f t="shared" si="12"/>
        <v>1.7695128917694092E-5</v>
      </c>
    </row>
    <row r="43" spans="2:41" x14ac:dyDescent="0.2">
      <c r="B43" s="6" t="s">
        <v>191</v>
      </c>
      <c r="C43" s="17">
        <v>5.7</v>
      </c>
      <c r="J43" s="11" t="s">
        <v>52</v>
      </c>
      <c r="K43" s="6">
        <f>ROUND(K15, 2)</f>
        <v>1155.3599999999999</v>
      </c>
      <c r="L43" s="6" t="s">
        <v>7</v>
      </c>
      <c r="AF43" s="2">
        <v>39</v>
      </c>
      <c r="AG43" s="2">
        <f t="shared" si="13"/>
        <v>3074.2472046986222</v>
      </c>
      <c r="AH43" s="2">
        <v>7.2164516495831776E-6</v>
      </c>
      <c r="AI43" s="2">
        <f t="shared" si="14"/>
        <v>3074.2472223937511</v>
      </c>
      <c r="AJ43" s="2">
        <v>7.6614787758444436E-7</v>
      </c>
      <c r="AK43" s="2">
        <f t="shared" si="9"/>
        <v>3074.2472135461867</v>
      </c>
      <c r="AL43" s="2">
        <v>-1.215970769408159E-5</v>
      </c>
      <c r="AM43" s="2">
        <f t="shared" si="10"/>
        <v>-8.7749942647404344E-11</v>
      </c>
      <c r="AN43" s="2">
        <f t="shared" si="11"/>
        <v>-9.3161342418678479E-12</v>
      </c>
      <c r="AO43" s="2">
        <f t="shared" si="12"/>
        <v>1.7695128917694092E-5</v>
      </c>
    </row>
    <row r="44" spans="2:41" x14ac:dyDescent="0.2">
      <c r="J44" s="19" t="s">
        <v>78</v>
      </c>
      <c r="K44" s="6">
        <f>ROUND(SUM(K16:K19), 2)</f>
        <v>569.64</v>
      </c>
      <c r="L44" s="6" t="s">
        <v>7</v>
      </c>
      <c r="AF44" s="2">
        <v>40</v>
      </c>
      <c r="AG44" s="2">
        <f t="shared" si="13"/>
        <v>3074.2472046986222</v>
      </c>
      <c r="AH44" s="2">
        <v>7.22276263331878E-6</v>
      </c>
      <c r="AI44" s="2">
        <f t="shared" si="14"/>
        <v>3074.2472223937511</v>
      </c>
      <c r="AJ44" s="2">
        <v>7.6614787758444436E-7</v>
      </c>
      <c r="AK44" s="5">
        <f t="shared" si="9"/>
        <v>3074.2472135461867</v>
      </c>
      <c r="AL44" s="2">
        <v>-1.215970769408159E-5</v>
      </c>
      <c r="AM44" s="2">
        <f t="shared" si="10"/>
        <v>-8.7826682364891372E-11</v>
      </c>
      <c r="AN44" s="2">
        <f t="shared" si="11"/>
        <v>-9.3161342418678479E-12</v>
      </c>
      <c r="AO44" s="2">
        <f t="shared" si="12"/>
        <v>1.7695128917694092E-5</v>
      </c>
    </row>
    <row r="45" spans="2:41" x14ac:dyDescent="0.2">
      <c r="B45" s="33" t="s">
        <v>192</v>
      </c>
      <c r="C45" s="33"/>
      <c r="D45" s="33"/>
      <c r="J45" s="20" t="s">
        <v>69</v>
      </c>
      <c r="K45" s="6">
        <f>ROUND(SUM(K20:K25), 2)</f>
        <v>597.91</v>
      </c>
      <c r="L45" s="6" t="s">
        <v>7</v>
      </c>
    </row>
    <row r="46" spans="2:41" x14ac:dyDescent="0.2">
      <c r="B46" s="6" t="s">
        <v>191</v>
      </c>
      <c r="C46" s="17">
        <v>3</v>
      </c>
      <c r="J46" s="15" t="s">
        <v>70</v>
      </c>
      <c r="K46" s="6">
        <f>ROUND(SUM(K26:K29), 2)</f>
        <v>151.32</v>
      </c>
      <c r="L46" s="6" t="s">
        <v>7</v>
      </c>
    </row>
    <row r="47" spans="2:41" x14ac:dyDescent="0.2">
      <c r="J47" s="10" t="s">
        <v>59</v>
      </c>
      <c r="K47" s="10">
        <f>SUM(K42:K46)</f>
        <v>3074.23</v>
      </c>
      <c r="L47" s="6" t="s">
        <v>7</v>
      </c>
    </row>
    <row r="48" spans="2:41" x14ac:dyDescent="0.2">
      <c r="B48" s="33" t="s">
        <v>193</v>
      </c>
      <c r="C48" s="33"/>
      <c r="D48" s="33"/>
    </row>
    <row r="49" spans="2:4" x14ac:dyDescent="0.2">
      <c r="B49" s="6" t="s">
        <v>194</v>
      </c>
      <c r="C49" s="17">
        <v>4.3036300000000001</v>
      </c>
    </row>
    <row r="50" spans="2:4" x14ac:dyDescent="0.2">
      <c r="B50" s="6" t="s">
        <v>195</v>
      </c>
      <c r="C50" s="17">
        <f>39.5112*0.3048^2</f>
        <v>3.6707105940480003</v>
      </c>
      <c r="D50" s="6" t="s">
        <v>174</v>
      </c>
    </row>
    <row r="51" spans="2:4" x14ac:dyDescent="0.2">
      <c r="B51" s="6" t="s">
        <v>196</v>
      </c>
      <c r="C51" s="17">
        <f>0.15*3.7875*0.3048</f>
        <v>0.1731645</v>
      </c>
      <c r="D51" s="6" t="s">
        <v>8</v>
      </c>
    </row>
    <row r="53" spans="2:4" x14ac:dyDescent="0.2">
      <c r="B53" s="33" t="s">
        <v>197</v>
      </c>
      <c r="C53" s="33"/>
      <c r="D53" s="33"/>
    </row>
    <row r="54" spans="2:4" x14ac:dyDescent="0.2">
      <c r="B54" s="6" t="s">
        <v>198</v>
      </c>
      <c r="C54" s="17">
        <v>1.1798999999999999</v>
      </c>
    </row>
    <row r="55" spans="2:4" x14ac:dyDescent="0.2">
      <c r="B55" s="6" t="s">
        <v>199</v>
      </c>
      <c r="C55" s="17">
        <f>27.34325*0.3048^2</f>
        <v>2.5402710484800002</v>
      </c>
      <c r="D55" s="6" t="s">
        <v>174</v>
      </c>
    </row>
    <row r="56" spans="2:4" x14ac:dyDescent="0.2">
      <c r="B56" s="6" t="s">
        <v>200</v>
      </c>
      <c r="C56" s="17">
        <f>0.115*9.73719*0.3048</f>
        <v>0.34130798388000005</v>
      </c>
      <c r="D56" s="6" t="s">
        <v>8</v>
      </c>
    </row>
    <row r="57" spans="2:4" x14ac:dyDescent="0.2">
      <c r="B57" s="6" t="s">
        <v>201</v>
      </c>
      <c r="C57" s="17">
        <v>35</v>
      </c>
      <c r="D57" s="6" t="s">
        <v>40</v>
      </c>
    </row>
    <row r="59" spans="2:4" x14ac:dyDescent="0.2">
      <c r="B59" s="31" t="s">
        <v>2</v>
      </c>
      <c r="C59" s="32"/>
      <c r="D59" s="32"/>
    </row>
    <row r="60" spans="2:4" x14ac:dyDescent="0.2">
      <c r="B60" s="6" t="s">
        <v>3</v>
      </c>
      <c r="C60" s="17">
        <v>250</v>
      </c>
      <c r="D60" s="6" t="s">
        <v>4</v>
      </c>
    </row>
    <row r="61" spans="2:4" x14ac:dyDescent="0.2">
      <c r="B61" s="6" t="s">
        <v>5</v>
      </c>
      <c r="C61" s="17">
        <v>0.85</v>
      </c>
    </row>
    <row r="62" spans="2:4" x14ac:dyDescent="0.2">
      <c r="B62" s="6" t="s">
        <v>6</v>
      </c>
      <c r="C62" s="17">
        <v>0.8</v>
      </c>
    </row>
    <row r="64" spans="2:4" x14ac:dyDescent="0.2">
      <c r="B64" s="33" t="s">
        <v>144</v>
      </c>
      <c r="C64" s="36"/>
      <c r="D64" s="36"/>
    </row>
    <row r="65" spans="2:4" x14ac:dyDescent="0.2">
      <c r="B65" s="6" t="s">
        <v>14</v>
      </c>
      <c r="C65" s="17">
        <v>1.0397562309141399</v>
      </c>
      <c r="D65" s="6" t="s">
        <v>15</v>
      </c>
    </row>
    <row r="66" spans="2:4" x14ac:dyDescent="0.2">
      <c r="B66" s="6" t="s">
        <v>130</v>
      </c>
      <c r="C66" s="23">
        <v>1.7363179204150701E-5</v>
      </c>
      <c r="D66" s="6" t="s">
        <v>129</v>
      </c>
    </row>
    <row r="67" spans="2:4" x14ac:dyDescent="0.2">
      <c r="B67" s="6" t="s">
        <v>123</v>
      </c>
      <c r="C67" s="17">
        <v>333.91694458017901</v>
      </c>
      <c r="D67" s="6" t="s">
        <v>10</v>
      </c>
    </row>
    <row r="68" spans="2:4" x14ac:dyDescent="0.2">
      <c r="B68" s="6" t="s">
        <v>16</v>
      </c>
      <c r="C68" s="1">
        <v>9.80149119240094</v>
      </c>
      <c r="D68" s="6" t="s">
        <v>17</v>
      </c>
    </row>
    <row r="70" spans="2:4" x14ac:dyDescent="0.2">
      <c r="B70" s="33" t="s">
        <v>145</v>
      </c>
      <c r="C70" s="36"/>
      <c r="D70" s="36"/>
    </row>
    <row r="71" spans="2:4" x14ac:dyDescent="0.2">
      <c r="B71" s="6" t="s">
        <v>14</v>
      </c>
      <c r="C71" s="17">
        <v>1.00854450666398</v>
      </c>
      <c r="D71" s="6" t="s">
        <v>15</v>
      </c>
    </row>
    <row r="72" spans="2:4" x14ac:dyDescent="0.2">
      <c r="B72" s="6" t="s">
        <v>130</v>
      </c>
      <c r="C72" s="23">
        <v>1.7265641515845801E-5</v>
      </c>
      <c r="D72" s="6" t="s">
        <v>129</v>
      </c>
    </row>
    <row r="73" spans="2:4" x14ac:dyDescent="0.2">
      <c r="B73" s="6" t="s">
        <v>123</v>
      </c>
      <c r="C73" s="17">
        <v>332.721752148093</v>
      </c>
      <c r="D73" s="6" t="s">
        <v>10</v>
      </c>
    </row>
    <row r="74" spans="2:4" x14ac:dyDescent="0.2">
      <c r="B74" s="6" t="s">
        <v>16</v>
      </c>
      <c r="C74" s="1">
        <v>9.8005536647414697</v>
      </c>
      <c r="D74" s="6" t="s">
        <v>17</v>
      </c>
    </row>
    <row r="76" spans="2:4" x14ac:dyDescent="0.2">
      <c r="B76" s="33" t="s">
        <v>71</v>
      </c>
      <c r="C76" s="33"/>
      <c r="D76" s="33"/>
    </row>
    <row r="77" spans="2:4" x14ac:dyDescent="0.2">
      <c r="B77" s="6" t="s">
        <v>137</v>
      </c>
      <c r="C77" s="17">
        <v>30</v>
      </c>
    </row>
    <row r="78" spans="2:4" x14ac:dyDescent="0.2">
      <c r="B78" s="6" t="s">
        <v>139</v>
      </c>
      <c r="C78" s="17">
        <v>0.8</v>
      </c>
    </row>
    <row r="79" spans="2:4" x14ac:dyDescent="0.2">
      <c r="B79" s="6" t="s">
        <v>140</v>
      </c>
      <c r="C79" s="17">
        <v>0.8</v>
      </c>
    </row>
    <row r="80" spans="2:4" x14ac:dyDescent="0.2">
      <c r="B80" s="6" t="s">
        <v>141</v>
      </c>
      <c r="C80" s="17">
        <v>0.8</v>
      </c>
    </row>
    <row r="81" spans="2:4" x14ac:dyDescent="0.2">
      <c r="B81" s="6" t="s">
        <v>202</v>
      </c>
      <c r="C81" s="17">
        <v>5</v>
      </c>
      <c r="D81" s="6" t="s">
        <v>40</v>
      </c>
    </row>
  </sheetData>
  <mergeCells count="23">
    <mergeCell ref="B53:D53"/>
    <mergeCell ref="B59:D59"/>
    <mergeCell ref="B64:D64"/>
    <mergeCell ref="B70:D70"/>
    <mergeCell ref="B76:D76"/>
    <mergeCell ref="N3:P3"/>
    <mergeCell ref="B48:D48"/>
    <mergeCell ref="F12:H12"/>
    <mergeCell ref="B15:D15"/>
    <mergeCell ref="N18:P18"/>
    <mergeCell ref="B20:D20"/>
    <mergeCell ref="F22:H22"/>
    <mergeCell ref="B27:D27"/>
    <mergeCell ref="F31:H31"/>
    <mergeCell ref="B34:D34"/>
    <mergeCell ref="B39:D39"/>
    <mergeCell ref="J41:L41"/>
    <mergeCell ref="B45:D45"/>
    <mergeCell ref="J9:L9"/>
    <mergeCell ref="B1:D1"/>
    <mergeCell ref="B3:D3"/>
    <mergeCell ref="F3:H3"/>
    <mergeCell ref="J3:L3"/>
  </mergeCells>
  <conditionalFormatting sqref="K31">
    <cfRule type="containsText" dxfId="5" priority="1" operator="containsText" text="FALSE">
      <formula>NOT(ISERROR(SEARCH("FALSE",K31)))</formula>
    </cfRule>
    <cfRule type="containsText" dxfId="4" priority="2" operator="containsText" text="TRUE">
      <formula>NOT(ISERROR(SEARCH("TRUE",K31)))</formula>
    </cfRule>
    <cfRule type="cellIs" dxfId="3" priority="3" operator="equal">
      <formula>1</formula>
    </cfRule>
    <cfRule type="cellIs" dxfId="2" priority="4" operator="equal">
      <formula>TRUE</formula>
    </cfRule>
    <cfRule type="containsText" dxfId="1" priority="5" operator="containsText" text="YES">
      <formula>NOT(ISERROR(SEARCH("YES",K31)))</formula>
    </cfRule>
    <cfRule type="cellIs" dxfId="0" priority="6" operator="equal">
      <formula>"""YES"""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multirotor_opt_weight</vt:lpstr>
      <vt:lpstr>multirotor_opt_energy</vt:lpstr>
      <vt:lpstr>multirotor_opt_time</vt:lpstr>
      <vt:lpstr>liftcruise_opt_weight</vt:lpstr>
      <vt:lpstr>liftcruise_opt_energy</vt:lpstr>
      <vt:lpstr>liftcruise_opt_time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HARIANSYAH Muhammad Alfiyandy</dc:creator>
  <cp:lastModifiedBy>HARIANSYAH Muhammad Alfiyandy</cp:lastModifiedBy>
  <dcterms:created xsi:type="dcterms:W3CDTF">2024-06-18T08:10:20Z</dcterms:created>
  <dcterms:modified xsi:type="dcterms:W3CDTF">2025-04-23T09:57:37Z</dcterms:modified>
</cp:coreProperties>
</file>