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Tutorials/pyBEMT/"/>
    </mc:Choice>
  </mc:AlternateContent>
  <xr:revisionPtr revIDLastSave="0" documentId="13_ncr:1_{1E4AAA55-73A2-9248-960F-332BC462E664}" xr6:coauthVersionLast="47" xr6:coauthVersionMax="47" xr10:uidLastSave="{00000000-0000-0000-0000-000000000000}"/>
  <bookViews>
    <workbookView xWindow="0" yWindow="740" windowWidth="30240" windowHeight="18900" xr2:uid="{3818933C-C78F-A44D-BD0C-A20632FBDB3F}"/>
  </bookViews>
  <sheets>
    <sheet name="BEMT" sheetId="1" r:id="rId1"/>
    <sheet name="airfoil_tables" sheetId="2" r:id="rId2"/>
    <sheet name="validation" sheetId="3" r:id="rId3"/>
  </sheets>
  <definedNames>
    <definedName name="_xlchart.v1.0" hidden="1">validation!$C$4:$C$20</definedName>
    <definedName name="_xlchart.v1.1" hidden="1">validation!$D$3</definedName>
    <definedName name="_xlchart.v1.10" hidden="1">validation!$C$4:$C$20</definedName>
    <definedName name="_xlchart.v1.11" hidden="1">validation!$D$24:$D$69</definedName>
    <definedName name="_xlchart.v1.12" hidden="1">validation!$D$4:$D$20</definedName>
    <definedName name="_xlchart.v1.13" hidden="1">validation!$E$4:$E$20</definedName>
    <definedName name="_xlchart.v1.14" hidden="1">validation!$F$4:$F$20</definedName>
    <definedName name="_xlchart.v1.15" hidden="1">validation!$C$4:$C$20</definedName>
    <definedName name="_xlchart.v1.16" hidden="1">validation!$D$3</definedName>
    <definedName name="_xlchart.v1.17" hidden="1">validation!$D$4:$D$20</definedName>
    <definedName name="_xlchart.v1.18" hidden="1">validation!$C$24:$C$69</definedName>
    <definedName name="_xlchart.v1.19" hidden="1">validation!$C$4:$C$20</definedName>
    <definedName name="_xlchart.v1.2" hidden="1">validation!$D$4:$D$20</definedName>
    <definedName name="_xlchart.v1.20" hidden="1">validation!$D$24:$D$69</definedName>
    <definedName name="_xlchart.v1.21" hidden="1">validation!$D$4:$D$20</definedName>
    <definedName name="_xlchart.v1.22" hidden="1">validation!$E$4:$E$20</definedName>
    <definedName name="_xlchart.v1.23" hidden="1">validation!$F$4:$F$20</definedName>
    <definedName name="_xlchart.v1.24" hidden="1">validation!$C$24:$C$69</definedName>
    <definedName name="_xlchart.v1.25" hidden="1">validation!$C$4:$C$20</definedName>
    <definedName name="_xlchart.v1.26" hidden="1">validation!$D$24:$D$69</definedName>
    <definedName name="_xlchart.v1.27" hidden="1">validation!$D$4:$D$20</definedName>
    <definedName name="_xlchart.v1.28" hidden="1">validation!$E$4:$E$20</definedName>
    <definedName name="_xlchart.v1.29" hidden="1">validation!$F$4:$F$20</definedName>
    <definedName name="_xlchart.v1.3" hidden="1">validation!$C$24:$C$69</definedName>
    <definedName name="_xlchart.v1.30" hidden="1">validation!$C$24:$C$69</definedName>
    <definedName name="_xlchart.v1.31" hidden="1">validation!$C$4:$C$20</definedName>
    <definedName name="_xlchart.v1.32" hidden="1">validation!$D$24:$D$69</definedName>
    <definedName name="_xlchart.v1.33" hidden="1">validation!$D$4:$D$20</definedName>
    <definedName name="_xlchart.v1.34" hidden="1">validation!$E$4:$E$20</definedName>
    <definedName name="_xlchart.v1.35" hidden="1">validation!$F$4:$F$20</definedName>
    <definedName name="_xlchart.v1.36" hidden="1">validation!$C$24:$C$69</definedName>
    <definedName name="_xlchart.v1.37" hidden="1">validation!$C$4:$C$20</definedName>
    <definedName name="_xlchart.v1.38" hidden="1">validation!$D$24:$D$69</definedName>
    <definedName name="_xlchart.v1.39" hidden="1">validation!$D$4:$D$20</definedName>
    <definedName name="_xlchart.v1.4" hidden="1">validation!$C$4:$C$20</definedName>
    <definedName name="_xlchart.v1.40" hidden="1">validation!$E$4:$E$20</definedName>
    <definedName name="_xlchart.v1.41" hidden="1">validation!$F$4:$F$20</definedName>
    <definedName name="_xlchart.v1.42" hidden="1">validation!$C$24:$C$69</definedName>
    <definedName name="_xlchart.v1.43" hidden="1">validation!$C$4:$C$20</definedName>
    <definedName name="_xlchart.v1.44" hidden="1">validation!$D$24:$D$69</definedName>
    <definedName name="_xlchart.v1.45" hidden="1">validation!$D$4:$D$20</definedName>
    <definedName name="_xlchart.v1.46" hidden="1">validation!$E$4:$E$20</definedName>
    <definedName name="_xlchart.v1.47" hidden="1">validation!$F$4:$F$20</definedName>
    <definedName name="_xlchart.v1.5" hidden="1">validation!$D$24:$D$69</definedName>
    <definedName name="_xlchart.v1.6" hidden="1">validation!$D$4:$D$20</definedName>
    <definedName name="_xlchart.v1.7" hidden="1">validation!$E$4:$E$20</definedName>
    <definedName name="_xlchart.v1.8" hidden="1">validation!$F$4:$F$20</definedName>
    <definedName name="_xlchart.v1.9" hidden="1">validation!$C$24:$C$69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3" l="1" a="1"/>
  <c r="B24" i="3" s="1"/>
  <c r="C24" i="3" s="1"/>
  <c r="C44" i="3"/>
  <c r="C45" i="3"/>
  <c r="C46" i="3"/>
  <c r="C47" i="3"/>
  <c r="C48" i="3"/>
  <c r="C49" i="3"/>
  <c r="C50" i="3"/>
  <c r="C51" i="3"/>
  <c r="C52" i="3"/>
  <c r="C56" i="3"/>
  <c r="C57" i="3"/>
  <c r="C58" i="3"/>
  <c r="C59" i="3"/>
  <c r="C60" i="3"/>
  <c r="C61" i="3"/>
  <c r="C62" i="3"/>
  <c r="C63" i="3"/>
  <c r="C64" i="3"/>
  <c r="C68" i="3"/>
  <c r="C69" i="3"/>
  <c r="C40" i="3"/>
  <c r="C39" i="3"/>
  <c r="C26" i="3"/>
  <c r="C27" i="3"/>
  <c r="C28" i="3"/>
  <c r="C29" i="3"/>
  <c r="C30" i="3"/>
  <c r="C34" i="3"/>
  <c r="C35" i="3"/>
  <c r="C36" i="3"/>
  <c r="C37" i="3"/>
  <c r="C38" i="3"/>
  <c r="C25" i="3"/>
  <c r="G6" i="1"/>
  <c r="G7" i="1"/>
  <c r="O13" i="1"/>
  <c r="K13" i="1"/>
  <c r="O22" i="1"/>
  <c r="K22" i="1"/>
  <c r="O4" i="1"/>
  <c r="K4" i="1"/>
  <c r="K31" i="1"/>
  <c r="S65" i="1"/>
  <c r="S62" i="1"/>
  <c r="W46" i="1"/>
  <c r="W43" i="1"/>
  <c r="S46" i="1"/>
  <c r="S43" i="1"/>
  <c r="W27" i="1"/>
  <c r="S27" i="1"/>
  <c r="W24" i="1"/>
  <c r="W8" i="1"/>
  <c r="S24" i="1"/>
  <c r="S5" i="1"/>
  <c r="W5" i="1"/>
  <c r="AH136" i="1"/>
  <c r="AG136" i="1"/>
  <c r="AH135" i="1"/>
  <c r="AG135" i="1"/>
  <c r="AH134" i="1"/>
  <c r="AG134" i="1"/>
  <c r="AH133" i="1"/>
  <c r="AG133" i="1"/>
  <c r="AH132" i="1"/>
  <c r="AG132" i="1"/>
  <c r="AH131" i="1"/>
  <c r="AG131" i="1"/>
  <c r="AH130" i="1"/>
  <c r="AG130" i="1"/>
  <c r="AH129" i="1"/>
  <c r="AG129" i="1"/>
  <c r="AH128" i="1"/>
  <c r="AG128" i="1"/>
  <c r="AH127" i="1"/>
  <c r="AG127" i="1"/>
  <c r="AH126" i="1"/>
  <c r="AG126" i="1"/>
  <c r="AH125" i="1"/>
  <c r="AG125" i="1"/>
  <c r="AH124" i="1"/>
  <c r="AG124" i="1"/>
  <c r="AH123" i="1"/>
  <c r="AG123" i="1"/>
  <c r="AH122" i="1"/>
  <c r="AG122" i="1"/>
  <c r="AH121" i="1"/>
  <c r="AG121" i="1"/>
  <c r="AH120" i="1"/>
  <c r="AG120" i="1"/>
  <c r="AH119" i="1"/>
  <c r="AG119" i="1"/>
  <c r="AH118" i="1"/>
  <c r="AG118" i="1"/>
  <c r="AH117" i="1"/>
  <c r="AG117" i="1"/>
  <c r="AH116" i="1"/>
  <c r="AG116" i="1"/>
  <c r="AH115" i="1"/>
  <c r="AG115" i="1"/>
  <c r="AH114" i="1"/>
  <c r="AG114" i="1"/>
  <c r="AH113" i="1"/>
  <c r="AG113" i="1"/>
  <c r="AH112" i="1"/>
  <c r="AG112" i="1"/>
  <c r="AH111" i="1"/>
  <c r="AG111" i="1"/>
  <c r="AH110" i="1"/>
  <c r="AG110" i="1"/>
  <c r="AH109" i="1"/>
  <c r="AG109" i="1"/>
  <c r="AH108" i="1"/>
  <c r="AG108" i="1"/>
  <c r="AH107" i="1"/>
  <c r="AG107" i="1"/>
  <c r="AC107" i="1"/>
  <c r="AA107" i="1"/>
  <c r="AS102" i="1"/>
  <c r="AR102" i="1"/>
  <c r="AS101" i="1"/>
  <c r="AR101" i="1"/>
  <c r="AS100" i="1"/>
  <c r="AR100" i="1"/>
  <c r="AS99" i="1"/>
  <c r="AR99" i="1"/>
  <c r="AS98" i="1"/>
  <c r="AR98" i="1"/>
  <c r="AS97" i="1"/>
  <c r="AR97" i="1"/>
  <c r="AS96" i="1"/>
  <c r="AR96" i="1"/>
  <c r="AS95" i="1"/>
  <c r="AR95" i="1"/>
  <c r="AS94" i="1"/>
  <c r="AR94" i="1"/>
  <c r="AS93" i="1"/>
  <c r="AR93" i="1"/>
  <c r="AS92" i="1"/>
  <c r="AR92" i="1"/>
  <c r="AS91" i="1"/>
  <c r="AR91" i="1"/>
  <c r="AS90" i="1"/>
  <c r="AR90" i="1"/>
  <c r="AS89" i="1"/>
  <c r="AR89" i="1"/>
  <c r="AS88" i="1"/>
  <c r="AR88" i="1"/>
  <c r="AS87" i="1"/>
  <c r="AR87" i="1"/>
  <c r="AS86" i="1"/>
  <c r="AR86" i="1"/>
  <c r="AS85" i="1"/>
  <c r="AR85" i="1"/>
  <c r="AS84" i="1"/>
  <c r="AR84" i="1"/>
  <c r="AS83" i="1"/>
  <c r="AR83" i="1"/>
  <c r="AS82" i="1"/>
  <c r="AR82" i="1"/>
  <c r="AS81" i="1"/>
  <c r="AR81" i="1"/>
  <c r="AS80" i="1"/>
  <c r="AR80" i="1"/>
  <c r="AS79" i="1"/>
  <c r="AR79" i="1"/>
  <c r="AS78" i="1"/>
  <c r="AR78" i="1"/>
  <c r="AS77" i="1"/>
  <c r="AR77" i="1"/>
  <c r="AS76" i="1"/>
  <c r="AR76" i="1"/>
  <c r="AS75" i="1"/>
  <c r="AR75" i="1"/>
  <c r="AS74" i="1"/>
  <c r="AR74" i="1"/>
  <c r="AS73" i="1"/>
  <c r="AR73" i="1"/>
  <c r="AN73" i="1"/>
  <c r="AL73" i="1"/>
  <c r="AH102" i="1"/>
  <c r="AG102" i="1"/>
  <c r="AH101" i="1"/>
  <c r="AG101" i="1"/>
  <c r="AH100" i="1"/>
  <c r="AG100" i="1"/>
  <c r="AH99" i="1"/>
  <c r="AG99" i="1"/>
  <c r="AH98" i="1"/>
  <c r="AG98" i="1"/>
  <c r="AH97" i="1"/>
  <c r="AG97" i="1"/>
  <c r="AH96" i="1"/>
  <c r="AG96" i="1"/>
  <c r="AH95" i="1"/>
  <c r="AG95" i="1"/>
  <c r="AH94" i="1"/>
  <c r="AG94" i="1"/>
  <c r="AH93" i="1"/>
  <c r="AG93" i="1"/>
  <c r="AH92" i="1"/>
  <c r="AG92" i="1"/>
  <c r="AH91" i="1"/>
  <c r="AG91" i="1"/>
  <c r="AH90" i="1"/>
  <c r="AG90" i="1"/>
  <c r="AH89" i="1"/>
  <c r="AG89" i="1"/>
  <c r="AH88" i="1"/>
  <c r="AG88" i="1"/>
  <c r="AH87" i="1"/>
  <c r="AG87" i="1"/>
  <c r="AH86" i="1"/>
  <c r="AG86" i="1"/>
  <c r="AH85" i="1"/>
  <c r="AG85" i="1"/>
  <c r="AH84" i="1"/>
  <c r="AG84" i="1"/>
  <c r="AH83" i="1"/>
  <c r="AG83" i="1"/>
  <c r="AH82" i="1"/>
  <c r="AG82" i="1"/>
  <c r="AH81" i="1"/>
  <c r="AG81" i="1"/>
  <c r="AH80" i="1"/>
  <c r="AG80" i="1"/>
  <c r="AH79" i="1"/>
  <c r="AG79" i="1"/>
  <c r="AH78" i="1"/>
  <c r="AG78" i="1"/>
  <c r="AH77" i="1"/>
  <c r="AG77" i="1"/>
  <c r="AH76" i="1"/>
  <c r="AG76" i="1"/>
  <c r="AH75" i="1"/>
  <c r="AG75" i="1"/>
  <c r="AH74" i="1"/>
  <c r="AG74" i="1"/>
  <c r="AH73" i="1"/>
  <c r="AG73" i="1"/>
  <c r="AC73" i="1"/>
  <c r="AA73" i="1"/>
  <c r="AE73" i="1" s="1"/>
  <c r="AS68" i="1"/>
  <c r="AR68" i="1"/>
  <c r="AS67" i="1"/>
  <c r="AR67" i="1"/>
  <c r="AS66" i="1"/>
  <c r="AR66" i="1"/>
  <c r="AS65" i="1"/>
  <c r="AR65" i="1"/>
  <c r="AS64" i="1"/>
  <c r="AR64" i="1"/>
  <c r="AS63" i="1"/>
  <c r="AR63" i="1"/>
  <c r="AS62" i="1"/>
  <c r="AR62" i="1"/>
  <c r="AS61" i="1"/>
  <c r="AR61" i="1"/>
  <c r="AS60" i="1"/>
  <c r="AR60" i="1"/>
  <c r="AS59" i="1"/>
  <c r="AR59" i="1"/>
  <c r="AS58" i="1"/>
  <c r="AR58" i="1"/>
  <c r="AS57" i="1"/>
  <c r="AR57" i="1"/>
  <c r="AS56" i="1"/>
  <c r="AR56" i="1"/>
  <c r="AS55" i="1"/>
  <c r="AR55" i="1"/>
  <c r="AS54" i="1"/>
  <c r="AR54" i="1"/>
  <c r="AS53" i="1"/>
  <c r="AR53" i="1"/>
  <c r="AS52" i="1"/>
  <c r="AR52" i="1"/>
  <c r="AS51" i="1"/>
  <c r="AR51" i="1"/>
  <c r="AS50" i="1"/>
  <c r="AR50" i="1"/>
  <c r="AS49" i="1"/>
  <c r="AR49" i="1"/>
  <c r="AS48" i="1"/>
  <c r="AR48" i="1"/>
  <c r="AS47" i="1"/>
  <c r="AR47" i="1"/>
  <c r="AS46" i="1"/>
  <c r="AR46" i="1"/>
  <c r="AS45" i="1"/>
  <c r="AR45" i="1"/>
  <c r="AS44" i="1"/>
  <c r="AR44" i="1"/>
  <c r="AS43" i="1"/>
  <c r="AR43" i="1"/>
  <c r="AS42" i="1"/>
  <c r="AR42" i="1"/>
  <c r="AS41" i="1"/>
  <c r="AR41" i="1"/>
  <c r="AS40" i="1"/>
  <c r="AR40" i="1"/>
  <c r="AS39" i="1"/>
  <c r="AR39" i="1"/>
  <c r="AN39" i="1"/>
  <c r="AL39" i="1"/>
  <c r="AH68" i="1"/>
  <c r="AG68" i="1"/>
  <c r="AH67" i="1"/>
  <c r="AG67" i="1"/>
  <c r="AH66" i="1"/>
  <c r="AG66" i="1"/>
  <c r="AH65" i="1"/>
  <c r="AG65" i="1"/>
  <c r="AH64" i="1"/>
  <c r="AG64" i="1"/>
  <c r="AH63" i="1"/>
  <c r="AG63" i="1"/>
  <c r="AH62" i="1"/>
  <c r="AG62" i="1"/>
  <c r="AH61" i="1"/>
  <c r="AG61" i="1"/>
  <c r="AH60" i="1"/>
  <c r="AG60" i="1"/>
  <c r="AH59" i="1"/>
  <c r="AG59" i="1"/>
  <c r="AH58" i="1"/>
  <c r="AG58" i="1"/>
  <c r="AH57" i="1"/>
  <c r="AG57" i="1"/>
  <c r="AH56" i="1"/>
  <c r="AG56" i="1"/>
  <c r="AH55" i="1"/>
  <c r="AG55" i="1"/>
  <c r="AH54" i="1"/>
  <c r="AG54" i="1"/>
  <c r="AH53" i="1"/>
  <c r="AG53" i="1"/>
  <c r="AH52" i="1"/>
  <c r="AG52" i="1"/>
  <c r="AH51" i="1"/>
  <c r="AG51" i="1"/>
  <c r="AH50" i="1"/>
  <c r="AG50" i="1"/>
  <c r="AH49" i="1"/>
  <c r="AG49" i="1"/>
  <c r="AH48" i="1"/>
  <c r="AG48" i="1"/>
  <c r="AH47" i="1"/>
  <c r="AG47" i="1"/>
  <c r="AH46" i="1"/>
  <c r="AG46" i="1"/>
  <c r="AH45" i="1"/>
  <c r="AG45" i="1"/>
  <c r="AH44" i="1"/>
  <c r="AG44" i="1"/>
  <c r="AH43" i="1"/>
  <c r="AG43" i="1"/>
  <c r="AH42" i="1"/>
  <c r="AG42" i="1"/>
  <c r="AH41" i="1"/>
  <c r="AG41" i="1"/>
  <c r="AH40" i="1"/>
  <c r="AG40" i="1"/>
  <c r="AH39" i="1"/>
  <c r="AG39" i="1"/>
  <c r="AC39" i="1"/>
  <c r="AA39" i="1"/>
  <c r="AS34" i="1"/>
  <c r="AR34" i="1"/>
  <c r="AS33" i="1"/>
  <c r="AR33" i="1"/>
  <c r="AS32" i="1"/>
  <c r="AR32" i="1"/>
  <c r="AS31" i="1"/>
  <c r="AR31" i="1"/>
  <c r="AS30" i="1"/>
  <c r="AR30" i="1"/>
  <c r="AS29" i="1"/>
  <c r="AR29" i="1"/>
  <c r="AS28" i="1"/>
  <c r="AR28" i="1"/>
  <c r="AS27" i="1"/>
  <c r="AR27" i="1"/>
  <c r="AS26" i="1"/>
  <c r="AR26" i="1"/>
  <c r="AS25" i="1"/>
  <c r="AR25" i="1"/>
  <c r="AS24" i="1"/>
  <c r="AR24" i="1"/>
  <c r="AS23" i="1"/>
  <c r="AR23" i="1"/>
  <c r="AS22" i="1"/>
  <c r="AR22" i="1"/>
  <c r="AS21" i="1"/>
  <c r="AR21" i="1"/>
  <c r="AS20" i="1"/>
  <c r="AR20" i="1"/>
  <c r="AS19" i="1"/>
  <c r="AR19" i="1"/>
  <c r="AS18" i="1"/>
  <c r="AR18" i="1"/>
  <c r="AS17" i="1"/>
  <c r="AR17" i="1"/>
  <c r="AS16" i="1"/>
  <c r="AR16" i="1"/>
  <c r="AS15" i="1"/>
  <c r="AR15" i="1"/>
  <c r="AS14" i="1"/>
  <c r="AR14" i="1"/>
  <c r="AS13" i="1"/>
  <c r="AR13" i="1"/>
  <c r="AS12" i="1"/>
  <c r="AR12" i="1"/>
  <c r="AS11" i="1"/>
  <c r="AR11" i="1"/>
  <c r="AS10" i="1"/>
  <c r="AR10" i="1"/>
  <c r="AS9" i="1"/>
  <c r="AR9" i="1"/>
  <c r="AS8" i="1"/>
  <c r="AR8" i="1"/>
  <c r="AS7" i="1"/>
  <c r="AR7" i="1"/>
  <c r="AS6" i="1"/>
  <c r="AR6" i="1"/>
  <c r="AS5" i="1"/>
  <c r="AR5" i="1"/>
  <c r="AN5" i="1"/>
  <c r="AL5" i="1"/>
  <c r="S8" i="1"/>
  <c r="AC5" i="1"/>
  <c r="G8" i="2"/>
  <c r="G9" i="2" s="1"/>
  <c r="G13" i="2" s="1"/>
  <c r="J13" i="2"/>
  <c r="J15" i="2" s="1"/>
  <c r="K13" i="2"/>
  <c r="I13" i="2"/>
  <c r="H13" i="2"/>
  <c r="H15" i="2" s="1"/>
  <c r="K10" i="2"/>
  <c r="J10" i="2"/>
  <c r="I10" i="2"/>
  <c r="H10" i="2"/>
  <c r="H12" i="2" s="1"/>
  <c r="K8" i="2"/>
  <c r="K9" i="2" s="1"/>
  <c r="J8" i="2"/>
  <c r="J9" i="2" s="1"/>
  <c r="H8" i="2"/>
  <c r="H9" i="2" s="1"/>
  <c r="I9" i="2"/>
  <c r="K4" i="2"/>
  <c r="J4" i="2"/>
  <c r="H4" i="2"/>
  <c r="G4" i="2"/>
  <c r="E4" i="2"/>
  <c r="D4" i="2"/>
  <c r="C33" i="3" l="1"/>
  <c r="C67" i="3"/>
  <c r="C55" i="3"/>
  <c r="C43" i="3"/>
  <c r="C32" i="3"/>
  <c r="C66" i="3"/>
  <c r="C54" i="3"/>
  <c r="C42" i="3"/>
  <c r="C31" i="3"/>
  <c r="C65" i="3"/>
  <c r="C53" i="3"/>
  <c r="C41" i="3"/>
  <c r="AA108" i="1"/>
  <c r="AE107" i="1"/>
  <c r="AC108" i="1" s="1"/>
  <c r="AI107" i="1"/>
  <c r="AE39" i="1"/>
  <c r="AC40" i="1" s="1"/>
  <c r="AA74" i="1"/>
  <c r="AP73" i="1"/>
  <c r="AN74" i="1" s="1"/>
  <c r="AC74" i="1"/>
  <c r="AT39" i="1"/>
  <c r="AP5" i="1"/>
  <c r="AN6" i="1" s="1"/>
  <c r="AI73" i="1"/>
  <c r="AT73" i="1"/>
  <c r="AP39" i="1"/>
  <c r="AN40" i="1" s="1"/>
  <c r="AL74" i="1"/>
  <c r="AA40" i="1"/>
  <c r="AA41" i="1" s="1"/>
  <c r="AL40" i="1"/>
  <c r="AT5" i="1"/>
  <c r="AI39" i="1"/>
  <c r="AL6" i="1"/>
  <c r="G10" i="2"/>
  <c r="J12" i="2"/>
  <c r="I12" i="2"/>
  <c r="G12" i="2"/>
  <c r="K12" i="2"/>
  <c r="I15" i="2"/>
  <c r="G15" i="2"/>
  <c r="K15" i="2"/>
  <c r="AA5" i="1"/>
  <c r="AE5" i="1" s="1"/>
  <c r="AI74" i="1" l="1"/>
  <c r="AE74" i="1"/>
  <c r="AC75" i="1" s="1"/>
  <c r="AI108" i="1"/>
  <c r="AE108" i="1"/>
  <c r="AC109" i="1" s="1"/>
  <c r="AT6" i="1"/>
  <c r="AP74" i="1"/>
  <c r="AN75" i="1" s="1"/>
  <c r="AT74" i="1"/>
  <c r="AT40" i="1"/>
  <c r="AI40" i="1"/>
  <c r="AP40" i="1"/>
  <c r="AN41" i="1" s="1"/>
  <c r="AL7" i="1"/>
  <c r="AP6" i="1"/>
  <c r="AN7" i="1" s="1"/>
  <c r="AI5" i="1"/>
  <c r="AE40" i="1"/>
  <c r="AC41" i="1" s="1"/>
  <c r="AE41" i="1" s="1"/>
  <c r="AC42" i="1" s="1"/>
  <c r="AA42" i="1" l="1"/>
  <c r="AE42" i="1" s="1"/>
  <c r="AC43" i="1" s="1"/>
  <c r="AL41" i="1"/>
  <c r="AT41" i="1" s="1"/>
  <c r="AA75" i="1"/>
  <c r="AI75" i="1" s="1"/>
  <c r="AL75" i="1"/>
  <c r="AP75" i="1" s="1"/>
  <c r="AA109" i="1"/>
  <c r="AI109" i="1" s="1"/>
  <c r="AT7" i="1"/>
  <c r="AP7" i="1"/>
  <c r="AN8" i="1" s="1"/>
  <c r="AI41" i="1"/>
  <c r="AI42" i="1" l="1"/>
  <c r="AL8" i="1"/>
  <c r="AP8" i="1" s="1"/>
  <c r="AP41" i="1"/>
  <c r="AN42" i="1" s="1"/>
  <c r="AE75" i="1"/>
  <c r="AC76" i="1" s="1"/>
  <c r="AT75" i="1"/>
  <c r="AE109" i="1"/>
  <c r="AC110" i="1" s="1"/>
  <c r="AL42" i="1"/>
  <c r="AA76" i="1"/>
  <c r="AN76" i="1"/>
  <c r="AL76" i="1"/>
  <c r="AA110" i="1"/>
  <c r="AA43" i="1"/>
  <c r="AI43" i="1" s="1"/>
  <c r="AL9" i="1" l="1"/>
  <c r="AN9" i="1"/>
  <c r="AT8" i="1"/>
  <c r="AT42" i="1"/>
  <c r="AE76" i="1"/>
  <c r="AC77" i="1" s="1"/>
  <c r="AI110" i="1"/>
  <c r="AP76" i="1"/>
  <c r="AL77" i="1" s="1"/>
  <c r="AE43" i="1"/>
  <c r="AA44" i="1" s="1"/>
  <c r="AP42" i="1"/>
  <c r="AI76" i="1"/>
  <c r="AN77" i="1"/>
  <c r="AT76" i="1"/>
  <c r="AE110" i="1"/>
  <c r="AT9" i="1" l="1"/>
  <c r="AP9" i="1"/>
  <c r="AL10" i="1" s="1"/>
  <c r="AA77" i="1"/>
  <c r="AE77" i="1" s="1"/>
  <c r="AC44" i="1"/>
  <c r="AE44" i="1" s="1"/>
  <c r="AA45" i="1" s="1"/>
  <c r="AP77" i="1"/>
  <c r="AL78" i="1" s="1"/>
  <c r="AN43" i="1"/>
  <c r="AL43" i="1"/>
  <c r="AT77" i="1"/>
  <c r="AC111" i="1"/>
  <c r="AA111" i="1"/>
  <c r="AN10" i="1" l="1"/>
  <c r="AT10" i="1" s="1"/>
  <c r="AN78" i="1"/>
  <c r="AT78" i="1" s="1"/>
  <c r="AI77" i="1"/>
  <c r="AA78" i="1"/>
  <c r="AC78" i="1"/>
  <c r="AE111" i="1"/>
  <c r="AA112" i="1" s="1"/>
  <c r="AI44" i="1"/>
  <c r="AC45" i="1"/>
  <c r="AE45" i="1" s="1"/>
  <c r="AA46" i="1" s="1"/>
  <c r="AT43" i="1"/>
  <c r="AP43" i="1"/>
  <c r="AI111" i="1"/>
  <c r="AP10" i="1" l="1"/>
  <c r="AL11" i="1" s="1"/>
  <c r="AP78" i="1"/>
  <c r="AL79" i="1" s="1"/>
  <c r="AC112" i="1"/>
  <c r="AI112" i="1" s="1"/>
  <c r="AI78" i="1"/>
  <c r="AE78" i="1"/>
  <c r="AA79" i="1" s="1"/>
  <c r="AI45" i="1"/>
  <c r="AC46" i="1"/>
  <c r="AI46" i="1" s="1"/>
  <c r="AL44" i="1"/>
  <c r="AN44" i="1"/>
  <c r="AN79" i="1"/>
  <c r="AN11" i="1"/>
  <c r="AP11" i="1" l="1"/>
  <c r="AL12" i="1" s="1"/>
  <c r="AE112" i="1"/>
  <c r="AA113" i="1" s="1"/>
  <c r="AC79" i="1"/>
  <c r="AE79" i="1" s="1"/>
  <c r="AA80" i="1" s="1"/>
  <c r="AE46" i="1"/>
  <c r="AT44" i="1"/>
  <c r="AP44" i="1"/>
  <c r="AP79" i="1"/>
  <c r="AT79" i="1"/>
  <c r="AC113" i="1"/>
  <c r="AT11" i="1"/>
  <c r="AN12" i="1" l="1"/>
  <c r="AP12" i="1" s="1"/>
  <c r="AL13" i="1" s="1"/>
  <c r="AC80" i="1"/>
  <c r="AE80" i="1" s="1"/>
  <c r="AA81" i="1" s="1"/>
  <c r="AI79" i="1"/>
  <c r="AC47" i="1"/>
  <c r="AA47" i="1"/>
  <c r="AL45" i="1"/>
  <c r="AN45" i="1"/>
  <c r="AL80" i="1"/>
  <c r="AN80" i="1"/>
  <c r="AE113" i="1"/>
  <c r="AI113" i="1"/>
  <c r="AT12" i="1" l="1"/>
  <c r="AN13" i="1"/>
  <c r="AT13" i="1" s="1"/>
  <c r="AC81" i="1"/>
  <c r="AI81" i="1" s="1"/>
  <c r="AI80" i="1"/>
  <c r="AI47" i="1"/>
  <c r="AE47" i="1"/>
  <c r="AT80" i="1"/>
  <c r="AT45" i="1"/>
  <c r="AP45" i="1"/>
  <c r="AP80" i="1"/>
  <c r="AC114" i="1"/>
  <c r="AA114" i="1"/>
  <c r="AP13" i="1" l="1"/>
  <c r="AL14" i="1" s="1"/>
  <c r="AE81" i="1"/>
  <c r="AA82" i="1" s="1"/>
  <c r="AA48" i="1"/>
  <c r="AC48" i="1"/>
  <c r="AN14" i="1"/>
  <c r="AL46" i="1"/>
  <c r="AN46" i="1"/>
  <c r="AL81" i="1"/>
  <c r="AN81" i="1"/>
  <c r="AI114" i="1"/>
  <c r="AE114" i="1"/>
  <c r="AP14" i="1" l="1"/>
  <c r="AN15" i="1" s="1"/>
  <c r="AC82" i="1"/>
  <c r="AI82" i="1" s="1"/>
  <c r="AI48" i="1"/>
  <c r="AE48" i="1"/>
  <c r="AT14" i="1"/>
  <c r="AL15" i="1"/>
  <c r="AT46" i="1"/>
  <c r="AP46" i="1"/>
  <c r="AP81" i="1"/>
  <c r="AT81" i="1"/>
  <c r="AA115" i="1"/>
  <c r="AC115" i="1"/>
  <c r="AE82" i="1" l="1"/>
  <c r="AA83" i="1" s="1"/>
  <c r="AA49" i="1"/>
  <c r="AC49" i="1"/>
  <c r="AP15" i="1"/>
  <c r="AT15" i="1"/>
  <c r="AI115" i="1"/>
  <c r="AL47" i="1"/>
  <c r="AN47" i="1"/>
  <c r="AN82" i="1"/>
  <c r="AL82" i="1"/>
  <c r="AE115" i="1"/>
  <c r="AC83" i="1" l="1"/>
  <c r="AE83" i="1"/>
  <c r="AA84" i="1" s="1"/>
  <c r="AI83" i="1"/>
  <c r="AI49" i="1"/>
  <c r="AE49" i="1"/>
  <c r="AL16" i="1"/>
  <c r="AN16" i="1"/>
  <c r="AP82" i="1"/>
  <c r="AN83" i="1" s="1"/>
  <c r="AT47" i="1"/>
  <c r="AP47" i="1"/>
  <c r="AL83" i="1"/>
  <c r="AT82" i="1"/>
  <c r="AA116" i="1"/>
  <c r="AC116" i="1"/>
  <c r="AC84" i="1"/>
  <c r="AI84" i="1" l="1"/>
  <c r="AT16" i="1"/>
  <c r="AC50" i="1"/>
  <c r="AA50" i="1"/>
  <c r="AP16" i="1"/>
  <c r="AI116" i="1"/>
  <c r="AP83" i="1"/>
  <c r="AN84" i="1" s="1"/>
  <c r="AL48" i="1"/>
  <c r="AN48" i="1"/>
  <c r="AT83" i="1"/>
  <c r="AE116" i="1"/>
  <c r="AE84" i="1"/>
  <c r="AC85" i="1" s="1"/>
  <c r="AL84" i="1" l="1"/>
  <c r="AP84" i="1" s="1"/>
  <c r="AL85" i="1" s="1"/>
  <c r="AI50" i="1"/>
  <c r="AE50" i="1"/>
  <c r="AL17" i="1"/>
  <c r="AN17" i="1"/>
  <c r="AA85" i="1"/>
  <c r="AE85" i="1" s="1"/>
  <c r="AA86" i="1" s="1"/>
  <c r="AT48" i="1"/>
  <c r="AP48" i="1"/>
  <c r="AC117" i="1"/>
  <c r="AA117" i="1"/>
  <c r="AN85" i="1" l="1"/>
  <c r="AT85" i="1" s="1"/>
  <c r="AT84" i="1"/>
  <c r="AT17" i="1"/>
  <c r="AC51" i="1"/>
  <c r="AA51" i="1"/>
  <c r="AP17" i="1"/>
  <c r="AI85" i="1"/>
  <c r="AC86" i="1"/>
  <c r="AE86" i="1" s="1"/>
  <c r="AC87" i="1" s="1"/>
  <c r="AL49" i="1"/>
  <c r="AN49" i="1"/>
  <c r="AI117" i="1"/>
  <c r="AE117" i="1"/>
  <c r="AP85" i="1" l="1"/>
  <c r="AL86" i="1" s="1"/>
  <c r="AE51" i="1"/>
  <c r="AA52" i="1" s="1"/>
  <c r="AI51" i="1"/>
  <c r="AL18" i="1"/>
  <c r="AN18" i="1"/>
  <c r="AI86" i="1"/>
  <c r="AA87" i="1"/>
  <c r="AE87" i="1" s="1"/>
  <c r="AP49" i="1"/>
  <c r="AT49" i="1"/>
  <c r="AN86" i="1"/>
  <c r="AC118" i="1"/>
  <c r="AA118" i="1"/>
  <c r="AC52" i="1" l="1"/>
  <c r="AE52" i="1" s="1"/>
  <c r="AC53" i="1" s="1"/>
  <c r="AT18" i="1"/>
  <c r="AP18" i="1"/>
  <c r="AI87" i="1"/>
  <c r="AP86" i="1"/>
  <c r="AN87" i="1" s="1"/>
  <c r="AL50" i="1"/>
  <c r="AN50" i="1"/>
  <c r="AT86" i="1"/>
  <c r="AI118" i="1"/>
  <c r="AE118" i="1"/>
  <c r="AC88" i="1"/>
  <c r="AA88" i="1"/>
  <c r="AL87" i="1" l="1"/>
  <c r="AP87" i="1" s="1"/>
  <c r="AN88" i="1" s="1"/>
  <c r="AA53" i="1"/>
  <c r="AE53" i="1" s="1"/>
  <c r="AC54" i="1" s="1"/>
  <c r="AI52" i="1"/>
  <c r="AN19" i="1"/>
  <c r="AL19" i="1"/>
  <c r="AT50" i="1"/>
  <c r="AP50" i="1"/>
  <c r="AC119" i="1"/>
  <c r="AA119" i="1"/>
  <c r="AI88" i="1"/>
  <c r="AE88" i="1"/>
  <c r="AT87" i="1" l="1"/>
  <c r="AL88" i="1"/>
  <c r="AT88" i="1" s="1"/>
  <c r="AI53" i="1"/>
  <c r="AA54" i="1"/>
  <c r="AI54" i="1" s="1"/>
  <c r="AP19" i="1"/>
  <c r="AT19" i="1"/>
  <c r="AE119" i="1"/>
  <c r="AA120" i="1" s="1"/>
  <c r="AL51" i="1"/>
  <c r="AN51" i="1"/>
  <c r="AI119" i="1"/>
  <c r="AC89" i="1"/>
  <c r="AA89" i="1"/>
  <c r="AP88" i="1" l="1"/>
  <c r="AN89" i="1" s="1"/>
  <c r="AC120" i="1"/>
  <c r="AI120" i="1" s="1"/>
  <c r="AE54" i="1"/>
  <c r="AC55" i="1" s="1"/>
  <c r="AA55" i="1"/>
  <c r="AT51" i="1"/>
  <c r="AL20" i="1"/>
  <c r="AN20" i="1"/>
  <c r="AP51" i="1"/>
  <c r="AE89" i="1"/>
  <c r="AA90" i="1" s="1"/>
  <c r="AI89" i="1"/>
  <c r="AL89" i="1" l="1"/>
  <c r="AP89" i="1" s="1"/>
  <c r="AL90" i="1" s="1"/>
  <c r="AE120" i="1"/>
  <c r="AC121" i="1" s="1"/>
  <c r="AE55" i="1"/>
  <c r="AI55" i="1"/>
  <c r="AP20" i="1"/>
  <c r="AN21" i="1" s="1"/>
  <c r="AT20" i="1"/>
  <c r="AC90" i="1"/>
  <c r="AI90" i="1" s="1"/>
  <c r="AL52" i="1"/>
  <c r="AN52" i="1"/>
  <c r="AT89" i="1" l="1"/>
  <c r="AN90" i="1"/>
  <c r="AP90" i="1" s="1"/>
  <c r="AA121" i="1"/>
  <c r="AE121" i="1" s="1"/>
  <c r="AA56" i="1"/>
  <c r="AC56" i="1"/>
  <c r="AL21" i="1"/>
  <c r="AP21" i="1" s="1"/>
  <c r="AN22" i="1" s="1"/>
  <c r="AT52" i="1"/>
  <c r="AE90" i="1"/>
  <c r="AC91" i="1" s="1"/>
  <c r="AP52" i="1"/>
  <c r="AT90" i="1" l="1"/>
  <c r="AI121" i="1"/>
  <c r="AC122" i="1"/>
  <c r="AA122" i="1"/>
  <c r="AL22" i="1"/>
  <c r="AT22" i="1" s="1"/>
  <c r="AI56" i="1"/>
  <c r="AE56" i="1"/>
  <c r="AT21" i="1"/>
  <c r="AA91" i="1"/>
  <c r="AE91" i="1" s="1"/>
  <c r="AC92" i="1" s="1"/>
  <c r="AL53" i="1"/>
  <c r="AN53" i="1"/>
  <c r="AN91" i="1"/>
  <c r="AL91" i="1"/>
  <c r="AE122" i="1" l="1"/>
  <c r="AI122" i="1"/>
  <c r="AP22" i="1"/>
  <c r="AN23" i="1" s="1"/>
  <c r="AT53" i="1"/>
  <c r="AC57" i="1"/>
  <c r="AA57" i="1"/>
  <c r="AL23" i="1"/>
  <c r="AI91" i="1"/>
  <c r="AP91" i="1"/>
  <c r="AL92" i="1" s="1"/>
  <c r="AP53" i="1"/>
  <c r="AT91" i="1"/>
  <c r="AC123" i="1"/>
  <c r="AA123" i="1"/>
  <c r="AA92" i="1"/>
  <c r="AE92" i="1" s="1"/>
  <c r="AA93" i="1" s="1"/>
  <c r="AN92" i="1" l="1"/>
  <c r="AP92" i="1" s="1"/>
  <c r="AL93" i="1" s="1"/>
  <c r="AE57" i="1"/>
  <c r="AC58" i="1" s="1"/>
  <c r="AI57" i="1"/>
  <c r="AT23" i="1"/>
  <c r="AP23" i="1"/>
  <c r="AL54" i="1"/>
  <c r="AN54" i="1"/>
  <c r="AI123" i="1"/>
  <c r="AE123" i="1"/>
  <c r="AI92" i="1"/>
  <c r="AC93" i="1"/>
  <c r="AE93" i="1" s="1"/>
  <c r="AT92" i="1" l="1"/>
  <c r="AN93" i="1"/>
  <c r="AT93" i="1" s="1"/>
  <c r="AA58" i="1"/>
  <c r="AI58" i="1" s="1"/>
  <c r="AN24" i="1"/>
  <c r="AL24" i="1"/>
  <c r="AT54" i="1"/>
  <c r="AP54" i="1"/>
  <c r="AC124" i="1"/>
  <c r="AA124" i="1"/>
  <c r="AI93" i="1"/>
  <c r="AA94" i="1"/>
  <c r="AC94" i="1"/>
  <c r="AP93" i="1" l="1"/>
  <c r="AL94" i="1" s="1"/>
  <c r="AE58" i="1"/>
  <c r="AA59" i="1" s="1"/>
  <c r="AT24" i="1"/>
  <c r="AP24" i="1"/>
  <c r="AE124" i="1"/>
  <c r="AC125" i="1" s="1"/>
  <c r="AN55" i="1"/>
  <c r="AL55" i="1"/>
  <c r="AN94" i="1"/>
  <c r="AI124" i="1"/>
  <c r="AI94" i="1"/>
  <c r="AE94" i="1"/>
  <c r="AC59" i="1" l="1"/>
  <c r="AI59" i="1" s="1"/>
  <c r="AA125" i="1"/>
  <c r="AE125" i="1" s="1"/>
  <c r="AC126" i="1" s="1"/>
  <c r="AL25" i="1"/>
  <c r="AN25" i="1"/>
  <c r="AP55" i="1"/>
  <c r="AN56" i="1" s="1"/>
  <c r="AT55" i="1"/>
  <c r="AT94" i="1"/>
  <c r="AP94" i="1"/>
  <c r="AC95" i="1"/>
  <c r="AA95" i="1"/>
  <c r="AE59" i="1" l="1"/>
  <c r="AI125" i="1"/>
  <c r="AT25" i="1"/>
  <c r="AP25" i="1"/>
  <c r="AA126" i="1"/>
  <c r="AI126" i="1" s="1"/>
  <c r="AL56" i="1"/>
  <c r="AT56" i="1" s="1"/>
  <c r="AN95" i="1"/>
  <c r="AL95" i="1"/>
  <c r="AE95" i="1"/>
  <c r="AC96" i="1" s="1"/>
  <c r="AI95" i="1"/>
  <c r="AA60" i="1" l="1"/>
  <c r="AC60" i="1"/>
  <c r="AL26" i="1"/>
  <c r="AN26" i="1"/>
  <c r="AE126" i="1"/>
  <c r="AA127" i="1" s="1"/>
  <c r="AP56" i="1"/>
  <c r="AN57" i="1" s="1"/>
  <c r="AT95" i="1"/>
  <c r="AP95" i="1"/>
  <c r="AC127" i="1"/>
  <c r="AA96" i="1"/>
  <c r="AI96" i="1" s="1"/>
  <c r="AL57" i="1" l="1"/>
  <c r="AP57" i="1" s="1"/>
  <c r="AL58" i="1" s="1"/>
  <c r="AI60" i="1"/>
  <c r="AE60" i="1"/>
  <c r="AT26" i="1"/>
  <c r="AP26" i="1"/>
  <c r="AI127" i="1"/>
  <c r="AE96" i="1"/>
  <c r="AA97" i="1" s="1"/>
  <c r="AL96" i="1"/>
  <c r="AN96" i="1"/>
  <c r="AE127" i="1"/>
  <c r="AT57" i="1" l="1"/>
  <c r="AA61" i="1"/>
  <c r="AC61" i="1"/>
  <c r="AN58" i="1"/>
  <c r="AP58" i="1" s="1"/>
  <c r="AL59" i="1" s="1"/>
  <c r="AL27" i="1"/>
  <c r="AN27" i="1"/>
  <c r="AC97" i="1"/>
  <c r="AI97" i="1" s="1"/>
  <c r="AT96" i="1"/>
  <c r="AP96" i="1"/>
  <c r="AC128" i="1"/>
  <c r="AA128" i="1"/>
  <c r="AI61" i="1" l="1"/>
  <c r="AE61" i="1"/>
  <c r="AT58" i="1"/>
  <c r="AN59" i="1"/>
  <c r="AP59" i="1" s="1"/>
  <c r="AT27" i="1"/>
  <c r="AP27" i="1"/>
  <c r="AE128" i="1"/>
  <c r="AC129" i="1" s="1"/>
  <c r="AE97" i="1"/>
  <c r="AC98" i="1" s="1"/>
  <c r="AL97" i="1"/>
  <c r="AN97" i="1"/>
  <c r="AI128" i="1"/>
  <c r="G5" i="1"/>
  <c r="G3" i="1"/>
  <c r="AA62" i="1" l="1"/>
  <c r="AC62" i="1"/>
  <c r="AT59" i="1"/>
  <c r="AL60" i="1"/>
  <c r="AN60" i="1"/>
  <c r="AA129" i="1"/>
  <c r="AI129" i="1" s="1"/>
  <c r="AA98" i="1"/>
  <c r="AE98" i="1" s="1"/>
  <c r="AL28" i="1"/>
  <c r="AN28" i="1"/>
  <c r="AP97" i="1"/>
  <c r="AT97" i="1"/>
  <c r="G4" i="1"/>
  <c r="AH5" i="1"/>
  <c r="AC6" i="1" s="1"/>
  <c r="AI62" i="1" l="1"/>
  <c r="AE62" i="1"/>
  <c r="AT60" i="1"/>
  <c r="AP60" i="1"/>
  <c r="AN61" i="1" s="1"/>
  <c r="AE129" i="1"/>
  <c r="AC130" i="1" s="1"/>
  <c r="AI98" i="1"/>
  <c r="AT28" i="1"/>
  <c r="AP28" i="1"/>
  <c r="AL61" i="1"/>
  <c r="AL98" i="1"/>
  <c r="AN98" i="1"/>
  <c r="AC99" i="1"/>
  <c r="AA99" i="1"/>
  <c r="AG5" i="1"/>
  <c r="AA6" i="1" s="1"/>
  <c r="AE6" i="1" s="1"/>
  <c r="AG6" i="1" s="1"/>
  <c r="AA7" i="1" s="1"/>
  <c r="AA63" i="1" l="1"/>
  <c r="AC63" i="1"/>
  <c r="AA130" i="1"/>
  <c r="AI130" i="1" s="1"/>
  <c r="AP61" i="1"/>
  <c r="AL62" i="1" s="1"/>
  <c r="AN29" i="1"/>
  <c r="AL29" i="1"/>
  <c r="AT98" i="1"/>
  <c r="AT61" i="1"/>
  <c r="AP98" i="1"/>
  <c r="AE99" i="1"/>
  <c r="AA100" i="1" s="1"/>
  <c r="AI99" i="1"/>
  <c r="AI6" i="1"/>
  <c r="AH6" i="1"/>
  <c r="AC7" i="1" s="1"/>
  <c r="AE7" i="1" s="1"/>
  <c r="AG7" i="1" s="1"/>
  <c r="AA8" i="1" s="1"/>
  <c r="AE130" i="1" l="1"/>
  <c r="AA131" i="1" s="1"/>
  <c r="AI63" i="1"/>
  <c r="AE63" i="1"/>
  <c r="AN62" i="1"/>
  <c r="AT62" i="1" s="1"/>
  <c r="AP29" i="1"/>
  <c r="AN30" i="1" s="1"/>
  <c r="AL30" i="1"/>
  <c r="AT29" i="1"/>
  <c r="AL99" i="1"/>
  <c r="AN99" i="1"/>
  <c r="AC131" i="1"/>
  <c r="AC100" i="1"/>
  <c r="AE100" i="1" s="1"/>
  <c r="AC101" i="1" s="1"/>
  <c r="AI7" i="1"/>
  <c r="AH7" i="1"/>
  <c r="AC8" i="1" s="1"/>
  <c r="AI8" i="1" s="1"/>
  <c r="AA64" i="1" l="1"/>
  <c r="AC64" i="1"/>
  <c r="AP62" i="1"/>
  <c r="AL63" i="1" s="1"/>
  <c r="AT30" i="1"/>
  <c r="AP30" i="1"/>
  <c r="AT99" i="1"/>
  <c r="AE131" i="1"/>
  <c r="AA132" i="1" s="1"/>
  <c r="AN63" i="1"/>
  <c r="AI100" i="1"/>
  <c r="AP99" i="1"/>
  <c r="AI131" i="1"/>
  <c r="AA101" i="1"/>
  <c r="AE101" i="1" s="1"/>
  <c r="AA102" i="1" s="1"/>
  <c r="AE8" i="1"/>
  <c r="AG8" i="1" s="1"/>
  <c r="AA9" i="1" s="1"/>
  <c r="AI64" i="1" l="1"/>
  <c r="AE64" i="1"/>
  <c r="AL31" i="1"/>
  <c r="AN31" i="1"/>
  <c r="AC132" i="1"/>
  <c r="AI132" i="1" s="1"/>
  <c r="AP63" i="1"/>
  <c r="AN64" i="1" s="1"/>
  <c r="AT63" i="1"/>
  <c r="AN100" i="1"/>
  <c r="AL100" i="1"/>
  <c r="AC102" i="1"/>
  <c r="AE102" i="1" s="1"/>
  <c r="S42" i="1" s="1"/>
  <c r="AI101" i="1"/>
  <c r="AH8" i="1"/>
  <c r="AC9" i="1" s="1"/>
  <c r="AI9" i="1" s="1"/>
  <c r="AC65" i="1" l="1"/>
  <c r="AA65" i="1"/>
  <c r="AL64" i="1"/>
  <c r="AP64" i="1" s="1"/>
  <c r="AL65" i="1" s="1"/>
  <c r="AP100" i="1"/>
  <c r="AL101" i="1" s="1"/>
  <c r="AT31" i="1"/>
  <c r="AP31" i="1"/>
  <c r="AE132" i="1"/>
  <c r="AA133" i="1" s="1"/>
  <c r="AI102" i="1"/>
  <c r="AT100" i="1"/>
  <c r="S48" i="1"/>
  <c r="S47" i="1"/>
  <c r="S44" i="1"/>
  <c r="S45" i="1" s="1"/>
  <c r="AE9" i="1"/>
  <c r="AH9" i="1" s="1"/>
  <c r="AC10" i="1" s="1"/>
  <c r="AE65" i="1" l="1"/>
  <c r="AA66" i="1" s="1"/>
  <c r="AT64" i="1"/>
  <c r="AN65" i="1"/>
  <c r="AT65" i="1" s="1"/>
  <c r="AI65" i="1"/>
  <c r="AN101" i="1"/>
  <c r="AT101" i="1" s="1"/>
  <c r="AC133" i="1"/>
  <c r="AI133" i="1" s="1"/>
  <c r="AL32" i="1"/>
  <c r="AN32" i="1"/>
  <c r="S50" i="1"/>
  <c r="S51" i="1"/>
  <c r="S49" i="1"/>
  <c r="AG9" i="1"/>
  <c r="AA10" i="1" s="1"/>
  <c r="AE10" i="1" s="1"/>
  <c r="AC66" i="1" l="1"/>
  <c r="AI66" i="1" s="1"/>
  <c r="AP65" i="1"/>
  <c r="AL66" i="1" s="1"/>
  <c r="AP101" i="1"/>
  <c r="AN102" i="1" s="1"/>
  <c r="AT32" i="1"/>
  <c r="AE133" i="1"/>
  <c r="AP32" i="1"/>
  <c r="AL102" i="1"/>
  <c r="S53" i="1"/>
  <c r="S55" i="1" s="1"/>
  <c r="S57" i="1" s="1"/>
  <c r="K24" i="1" s="1"/>
  <c r="S52" i="1"/>
  <c r="S54" i="1" s="1"/>
  <c r="S56" i="1" s="1"/>
  <c r="K23" i="1" s="1"/>
  <c r="AI10" i="1"/>
  <c r="AG10" i="1"/>
  <c r="AA11" i="1" s="1"/>
  <c r="AH10" i="1"/>
  <c r="AC11" i="1" s="1"/>
  <c r="AN66" i="1" l="1"/>
  <c r="AT66" i="1" s="1"/>
  <c r="AE66" i="1"/>
  <c r="AA67" i="1" s="1"/>
  <c r="AA134" i="1"/>
  <c r="AC134" i="1"/>
  <c r="AL33" i="1"/>
  <c r="AN33" i="1"/>
  <c r="AP102" i="1"/>
  <c r="W42" i="1" s="1"/>
  <c r="W44" i="1" s="1"/>
  <c r="W45" i="1" s="1"/>
  <c r="AP66" i="1"/>
  <c r="AT102" i="1"/>
  <c r="K25" i="1"/>
  <c r="K26" i="1" s="1"/>
  <c r="S58" i="1"/>
  <c r="AE11" i="1"/>
  <c r="AI11" i="1"/>
  <c r="AH11" i="1"/>
  <c r="AG11" i="1"/>
  <c r="AC67" i="1" l="1"/>
  <c r="AI67" i="1" s="1"/>
  <c r="AI134" i="1"/>
  <c r="AE134" i="1"/>
  <c r="AT33" i="1"/>
  <c r="W48" i="1"/>
  <c r="W47" i="1"/>
  <c r="AP33" i="1"/>
  <c r="AL67" i="1"/>
  <c r="AN67" i="1"/>
  <c r="W50" i="1"/>
  <c r="W51" i="1"/>
  <c r="AA12" i="1"/>
  <c r="AF72" i="1"/>
  <c r="G27" i="1"/>
  <c r="K28" i="1"/>
  <c r="K27" i="1"/>
  <c r="AB72" i="1"/>
  <c r="AD72" i="1"/>
  <c r="AC12" i="1"/>
  <c r="AE67" i="1" l="1"/>
  <c r="AA68" i="1" s="1"/>
  <c r="AA135" i="1"/>
  <c r="AC135" i="1"/>
  <c r="W49" i="1"/>
  <c r="AN34" i="1"/>
  <c r="AL34" i="1"/>
  <c r="AT67" i="1"/>
  <c r="AE12" i="1"/>
  <c r="AG12" i="1" s="1"/>
  <c r="AA13" i="1" s="1"/>
  <c r="AP67" i="1"/>
  <c r="W52" i="1"/>
  <c r="W53" i="1"/>
  <c r="AI12" i="1"/>
  <c r="AH12" i="1"/>
  <c r="AC68" i="1" l="1"/>
  <c r="AI68" i="1" s="1"/>
  <c r="AI135" i="1"/>
  <c r="AE135" i="1"/>
  <c r="W54" i="1"/>
  <c r="W56" i="1" s="1"/>
  <c r="O23" i="1" s="1"/>
  <c r="W55" i="1"/>
  <c r="W57" i="1" s="1"/>
  <c r="O24" i="1" s="1"/>
  <c r="AC13" i="1"/>
  <c r="AI13" i="1" s="1"/>
  <c r="AP34" i="1"/>
  <c r="W4" i="1" s="1"/>
  <c r="W6" i="1" s="1"/>
  <c r="W7" i="1" s="1"/>
  <c r="AT34" i="1"/>
  <c r="AL68" i="1"/>
  <c r="AN68" i="1"/>
  <c r="AE68" i="1" l="1"/>
  <c r="S23" i="1" s="1"/>
  <c r="S25" i="1" s="1"/>
  <c r="S26" i="1" s="1"/>
  <c r="S32" i="1" s="1"/>
  <c r="W9" i="1"/>
  <c r="W10" i="1"/>
  <c r="AE13" i="1"/>
  <c r="AH13" i="1" s="1"/>
  <c r="AC14" i="1" s="1"/>
  <c r="AC136" i="1"/>
  <c r="AA136" i="1"/>
  <c r="O25" i="1"/>
  <c r="O28" i="1" s="1"/>
  <c r="W58" i="1"/>
  <c r="AO72" i="1" s="1"/>
  <c r="W12" i="1"/>
  <c r="W13" i="1"/>
  <c r="AT68" i="1"/>
  <c r="AP68" i="1"/>
  <c r="W23" i="1" s="1"/>
  <c r="AG13" i="1"/>
  <c r="S29" i="1" l="1"/>
  <c r="S28" i="1"/>
  <c r="S31" i="1"/>
  <c r="W11" i="1"/>
  <c r="AA14" i="1"/>
  <c r="AE14" i="1" s="1"/>
  <c r="AH14" i="1" s="1"/>
  <c r="AC15" i="1" s="1"/>
  <c r="AE136" i="1"/>
  <c r="S61" i="1" s="1"/>
  <c r="S66" i="1" s="1"/>
  <c r="AI136" i="1"/>
  <c r="G28" i="1"/>
  <c r="AQ72" i="1"/>
  <c r="O27" i="1"/>
  <c r="O26" i="1"/>
  <c r="AM72" i="1"/>
  <c r="W14" i="1"/>
  <c r="W15" i="1"/>
  <c r="W29" i="1"/>
  <c r="W25" i="1"/>
  <c r="W26" i="1" s="1"/>
  <c r="W28" i="1"/>
  <c r="AG14" i="1"/>
  <c r="S30" i="1" l="1"/>
  <c r="S33" i="1"/>
  <c r="S34" i="1"/>
  <c r="W17" i="1"/>
  <c r="W16" i="1"/>
  <c r="W18" i="1" s="1"/>
  <c r="O5" i="1" s="1"/>
  <c r="AI14" i="1"/>
  <c r="AA15" i="1"/>
  <c r="AE15" i="1" s="1"/>
  <c r="AH15" i="1" s="1"/>
  <c r="AC16" i="1" s="1"/>
  <c r="S63" i="1"/>
  <c r="S64" i="1" s="1"/>
  <c r="S69" i="1" s="1"/>
  <c r="S67" i="1"/>
  <c r="S68" i="1" s="1"/>
  <c r="W30" i="1"/>
  <c r="W31" i="1"/>
  <c r="W32" i="1"/>
  <c r="AG15" i="1"/>
  <c r="S36" i="1" l="1"/>
  <c r="S38" i="1" s="1"/>
  <c r="K15" i="1" s="1"/>
  <c r="S35" i="1"/>
  <c r="S37" i="1" s="1"/>
  <c r="K14" i="1" s="1"/>
  <c r="AA16" i="1"/>
  <c r="AE16" i="1" s="1"/>
  <c r="AH16" i="1" s="1"/>
  <c r="AC17" i="1" s="1"/>
  <c r="AI15" i="1"/>
  <c r="S70" i="1"/>
  <c r="S71" i="1" s="1"/>
  <c r="S73" i="1" s="1"/>
  <c r="S75" i="1" s="1"/>
  <c r="W33" i="1"/>
  <c r="W35" i="1" s="1"/>
  <c r="W34" i="1"/>
  <c r="W36" i="1" s="1"/>
  <c r="AG16" i="1"/>
  <c r="K16" i="1" l="1"/>
  <c r="K19" i="1" s="1"/>
  <c r="S39" i="1"/>
  <c r="AB38" i="1" s="1"/>
  <c r="AI16" i="1"/>
  <c r="AA17" i="1"/>
  <c r="AE17" i="1" s="1"/>
  <c r="AG17" i="1" s="1"/>
  <c r="AA18" i="1" s="1"/>
  <c r="S72" i="1"/>
  <c r="S74" i="1" s="1"/>
  <c r="S76" i="1" s="1"/>
  <c r="K33" i="1" s="1"/>
  <c r="K32" i="1"/>
  <c r="AH17" i="1"/>
  <c r="K18" i="1" l="1"/>
  <c r="K17" i="1"/>
  <c r="AD38" i="1"/>
  <c r="AF38" i="1"/>
  <c r="G25" i="1"/>
  <c r="AC18" i="1"/>
  <c r="AI18" i="1" s="1"/>
  <c r="AI17" i="1"/>
  <c r="S77" i="1"/>
  <c r="AD106" i="1" s="1"/>
  <c r="K34" i="1"/>
  <c r="K37" i="1" s="1"/>
  <c r="AG18" i="1"/>
  <c r="AH18" i="1"/>
  <c r="AE18" i="1" l="1"/>
  <c r="AA19" i="1" s="1"/>
  <c r="AB106" i="1"/>
  <c r="AF106" i="1"/>
  <c r="K35" i="1"/>
  <c r="G29" i="1"/>
  <c r="K36" i="1"/>
  <c r="AC19" i="1" l="1"/>
  <c r="AE19" i="1" s="1"/>
  <c r="AH19" i="1"/>
  <c r="AG19" i="1"/>
  <c r="AI19" i="1" l="1"/>
  <c r="AC20" i="1"/>
  <c r="AA20" i="1"/>
  <c r="AH20" i="1"/>
  <c r="AG20" i="1"/>
  <c r="AE20" i="1" l="1"/>
  <c r="AC21" i="1" s="1"/>
  <c r="AI20" i="1"/>
  <c r="AG21" i="1"/>
  <c r="AH21" i="1"/>
  <c r="AA21" i="1" l="1"/>
  <c r="AI21" i="1" s="1"/>
  <c r="AE21" i="1" l="1"/>
  <c r="AC22" i="1" s="1"/>
  <c r="AH22" i="1"/>
  <c r="AG22" i="1"/>
  <c r="AA22" i="1" l="1"/>
  <c r="AE22" i="1" s="1"/>
  <c r="AC23" i="1" s="1"/>
  <c r="AG23" i="1"/>
  <c r="AI22" i="1" l="1"/>
  <c r="AA23" i="1"/>
  <c r="AE23" i="1" s="1"/>
  <c r="AH23" i="1" s="1"/>
  <c r="AC24" i="1" s="1"/>
  <c r="AG24" i="1"/>
  <c r="AH24" i="1"/>
  <c r="AI23" i="1" l="1"/>
  <c r="AA24" i="1"/>
  <c r="AE24" i="1" s="1"/>
  <c r="AA25" i="1" s="1"/>
  <c r="AC25" i="1" l="1"/>
  <c r="AI25" i="1" s="1"/>
  <c r="AI24" i="1"/>
  <c r="AH25" i="1"/>
  <c r="AG25" i="1"/>
  <c r="AE25" i="1" l="1"/>
  <c r="AA26" i="1" s="1"/>
  <c r="AC26" i="1" l="1"/>
  <c r="AE26" i="1" s="1"/>
  <c r="AG26" i="1" s="1"/>
  <c r="AA27" i="1" s="1"/>
  <c r="AH26" i="1"/>
  <c r="AI26" i="1" l="1"/>
  <c r="AC27" i="1"/>
  <c r="AI27" i="1" s="1"/>
  <c r="AE27" i="1" l="1"/>
  <c r="AG27" i="1" s="1"/>
  <c r="AA28" i="1" s="1"/>
  <c r="AH27" i="1"/>
  <c r="AC28" i="1" l="1"/>
  <c r="AI28" i="1" s="1"/>
  <c r="AH28" i="1"/>
  <c r="AG28" i="1"/>
  <c r="AE28" i="1" l="1"/>
  <c r="AA29" i="1" s="1"/>
  <c r="AG29" i="1"/>
  <c r="AH29" i="1"/>
  <c r="AC29" i="1" l="1"/>
  <c r="AE29" i="1" s="1"/>
  <c r="AC30" i="1" s="1"/>
  <c r="AI29" i="1" l="1"/>
  <c r="AA30" i="1"/>
  <c r="AI30" i="1" s="1"/>
  <c r="AG30" i="1"/>
  <c r="AH30" i="1"/>
  <c r="AE30" i="1" l="1"/>
  <c r="AC31" i="1" s="1"/>
  <c r="AA31" i="1" l="1"/>
  <c r="AI31" i="1" s="1"/>
  <c r="AG31" i="1"/>
  <c r="AH31" i="1"/>
  <c r="AE31" i="1" l="1"/>
  <c r="AA32" i="1" s="1"/>
  <c r="AC32" i="1" l="1"/>
  <c r="AE32" i="1" s="1"/>
  <c r="AG32" i="1"/>
  <c r="AH32" i="1"/>
  <c r="AA33" i="1" l="1"/>
  <c r="AC33" i="1"/>
  <c r="AI32" i="1"/>
  <c r="AE33" i="1" l="1"/>
  <c r="AI33" i="1"/>
  <c r="AG33" i="1"/>
  <c r="AH33" i="1"/>
  <c r="AC34" i="1" l="1"/>
  <c r="AA34" i="1"/>
  <c r="AE34" i="1" l="1"/>
  <c r="S4" i="1" s="1"/>
  <c r="S9" i="1" s="1"/>
  <c r="AI34" i="1"/>
  <c r="AG34" i="1"/>
  <c r="AH34" i="1"/>
  <c r="S6" i="1" l="1"/>
  <c r="S7" i="1" s="1"/>
  <c r="S12" i="1" s="1"/>
  <c r="S10" i="1"/>
  <c r="S11" i="1" s="1"/>
  <c r="S13" i="1" l="1"/>
  <c r="S15" i="1" s="1"/>
  <c r="S14" i="1" l="1"/>
  <c r="S16" i="1" s="1"/>
  <c r="S18" i="1" s="1"/>
  <c r="S17" i="1"/>
  <c r="S19" i="1" s="1"/>
  <c r="K6" i="1" l="1"/>
  <c r="S20" i="1"/>
  <c r="K5" i="1"/>
  <c r="W19" i="1"/>
  <c r="AF4" i="1" l="1"/>
  <c r="G23" i="1"/>
  <c r="K7" i="1"/>
  <c r="O6" i="1"/>
  <c r="O7" i="1" s="1"/>
  <c r="O9" i="1" s="1"/>
  <c r="W20" i="1"/>
  <c r="AB4" i="1"/>
  <c r="AD4" i="1"/>
  <c r="K10" i="1" l="1"/>
  <c r="K9" i="1"/>
  <c r="AQ4" i="1"/>
  <c r="G24" i="1"/>
  <c r="K8" i="1"/>
  <c r="O8" i="1"/>
  <c r="O10" i="1"/>
  <c r="AO4" i="1"/>
  <c r="AM4" i="1"/>
  <c r="W38" i="1"/>
  <c r="O15" i="1" s="1"/>
  <c r="W37" i="1"/>
  <c r="O14" i="1" s="1"/>
  <c r="O16" i="1" l="1"/>
  <c r="O19" i="1" s="1"/>
  <c r="G11" i="1" s="1"/>
  <c r="G18" i="1" s="1"/>
  <c r="G19" i="1" s="1"/>
  <c r="W39" i="1"/>
  <c r="G12" i="1" l="1"/>
  <c r="AQ38" i="1"/>
  <c r="G26" i="1"/>
  <c r="G30" i="1" s="1"/>
  <c r="O17" i="1"/>
  <c r="O18" i="1"/>
  <c r="AO38" i="1"/>
  <c r="AM38" i="1"/>
  <c r="G10" i="1" l="1"/>
  <c r="G17" i="1" s="1"/>
  <c r="G20" i="1" l="1"/>
  <c r="G15" i="1"/>
  <c r="G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<sst xmlns="http://schemas.openxmlformats.org/spreadsheetml/2006/main" count="521" uniqueCount="122">
  <si>
    <t>[case]</t>
  </si>
  <si>
    <t>v_inf</t>
  </si>
  <si>
    <t>m/s</t>
  </si>
  <si>
    <t>rpm</t>
  </si>
  <si>
    <t>RPM</t>
  </si>
  <si>
    <t>deg</t>
  </si>
  <si>
    <t>[rotor]</t>
  </si>
  <si>
    <t>nblades</t>
  </si>
  <si>
    <t>diameter</t>
  </si>
  <si>
    <t>radius_hub</t>
  </si>
  <si>
    <t>m</t>
  </si>
  <si>
    <t>[fluid]</t>
  </si>
  <si>
    <t>rho</t>
  </si>
  <si>
    <t>mu</t>
  </si>
  <si>
    <t>kg/m^3</t>
  </si>
  <si>
    <t>Pa s</t>
  </si>
  <si>
    <t>CLARKY</t>
  </si>
  <si>
    <t>sections</t>
  </si>
  <si>
    <t>chords</t>
  </si>
  <si>
    <t>radii</t>
  </si>
  <si>
    <t>alphas</t>
  </si>
  <si>
    <t>global_twist</t>
  </si>
  <si>
    <t>blade_radius</t>
  </si>
  <si>
    <t>area</t>
  </si>
  <si>
    <t>m^2</t>
  </si>
  <si>
    <t>Section 1</t>
  </si>
  <si>
    <t>Section 2</t>
  </si>
  <si>
    <t>rad</t>
  </si>
  <si>
    <t>Section 3</t>
  </si>
  <si>
    <t>Section 4</t>
  </si>
  <si>
    <t>pitch</t>
  </si>
  <si>
    <t>omega</t>
  </si>
  <si>
    <t>rad/s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</si>
  <si>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</si>
  <si>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</si>
  <si>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</si>
  <si>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</si>
  <si>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</si>
  <si>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</si>
  <si>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</si>
  <si>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</si>
  <si>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</si>
  <si>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</si>
  <si>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Section 5</t>
  </si>
  <si>
    <t>Section 6</t>
  </si>
  <si>
    <t>Section 7</t>
  </si>
  <si>
    <t>phi</t>
  </si>
  <si>
    <t>alpha</t>
  </si>
  <si>
    <t>Cl</t>
  </si>
  <si>
    <t>Cd</t>
  </si>
  <si>
    <t>Airfoil</t>
  </si>
  <si>
    <t>clarky-il</t>
  </si>
  <si>
    <t>Cl=f(alpha)</t>
  </si>
  <si>
    <t>Cd=f(alpha)</t>
  </si>
  <si>
    <t>naca-4412</t>
  </si>
  <si>
    <t>calc'd Cd</t>
  </si>
  <si>
    <t>calc'd Cl</t>
  </si>
  <si>
    <t>error</t>
  </si>
  <si>
    <t>author Cl</t>
  </si>
  <si>
    <t>author Cd</t>
  </si>
  <si>
    <t>Region 1</t>
  </si>
  <si>
    <t>Region 2</t>
  </si>
  <si>
    <t>Region 3</t>
  </si>
  <si>
    <t>Range</t>
  </si>
  <si>
    <t>alpha_deg</t>
  </si>
  <si>
    <t>alpha_rad</t>
  </si>
  <si>
    <t>CT</t>
  </si>
  <si>
    <t>CQ</t>
  </si>
  <si>
    <t>kappa</t>
  </si>
  <si>
    <t>kappap</t>
  </si>
  <si>
    <t>F</t>
  </si>
  <si>
    <t>Ftip</t>
  </si>
  <si>
    <t>Fhub</t>
  </si>
  <si>
    <t>sigma</t>
  </si>
  <si>
    <t>ap</t>
  </si>
  <si>
    <t>residual</t>
  </si>
  <si>
    <t>[Iterations to determine phi per airfoil section]</t>
  </si>
  <si>
    <t>[Bisection method for inflow angle at section 1]</t>
  </si>
  <si>
    <t>[Bisection method for inflow angle at section 2]</t>
  </si>
  <si>
    <t>[Bisection method for inflow angle at section 3]</t>
  </si>
  <si>
    <t>[Bisection method for inflow angle at section 4]</t>
  </si>
  <si>
    <t>[Bisection method for inflow angle at section 5]</t>
  </si>
  <si>
    <t>[Bisection method for inflow angle at section 6]</t>
  </si>
  <si>
    <t>[Bisection method for inflow angle at section 7]</t>
  </si>
  <si>
    <t>[Precalculated properties]</t>
  </si>
  <si>
    <t>[Sectional forces]</t>
  </si>
  <si>
    <t>v</t>
  </si>
  <si>
    <t>vp</t>
  </si>
  <si>
    <t>U</t>
  </si>
  <si>
    <t>Re</t>
  </si>
  <si>
    <t>dT</t>
  </si>
  <si>
    <t>width</t>
  </si>
  <si>
    <t>N</t>
  </si>
  <si>
    <t>Nm</t>
  </si>
  <si>
    <t>dQ</t>
  </si>
  <si>
    <t>[Performance summary]</t>
  </si>
  <si>
    <t>Thrust</t>
  </si>
  <si>
    <t>Torque</t>
  </si>
  <si>
    <t>Power</t>
  </si>
  <si>
    <t>kW</t>
  </si>
  <si>
    <t>Ideal Power</t>
  </si>
  <si>
    <t>Figure of Merit</t>
  </si>
  <si>
    <t>[Convergence]</t>
  </si>
  <si>
    <t>residuals</t>
  </si>
  <si>
    <t>is_converged</t>
  </si>
  <si>
    <t>J</t>
  </si>
  <si>
    <t>CP</t>
  </si>
  <si>
    <t>eta</t>
  </si>
  <si>
    <t>Report no. 594-National Advisory Committee for Aeronautics (1937).</t>
  </si>
  <si>
    <t>Data from experiment [1]</t>
  </si>
  <si>
    <t>[1] Theodorsen T., Stickle G.W. and Brevoort, M.J. “Characteristics of six propellers including the high-speed range.”</t>
  </si>
  <si>
    <t>References</t>
  </si>
  <si>
    <t>Data from BEMT</t>
  </si>
  <si>
    <t>[Main results]</t>
  </si>
  <si>
    <t>n</t>
  </si>
  <si>
    <t>rev/s</t>
  </si>
  <si>
    <t>[2] Morgado J., Silvestre M.A.R. and Páscoa J.C. “Validation of new formulations for propeller analysis.”</t>
  </si>
  <si>
    <t>Journal of Propulsion and Power 31.1 (2015): 467-477.</t>
  </si>
  <si>
    <t>naca-63815</t>
  </si>
  <si>
    <t>goe-408</t>
  </si>
  <si>
    <t>goe-450</t>
  </si>
  <si>
    <t>nrel-s814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</si>
</sst>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FF00"/>
      <name val="Aptos Narrow"/>
      <family val="2"/>
      <scheme val="minor"/>
    </font>
    <font>
      <sz val="9"/>
      <color rgb="FF404040"/>
      <name val="Aptos Narrow"/>
      <scheme val="minor"/>
    </font>
    <font>
      <sz val="9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/>
    <xf numFmtId="11" fontId="1" fillId="0" borderId="0" xfId="0" applyNumberFormat="1" applyFont="1" applyAlignment="1">
      <alignment horizontal="center" vertical="center"/>
    </xf>
    <xf numFmtId="9" fontId="4" fillId="2" borderId="0" xfId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airfoil_tables!$N$9:$N$388</c:f>
              <c:numCache>
                <c:formatCode>0.00E+00</c:formatCode>
                <c:ptCount val="38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airfoil_tables!$O$9:$O$388</c:f>
              <c:numCache>
                <c:formatCode>0.00E+00</c:formatCode>
                <c:ptCount val="38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2-8448-9294-85883E9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46000"/>
        <c:axId val="223182368"/>
      </c:scatterChart>
      <c:valAx>
        <c:axId val="1063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2368"/>
        <c:crosses val="autoZero"/>
        <c:crossBetween val="midCat"/>
      </c:valAx>
      <c:valAx>
        <c:axId val="223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airfoil_tables!$N$9:$N$388</c:f>
              <c:numCache>
                <c:formatCode>0.00E+00</c:formatCode>
                <c:ptCount val="38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airfoil_tables!$O$9:$O$388</c:f>
              <c:numCache>
                <c:formatCode>0.00E+00</c:formatCode>
                <c:ptCount val="38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2-8448-9294-85883E9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46000"/>
        <c:axId val="223182368"/>
      </c:scatterChart>
      <c:valAx>
        <c:axId val="1063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2368"/>
        <c:crosses val="autoZero"/>
        <c:crossBetween val="midCat"/>
      </c:valAx>
      <c:valAx>
        <c:axId val="223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(CLARKY)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airfoil_tables!$B$9:$B$108</c:f>
              <c:numCache>
                <c:formatCode>General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airfoil_tables!$C$9:$C$108</c:f>
              <c:numCache>
                <c:formatCode>General</c:formatCode>
                <c:ptCount val="100"/>
                <c:pt idx="0">
                  <c:v>-0.39400000000000002</c:v>
                </c:pt>
                <c:pt idx="1">
                  <c:v>-0.49156129029908202</c:v>
                </c:pt>
                <c:pt idx="2">
                  <c:v>-0.58487674721101601</c:v>
                </c:pt>
                <c:pt idx="3">
                  <c:v>-0.67394637073579999</c:v>
                </c:pt>
                <c:pt idx="4">
                  <c:v>-0.75877016087343596</c:v>
                </c:pt>
                <c:pt idx="5">
                  <c:v>-0.83934811762392303</c:v>
                </c:pt>
                <c:pt idx="6">
                  <c:v>-0.91568024098725997</c:v>
                </c:pt>
                <c:pt idx="7">
                  <c:v>-0.98776653096344902</c:v>
                </c:pt>
                <c:pt idx="8">
                  <c:v>-1.0556069875524801</c:v>
                </c:pt>
                <c:pt idx="9">
                  <c:v>-1.1192016107543801</c:v>
                </c:pt>
                <c:pt idx="10">
                  <c:v>-1.1785504005691201</c:v>
                </c:pt>
                <c:pt idx="11">
                  <c:v>-1.2336533569967101</c:v>
                </c:pt>
                <c:pt idx="12">
                  <c:v>-1.2845104800371501</c:v>
                </c:pt>
                <c:pt idx="13">
                  <c:v>-1.33112176969045</c:v>
                </c:pt>
                <c:pt idx="14">
                  <c:v>-1.37348722595659</c:v>
                </c:pt>
                <c:pt idx="15">
                  <c:v>-1.41160684883559</c:v>
                </c:pt>
                <c:pt idx="16">
                  <c:v>-1.4454806383274399</c:v>
                </c:pt>
                <c:pt idx="17">
                  <c:v>-1.47510859443214</c:v>
                </c:pt>
                <c:pt idx="18">
                  <c:v>-1.50049071714969</c:v>
                </c:pt>
                <c:pt idx="19">
                  <c:v>-1.5216270064800901</c:v>
                </c:pt>
                <c:pt idx="20">
                  <c:v>-1.53851746242334</c:v>
                </c:pt>
                <c:pt idx="21">
                  <c:v>-1.5511620849794401</c:v>
                </c:pt>
                <c:pt idx="22">
                  <c:v>-1.5595608741483999</c:v>
                </c:pt>
                <c:pt idx="23">
                  <c:v>-1.5637138299302</c:v>
                </c:pt>
                <c:pt idx="24">
                  <c:v>-1.5636209523248601</c:v>
                </c:pt>
                <c:pt idx="25">
                  <c:v>-1.5592822413323699</c:v>
                </c:pt>
                <c:pt idx="26">
                  <c:v>-1.55069769695272</c:v>
                </c:pt>
                <c:pt idx="27">
                  <c:v>-1.53786731918593</c:v>
                </c:pt>
                <c:pt idx="28">
                  <c:v>-1.52079110803199</c:v>
                </c:pt>
                <c:pt idx="29">
                  <c:v>-1.49946906349091</c:v>
                </c:pt>
                <c:pt idx="30">
                  <c:v>-1.47390118556267</c:v>
                </c:pt>
                <c:pt idx="31">
                  <c:v>-1.44408747424728</c:v>
                </c:pt>
                <c:pt idx="32">
                  <c:v>-1.41002792954474</c:v>
                </c:pt>
                <c:pt idx="33">
                  <c:v>-1.3717225514550599</c:v>
                </c:pt>
                <c:pt idx="34">
                  <c:v>-1.3291713399782299</c:v>
                </c:pt>
                <c:pt idx="35">
                  <c:v>-1.2823742951142401</c:v>
                </c:pt>
                <c:pt idx="36">
                  <c:v>-1.23133141686311</c:v>
                </c:pt>
                <c:pt idx="37">
                  <c:v>-1.1760427052248299</c:v>
                </c:pt>
                <c:pt idx="38">
                  <c:v>-1.1165081601994</c:v>
                </c:pt>
                <c:pt idx="39">
                  <c:v>-1.0527277817868199</c:v>
                </c:pt>
                <c:pt idx="40">
                  <c:v>-0.98470156998710101</c:v>
                </c:pt>
                <c:pt idx="41">
                  <c:v>-0.91242952480022399</c:v>
                </c:pt>
                <c:pt idx="42">
                  <c:v>-0.83591164622619896</c:v>
                </c:pt>
                <c:pt idx="43">
                  <c:v>-0.75514793426502502</c:v>
                </c:pt>
                <c:pt idx="44">
                  <c:v>-0.67013838891670097</c:v>
                </c:pt>
                <c:pt idx="45">
                  <c:v>-0.58088301018122901</c:v>
                </c:pt>
                <c:pt idx="46">
                  <c:v>-0.48738179805860699</c:v>
                </c:pt>
                <c:pt idx="47">
                  <c:v>-0.39083698320968502</c:v>
                </c:pt>
                <c:pt idx="48">
                  <c:v>-0.186761058787622</c:v>
                </c:pt>
                <c:pt idx="49">
                  <c:v>0.19650716743643601</c:v>
                </c:pt>
                <c:pt idx="50">
                  <c:v>0.62470947535672705</c:v>
                </c:pt>
                <c:pt idx="51">
                  <c:v>0.96531477439472302</c:v>
                </c:pt>
                <c:pt idx="52">
                  <c:v>1.2902508845633001</c:v>
                </c:pt>
                <c:pt idx="53">
                  <c:v>1.42359472587657</c:v>
                </c:pt>
                <c:pt idx="54">
                  <c:v>1.3641318775632301</c:v>
                </c:pt>
                <c:pt idx="55">
                  <c:v>1.2869608864944799</c:v>
                </c:pt>
                <c:pt idx="56">
                  <c:v>1.21255731591334</c:v>
                </c:pt>
                <c:pt idx="57">
                  <c:v>1.1416820711451801</c:v>
                </c:pt>
                <c:pt idx="58">
                  <c:v>1.07433515218999</c:v>
                </c:pt>
                <c:pt idx="59">
                  <c:v>1.01051655904778</c:v>
                </c:pt>
                <c:pt idx="60">
                  <c:v>0.950226291718552</c:v>
                </c:pt>
                <c:pt idx="61">
                  <c:v>0.89346435020229598</c:v>
                </c:pt>
                <c:pt idx="62">
                  <c:v>0.84023073449901597</c:v>
                </c:pt>
                <c:pt idx="63">
                  <c:v>0.79052544460871199</c:v>
                </c:pt>
                <c:pt idx="64">
                  <c:v>0.74434848053138503</c:v>
                </c:pt>
                <c:pt idx="65">
                  <c:v>0.70169984226703397</c:v>
                </c:pt>
                <c:pt idx="66">
                  <c:v>0.66257952981565904</c:v>
                </c:pt>
                <c:pt idx="67">
                  <c:v>0.62698754317726002</c:v>
                </c:pt>
                <c:pt idx="68">
                  <c:v>0.59492388235183802</c:v>
                </c:pt>
                <c:pt idx="69">
                  <c:v>0.56638854733939203</c:v>
                </c:pt>
                <c:pt idx="70">
                  <c:v>0.54138153813992196</c:v>
                </c:pt>
                <c:pt idx="71">
                  <c:v>0.51990285475342901</c:v>
                </c:pt>
                <c:pt idx="72">
                  <c:v>0.50195249717991197</c:v>
                </c:pt>
                <c:pt idx="73">
                  <c:v>0.48753046541937101</c:v>
                </c:pt>
                <c:pt idx="74">
                  <c:v>0.476636759471807</c:v>
                </c:pt>
                <c:pt idx="75">
                  <c:v>0.46927137933721902</c:v>
                </c:pt>
                <c:pt idx="76">
                  <c:v>0.465434325015607</c:v>
                </c:pt>
                <c:pt idx="77">
                  <c:v>0.46512559650697199</c:v>
                </c:pt>
                <c:pt idx="78">
                  <c:v>0.46834519381131201</c:v>
                </c:pt>
                <c:pt idx="79">
                  <c:v>0.47509311692862999</c:v>
                </c:pt>
                <c:pt idx="80">
                  <c:v>0.48536936585892299</c:v>
                </c:pt>
                <c:pt idx="81">
                  <c:v>0.499173940602193</c:v>
                </c:pt>
                <c:pt idx="82">
                  <c:v>0.51650684115843903</c:v>
                </c:pt>
                <c:pt idx="83">
                  <c:v>0.53736806752766197</c:v>
                </c:pt>
                <c:pt idx="84">
                  <c:v>0.56175761970986005</c:v>
                </c:pt>
                <c:pt idx="85">
                  <c:v>0.58967549770503502</c:v>
                </c:pt>
                <c:pt idx="86">
                  <c:v>0.62112170151318702</c:v>
                </c:pt>
                <c:pt idx="87">
                  <c:v>0.65609623113431503</c:v>
                </c:pt>
                <c:pt idx="88">
                  <c:v>0.69459908656841896</c:v>
                </c:pt>
                <c:pt idx="89">
                  <c:v>0.73663026781549901</c:v>
                </c:pt>
                <c:pt idx="90">
                  <c:v>0.78218977487555497</c:v>
                </c:pt>
                <c:pt idx="91">
                  <c:v>0.83127760774858805</c:v>
                </c:pt>
                <c:pt idx="92">
                  <c:v>0.88389376643459805</c:v>
                </c:pt>
                <c:pt idx="93">
                  <c:v>0.94003825093358295</c:v>
                </c:pt>
                <c:pt idx="94">
                  <c:v>0.99971106124554499</c:v>
                </c:pt>
                <c:pt idx="95">
                  <c:v>1.06291219737048</c:v>
                </c:pt>
                <c:pt idx="96">
                  <c:v>1.12964165930839</c:v>
                </c:pt>
                <c:pt idx="97">
                  <c:v>1.1998994470592801</c:v>
                </c:pt>
                <c:pt idx="98">
                  <c:v>1.2736855606231501</c:v>
                </c:pt>
                <c:pt idx="99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4-F643-94D8-9B656E87A9B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8.2044018638207275E-2"/>
                  <c:y val="0.2705786270262671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airfoil_tables!$B$9:$B$56</c:f>
              <c:numCache>
                <c:formatCode>General</c:formatCode>
                <c:ptCount val="48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</c:numCache>
            </c:numRef>
          </c:xVal>
          <c:yVal>
            <c:numRef>
              <c:f>airfoil_tables!$C$9:$C$56</c:f>
              <c:numCache>
                <c:formatCode>General</c:formatCode>
                <c:ptCount val="48"/>
                <c:pt idx="0">
                  <c:v>-0.39400000000000002</c:v>
                </c:pt>
                <c:pt idx="1">
                  <c:v>-0.49156129029908202</c:v>
                </c:pt>
                <c:pt idx="2">
                  <c:v>-0.58487674721101601</c:v>
                </c:pt>
                <c:pt idx="3">
                  <c:v>-0.67394637073579999</c:v>
                </c:pt>
                <c:pt idx="4">
                  <c:v>-0.75877016087343596</c:v>
                </c:pt>
                <c:pt idx="5">
                  <c:v>-0.83934811762392303</c:v>
                </c:pt>
                <c:pt idx="6">
                  <c:v>-0.91568024098725997</c:v>
                </c:pt>
                <c:pt idx="7">
                  <c:v>-0.98776653096344902</c:v>
                </c:pt>
                <c:pt idx="8">
                  <c:v>-1.0556069875524801</c:v>
                </c:pt>
                <c:pt idx="9">
                  <c:v>-1.1192016107543801</c:v>
                </c:pt>
                <c:pt idx="10">
                  <c:v>-1.1785504005691201</c:v>
                </c:pt>
                <c:pt idx="11">
                  <c:v>-1.2336533569967101</c:v>
                </c:pt>
                <c:pt idx="12">
                  <c:v>-1.2845104800371501</c:v>
                </c:pt>
                <c:pt idx="13">
                  <c:v>-1.33112176969045</c:v>
                </c:pt>
                <c:pt idx="14">
                  <c:v>-1.37348722595659</c:v>
                </c:pt>
                <c:pt idx="15">
                  <c:v>-1.41160684883559</c:v>
                </c:pt>
                <c:pt idx="16">
                  <c:v>-1.4454806383274399</c:v>
                </c:pt>
                <c:pt idx="17">
                  <c:v>-1.47510859443214</c:v>
                </c:pt>
                <c:pt idx="18">
                  <c:v>-1.50049071714969</c:v>
                </c:pt>
                <c:pt idx="19">
                  <c:v>-1.5216270064800901</c:v>
                </c:pt>
                <c:pt idx="20">
                  <c:v>-1.53851746242334</c:v>
                </c:pt>
                <c:pt idx="21">
                  <c:v>-1.5511620849794401</c:v>
                </c:pt>
                <c:pt idx="22">
                  <c:v>-1.5595608741483999</c:v>
                </c:pt>
                <c:pt idx="23">
                  <c:v>-1.5637138299302</c:v>
                </c:pt>
                <c:pt idx="24">
                  <c:v>-1.5636209523248601</c:v>
                </c:pt>
                <c:pt idx="25">
                  <c:v>-1.5592822413323699</c:v>
                </c:pt>
                <c:pt idx="26">
                  <c:v>-1.55069769695272</c:v>
                </c:pt>
                <c:pt idx="27">
                  <c:v>-1.53786731918593</c:v>
                </c:pt>
                <c:pt idx="28">
                  <c:v>-1.52079110803199</c:v>
                </c:pt>
                <c:pt idx="29">
                  <c:v>-1.49946906349091</c:v>
                </c:pt>
                <c:pt idx="30">
                  <c:v>-1.47390118556267</c:v>
                </c:pt>
                <c:pt idx="31">
                  <c:v>-1.44408747424728</c:v>
                </c:pt>
                <c:pt idx="32">
                  <c:v>-1.41002792954474</c:v>
                </c:pt>
                <c:pt idx="33">
                  <c:v>-1.3717225514550599</c:v>
                </c:pt>
                <c:pt idx="34">
                  <c:v>-1.3291713399782299</c:v>
                </c:pt>
                <c:pt idx="35">
                  <c:v>-1.2823742951142401</c:v>
                </c:pt>
                <c:pt idx="36">
                  <c:v>-1.23133141686311</c:v>
                </c:pt>
                <c:pt idx="37">
                  <c:v>-1.1760427052248299</c:v>
                </c:pt>
                <c:pt idx="38">
                  <c:v>-1.1165081601994</c:v>
                </c:pt>
                <c:pt idx="39">
                  <c:v>-1.0527277817868199</c:v>
                </c:pt>
                <c:pt idx="40">
                  <c:v>-0.98470156998710101</c:v>
                </c:pt>
                <c:pt idx="41">
                  <c:v>-0.91242952480022399</c:v>
                </c:pt>
                <c:pt idx="42">
                  <c:v>-0.83591164622619896</c:v>
                </c:pt>
                <c:pt idx="43">
                  <c:v>-0.75514793426502502</c:v>
                </c:pt>
                <c:pt idx="44">
                  <c:v>-0.67013838891670097</c:v>
                </c:pt>
                <c:pt idx="45">
                  <c:v>-0.58088301018122901</c:v>
                </c:pt>
                <c:pt idx="46">
                  <c:v>-0.48738179805860699</c:v>
                </c:pt>
                <c:pt idx="47">
                  <c:v>-0.39083698320968502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0B4-F643-94D8-9B656E87A9B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linear"/>
            <c:intercept val="0.376"/>
            <c:dispRSqr val="0"/>
            <c:dispEq val="1"/>
            <c:trendlineLbl>
              <c:layout>
                <c:manualLayout>
                  <c:x val="-0.13961751582406545"/>
                  <c:y val="0.10004057030893389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airfoil_tables!$B$57:$B$61</c:f>
              <c:numCache>
                <c:formatCode>General</c:formatCode>
                <c:ptCount val="5"/>
                <c:pt idx="0">
                  <c:v>-5.4545454545454604</c:v>
                </c:pt>
                <c:pt idx="1">
                  <c:v>-1.8181818181818099</c:v>
                </c:pt>
                <c:pt idx="2">
                  <c:v>1.8181818181818099</c:v>
                </c:pt>
                <c:pt idx="3">
                  <c:v>5.4545454545454302</c:v>
                </c:pt>
                <c:pt idx="4">
                  <c:v>9.0909090909090899</c:v>
                </c:pt>
              </c:numCache>
            </c:numRef>
          </c:xVal>
          <c:yVal>
            <c:numRef>
              <c:f>airfoil_tables!$C$57:$C$61</c:f>
              <c:numCache>
                <c:formatCode>General</c:formatCode>
                <c:ptCount val="5"/>
                <c:pt idx="0">
                  <c:v>-0.186761058787622</c:v>
                </c:pt>
                <c:pt idx="1">
                  <c:v>0.19650716743643601</c:v>
                </c:pt>
                <c:pt idx="2">
                  <c:v>0.62470947535672705</c:v>
                </c:pt>
                <c:pt idx="3">
                  <c:v>0.96531477439472302</c:v>
                </c:pt>
                <c:pt idx="4">
                  <c:v>1.2902508845633001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0B4-F643-94D8-9B656E87A9B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6.6526186541805811E-3"/>
                  <c:y val="-6.7023251846299328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airfoil_tables!$B$62:$B$108</c:f>
              <c:numCache>
                <c:formatCode>General</c:formatCode>
                <c:ptCount val="47"/>
                <c:pt idx="0">
                  <c:v>12.7272727272727</c:v>
                </c:pt>
                <c:pt idx="1">
                  <c:v>16.363636363636299</c:v>
                </c:pt>
                <c:pt idx="2">
                  <c:v>20</c:v>
                </c:pt>
                <c:pt idx="3">
                  <c:v>23.636363636363601</c:v>
                </c:pt>
                <c:pt idx="4">
                  <c:v>27.272727272727199</c:v>
                </c:pt>
                <c:pt idx="5">
                  <c:v>30.909090909090899</c:v>
                </c:pt>
                <c:pt idx="6">
                  <c:v>34.545454545454497</c:v>
                </c:pt>
                <c:pt idx="7">
                  <c:v>38.181818181818102</c:v>
                </c:pt>
                <c:pt idx="8">
                  <c:v>41.818181818181799</c:v>
                </c:pt>
                <c:pt idx="9">
                  <c:v>45.454545454545404</c:v>
                </c:pt>
                <c:pt idx="10">
                  <c:v>49.090909090909001</c:v>
                </c:pt>
                <c:pt idx="11">
                  <c:v>52.727272727272698</c:v>
                </c:pt>
                <c:pt idx="12">
                  <c:v>56.363636363636303</c:v>
                </c:pt>
                <c:pt idx="13">
                  <c:v>60</c:v>
                </c:pt>
                <c:pt idx="14">
                  <c:v>63.636363636363598</c:v>
                </c:pt>
                <c:pt idx="15">
                  <c:v>67.272727272727195</c:v>
                </c:pt>
                <c:pt idx="16">
                  <c:v>70.909090909090907</c:v>
                </c:pt>
                <c:pt idx="17">
                  <c:v>74.545454545454504</c:v>
                </c:pt>
                <c:pt idx="18">
                  <c:v>78.181818181818102</c:v>
                </c:pt>
                <c:pt idx="19">
                  <c:v>81.818181818181799</c:v>
                </c:pt>
                <c:pt idx="20">
                  <c:v>85.454545454545396</c:v>
                </c:pt>
                <c:pt idx="21">
                  <c:v>89.090909090908994</c:v>
                </c:pt>
                <c:pt idx="22">
                  <c:v>92.727272727272606</c:v>
                </c:pt>
                <c:pt idx="23">
                  <c:v>96.363636363636303</c:v>
                </c:pt>
                <c:pt idx="24">
                  <c:v>100</c:v>
                </c:pt>
                <c:pt idx="25">
                  <c:v>103.636363636363</c:v>
                </c:pt>
                <c:pt idx="26">
                  <c:v>107.272727272727</c:v>
                </c:pt>
                <c:pt idx="27">
                  <c:v>110.90909090909</c:v>
                </c:pt>
                <c:pt idx="28">
                  <c:v>114.54545454545401</c:v>
                </c:pt>
                <c:pt idx="29">
                  <c:v>118.181818181818</c:v>
                </c:pt>
                <c:pt idx="30">
                  <c:v>121.818181818181</c:v>
                </c:pt>
                <c:pt idx="31">
                  <c:v>125.454545454545</c:v>
                </c:pt>
                <c:pt idx="32">
                  <c:v>129.09090909090901</c:v>
                </c:pt>
                <c:pt idx="33">
                  <c:v>132.72727272727201</c:v>
                </c:pt>
                <c:pt idx="34">
                  <c:v>136.363636363636</c:v>
                </c:pt>
                <c:pt idx="35">
                  <c:v>140</c:v>
                </c:pt>
                <c:pt idx="36">
                  <c:v>143.636363636363</c:v>
                </c:pt>
                <c:pt idx="37">
                  <c:v>147.272727272727</c:v>
                </c:pt>
                <c:pt idx="38">
                  <c:v>150.90909090909</c:v>
                </c:pt>
                <c:pt idx="39">
                  <c:v>154.54545454545399</c:v>
                </c:pt>
                <c:pt idx="40">
                  <c:v>158.18181818181799</c:v>
                </c:pt>
                <c:pt idx="41">
                  <c:v>161.81818181818099</c:v>
                </c:pt>
                <c:pt idx="42">
                  <c:v>165.45454545454501</c:v>
                </c:pt>
                <c:pt idx="43">
                  <c:v>169.09090909090901</c:v>
                </c:pt>
                <c:pt idx="44">
                  <c:v>172.72727272727201</c:v>
                </c:pt>
                <c:pt idx="45">
                  <c:v>176.363636363636</c:v>
                </c:pt>
                <c:pt idx="46">
                  <c:v>180</c:v>
                </c:pt>
              </c:numCache>
            </c:numRef>
          </c:xVal>
          <c:yVal>
            <c:numRef>
              <c:f>airfoil_tables!$C$62:$C$108</c:f>
              <c:numCache>
                <c:formatCode>General</c:formatCode>
                <c:ptCount val="47"/>
                <c:pt idx="0">
                  <c:v>1.42359472587657</c:v>
                </c:pt>
                <c:pt idx="1">
                  <c:v>1.3641318775632301</c:v>
                </c:pt>
                <c:pt idx="2">
                  <c:v>1.2869608864944799</c:v>
                </c:pt>
                <c:pt idx="3">
                  <c:v>1.21255731591334</c:v>
                </c:pt>
                <c:pt idx="4">
                  <c:v>1.1416820711451801</c:v>
                </c:pt>
                <c:pt idx="5">
                  <c:v>1.07433515218999</c:v>
                </c:pt>
                <c:pt idx="6">
                  <c:v>1.01051655904778</c:v>
                </c:pt>
                <c:pt idx="7">
                  <c:v>0.950226291718552</c:v>
                </c:pt>
                <c:pt idx="8">
                  <c:v>0.89346435020229598</c:v>
                </c:pt>
                <c:pt idx="9">
                  <c:v>0.84023073449901597</c:v>
                </c:pt>
                <c:pt idx="10">
                  <c:v>0.79052544460871199</c:v>
                </c:pt>
                <c:pt idx="11">
                  <c:v>0.74434848053138503</c:v>
                </c:pt>
                <c:pt idx="12">
                  <c:v>0.70169984226703397</c:v>
                </c:pt>
                <c:pt idx="13">
                  <c:v>0.66257952981565904</c:v>
                </c:pt>
                <c:pt idx="14">
                  <c:v>0.62698754317726002</c:v>
                </c:pt>
                <c:pt idx="15">
                  <c:v>0.59492388235183802</c:v>
                </c:pt>
                <c:pt idx="16">
                  <c:v>0.56638854733939203</c:v>
                </c:pt>
                <c:pt idx="17">
                  <c:v>0.54138153813992196</c:v>
                </c:pt>
                <c:pt idx="18">
                  <c:v>0.51990285475342901</c:v>
                </c:pt>
                <c:pt idx="19">
                  <c:v>0.50195249717991197</c:v>
                </c:pt>
                <c:pt idx="20">
                  <c:v>0.48753046541937101</c:v>
                </c:pt>
                <c:pt idx="21">
                  <c:v>0.476636759471807</c:v>
                </c:pt>
                <c:pt idx="22">
                  <c:v>0.46927137933721902</c:v>
                </c:pt>
                <c:pt idx="23">
                  <c:v>0.465434325015607</c:v>
                </c:pt>
                <c:pt idx="24">
                  <c:v>0.46512559650697199</c:v>
                </c:pt>
                <c:pt idx="25">
                  <c:v>0.46834519381131201</c:v>
                </c:pt>
                <c:pt idx="26">
                  <c:v>0.47509311692862999</c:v>
                </c:pt>
                <c:pt idx="27">
                  <c:v>0.48536936585892299</c:v>
                </c:pt>
                <c:pt idx="28">
                  <c:v>0.499173940602193</c:v>
                </c:pt>
                <c:pt idx="29">
                  <c:v>0.51650684115843903</c:v>
                </c:pt>
                <c:pt idx="30">
                  <c:v>0.53736806752766197</c:v>
                </c:pt>
                <c:pt idx="31">
                  <c:v>0.56175761970986005</c:v>
                </c:pt>
                <c:pt idx="32">
                  <c:v>0.58967549770503502</c:v>
                </c:pt>
                <c:pt idx="33">
                  <c:v>0.62112170151318702</c:v>
                </c:pt>
                <c:pt idx="34">
                  <c:v>0.65609623113431503</c:v>
                </c:pt>
                <c:pt idx="35">
                  <c:v>0.69459908656841896</c:v>
                </c:pt>
                <c:pt idx="36">
                  <c:v>0.73663026781549901</c:v>
                </c:pt>
                <c:pt idx="37">
                  <c:v>0.78218977487555497</c:v>
                </c:pt>
                <c:pt idx="38">
                  <c:v>0.83127760774858805</c:v>
                </c:pt>
                <c:pt idx="39">
                  <c:v>0.88389376643459805</c:v>
                </c:pt>
                <c:pt idx="40">
                  <c:v>0.94003825093358295</c:v>
                </c:pt>
                <c:pt idx="41">
                  <c:v>0.99971106124554499</c:v>
                </c:pt>
                <c:pt idx="42">
                  <c:v>1.06291219737048</c:v>
                </c:pt>
                <c:pt idx="43">
                  <c:v>1.12964165930839</c:v>
                </c:pt>
                <c:pt idx="44">
                  <c:v>1.1998994470592801</c:v>
                </c:pt>
                <c:pt idx="45">
                  <c:v>1.2736855606231501</c:v>
                </c:pt>
                <c:pt idx="46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0B4-F643-94D8-9B656E87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(CLARKY)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airfoil_tables!$B$9:$B$108</c:f>
              <c:numCache>
                <c:formatCode>General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airfoil_tables!$D$9:$D$108</c:f>
              <c:numCache>
                <c:formatCode>General</c:formatCode>
                <c:ptCount val="100"/>
                <c:pt idx="0">
                  <c:v>8.5040000000000004E-2</c:v>
                </c:pt>
                <c:pt idx="1">
                  <c:v>2.3184963447916301E-2</c:v>
                </c:pt>
                <c:pt idx="2">
                  <c:v>-3.5978163448698301E-2</c:v>
                </c:pt>
                <c:pt idx="3">
                  <c:v>-9.2449380689843097E-2</c:v>
                </c:pt>
                <c:pt idx="4">
                  <c:v>-0.14622868827551799</c:v>
                </c:pt>
                <c:pt idx="5">
                  <c:v>-0.197316086205724</c:v>
                </c:pt>
                <c:pt idx="6">
                  <c:v>-0.24571157448046099</c:v>
                </c:pt>
                <c:pt idx="7">
                  <c:v>-0.29141515309972799</c:v>
                </c:pt>
                <c:pt idx="8">
                  <c:v>-0.33442682206352597</c:v>
                </c:pt>
                <c:pt idx="9">
                  <c:v>-0.37474658137185402</c:v>
                </c:pt>
                <c:pt idx="10">
                  <c:v>-0.412374431024713</c:v>
                </c:pt>
                <c:pt idx="11">
                  <c:v>-0.44731037102210203</c:v>
                </c:pt>
                <c:pt idx="12">
                  <c:v>-0.479554401364022</c:v>
                </c:pt>
                <c:pt idx="13">
                  <c:v>-0.50910652205047302</c:v>
                </c:pt>
                <c:pt idx="14">
                  <c:v>-0.53596673308145404</c:v>
                </c:pt>
                <c:pt idx="15">
                  <c:v>-0.560135034456965</c:v>
                </c:pt>
                <c:pt idx="16">
                  <c:v>-0.58161142617700701</c:v>
                </c:pt>
                <c:pt idx="17">
                  <c:v>-0.60039590824157996</c:v>
                </c:pt>
                <c:pt idx="18">
                  <c:v>-0.61648848065068296</c:v>
                </c:pt>
                <c:pt idx="19">
                  <c:v>-0.62988914340431701</c:v>
                </c:pt>
                <c:pt idx="20">
                  <c:v>-0.640597896502482</c:v>
                </c:pt>
                <c:pt idx="21">
                  <c:v>-0.64861473994517704</c:v>
                </c:pt>
                <c:pt idx="22">
                  <c:v>-0.65393967373240203</c:v>
                </c:pt>
                <c:pt idx="23">
                  <c:v>-0.65657269786415795</c:v>
                </c:pt>
                <c:pt idx="24">
                  <c:v>-0.65651381234044504</c:v>
                </c:pt>
                <c:pt idx="25">
                  <c:v>-0.65376301716126195</c:v>
                </c:pt>
                <c:pt idx="26">
                  <c:v>-0.64832031232661003</c:v>
                </c:pt>
                <c:pt idx="27">
                  <c:v>-0.64018569783648804</c:v>
                </c:pt>
                <c:pt idx="28">
                  <c:v>-0.629359173690897</c:v>
                </c:pt>
                <c:pt idx="29">
                  <c:v>-0.61584073988983601</c:v>
                </c:pt>
                <c:pt idx="30">
                  <c:v>-0.59963039643330596</c:v>
                </c:pt>
                <c:pt idx="31">
                  <c:v>-0.58072814332130696</c:v>
                </c:pt>
                <c:pt idx="32">
                  <c:v>-0.55913398055383801</c:v>
                </c:pt>
                <c:pt idx="33">
                  <c:v>-0.534847908130899</c:v>
                </c:pt>
                <c:pt idx="34">
                  <c:v>-0.50786992605249204</c:v>
                </c:pt>
                <c:pt idx="35">
                  <c:v>-0.47820003431861402</c:v>
                </c:pt>
                <c:pt idx="36">
                  <c:v>-0.445838232929267</c:v>
                </c:pt>
                <c:pt idx="37">
                  <c:v>-0.41078452188445103</c:v>
                </c:pt>
                <c:pt idx="38">
                  <c:v>-0.37303890118416599</c:v>
                </c:pt>
                <c:pt idx="39">
                  <c:v>-0.33260137082841101</c:v>
                </c:pt>
                <c:pt idx="40">
                  <c:v>-0.28947193081718597</c:v>
                </c:pt>
                <c:pt idx="41">
                  <c:v>-0.24365058115049201</c:v>
                </c:pt>
                <c:pt idx="42">
                  <c:v>-0.19513732182832899</c:v>
                </c:pt>
                <c:pt idx="43">
                  <c:v>-0.14393215285069599</c:v>
                </c:pt>
                <c:pt idx="44">
                  <c:v>-9.0035074217594005E-2</c:v>
                </c:pt>
                <c:pt idx="45">
                  <c:v>-3.3446085929022401E-2</c:v>
                </c:pt>
                <c:pt idx="46">
                  <c:v>2.5834812015018999E-2</c:v>
                </c:pt>
                <c:pt idx="47">
                  <c:v>8.7313628961035297E-2</c:v>
                </c:pt>
                <c:pt idx="48">
                  <c:v>1.3984334495295399E-2</c:v>
                </c:pt>
                <c:pt idx="49">
                  <c:v>8.6609733943403405E-3</c:v>
                </c:pt>
                <c:pt idx="50">
                  <c:v>7.0129727379302396E-3</c:v>
                </c:pt>
                <c:pt idx="51">
                  <c:v>1.0270983107589801E-2</c:v>
                </c:pt>
                <c:pt idx="52">
                  <c:v>1.54703994057185E-2</c:v>
                </c:pt>
                <c:pt idx="53">
                  <c:v>3.2626753453508399E-2</c:v>
                </c:pt>
                <c:pt idx="54">
                  <c:v>8.2853017022679207E-2</c:v>
                </c:pt>
                <c:pt idx="55">
                  <c:v>0.14492261189601</c:v>
                </c:pt>
                <c:pt idx="56">
                  <c:v>0.20429596332064501</c:v>
                </c:pt>
                <c:pt idx="57">
                  <c:v>0.26085374384191901</c:v>
                </c:pt>
                <c:pt idx="58">
                  <c:v>0.31459595345983099</c:v>
                </c:pt>
                <c:pt idx="59">
                  <c:v>0.36552259217438199</c:v>
                </c:pt>
                <c:pt idx="60">
                  <c:v>0.413633659985571</c:v>
                </c:pt>
                <c:pt idx="61">
                  <c:v>0.45892915689339903</c:v>
                </c:pt>
                <c:pt idx="62">
                  <c:v>0.50140908289786501</c:v>
                </c:pt>
                <c:pt idx="63">
                  <c:v>0.54107343799897001</c:v>
                </c:pt>
                <c:pt idx="64">
                  <c:v>0.57792222219671296</c:v>
                </c:pt>
                <c:pt idx="65">
                  <c:v>0.61195543549109499</c:v>
                </c:pt>
                <c:pt idx="66">
                  <c:v>0.64317307788211497</c:v>
                </c:pt>
                <c:pt idx="67">
                  <c:v>0.67157514936977403</c:v>
                </c:pt>
                <c:pt idx="68">
                  <c:v>0.69716164995407104</c:v>
                </c:pt>
                <c:pt idx="69">
                  <c:v>0.71993257963500801</c:v>
                </c:pt>
                <c:pt idx="70">
                  <c:v>0.73988793841258205</c:v>
                </c:pt>
                <c:pt idx="71">
                  <c:v>0.75702772628679504</c:v>
                </c:pt>
                <c:pt idx="72">
                  <c:v>0.771351943257646</c:v>
                </c:pt>
                <c:pt idx="73">
                  <c:v>0.78286058932513602</c:v>
                </c:pt>
                <c:pt idx="74">
                  <c:v>0.79155366448926501</c:v>
                </c:pt>
                <c:pt idx="75">
                  <c:v>0.79743116875003195</c:v>
                </c:pt>
                <c:pt idx="76">
                  <c:v>0.80049310210743796</c:v>
                </c:pt>
                <c:pt idx="77">
                  <c:v>0.80073946456148204</c:v>
                </c:pt>
                <c:pt idx="78">
                  <c:v>0.79817025611216497</c:v>
                </c:pt>
                <c:pt idx="79">
                  <c:v>0.79278547675948596</c:v>
                </c:pt>
                <c:pt idx="80">
                  <c:v>0.78458512650344603</c:v>
                </c:pt>
                <c:pt idx="81">
                  <c:v>0.77356920534404405</c:v>
                </c:pt>
                <c:pt idx="82">
                  <c:v>0.75973771328128004</c:v>
                </c:pt>
                <c:pt idx="83">
                  <c:v>0.74309065031515598</c:v>
                </c:pt>
                <c:pt idx="84">
                  <c:v>0.72362801644566899</c:v>
                </c:pt>
                <c:pt idx="85">
                  <c:v>0.70134981167282195</c:v>
                </c:pt>
                <c:pt idx="86">
                  <c:v>0.67625603599661299</c:v>
                </c:pt>
                <c:pt idx="87">
                  <c:v>0.64834668941704199</c:v>
                </c:pt>
                <c:pt idx="88">
                  <c:v>0.61762177193411005</c:v>
                </c:pt>
                <c:pt idx="89">
                  <c:v>0.58408128354781597</c:v>
                </c:pt>
                <c:pt idx="90">
                  <c:v>0.54772522425816095</c:v>
                </c:pt>
                <c:pt idx="91">
                  <c:v>0.508553594065145</c:v>
                </c:pt>
                <c:pt idx="92">
                  <c:v>0.46656639296876701</c:v>
                </c:pt>
                <c:pt idx="93">
                  <c:v>0.42176362096902698</c:v>
                </c:pt>
                <c:pt idx="94">
                  <c:v>0.37414527806592601</c:v>
                </c:pt>
                <c:pt idx="95">
                  <c:v>0.32371136425946401</c:v>
                </c:pt>
                <c:pt idx="96">
                  <c:v>0.27046187954964002</c:v>
                </c:pt>
                <c:pt idx="97">
                  <c:v>0.21439682393645501</c:v>
                </c:pt>
                <c:pt idx="98">
                  <c:v>0.15551619741990799</c:v>
                </c:pt>
                <c:pt idx="99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E5-4A42-A309-FEA2AF8475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3.6215591349496909E-2"/>
                  <c:y val="0.3992835286488066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airfoil_tables!$B$9:$B$56</c:f>
              <c:numCache>
                <c:formatCode>General</c:formatCode>
                <c:ptCount val="48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</c:numCache>
            </c:numRef>
          </c:xVal>
          <c:yVal>
            <c:numRef>
              <c:f>airfoil_tables!$D$9:$D$56</c:f>
              <c:numCache>
                <c:formatCode>General</c:formatCode>
                <c:ptCount val="48"/>
                <c:pt idx="0">
                  <c:v>8.5040000000000004E-2</c:v>
                </c:pt>
                <c:pt idx="1">
                  <c:v>2.3184963447916301E-2</c:v>
                </c:pt>
                <c:pt idx="2">
                  <c:v>-3.5978163448698301E-2</c:v>
                </c:pt>
                <c:pt idx="3">
                  <c:v>-9.2449380689843097E-2</c:v>
                </c:pt>
                <c:pt idx="4">
                  <c:v>-0.14622868827551799</c:v>
                </c:pt>
                <c:pt idx="5">
                  <c:v>-0.197316086205724</c:v>
                </c:pt>
                <c:pt idx="6">
                  <c:v>-0.24571157448046099</c:v>
                </c:pt>
                <c:pt idx="7">
                  <c:v>-0.29141515309972799</c:v>
                </c:pt>
                <c:pt idx="8">
                  <c:v>-0.33442682206352597</c:v>
                </c:pt>
                <c:pt idx="9">
                  <c:v>-0.37474658137185402</c:v>
                </c:pt>
                <c:pt idx="10">
                  <c:v>-0.412374431024713</c:v>
                </c:pt>
                <c:pt idx="11">
                  <c:v>-0.44731037102210203</c:v>
                </c:pt>
                <c:pt idx="12">
                  <c:v>-0.479554401364022</c:v>
                </c:pt>
                <c:pt idx="13">
                  <c:v>-0.50910652205047302</c:v>
                </c:pt>
                <c:pt idx="14">
                  <c:v>-0.53596673308145404</c:v>
                </c:pt>
                <c:pt idx="15">
                  <c:v>-0.560135034456965</c:v>
                </c:pt>
                <c:pt idx="16">
                  <c:v>-0.58161142617700701</c:v>
                </c:pt>
                <c:pt idx="17">
                  <c:v>-0.60039590824157996</c:v>
                </c:pt>
                <c:pt idx="18">
                  <c:v>-0.61648848065068296</c:v>
                </c:pt>
                <c:pt idx="19">
                  <c:v>-0.62988914340431701</c:v>
                </c:pt>
                <c:pt idx="20">
                  <c:v>-0.640597896502482</c:v>
                </c:pt>
                <c:pt idx="21">
                  <c:v>-0.64861473994517704</c:v>
                </c:pt>
                <c:pt idx="22">
                  <c:v>-0.65393967373240203</c:v>
                </c:pt>
                <c:pt idx="23">
                  <c:v>-0.65657269786415795</c:v>
                </c:pt>
                <c:pt idx="24">
                  <c:v>-0.65651381234044504</c:v>
                </c:pt>
                <c:pt idx="25">
                  <c:v>-0.65376301716126195</c:v>
                </c:pt>
                <c:pt idx="26">
                  <c:v>-0.64832031232661003</c:v>
                </c:pt>
                <c:pt idx="27">
                  <c:v>-0.64018569783648804</c:v>
                </c:pt>
                <c:pt idx="28">
                  <c:v>-0.629359173690897</c:v>
                </c:pt>
                <c:pt idx="29">
                  <c:v>-0.61584073988983601</c:v>
                </c:pt>
                <c:pt idx="30">
                  <c:v>-0.59963039643330596</c:v>
                </c:pt>
                <c:pt idx="31">
                  <c:v>-0.58072814332130696</c:v>
                </c:pt>
                <c:pt idx="32">
                  <c:v>-0.55913398055383801</c:v>
                </c:pt>
                <c:pt idx="33">
                  <c:v>-0.534847908130899</c:v>
                </c:pt>
                <c:pt idx="34">
                  <c:v>-0.50786992605249204</c:v>
                </c:pt>
                <c:pt idx="35">
                  <c:v>-0.47820003431861402</c:v>
                </c:pt>
                <c:pt idx="36">
                  <c:v>-0.445838232929267</c:v>
                </c:pt>
                <c:pt idx="37">
                  <c:v>-0.41078452188445103</c:v>
                </c:pt>
                <c:pt idx="38">
                  <c:v>-0.37303890118416599</c:v>
                </c:pt>
                <c:pt idx="39">
                  <c:v>-0.33260137082841101</c:v>
                </c:pt>
                <c:pt idx="40">
                  <c:v>-0.28947193081718597</c:v>
                </c:pt>
                <c:pt idx="41">
                  <c:v>-0.24365058115049201</c:v>
                </c:pt>
                <c:pt idx="42">
                  <c:v>-0.19513732182832899</c:v>
                </c:pt>
                <c:pt idx="43">
                  <c:v>-0.14393215285069599</c:v>
                </c:pt>
                <c:pt idx="44">
                  <c:v>-9.0035074217594005E-2</c:v>
                </c:pt>
                <c:pt idx="45">
                  <c:v>-3.3446085929022401E-2</c:v>
                </c:pt>
                <c:pt idx="46">
                  <c:v>2.5834812015018999E-2</c:v>
                </c:pt>
                <c:pt idx="47">
                  <c:v>8.7313628961035297E-2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5-4A42-A309-FEA2AF84754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2"/>
            <c:intercept val="6.5199999999999998E-3"/>
            <c:dispRSqr val="0"/>
            <c:dispEq val="1"/>
            <c:trendlineLbl>
              <c:layout>
                <c:manualLayout>
                  <c:x val="-3.0164568440454679E-2"/>
                  <c:y val="-0.2081954608437205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airfoil_tables!$B$57:$B$61</c:f>
              <c:numCache>
                <c:formatCode>General</c:formatCode>
                <c:ptCount val="5"/>
                <c:pt idx="0">
                  <c:v>-5.4545454545454604</c:v>
                </c:pt>
                <c:pt idx="1">
                  <c:v>-1.8181818181818099</c:v>
                </c:pt>
                <c:pt idx="2">
                  <c:v>1.8181818181818099</c:v>
                </c:pt>
                <c:pt idx="3">
                  <c:v>5.4545454545454302</c:v>
                </c:pt>
                <c:pt idx="4">
                  <c:v>9.0909090909090899</c:v>
                </c:pt>
              </c:numCache>
            </c:numRef>
          </c:xVal>
          <c:yVal>
            <c:numRef>
              <c:f>airfoil_tables!$D$57:$D$61</c:f>
              <c:numCache>
                <c:formatCode>General</c:formatCode>
                <c:ptCount val="5"/>
                <c:pt idx="0">
                  <c:v>1.3984334495295399E-2</c:v>
                </c:pt>
                <c:pt idx="1">
                  <c:v>8.6609733943403405E-3</c:v>
                </c:pt>
                <c:pt idx="2">
                  <c:v>7.0129727379302396E-3</c:v>
                </c:pt>
                <c:pt idx="3">
                  <c:v>1.0270983107589801E-2</c:v>
                </c:pt>
                <c:pt idx="4">
                  <c:v>1.54703994057185E-2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E5-4A42-A309-FEA2AF847547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7.2511467372357821E-2"/>
                  <c:y val="-0.34695585931137468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airfoil_tables!$B$62:$B$108</c:f>
              <c:numCache>
                <c:formatCode>General</c:formatCode>
                <c:ptCount val="47"/>
                <c:pt idx="0">
                  <c:v>12.7272727272727</c:v>
                </c:pt>
                <c:pt idx="1">
                  <c:v>16.363636363636299</c:v>
                </c:pt>
                <c:pt idx="2">
                  <c:v>20</c:v>
                </c:pt>
                <c:pt idx="3">
                  <c:v>23.636363636363601</c:v>
                </c:pt>
                <c:pt idx="4">
                  <c:v>27.272727272727199</c:v>
                </c:pt>
                <c:pt idx="5">
                  <c:v>30.909090909090899</c:v>
                </c:pt>
                <c:pt idx="6">
                  <c:v>34.545454545454497</c:v>
                </c:pt>
                <c:pt idx="7">
                  <c:v>38.181818181818102</c:v>
                </c:pt>
                <c:pt idx="8">
                  <c:v>41.818181818181799</c:v>
                </c:pt>
                <c:pt idx="9">
                  <c:v>45.454545454545404</c:v>
                </c:pt>
                <c:pt idx="10">
                  <c:v>49.090909090909001</c:v>
                </c:pt>
                <c:pt idx="11">
                  <c:v>52.727272727272698</c:v>
                </c:pt>
                <c:pt idx="12">
                  <c:v>56.363636363636303</c:v>
                </c:pt>
                <c:pt idx="13">
                  <c:v>60</c:v>
                </c:pt>
                <c:pt idx="14">
                  <c:v>63.636363636363598</c:v>
                </c:pt>
                <c:pt idx="15">
                  <c:v>67.272727272727195</c:v>
                </c:pt>
                <c:pt idx="16">
                  <c:v>70.909090909090907</c:v>
                </c:pt>
                <c:pt idx="17">
                  <c:v>74.545454545454504</c:v>
                </c:pt>
                <c:pt idx="18">
                  <c:v>78.181818181818102</c:v>
                </c:pt>
                <c:pt idx="19">
                  <c:v>81.818181818181799</c:v>
                </c:pt>
                <c:pt idx="20">
                  <c:v>85.454545454545396</c:v>
                </c:pt>
                <c:pt idx="21">
                  <c:v>89.090909090908994</c:v>
                </c:pt>
                <c:pt idx="22">
                  <c:v>92.727272727272606</c:v>
                </c:pt>
                <c:pt idx="23">
                  <c:v>96.363636363636303</c:v>
                </c:pt>
                <c:pt idx="24">
                  <c:v>100</c:v>
                </c:pt>
                <c:pt idx="25">
                  <c:v>103.636363636363</c:v>
                </c:pt>
                <c:pt idx="26">
                  <c:v>107.272727272727</c:v>
                </c:pt>
                <c:pt idx="27">
                  <c:v>110.90909090909</c:v>
                </c:pt>
                <c:pt idx="28">
                  <c:v>114.54545454545401</c:v>
                </c:pt>
                <c:pt idx="29">
                  <c:v>118.181818181818</c:v>
                </c:pt>
                <c:pt idx="30">
                  <c:v>121.818181818181</c:v>
                </c:pt>
                <c:pt idx="31">
                  <c:v>125.454545454545</c:v>
                </c:pt>
                <c:pt idx="32">
                  <c:v>129.09090909090901</c:v>
                </c:pt>
                <c:pt idx="33">
                  <c:v>132.72727272727201</c:v>
                </c:pt>
                <c:pt idx="34">
                  <c:v>136.363636363636</c:v>
                </c:pt>
                <c:pt idx="35">
                  <c:v>140</c:v>
                </c:pt>
                <c:pt idx="36">
                  <c:v>143.636363636363</c:v>
                </c:pt>
                <c:pt idx="37">
                  <c:v>147.272727272727</c:v>
                </c:pt>
                <c:pt idx="38">
                  <c:v>150.90909090909</c:v>
                </c:pt>
                <c:pt idx="39">
                  <c:v>154.54545454545399</c:v>
                </c:pt>
                <c:pt idx="40">
                  <c:v>158.18181818181799</c:v>
                </c:pt>
                <c:pt idx="41">
                  <c:v>161.81818181818099</c:v>
                </c:pt>
                <c:pt idx="42">
                  <c:v>165.45454545454501</c:v>
                </c:pt>
                <c:pt idx="43">
                  <c:v>169.09090909090901</c:v>
                </c:pt>
                <c:pt idx="44">
                  <c:v>172.72727272727201</c:v>
                </c:pt>
                <c:pt idx="45">
                  <c:v>176.363636363636</c:v>
                </c:pt>
                <c:pt idx="46">
                  <c:v>180</c:v>
                </c:pt>
              </c:numCache>
            </c:numRef>
          </c:xVal>
          <c:yVal>
            <c:numRef>
              <c:f>airfoil_tables!$D$62:$D$108</c:f>
              <c:numCache>
                <c:formatCode>General</c:formatCode>
                <c:ptCount val="47"/>
                <c:pt idx="0">
                  <c:v>3.2626753453508399E-2</c:v>
                </c:pt>
                <c:pt idx="1">
                  <c:v>8.2853017022679207E-2</c:v>
                </c:pt>
                <c:pt idx="2">
                  <c:v>0.14492261189601</c:v>
                </c:pt>
                <c:pt idx="3">
                  <c:v>0.20429596332064501</c:v>
                </c:pt>
                <c:pt idx="4">
                  <c:v>0.26085374384191901</c:v>
                </c:pt>
                <c:pt idx="5">
                  <c:v>0.31459595345983099</c:v>
                </c:pt>
                <c:pt idx="6">
                  <c:v>0.36552259217438199</c:v>
                </c:pt>
                <c:pt idx="7">
                  <c:v>0.413633659985571</c:v>
                </c:pt>
                <c:pt idx="8">
                  <c:v>0.45892915689339903</c:v>
                </c:pt>
                <c:pt idx="9">
                  <c:v>0.50140908289786501</c:v>
                </c:pt>
                <c:pt idx="10">
                  <c:v>0.54107343799897001</c:v>
                </c:pt>
                <c:pt idx="11">
                  <c:v>0.57792222219671296</c:v>
                </c:pt>
                <c:pt idx="12">
                  <c:v>0.61195543549109499</c:v>
                </c:pt>
                <c:pt idx="13">
                  <c:v>0.64317307788211497</c:v>
                </c:pt>
                <c:pt idx="14">
                  <c:v>0.67157514936977403</c:v>
                </c:pt>
                <c:pt idx="15">
                  <c:v>0.69716164995407104</c:v>
                </c:pt>
                <c:pt idx="16">
                  <c:v>0.71993257963500801</c:v>
                </c:pt>
                <c:pt idx="17">
                  <c:v>0.73988793841258205</c:v>
                </c:pt>
                <c:pt idx="18">
                  <c:v>0.75702772628679504</c:v>
                </c:pt>
                <c:pt idx="19">
                  <c:v>0.771351943257646</c:v>
                </c:pt>
                <c:pt idx="20">
                  <c:v>0.78286058932513602</c:v>
                </c:pt>
                <c:pt idx="21">
                  <c:v>0.79155366448926501</c:v>
                </c:pt>
                <c:pt idx="22">
                  <c:v>0.79743116875003195</c:v>
                </c:pt>
                <c:pt idx="23">
                  <c:v>0.80049310210743796</c:v>
                </c:pt>
                <c:pt idx="24">
                  <c:v>0.80073946456148204</c:v>
                </c:pt>
                <c:pt idx="25">
                  <c:v>0.79817025611216497</c:v>
                </c:pt>
                <c:pt idx="26">
                  <c:v>0.79278547675948596</c:v>
                </c:pt>
                <c:pt idx="27">
                  <c:v>0.78458512650344603</c:v>
                </c:pt>
                <c:pt idx="28">
                  <c:v>0.77356920534404405</c:v>
                </c:pt>
                <c:pt idx="29">
                  <c:v>0.75973771328128004</c:v>
                </c:pt>
                <c:pt idx="30">
                  <c:v>0.74309065031515598</c:v>
                </c:pt>
                <c:pt idx="31">
                  <c:v>0.72362801644566899</c:v>
                </c:pt>
                <c:pt idx="32">
                  <c:v>0.70134981167282195</c:v>
                </c:pt>
                <c:pt idx="33">
                  <c:v>0.67625603599661299</c:v>
                </c:pt>
                <c:pt idx="34">
                  <c:v>0.64834668941704199</c:v>
                </c:pt>
                <c:pt idx="35">
                  <c:v>0.61762177193411005</c:v>
                </c:pt>
                <c:pt idx="36">
                  <c:v>0.58408128354781597</c:v>
                </c:pt>
                <c:pt idx="37">
                  <c:v>0.54772522425816095</c:v>
                </c:pt>
                <c:pt idx="38">
                  <c:v>0.508553594065145</c:v>
                </c:pt>
                <c:pt idx="39">
                  <c:v>0.46656639296876701</c:v>
                </c:pt>
                <c:pt idx="40">
                  <c:v>0.42176362096902698</c:v>
                </c:pt>
                <c:pt idx="41">
                  <c:v>0.37414527806592601</c:v>
                </c:pt>
                <c:pt idx="42">
                  <c:v>0.32371136425946401</c:v>
                </c:pt>
                <c:pt idx="43">
                  <c:v>0.27046187954964002</c:v>
                </c:pt>
                <c:pt idx="44">
                  <c:v>0.21439682393645501</c:v>
                </c:pt>
                <c:pt idx="45">
                  <c:v>0.15551619741990799</c:v>
                </c:pt>
                <c:pt idx="46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E5-4A42-A309-FEA2AF847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(NACA-4412)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airfoil_tables!$N$9:$N$108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airfoil_tables!$O$9:$O$108</c:f>
              <c:numCache>
                <c:formatCode>0.00E+00</c:formatCode>
                <c:ptCount val="10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59-694C-8A52-CA333EF9B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(NACA-4412)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airfoil_tables!$N$9:$N$108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airfoil_tables!$P$9:$P$108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1.2864483067206301E-2</c:v>
                </c:pt>
                <c:pt idx="2">
                  <c:v>3.3301998576696197E-2</c:v>
                </c:pt>
                <c:pt idx="3">
                  <c:v>6.6894308708698003E-2</c:v>
                </c:pt>
                <c:pt idx="4">
                  <c:v>0.113087027453321</c:v>
                </c:pt>
                <c:pt idx="5">
                  <c:v>0.17095953188791699</c:v>
                </c:pt>
                <c:pt idx="6">
                  <c:v>0.23950189029779201</c:v>
                </c:pt>
                <c:pt idx="7">
                  <c:v>0.31767968825943799</c:v>
                </c:pt>
                <c:pt idx="8">
                  <c:v>0.404047855923723</c:v>
                </c:pt>
                <c:pt idx="9">
                  <c:v>0.49727596979682398</c:v>
                </c:pt>
                <c:pt idx="10">
                  <c:v>0.59585507221701695</c:v>
                </c:pt>
                <c:pt idx="11">
                  <c:v>0.69799999999999895</c:v>
                </c:pt>
                <c:pt idx="12">
                  <c:v>0.80224897566035802</c:v>
                </c:pt>
                <c:pt idx="13">
                  <c:v>0.90691717990529297</c:v>
                </c:pt>
                <c:pt idx="14">
                  <c:v>1.0102429381417899</c:v>
                </c:pt>
                <c:pt idx="15">
                  <c:v>1.1106601949576</c:v>
                </c:pt>
                <c:pt idx="16">
                  <c:v>1.2065676566921599</c:v>
                </c:pt>
                <c:pt idx="17">
                  <c:v>1.2964756420622801</c:v>
                </c:pt>
                <c:pt idx="18">
                  <c:v>1.37896205634195</c:v>
                </c:pt>
                <c:pt idx="19">
                  <c:v>1.4527283084881599</c:v>
                </c:pt>
                <c:pt idx="20">
                  <c:v>1.5165342666186401</c:v>
                </c:pt>
                <c:pt idx="21">
                  <c:v>1.56958444764093</c:v>
                </c:pt>
                <c:pt idx="22">
                  <c:v>1.61099999999999</c:v>
                </c:pt>
                <c:pt idx="23">
                  <c:v>1.6399853833431499</c:v>
                </c:pt>
                <c:pt idx="24">
                  <c:v>1.6562709241050499</c:v>
                </c:pt>
                <c:pt idx="25">
                  <c:v>1.65958664206092</c:v>
                </c:pt>
                <c:pt idx="26">
                  <c:v>1.64976857247474</c:v>
                </c:pt>
                <c:pt idx="27">
                  <c:v>1.62706717023021</c:v>
                </c:pt>
                <c:pt idx="28">
                  <c:v>1.5917874570545201</c:v>
                </c:pt>
                <c:pt idx="29">
                  <c:v>1.54441700164399</c:v>
                </c:pt>
                <c:pt idx="30">
                  <c:v>1.4858002058390101</c:v>
                </c:pt>
                <c:pt idx="31">
                  <c:v>1.4168449544533299</c:v>
                </c:pt>
                <c:pt idx="32">
                  <c:v>1.33859016250209</c:v>
                </c:pt>
                <c:pt idx="33">
                  <c:v>1.2522</c:v>
                </c:pt>
                <c:pt idx="34">
                  <c:v>1.1590420752050501</c:v>
                </c:pt>
                <c:pt idx="35">
                  <c:v>1.0606759590064001</c:v>
                </c:pt>
                <c:pt idx="36">
                  <c:v>0.95848590106555298</c:v>
                </c:pt>
                <c:pt idx="37">
                  <c:v>0.85424143879513603</c:v>
                </c:pt>
                <c:pt idx="38">
                  <c:v>0.74947103366884305</c:v>
                </c:pt>
                <c:pt idx="39">
                  <c:v>0.64590934836527403</c:v>
                </c:pt>
                <c:pt idx="40">
                  <c:v>0.54520339916494098</c:v>
                </c:pt>
                <c:pt idx="41">
                  <c:v>0.44885439640000502</c:v>
                </c:pt>
                <c:pt idx="42">
                  <c:v>0.35849323021205898</c:v>
                </c:pt>
                <c:pt idx="43">
                  <c:v>0.27536784589073399</c:v>
                </c:pt>
                <c:pt idx="44">
                  <c:v>0.20080000000000001</c:v>
                </c:pt>
                <c:pt idx="45">
                  <c:v>0.13542800384949599</c:v>
                </c:pt>
                <c:pt idx="46">
                  <c:v>7.92719629461517E-2</c:v>
                </c:pt>
                <c:pt idx="47">
                  <c:v>3.29366536220006E-2</c:v>
                </c:pt>
                <c:pt idx="48">
                  <c:v>2.3520584386747902E-2</c:v>
                </c:pt>
                <c:pt idx="49">
                  <c:v>2.2588159121838002E-2</c:v>
                </c:pt>
                <c:pt idx="50">
                  <c:v>1.8544202980024498E-2</c:v>
                </c:pt>
                <c:pt idx="51">
                  <c:v>2.2822602072364102E-2</c:v>
                </c:pt>
                <c:pt idx="52">
                  <c:v>3.2587551472570399E-2</c:v>
                </c:pt>
                <c:pt idx="53">
                  <c:v>5.7686810665068797E-2</c:v>
                </c:pt>
                <c:pt idx="54">
                  <c:v>0.111071811517632</c:v>
                </c:pt>
                <c:pt idx="55">
                  <c:v>0.19919999999999899</c:v>
                </c:pt>
                <c:pt idx="56">
                  <c:v>0.255835070704658</c:v>
                </c:pt>
                <c:pt idx="57">
                  <c:v>0.34892696809475598</c:v>
                </c:pt>
                <c:pt idx="58">
                  <c:v>0.44863296495520699</c:v>
                </c:pt>
                <c:pt idx="59">
                  <c:v>0.55380138942287804</c:v>
                </c:pt>
                <c:pt idx="60">
                  <c:v>0.66345465431324702</c:v>
                </c:pt>
                <c:pt idx="61">
                  <c:v>0.77593225926158105</c:v>
                </c:pt>
                <c:pt idx="62">
                  <c:v>0.88987968309949195</c:v>
                </c:pt>
                <c:pt idx="63">
                  <c:v>1.00342411703417</c:v>
                </c:pt>
                <c:pt idx="64">
                  <c:v>1.1149657904404799</c:v>
                </c:pt>
                <c:pt idx="65">
                  <c:v>1.22266190810426</c:v>
                </c:pt>
                <c:pt idx="66">
                  <c:v>1.32479999999999</c:v>
                </c:pt>
                <c:pt idx="67">
                  <c:v>1.41984877837945</c:v>
                </c:pt>
                <c:pt idx="68">
                  <c:v>1.50615787627346</c:v>
                </c:pt>
                <c:pt idx="69">
                  <c:v>1.5824381587913201</c:v>
                </c:pt>
                <c:pt idx="70">
                  <c:v>1.64735295477924</c:v>
                </c:pt>
                <c:pt idx="71">
                  <c:v>1.69980807871787</c:v>
                </c:pt>
                <c:pt idx="72">
                  <c:v>1.7390865769364801</c:v>
                </c:pt>
                <c:pt idx="73">
                  <c:v>1.7643996699506801</c:v>
                </c:pt>
                <c:pt idx="74">
                  <c:v>1.7754007929323199</c:v>
                </c:pt>
                <c:pt idx="75">
                  <c:v>1.7719451563921</c:v>
                </c:pt>
                <c:pt idx="76">
                  <c:v>1.75405191333873</c:v>
                </c:pt>
                <c:pt idx="77">
                  <c:v>1.72199999999999</c:v>
                </c:pt>
                <c:pt idx="78">
                  <c:v>1.67637975803248</c:v>
                </c:pt>
                <c:pt idx="79">
                  <c:v>1.6178868485504101</c:v>
                </c:pt>
                <c:pt idx="80">
                  <c:v>1.54760121522139</c:v>
                </c:pt>
                <c:pt idx="81">
                  <c:v>1.46656899144214</c:v>
                </c:pt>
                <c:pt idx="82">
                  <c:v>1.3761947280347799</c:v>
                </c:pt>
                <c:pt idx="83">
                  <c:v>1.2780792550642399</c:v>
                </c:pt>
                <c:pt idx="84">
                  <c:v>1.17368931971748</c:v>
                </c:pt>
                <c:pt idx="85">
                  <c:v>1.06473392015938</c:v>
                </c:pt>
                <c:pt idx="86">
                  <c:v>0.95313957081223999</c:v>
                </c:pt>
                <c:pt idx="87">
                  <c:v>0.840549790359438</c:v>
                </c:pt>
                <c:pt idx="88">
                  <c:v>0.72899999999999998</c:v>
                </c:pt>
                <c:pt idx="89">
                  <c:v>0.62009036206085</c:v>
                </c:pt>
                <c:pt idx="90">
                  <c:v>0.51575507064753001</c:v>
                </c:pt>
                <c:pt idx="91">
                  <c:v>0.417467505177749</c:v>
                </c:pt>
                <c:pt idx="92">
                  <c:v>0.32692832741033501</c:v>
                </c:pt>
                <c:pt idx="93">
                  <c:v>0.24556598455863499</c:v>
                </c:pt>
                <c:pt idx="94">
                  <c:v>0.17446232445037599</c:v>
                </c:pt>
                <c:pt idx="95">
                  <c:v>0.114900051818267</c:v>
                </c:pt>
                <c:pt idx="96">
                  <c:v>6.7676984536011703E-2</c:v>
                </c:pt>
                <c:pt idx="97">
                  <c:v>3.3517741611663203E-2</c:v>
                </c:pt>
                <c:pt idx="98">
                  <c:v>1.29461716758819E-2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3-D549-BEAE-012E68356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(NACA-63815)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airfoil_tables!$Z$9:$Z$108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airfoil_tables!$AA$9:$AA$108</c:f>
              <c:numCache>
                <c:formatCode>0.00E+00</c:formatCode>
                <c:ptCount val="100"/>
                <c:pt idx="0">
                  <c:v>0</c:v>
                </c:pt>
                <c:pt idx="1">
                  <c:v>0.23640936392996401</c:v>
                </c:pt>
                <c:pt idx="2">
                  <c:v>0.444132701550359</c:v>
                </c:pt>
                <c:pt idx="3">
                  <c:v>0.62317001286118301</c:v>
                </c:pt>
                <c:pt idx="4">
                  <c:v>0.77352129786243695</c:v>
                </c:pt>
                <c:pt idx="5">
                  <c:v>0.87422511543296599</c:v>
                </c:pt>
                <c:pt idx="6">
                  <c:v>0.891914273583988</c:v>
                </c:pt>
                <c:pt idx="7">
                  <c:v>0.82702769487888705</c:v>
                </c:pt>
                <c:pt idx="8">
                  <c:v>0.74716853125034</c:v>
                </c:pt>
                <c:pt idx="9">
                  <c:v>0.694805429425287</c:v>
                </c:pt>
                <c:pt idx="10">
                  <c:v>0.66770940840644699</c:v>
                </c:pt>
                <c:pt idx="11">
                  <c:v>0.64259999999999895</c:v>
                </c:pt>
                <c:pt idx="12">
                  <c:v>0.61328559032461005</c:v>
                </c:pt>
                <c:pt idx="13">
                  <c:v>0.58008289651059097</c:v>
                </c:pt>
                <c:pt idx="14">
                  <c:v>0.544182774967918</c:v>
                </c:pt>
                <c:pt idx="15">
                  <c:v>0.50569924386350396</c:v>
                </c:pt>
                <c:pt idx="16">
                  <c:v>0.464296165514272</c:v>
                </c:pt>
                <c:pt idx="17">
                  <c:v>0.41943846360838399</c:v>
                </c:pt>
                <c:pt idx="18">
                  <c:v>0.37112793451346399</c:v>
                </c:pt>
                <c:pt idx="19">
                  <c:v>0.32003977121594201</c:v>
                </c:pt>
                <c:pt idx="20">
                  <c:v>0.266598133412422</c:v>
                </c:pt>
                <c:pt idx="21">
                  <c:v>0.21096260863524599</c:v>
                </c:pt>
                <c:pt idx="22">
                  <c:v>0.15479999999999899</c:v>
                </c:pt>
                <c:pt idx="23">
                  <c:v>9.8553606207637395E-2</c:v>
                </c:pt>
                <c:pt idx="24">
                  <c:v>4.2239789027437198E-2</c:v>
                </c:pt>
                <c:pt idx="25">
                  <c:v>-1.4079931288113599E-2</c:v>
                </c:pt>
                <c:pt idx="26">
                  <c:v>-7.0399664502074702E-2</c:v>
                </c:pt>
                <c:pt idx="27">
                  <c:v>-0.12668730204527801</c:v>
                </c:pt>
                <c:pt idx="28">
                  <c:v>-0.18289173231782599</c:v>
                </c:pt>
                <c:pt idx="29">
                  <c:v>-0.23899457212551201</c:v>
                </c:pt>
                <c:pt idx="30">
                  <c:v>-0.29361304392010901</c:v>
                </c:pt>
                <c:pt idx="31">
                  <c:v>-0.34587847975465302</c:v>
                </c:pt>
                <c:pt idx="32">
                  <c:v>-0.39571276234077901</c:v>
                </c:pt>
                <c:pt idx="33">
                  <c:v>-0.44230000000000003</c:v>
                </c:pt>
                <c:pt idx="34">
                  <c:v>-0.48542320026463098</c:v>
                </c:pt>
                <c:pt idx="35">
                  <c:v>-0.52525726793901095</c:v>
                </c:pt>
                <c:pt idx="36">
                  <c:v>-0.56245984508744795</c:v>
                </c:pt>
                <c:pt idx="37">
                  <c:v>-0.59709389743950303</c:v>
                </c:pt>
                <c:pt idx="38">
                  <c:v>-0.62849975055927398</c:v>
                </c:pt>
                <c:pt idx="39">
                  <c:v>-0.65562731044675504</c:v>
                </c:pt>
                <c:pt idx="40">
                  <c:v>-0.67871540702441502</c:v>
                </c:pt>
                <c:pt idx="41">
                  <c:v>-0.71744286824491199</c:v>
                </c:pt>
                <c:pt idx="42">
                  <c:v>-0.78417203474517305</c:v>
                </c:pt>
                <c:pt idx="43">
                  <c:v>-0.87085977138251303</c:v>
                </c:pt>
                <c:pt idx="44">
                  <c:v>-0.89349999999999996</c:v>
                </c:pt>
                <c:pt idx="45">
                  <c:v>-0.82975067853461804</c:v>
                </c:pt>
                <c:pt idx="46">
                  <c:v>-0.66796335428320597</c:v>
                </c:pt>
                <c:pt idx="47">
                  <c:v>-0.364339845081883</c:v>
                </c:pt>
                <c:pt idx="48">
                  <c:v>3.9370857129469299E-2</c:v>
                </c:pt>
                <c:pt idx="49">
                  <c:v>0.49863681994928499</c:v>
                </c:pt>
                <c:pt idx="50">
                  <c:v>0.89926860333981096</c:v>
                </c:pt>
                <c:pt idx="51">
                  <c:v>1.2708133299648701</c:v>
                </c:pt>
                <c:pt idx="52">
                  <c:v>1.49502679531144</c:v>
                </c:pt>
                <c:pt idx="53">
                  <c:v>1.66351829942798</c:v>
                </c:pt>
                <c:pt idx="54">
                  <c:v>1.7368552212981201</c:v>
                </c:pt>
                <c:pt idx="55">
                  <c:v>1.72358699999999</c:v>
                </c:pt>
                <c:pt idx="56">
                  <c:v>1.53382821843291</c:v>
                </c:pt>
                <c:pt idx="57">
                  <c:v>1.21439847441282</c:v>
                </c:pt>
                <c:pt idx="58">
                  <c:v>1.0051813690479801</c:v>
                </c:pt>
                <c:pt idx="59">
                  <c:v>0.92914448116790704</c:v>
                </c:pt>
                <c:pt idx="60">
                  <c:v>0.92683904383495297</c:v>
                </c:pt>
                <c:pt idx="61">
                  <c:v>0.903632326005534</c:v>
                </c:pt>
                <c:pt idx="62">
                  <c:v>0.85847669915123703</c:v>
                </c:pt>
                <c:pt idx="63">
                  <c:v>0.80428986909928901</c:v>
                </c:pt>
                <c:pt idx="64">
                  <c:v>0.749186804895004</c:v>
                </c:pt>
                <c:pt idx="65">
                  <c:v>0.69284529359404301</c:v>
                </c:pt>
                <c:pt idx="66">
                  <c:v>0.63190000000000002</c:v>
                </c:pt>
                <c:pt idx="67">
                  <c:v>0.56545588815638403</c:v>
                </c:pt>
                <c:pt idx="68">
                  <c:v>0.49401974297703299</c:v>
                </c:pt>
                <c:pt idx="69">
                  <c:v>0.41949707573798201</c:v>
                </c:pt>
                <c:pt idx="70">
                  <c:v>0.34207032900821199</c:v>
                </c:pt>
                <c:pt idx="71">
                  <c:v>0.26198852813024698</c:v>
                </c:pt>
                <c:pt idx="72">
                  <c:v>0.179648080792191</c:v>
                </c:pt>
                <c:pt idx="73">
                  <c:v>9.5168594104449403E-2</c:v>
                </c:pt>
                <c:pt idx="74">
                  <c:v>1.7483014990709499E-2</c:v>
                </c:pt>
                <c:pt idx="75">
                  <c:v>-4.7796933481584203E-2</c:v>
                </c:pt>
                <c:pt idx="76">
                  <c:v>-0.101687288944527</c:v>
                </c:pt>
                <c:pt idx="77">
                  <c:v>-0.15479999999999899</c:v>
                </c:pt>
                <c:pt idx="78">
                  <c:v>-0.209957393403821</c:v>
                </c:pt>
                <c:pt idx="79">
                  <c:v>-0.26622912850284602</c:v>
                </c:pt>
                <c:pt idx="80">
                  <c:v>-0.32011712444124701</c:v>
                </c:pt>
                <c:pt idx="81">
                  <c:v>-0.37128645858389298</c:v>
                </c:pt>
                <c:pt idx="82">
                  <c:v>-0.419476755082765</c:v>
                </c:pt>
                <c:pt idx="83">
                  <c:v>-0.46427353809816102</c:v>
                </c:pt>
                <c:pt idx="84">
                  <c:v>-0.50567778030293598</c:v>
                </c:pt>
                <c:pt idx="85">
                  <c:v>-0.54417982601939396</c:v>
                </c:pt>
                <c:pt idx="86">
                  <c:v>-0.580087712065393</c:v>
                </c:pt>
                <c:pt idx="87">
                  <c:v>-0.61328830582676697</c:v>
                </c:pt>
                <c:pt idx="88">
                  <c:v>-0.64259999999999995</c:v>
                </c:pt>
                <c:pt idx="89">
                  <c:v>-0.66770853732351698</c:v>
                </c:pt>
                <c:pt idx="90">
                  <c:v>-0.69480510964235098</c:v>
                </c:pt>
                <c:pt idx="91">
                  <c:v>-0.74716859829382098</c:v>
                </c:pt>
                <c:pt idx="92">
                  <c:v>-0.82702783234213995</c:v>
                </c:pt>
                <c:pt idx="93">
                  <c:v>-0.89191430686456497</c:v>
                </c:pt>
                <c:pt idx="94">
                  <c:v>-0.87422509565755102</c:v>
                </c:pt>
                <c:pt idx="95">
                  <c:v>-0.77352127856935005</c:v>
                </c:pt>
                <c:pt idx="96">
                  <c:v>-0.62317000996722105</c:v>
                </c:pt>
                <c:pt idx="97">
                  <c:v>-0.44413270733828702</c:v>
                </c:pt>
                <c:pt idx="98">
                  <c:v>-0.236409370682544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E-F44B-B77E-2DB6D7DB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(NACA-63815)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airfoil_tables!$Z$9:$Z$108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airfoil_tables!$AB$9:$AB$108</c:f>
              <c:numCache>
                <c:formatCode>0.00E+00</c:formatCode>
                <c:ptCount val="100"/>
                <c:pt idx="0">
                  <c:v>0.01</c:v>
                </c:pt>
                <c:pt idx="1">
                  <c:v>9.9717101654003609E-4</c:v>
                </c:pt>
                <c:pt idx="2">
                  <c:v>2.2832894427485999E-3</c:v>
                </c:pt>
                <c:pt idx="3">
                  <c:v>1.3858355278625599E-2</c:v>
                </c:pt>
                <c:pt idx="4">
                  <c:v>3.5722368524171197E-2</c:v>
                </c:pt>
                <c:pt idx="5">
                  <c:v>6.8924105423226106E-2</c:v>
                </c:pt>
                <c:pt idx="6">
                  <c:v>0.115133046527209</c:v>
                </c:pt>
                <c:pt idx="7">
                  <c:v>0.174302504430567</c:v>
                </c:pt>
                <c:pt idx="8">
                  <c:v>0.24112138094875199</c:v>
                </c:pt>
                <c:pt idx="9">
                  <c:v>0.31225321696582597</c:v>
                </c:pt>
                <c:pt idx="10">
                  <c:v>0.38753766613906399</c:v>
                </c:pt>
                <c:pt idx="11">
                  <c:v>0.46529999999999999</c:v>
                </c:pt>
                <c:pt idx="12">
                  <c:v>0.54509481204106203</c:v>
                </c:pt>
                <c:pt idx="13">
                  <c:v>0.62621417173872895</c:v>
                </c:pt>
                <c:pt idx="14">
                  <c:v>0.70599626032455098</c:v>
                </c:pt>
                <c:pt idx="15">
                  <c:v>0.78418622281006001</c:v>
                </c:pt>
                <c:pt idx="16">
                  <c:v>0.85953438502243296</c:v>
                </c:pt>
                <c:pt idx="17">
                  <c:v>0.93005146970696995</c:v>
                </c:pt>
                <c:pt idx="18">
                  <c:v>0.99569000607222502</c:v>
                </c:pt>
                <c:pt idx="19">
                  <c:v>1.05473654964011</c:v>
                </c:pt>
                <c:pt idx="20">
                  <c:v>1.1061147058026199</c:v>
                </c:pt>
                <c:pt idx="21">
                  <c:v>1.1497526340374</c:v>
                </c:pt>
                <c:pt idx="22">
                  <c:v>1.1848999999999901</c:v>
                </c:pt>
                <c:pt idx="23">
                  <c:v>1.21135724668391</c:v>
                </c:pt>
                <c:pt idx="24">
                  <c:v>1.2281436243233499</c:v>
                </c:pt>
                <c:pt idx="25">
                  <c:v>1.23157151379894</c:v>
                </c:pt>
                <c:pt idx="26">
                  <c:v>1.221287845195</c:v>
                </c:pt>
                <c:pt idx="27">
                  <c:v>1.19921488815113</c:v>
                </c:pt>
                <c:pt idx="28">
                  <c:v>1.16841258209362</c:v>
                </c:pt>
                <c:pt idx="29">
                  <c:v>1.12892813928128</c:v>
                </c:pt>
                <c:pt idx="30">
                  <c:v>1.0813841764751899</c:v>
                </c:pt>
                <c:pt idx="31">
                  <c:v>1.02617182471758</c:v>
                </c:pt>
                <c:pt idx="32">
                  <c:v>0.96348878988339104</c:v>
                </c:pt>
                <c:pt idx="33">
                  <c:v>0.89539999999999997</c:v>
                </c:pt>
                <c:pt idx="34">
                  <c:v>0.82245463805341001</c:v>
                </c:pt>
                <c:pt idx="35">
                  <c:v>0.74529028087837301</c:v>
                </c:pt>
                <c:pt idx="36">
                  <c:v>0.66630421737354895</c:v>
                </c:pt>
                <c:pt idx="37">
                  <c:v>0.58572597519945002</c:v>
                </c:pt>
                <c:pt idx="38">
                  <c:v>0.50494323559791698</c:v>
                </c:pt>
                <c:pt idx="39">
                  <c:v>0.42616496054576197</c:v>
                </c:pt>
                <c:pt idx="40">
                  <c:v>0.34943726998336999</c:v>
                </c:pt>
                <c:pt idx="41">
                  <c:v>0.27614855728413701</c:v>
                </c:pt>
                <c:pt idx="42">
                  <c:v>0.20717101828519599</c:v>
                </c:pt>
                <c:pt idx="43">
                  <c:v>0.143118329412218</c:v>
                </c:pt>
                <c:pt idx="44">
                  <c:v>9.0399999999999994E-2</c:v>
                </c:pt>
                <c:pt idx="45">
                  <c:v>5.0720686786520801E-2</c:v>
                </c:pt>
                <c:pt idx="46">
                  <c:v>2.4470054773609098E-2</c:v>
                </c:pt>
                <c:pt idx="47">
                  <c:v>1.31132443681432E-2</c:v>
                </c:pt>
                <c:pt idx="48">
                  <c:v>1.06587682910055E-2</c:v>
                </c:pt>
                <c:pt idx="49">
                  <c:v>9.4087956247680005E-3</c:v>
                </c:pt>
                <c:pt idx="50">
                  <c:v>8.31369141613259E-3</c:v>
                </c:pt>
                <c:pt idx="51">
                  <c:v>1.33118336162744E-2</c:v>
                </c:pt>
                <c:pt idx="52">
                  <c:v>2.0764026574206399E-2</c:v>
                </c:pt>
                <c:pt idx="53">
                  <c:v>3.8675902862308799E-2</c:v>
                </c:pt>
                <c:pt idx="54">
                  <c:v>7.4442007028380594E-2</c:v>
                </c:pt>
                <c:pt idx="55">
                  <c:v>0.12816900000000001</c:v>
                </c:pt>
                <c:pt idx="56">
                  <c:v>0.17623439582671799</c:v>
                </c:pt>
                <c:pt idx="57">
                  <c:v>0.21829635578870199</c:v>
                </c:pt>
                <c:pt idx="58">
                  <c:v>0.27381639119069301</c:v>
                </c:pt>
                <c:pt idx="59">
                  <c:v>0.34465783822144402</c:v>
                </c:pt>
                <c:pt idx="60">
                  <c:v>0.42501048925282803</c:v>
                </c:pt>
                <c:pt idx="61">
                  <c:v>0.505625442346197</c:v>
                </c:pt>
                <c:pt idx="62">
                  <c:v>0.58637309219565403</c:v>
                </c:pt>
                <c:pt idx="63">
                  <c:v>0.66639312687988705</c:v>
                </c:pt>
                <c:pt idx="64">
                  <c:v>0.74514509403807005</c:v>
                </c:pt>
                <c:pt idx="65">
                  <c:v>0.82237276695957096</c:v>
                </c:pt>
                <c:pt idx="66">
                  <c:v>0.89539999999999897</c:v>
                </c:pt>
                <c:pt idx="67">
                  <c:v>0.96351505229648304</c:v>
                </c:pt>
                <c:pt idx="68">
                  <c:v>1.0261814653985599</c:v>
                </c:pt>
                <c:pt idx="69">
                  <c:v>1.08138215553252</c:v>
                </c:pt>
                <c:pt idx="70">
                  <c:v>1.12892399765619</c:v>
                </c:pt>
                <c:pt idx="71">
                  <c:v>1.16841158168446</c:v>
                </c:pt>
                <c:pt idx="72">
                  <c:v>1.1992154793186001</c:v>
                </c:pt>
                <c:pt idx="73">
                  <c:v>1.2212884059553799</c:v>
                </c:pt>
                <c:pt idx="74">
                  <c:v>1.23157159084363</c:v>
                </c:pt>
                <c:pt idx="75">
                  <c:v>1.2281434985114299</c:v>
                </c:pt>
                <c:pt idx="76">
                  <c:v>1.2113571757383701</c:v>
                </c:pt>
                <c:pt idx="77">
                  <c:v>1.1848999999999901</c:v>
                </c:pt>
                <c:pt idx="78">
                  <c:v>1.1497526567951399</c:v>
                </c:pt>
                <c:pt idx="79">
                  <c:v>1.10611471415677</c:v>
                </c:pt>
                <c:pt idx="80">
                  <c:v>1.05473654788886</c:v>
                </c:pt>
                <c:pt idx="81">
                  <c:v>0.99569000248329198</c:v>
                </c:pt>
                <c:pt idx="82">
                  <c:v>0.93005146884006396</c:v>
                </c:pt>
                <c:pt idx="83">
                  <c:v>0.85953438553470995</c:v>
                </c:pt>
                <c:pt idx="84">
                  <c:v>0.78418622329598897</c:v>
                </c:pt>
                <c:pt idx="85">
                  <c:v>0.70599626039131502</c:v>
                </c:pt>
                <c:pt idx="86">
                  <c:v>0.62621417162970705</c:v>
                </c:pt>
                <c:pt idx="87">
                  <c:v>0.54509481197958398</c:v>
                </c:pt>
                <c:pt idx="88">
                  <c:v>0.46529999999999899</c:v>
                </c:pt>
                <c:pt idx="89">
                  <c:v>0.38753766615878499</c:v>
                </c:pt>
                <c:pt idx="90">
                  <c:v>0.31225321697306602</c:v>
                </c:pt>
                <c:pt idx="91">
                  <c:v>0.24112138094723501</c:v>
                </c:pt>
                <c:pt idx="92">
                  <c:v>0.17430250442745501</c:v>
                </c:pt>
                <c:pt idx="93">
                  <c:v>0.11513304652645499</c:v>
                </c:pt>
                <c:pt idx="94">
                  <c:v>6.8924105423673804E-2</c:v>
                </c:pt>
                <c:pt idx="95">
                  <c:v>3.5722368524608202E-2</c:v>
                </c:pt>
                <c:pt idx="96">
                  <c:v>1.38583552786913E-2</c:v>
                </c:pt>
                <c:pt idx="97">
                  <c:v>2.2832894426176101E-3</c:v>
                </c:pt>
                <c:pt idx="98">
                  <c:v>9.9717101638715708E-4</c:v>
                </c:pt>
                <c:pt idx="9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5C-904E-9480-9794391C3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airfoil_tables!$AL$9:$AL$108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airfoil_tables!$AM$9:$AM$108</c:f>
              <c:numCache>
                <c:formatCode>0.00E+00</c:formatCode>
                <c:ptCount val="100"/>
                <c:pt idx="0">
                  <c:v>-0.11070000000000001</c:v>
                </c:pt>
                <c:pt idx="1">
                  <c:v>0.17943138396170699</c:v>
                </c:pt>
                <c:pt idx="2">
                  <c:v>0.263373480894325</c:v>
                </c:pt>
                <c:pt idx="3">
                  <c:v>0.28823694227712998</c:v>
                </c:pt>
                <c:pt idx="4">
                  <c:v>0.34084182141746999</c:v>
                </c:pt>
                <c:pt idx="5">
                  <c:v>0.39934168936514097</c:v>
                </c:pt>
                <c:pt idx="6">
                  <c:v>0.451748733159892</c:v>
                </c:pt>
                <c:pt idx="7">
                  <c:v>0.493270648510235</c:v>
                </c:pt>
                <c:pt idx="8">
                  <c:v>0.52247188275056</c:v>
                </c:pt>
                <c:pt idx="9">
                  <c:v>0.53914324553603798</c:v>
                </c:pt>
                <c:pt idx="10">
                  <c:v>0.54371830509430297</c:v>
                </c:pt>
                <c:pt idx="11">
                  <c:v>0.53700000000000003</c:v>
                </c:pt>
                <c:pt idx="12">
                  <c:v>0.52036078049756396</c:v>
                </c:pt>
                <c:pt idx="13">
                  <c:v>0.49492383380452298</c:v>
                </c:pt>
                <c:pt idx="14">
                  <c:v>0.462104022004728</c:v>
                </c:pt>
                <c:pt idx="15">
                  <c:v>0.42331369356439502</c:v>
                </c:pt>
                <c:pt idx="16">
                  <c:v>0.37994335546915903</c:v>
                </c:pt>
                <c:pt idx="17">
                  <c:v>0.333116162240783</c:v>
                </c:pt>
                <c:pt idx="18">
                  <c:v>0.28388156290248401</c:v>
                </c:pt>
                <c:pt idx="19">
                  <c:v>0.233185977249565</c:v>
                </c:pt>
                <c:pt idx="20">
                  <c:v>0.18124909883165399</c:v>
                </c:pt>
                <c:pt idx="21">
                  <c:v>0.129774049861406</c:v>
                </c:pt>
                <c:pt idx="22">
                  <c:v>7.8600000000000003E-2</c:v>
                </c:pt>
                <c:pt idx="23">
                  <c:v>2.7943261083347298E-2</c:v>
                </c:pt>
                <c:pt idx="24">
                  <c:v>-2.19200266332252E-2</c:v>
                </c:pt>
                <c:pt idx="25">
                  <c:v>-7.0889569620367299E-2</c:v>
                </c:pt>
                <c:pt idx="26">
                  <c:v>-0.118800835286684</c:v>
                </c:pt>
                <c:pt idx="27">
                  <c:v>-0.165617994512918</c:v>
                </c:pt>
                <c:pt idx="28">
                  <c:v>-0.21116647754818499</c:v>
                </c:pt>
                <c:pt idx="29">
                  <c:v>-0.25531901707096499</c:v>
                </c:pt>
                <c:pt idx="30">
                  <c:v>-0.29773637898046101</c:v>
                </c:pt>
                <c:pt idx="31">
                  <c:v>-0.33798499173887803</c:v>
                </c:pt>
                <c:pt idx="32">
                  <c:v>-0.37551968074950998</c:v>
                </c:pt>
                <c:pt idx="33">
                  <c:v>-0.40989999999999999</c:v>
                </c:pt>
                <c:pt idx="34">
                  <c:v>-0.44041212708152599</c:v>
                </c:pt>
                <c:pt idx="35">
                  <c:v>-0.46616081397861697</c:v>
                </c:pt>
                <c:pt idx="36">
                  <c:v>-0.48647017073085902</c:v>
                </c:pt>
                <c:pt idx="37">
                  <c:v>-0.500397586582776</c:v>
                </c:pt>
                <c:pt idx="38">
                  <c:v>-0.50726520472472203</c:v>
                </c:pt>
                <c:pt idx="39">
                  <c:v>-0.50645686981671301</c:v>
                </c:pt>
                <c:pt idx="40">
                  <c:v>-0.49753964599540101</c:v>
                </c:pt>
                <c:pt idx="41">
                  <c:v>-0.48068722589358498</c:v>
                </c:pt>
                <c:pt idx="42">
                  <c:v>-0.45775027844271998</c:v>
                </c:pt>
                <c:pt idx="43">
                  <c:v>-0.43457512450001401</c:v>
                </c:pt>
                <c:pt idx="44">
                  <c:v>-0.43509999999999899</c:v>
                </c:pt>
                <c:pt idx="45">
                  <c:v>-0.56272244146467099</c:v>
                </c:pt>
                <c:pt idx="46">
                  <c:v>-0.87991248878874595</c:v>
                </c:pt>
                <c:pt idx="47">
                  <c:v>-0.59981893219455495</c:v>
                </c:pt>
                <c:pt idx="48">
                  <c:v>-0.19980011934515901</c:v>
                </c:pt>
                <c:pt idx="49">
                  <c:v>0.200200017152006</c:v>
                </c:pt>
                <c:pt idx="50">
                  <c:v>0.60018822918453396</c:v>
                </c:pt>
                <c:pt idx="51">
                  <c:v>0.97340793482777399</c:v>
                </c:pt>
                <c:pt idx="52">
                  <c:v>1.1873501804116899</c:v>
                </c:pt>
                <c:pt idx="53">
                  <c:v>1.2183615537997701</c:v>
                </c:pt>
                <c:pt idx="54">
                  <c:v>1.0556911907925099</c:v>
                </c:pt>
                <c:pt idx="55">
                  <c:v>0.96460000000000001</c:v>
                </c:pt>
                <c:pt idx="56">
                  <c:v>1.0016602981154299</c:v>
                </c:pt>
                <c:pt idx="57">
                  <c:v>1.04123906452036</c:v>
                </c:pt>
                <c:pt idx="58">
                  <c:v>1.096648007183</c:v>
                </c:pt>
                <c:pt idx="59">
                  <c:v>1.1542021068895501</c:v>
                </c:pt>
                <c:pt idx="60">
                  <c:v>1.2062893217214199</c:v>
                </c:pt>
                <c:pt idx="61">
                  <c:v>1.2479406857508699</c:v>
                </c:pt>
                <c:pt idx="62">
                  <c:v>1.2759510226387301</c:v>
                </c:pt>
                <c:pt idx="63">
                  <c:v>1.28809492965081</c:v>
                </c:pt>
                <c:pt idx="64">
                  <c:v>1.2827516368609999</c:v>
                </c:pt>
                <c:pt idx="65">
                  <c:v>1.25888409153162</c:v>
                </c:pt>
                <c:pt idx="66">
                  <c:v>1.21599999999999</c:v>
                </c:pt>
                <c:pt idx="67">
                  <c:v>1.1540471416596101</c:v>
                </c:pt>
                <c:pt idx="68">
                  <c:v>1.0734197593463799</c:v>
                </c:pt>
                <c:pt idx="69">
                  <c:v>0.97488216130167904</c:v>
                </c:pt>
                <c:pt idx="70">
                  <c:v>0.85976466422151399</c:v>
                </c:pt>
                <c:pt idx="71">
                  <c:v>0.72966202062219598</c:v>
                </c:pt>
                <c:pt idx="72">
                  <c:v>0.58645062220160205</c:v>
                </c:pt>
                <c:pt idx="73">
                  <c:v>0.43270205616107399</c:v>
                </c:pt>
                <c:pt idx="74">
                  <c:v>0.27088663631541798</c:v>
                </c:pt>
                <c:pt idx="75">
                  <c:v>0.10394000695795499</c:v>
                </c:pt>
                <c:pt idx="76">
                  <c:v>-6.5017829834579599E-2</c:v>
                </c:pt>
                <c:pt idx="77">
                  <c:v>-0.23300000000000001</c:v>
                </c:pt>
                <c:pt idx="78">
                  <c:v>-0.39659425620921601</c:v>
                </c:pt>
                <c:pt idx="79">
                  <c:v>-0.55336714813909105</c:v>
                </c:pt>
                <c:pt idx="80">
                  <c:v>-0.70102426643008198</c:v>
                </c:pt>
                <c:pt idx="81">
                  <c:v>-0.83325826985848495</c:v>
                </c:pt>
                <c:pt idx="82">
                  <c:v>-0.94949983543051197</c:v>
                </c:pt>
                <c:pt idx="83">
                  <c:v>-1.0475995657742201</c:v>
                </c:pt>
                <c:pt idx="84">
                  <c:v>-1.1257138132339</c:v>
                </c:pt>
                <c:pt idx="85">
                  <c:v>-1.1823476732839</c:v>
                </c:pt>
                <c:pt idx="86">
                  <c:v>-1.2166451016608799</c:v>
                </c:pt>
                <c:pt idx="87">
                  <c:v>-1.22836019767311</c:v>
                </c:pt>
                <c:pt idx="88">
                  <c:v>-1.2177</c:v>
                </c:pt>
                <c:pt idx="89">
                  <c:v>-1.1854599612339201</c:v>
                </c:pt>
                <c:pt idx="90">
                  <c:v>-1.13311802550796</c:v>
                </c:pt>
                <c:pt idx="91">
                  <c:v>-1.0627688071526</c:v>
                </c:pt>
                <c:pt idx="92">
                  <c:v>-0.97725120352481398</c:v>
                </c:pt>
                <c:pt idx="93">
                  <c:v>-0.88103030471685195</c:v>
                </c:pt>
                <c:pt idx="94">
                  <c:v>-0.78153716213547797</c:v>
                </c:pt>
                <c:pt idx="95">
                  <c:v>-0.695451895325636</c:v>
                </c:pt>
                <c:pt idx="96">
                  <c:v>-0.66390475615945299</c:v>
                </c:pt>
                <c:pt idx="97">
                  <c:v>-0.66708049541496495</c:v>
                </c:pt>
                <c:pt idx="98">
                  <c:v>-0.43044498494613298</c:v>
                </c:pt>
                <c:pt idx="99">
                  <c:v>-0.11070000000000001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8E-8241-B3FB-0A20F248F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airfoil_tables!$AL$9:$AL$108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airfoil_tables!$AN$9:$AN$108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1.30410509435233E-2</c:v>
                </c:pt>
                <c:pt idx="2">
                  <c:v>3.3828489116219197E-2</c:v>
                </c:pt>
                <c:pt idx="3">
                  <c:v>6.8081810734833395E-2</c:v>
                </c:pt>
                <c:pt idx="4">
                  <c:v>0.114995293530973</c:v>
                </c:pt>
                <c:pt idx="5">
                  <c:v>0.17391444300111999</c:v>
                </c:pt>
                <c:pt idx="6">
                  <c:v>0.243737364429817</c:v>
                </c:pt>
                <c:pt idx="7">
                  <c:v>0.32320975965969501</c:v>
                </c:pt>
                <c:pt idx="8">
                  <c:v>0.41118916582189002</c:v>
                </c:pt>
                <c:pt idx="9">
                  <c:v>0.50605023704129803</c:v>
                </c:pt>
                <c:pt idx="10">
                  <c:v>0.60622067221445797</c:v>
                </c:pt>
                <c:pt idx="11">
                  <c:v>0.71030000000000004</c:v>
                </c:pt>
                <c:pt idx="12">
                  <c:v>0.81634074408356505</c:v>
                </c:pt>
                <c:pt idx="13">
                  <c:v>0.92276839579006198</c:v>
                </c:pt>
                <c:pt idx="14">
                  <c:v>1.0279049024529701</c:v>
                </c:pt>
                <c:pt idx="15">
                  <c:v>1.1300914627380501</c:v>
                </c:pt>
                <c:pt idx="16">
                  <c:v>1.2276371101082699</c:v>
                </c:pt>
                <c:pt idx="17">
                  <c:v>1.31911821631796</c:v>
                </c:pt>
                <c:pt idx="18">
                  <c:v>1.40305166094407</c:v>
                </c:pt>
                <c:pt idx="19">
                  <c:v>1.47806077070746</c:v>
                </c:pt>
                <c:pt idx="20">
                  <c:v>1.54306065186068</c:v>
                </c:pt>
                <c:pt idx="21">
                  <c:v>1.5969676397114501</c:v>
                </c:pt>
                <c:pt idx="22">
                  <c:v>1.639</c:v>
                </c:pt>
                <c:pt idx="23">
                  <c:v>1.66854611273375</c:v>
                </c:pt>
                <c:pt idx="24">
                  <c:v>1.6851908004853899</c:v>
                </c:pt>
                <c:pt idx="25">
                  <c:v>1.68848597545907</c:v>
                </c:pt>
                <c:pt idx="26">
                  <c:v>1.67847075136966</c:v>
                </c:pt>
                <c:pt idx="27">
                  <c:v>1.65534070212303</c:v>
                </c:pt>
                <c:pt idx="28">
                  <c:v>1.61952214409094</c:v>
                </c:pt>
                <c:pt idx="29">
                  <c:v>1.5713339148410299</c:v>
                </c:pt>
                <c:pt idx="30">
                  <c:v>1.5117786095997201</c:v>
                </c:pt>
                <c:pt idx="31">
                  <c:v>1.44156156656545</c:v>
                </c:pt>
                <c:pt idx="32">
                  <c:v>1.36192433511322</c:v>
                </c:pt>
                <c:pt idx="33">
                  <c:v>1.27409999999999</c:v>
                </c:pt>
                <c:pt idx="34">
                  <c:v>1.1793908125807</c:v>
                </c:pt>
                <c:pt idx="35">
                  <c:v>1.07923572314086</c:v>
                </c:pt>
                <c:pt idx="36">
                  <c:v>0.97533677968842203</c:v>
                </c:pt>
                <c:pt idx="37">
                  <c:v>0.86922547237296099</c:v>
                </c:pt>
                <c:pt idx="38">
                  <c:v>0.76258212676391901</c:v>
                </c:pt>
                <c:pt idx="39">
                  <c:v>0.65711016013264001</c:v>
                </c:pt>
                <c:pt idx="40">
                  <c:v>0.55447089748483103</c:v>
                </c:pt>
                <c:pt idx="41">
                  <c:v>0.45610551920998499</c:v>
                </c:pt>
                <c:pt idx="42">
                  <c:v>0.36339675769701102</c:v>
                </c:pt>
                <c:pt idx="43">
                  <c:v>0.27701895980987001</c:v>
                </c:pt>
                <c:pt idx="44">
                  <c:v>0.19570000000000001</c:v>
                </c:pt>
                <c:pt idx="45">
                  <c:v>0.11055973557016301</c:v>
                </c:pt>
                <c:pt idx="46">
                  <c:v>2.6562679656035301E-2</c:v>
                </c:pt>
                <c:pt idx="47">
                  <c:v>2.2403759642602401E-2</c:v>
                </c:pt>
                <c:pt idx="48">
                  <c:v>2.2241836543737899E-2</c:v>
                </c:pt>
                <c:pt idx="49">
                  <c:v>2.2087929257573899E-2</c:v>
                </c:pt>
                <c:pt idx="50">
                  <c:v>2.2094112300486399E-2</c:v>
                </c:pt>
                <c:pt idx="51">
                  <c:v>2.25174008881661E-2</c:v>
                </c:pt>
                <c:pt idx="52">
                  <c:v>3.1711452989350498E-2</c:v>
                </c:pt>
                <c:pt idx="53">
                  <c:v>5.8300026555008197E-2</c:v>
                </c:pt>
                <c:pt idx="54">
                  <c:v>0.139550120895445</c:v>
                </c:pt>
                <c:pt idx="55">
                  <c:v>0.2447</c:v>
                </c:pt>
                <c:pt idx="56">
                  <c:v>0.26858279380945099</c:v>
                </c:pt>
                <c:pt idx="57">
                  <c:v>0.361927899901198</c:v>
                </c:pt>
                <c:pt idx="58">
                  <c:v>0.46210891119622699</c:v>
                </c:pt>
                <c:pt idx="59">
                  <c:v>0.56820066850492601</c:v>
                </c:pt>
                <c:pt idx="60">
                  <c:v>0.67903651918264996</c:v>
                </c:pt>
                <c:pt idx="61">
                  <c:v>0.793047965636135</c:v>
                </c:pt>
                <c:pt idx="62">
                  <c:v>0.90855341739557705</c:v>
                </c:pt>
                <c:pt idx="63">
                  <c:v>1.0238696201842701</c:v>
                </c:pt>
                <c:pt idx="64">
                  <c:v>1.1371535355692499</c:v>
                </c:pt>
                <c:pt idx="65">
                  <c:v>1.24663052093461</c:v>
                </c:pt>
                <c:pt idx="66">
                  <c:v>1.35059999999999</c:v>
                </c:pt>
                <c:pt idx="67">
                  <c:v>1.4471984007671399</c:v>
                </c:pt>
                <c:pt idx="68">
                  <c:v>1.5350444810792101</c:v>
                </c:pt>
                <c:pt idx="69">
                  <c:v>1.61259925696309</c:v>
                </c:pt>
                <c:pt idx="70">
                  <c:v>1.6786163978322699</c:v>
                </c:pt>
                <c:pt idx="71">
                  <c:v>1.7320553040445601</c:v>
                </c:pt>
                <c:pt idx="72">
                  <c:v>1.7719727707125901</c:v>
                </c:pt>
                <c:pt idx="73">
                  <c:v>1.7977198522187801</c:v>
                </c:pt>
                <c:pt idx="74">
                  <c:v>1.80889322370709</c:v>
                </c:pt>
                <c:pt idx="75">
                  <c:v>1.8052759115504899</c:v>
                </c:pt>
                <c:pt idx="76">
                  <c:v>1.7869421562171199</c:v>
                </c:pt>
                <c:pt idx="77">
                  <c:v>1.7543</c:v>
                </c:pt>
                <c:pt idx="78">
                  <c:v>1.7077868835719101</c:v>
                </c:pt>
                <c:pt idx="79">
                  <c:v>1.6481869144465</c:v>
                </c:pt>
                <c:pt idx="80">
                  <c:v>1.5764399272606899</c:v>
                </c:pt>
                <c:pt idx="81">
                  <c:v>1.49393684030493</c:v>
                </c:pt>
                <c:pt idx="82">
                  <c:v>1.40189870164075</c:v>
                </c:pt>
                <c:pt idx="83">
                  <c:v>1.301774395971</c:v>
                </c:pt>
                <c:pt idx="84">
                  <c:v>1.1954094331178899</c:v>
                </c:pt>
                <c:pt idx="85">
                  <c:v>1.0844841574166399</c:v>
                </c:pt>
                <c:pt idx="86">
                  <c:v>0.970693421138066</c:v>
                </c:pt>
                <c:pt idx="87">
                  <c:v>0.85606305146778405</c:v>
                </c:pt>
                <c:pt idx="88">
                  <c:v>0.74239999999999895</c:v>
                </c:pt>
                <c:pt idx="89">
                  <c:v>0.63146506466830798</c:v>
                </c:pt>
                <c:pt idx="90">
                  <c:v>0.525136392153149</c:v>
                </c:pt>
                <c:pt idx="91">
                  <c:v>0.42510718147307403</c:v>
                </c:pt>
                <c:pt idx="92">
                  <c:v>0.33280402252217001</c:v>
                </c:pt>
                <c:pt idx="93">
                  <c:v>0.24989636198637799</c:v>
                </c:pt>
                <c:pt idx="94">
                  <c:v>0.17762254721001</c:v>
                </c:pt>
                <c:pt idx="95">
                  <c:v>0.116908241870347</c:v>
                </c:pt>
                <c:pt idx="96">
                  <c:v>6.8858630363923201E-2</c:v>
                </c:pt>
                <c:pt idx="97">
                  <c:v>3.4053610591213097E-2</c:v>
                </c:pt>
                <c:pt idx="98">
                  <c:v>1.3030434749583601E-2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73-A44A-A08F-CEA8E4E2C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(GOE-450)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airfoil_tables!$AX$9:$AX$108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airfoil_tables!$AY$9:$AY$108</c:f>
              <c:numCache>
                <c:formatCode>0.00E+00</c:formatCode>
                <c:ptCount val="100"/>
                <c:pt idx="0">
                  <c:v>-0.133099999999999</c:v>
                </c:pt>
                <c:pt idx="1">
                  <c:v>0.15022584225362101</c:v>
                </c:pt>
                <c:pt idx="2">
                  <c:v>0.22780495446334501</c:v>
                </c:pt>
                <c:pt idx="3">
                  <c:v>0.25719167246407199</c:v>
                </c:pt>
                <c:pt idx="4">
                  <c:v>0.30933932380670498</c:v>
                </c:pt>
                <c:pt idx="5">
                  <c:v>0.36421155724055199</c:v>
                </c:pt>
                <c:pt idx="6">
                  <c:v>0.41133061421110201</c:v>
                </c:pt>
                <c:pt idx="7">
                  <c:v>0.44686323750867002</c:v>
                </c:pt>
                <c:pt idx="8">
                  <c:v>0.46961380245618101</c:v>
                </c:pt>
                <c:pt idx="9">
                  <c:v>0.479803413556462</c:v>
                </c:pt>
                <c:pt idx="10">
                  <c:v>0.47836619539674102</c:v>
                </c:pt>
                <c:pt idx="11">
                  <c:v>0.46650000000000003</c:v>
                </c:pt>
                <c:pt idx="12">
                  <c:v>0.44563000670407499</c:v>
                </c:pt>
                <c:pt idx="13">
                  <c:v>0.41748807606309202</c:v>
                </c:pt>
                <c:pt idx="14">
                  <c:v>0.383703084663507</c:v>
                </c:pt>
                <c:pt idx="15">
                  <c:v>0.34577753534552202</c:v>
                </c:pt>
                <c:pt idx="16">
                  <c:v>0.30522147205037897</c:v>
                </c:pt>
                <c:pt idx="17">
                  <c:v>0.263215524569478</c:v>
                </c:pt>
                <c:pt idx="18">
                  <c:v>0.220720505041062</c:v>
                </c:pt>
                <c:pt idx="19">
                  <c:v>0.17792817265571301</c:v>
                </c:pt>
                <c:pt idx="20">
                  <c:v>0.13684836677634701</c:v>
                </c:pt>
                <c:pt idx="21">
                  <c:v>9.6971513593843095E-2</c:v>
                </c:pt>
                <c:pt idx="22">
                  <c:v>5.8299999999999901E-2</c:v>
                </c:pt>
                <c:pt idx="23">
                  <c:v>2.0891851504847202E-2</c:v>
                </c:pt>
                <c:pt idx="24">
                  <c:v>-1.540181733001E-2</c:v>
                </c:pt>
                <c:pt idx="25">
                  <c:v>-5.1018409186744801E-2</c:v>
                </c:pt>
                <c:pt idx="26">
                  <c:v>-8.6036846382105001E-2</c:v>
                </c:pt>
                <c:pt idx="27">
                  <c:v>-0.120839909560364</c:v>
                </c:pt>
                <c:pt idx="28">
                  <c:v>-0.155566950042138</c:v>
                </c:pt>
                <c:pt idx="29">
                  <c:v>-0.19032927385402101</c:v>
                </c:pt>
                <c:pt idx="30">
                  <c:v>-0.22496371971847101</c:v>
                </c:pt>
                <c:pt idx="31">
                  <c:v>-0.25924534760102602</c:v>
                </c:pt>
                <c:pt idx="32">
                  <c:v>-0.29281589257434798</c:v>
                </c:pt>
                <c:pt idx="33">
                  <c:v>-0.32499999999999901</c:v>
                </c:pt>
                <c:pt idx="34">
                  <c:v>-0.35514423967409098</c:v>
                </c:pt>
                <c:pt idx="35">
                  <c:v>-0.38231342285369802</c:v>
                </c:pt>
                <c:pt idx="36">
                  <c:v>-0.40558027273763902</c:v>
                </c:pt>
                <c:pt idx="37">
                  <c:v>-0.42374572112299502</c:v>
                </c:pt>
                <c:pt idx="38">
                  <c:v>-0.43595742644991298</c:v>
                </c:pt>
                <c:pt idx="39">
                  <c:v>-0.441229402164451</c:v>
                </c:pt>
                <c:pt idx="40">
                  <c:v>-0.43903663497801498</c:v>
                </c:pt>
                <c:pt idx="41">
                  <c:v>-0.429478235584767</c:v>
                </c:pt>
                <c:pt idx="42">
                  <c:v>-0.414295419493588</c:v>
                </c:pt>
                <c:pt idx="43">
                  <c:v>-0.40155191036715998</c:v>
                </c:pt>
                <c:pt idx="44">
                  <c:v>-0.42370000000000002</c:v>
                </c:pt>
                <c:pt idx="45">
                  <c:v>-0.62141821980475398</c:v>
                </c:pt>
                <c:pt idx="46">
                  <c:v>-0.87360965221518105</c:v>
                </c:pt>
                <c:pt idx="47">
                  <c:v>-0.51629709335864005</c:v>
                </c:pt>
                <c:pt idx="48">
                  <c:v>-0.11629998358094699</c:v>
                </c:pt>
                <c:pt idx="49">
                  <c:v>0.28369946665859802</c:v>
                </c:pt>
                <c:pt idx="50">
                  <c:v>0.68382073650963804</c:v>
                </c:pt>
                <c:pt idx="51">
                  <c:v>1.0277115175465199</c:v>
                </c:pt>
                <c:pt idx="52">
                  <c:v>1.24091732562959</c:v>
                </c:pt>
                <c:pt idx="53">
                  <c:v>1.3025790581334999</c:v>
                </c:pt>
                <c:pt idx="54">
                  <c:v>1.20452450882089</c:v>
                </c:pt>
                <c:pt idx="55">
                  <c:v>1.0795999999999999</c:v>
                </c:pt>
                <c:pt idx="56">
                  <c:v>1.1217224089215601</c:v>
                </c:pt>
                <c:pt idx="57">
                  <c:v>1.14751007801615</c:v>
                </c:pt>
                <c:pt idx="58">
                  <c:v>1.19459499736646</c:v>
                </c:pt>
                <c:pt idx="59">
                  <c:v>1.24789808463202</c:v>
                </c:pt>
                <c:pt idx="60">
                  <c:v>1.2980272025825501</c:v>
                </c:pt>
                <c:pt idx="61">
                  <c:v>1.33897391005918</c:v>
                </c:pt>
                <c:pt idx="62">
                  <c:v>1.3667129711889201</c:v>
                </c:pt>
                <c:pt idx="63">
                  <c:v>1.3783758341569601</c:v>
                </c:pt>
                <c:pt idx="64">
                  <c:v>1.3719369099615799</c:v>
                </c:pt>
                <c:pt idx="65">
                  <c:v>1.3462417157301501</c:v>
                </c:pt>
                <c:pt idx="66">
                  <c:v>1.30049999999999</c:v>
                </c:pt>
                <c:pt idx="67">
                  <c:v>1.2344995587664001</c:v>
                </c:pt>
                <c:pt idx="68">
                  <c:v>1.1486929005512601</c:v>
                </c:pt>
                <c:pt idx="69">
                  <c:v>1.0438536864685699</c:v>
                </c:pt>
                <c:pt idx="70">
                  <c:v>0.92126707779299399</c:v>
                </c:pt>
                <c:pt idx="71">
                  <c:v>0.78271427275348404</c:v>
                </c:pt>
                <c:pt idx="72">
                  <c:v>0.63023783260673305</c:v>
                </c:pt>
                <c:pt idx="73">
                  <c:v>0.46639020020571598</c:v>
                </c:pt>
                <c:pt idx="74">
                  <c:v>0.29401082632589298</c:v>
                </c:pt>
                <c:pt idx="75">
                  <c:v>0.116167511937057</c:v>
                </c:pt>
                <c:pt idx="76">
                  <c:v>-6.3919396483650401E-2</c:v>
                </c:pt>
                <c:pt idx="77">
                  <c:v>-0.24279999999999999</c:v>
                </c:pt>
                <c:pt idx="78">
                  <c:v>-0.41698016901065699</c:v>
                </c:pt>
                <c:pt idx="79">
                  <c:v>-0.58402026178606004</c:v>
                </c:pt>
                <c:pt idx="80">
                  <c:v>-0.74191068150982598</c:v>
                </c:pt>
                <c:pt idx="81">
                  <c:v>-0.88215900882754605</c:v>
                </c:pt>
                <c:pt idx="82">
                  <c:v>-1.00531273543995</c:v>
                </c:pt>
                <c:pt idx="83">
                  <c:v>-1.108976207759</c:v>
                </c:pt>
                <c:pt idx="84">
                  <c:v>-1.1911701796402201</c:v>
                </c:pt>
                <c:pt idx="85">
                  <c:v>-1.2504985656669201</c:v>
                </c:pt>
                <c:pt idx="86">
                  <c:v>-1.28609541965092</c:v>
                </c:pt>
                <c:pt idx="87">
                  <c:v>-1.2975961566182801</c:v>
                </c:pt>
                <c:pt idx="88">
                  <c:v>-1.2854000000000001</c:v>
                </c:pt>
                <c:pt idx="89">
                  <c:v>-1.25039480622648</c:v>
                </c:pt>
                <c:pt idx="90">
                  <c:v>-1.19429709440383</c:v>
                </c:pt>
                <c:pt idx="91">
                  <c:v>-1.11938615861282</c:v>
                </c:pt>
                <c:pt idx="92">
                  <c:v>-1.02889702850515</c:v>
                </c:pt>
                <c:pt idx="93">
                  <c:v>-0.92759551141942698</c:v>
                </c:pt>
                <c:pt idx="94">
                  <c:v>-0.823797738513107</c:v>
                </c:pt>
                <c:pt idx="95">
                  <c:v>-0.73626973896147097</c:v>
                </c:pt>
                <c:pt idx="96">
                  <c:v>-0.71009359968322605</c:v>
                </c:pt>
                <c:pt idx="97">
                  <c:v>-0.70613334321291799</c:v>
                </c:pt>
                <c:pt idx="98">
                  <c:v>-0.45292720280441101</c:v>
                </c:pt>
                <c:pt idx="99">
                  <c:v>-0.133099999999999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D2-A741-80E6-8658BE86A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airfoil_tables!$AL$9:$AL$108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airfoil_tables!$AN$9:$AN$108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1.30410509435233E-2</c:v>
                </c:pt>
                <c:pt idx="2">
                  <c:v>3.3828489116219197E-2</c:v>
                </c:pt>
                <c:pt idx="3">
                  <c:v>6.8081810734833395E-2</c:v>
                </c:pt>
                <c:pt idx="4">
                  <c:v>0.114995293530973</c:v>
                </c:pt>
                <c:pt idx="5">
                  <c:v>0.17391444300111999</c:v>
                </c:pt>
                <c:pt idx="6">
                  <c:v>0.243737364429817</c:v>
                </c:pt>
                <c:pt idx="7">
                  <c:v>0.32320975965969501</c:v>
                </c:pt>
                <c:pt idx="8">
                  <c:v>0.41118916582189002</c:v>
                </c:pt>
                <c:pt idx="9">
                  <c:v>0.50605023704129803</c:v>
                </c:pt>
                <c:pt idx="10">
                  <c:v>0.60622067221445797</c:v>
                </c:pt>
                <c:pt idx="11">
                  <c:v>0.71030000000000004</c:v>
                </c:pt>
                <c:pt idx="12">
                  <c:v>0.81634074408356505</c:v>
                </c:pt>
                <c:pt idx="13">
                  <c:v>0.92276839579006198</c:v>
                </c:pt>
                <c:pt idx="14">
                  <c:v>1.0279049024529701</c:v>
                </c:pt>
                <c:pt idx="15">
                  <c:v>1.1300914627380501</c:v>
                </c:pt>
                <c:pt idx="16">
                  <c:v>1.2276371101082699</c:v>
                </c:pt>
                <c:pt idx="17">
                  <c:v>1.31911821631796</c:v>
                </c:pt>
                <c:pt idx="18">
                  <c:v>1.40305166094407</c:v>
                </c:pt>
                <c:pt idx="19">
                  <c:v>1.47806077070746</c:v>
                </c:pt>
                <c:pt idx="20">
                  <c:v>1.54306065186068</c:v>
                </c:pt>
                <c:pt idx="21">
                  <c:v>1.5969676397114501</c:v>
                </c:pt>
                <c:pt idx="22">
                  <c:v>1.639</c:v>
                </c:pt>
                <c:pt idx="23">
                  <c:v>1.66854611273375</c:v>
                </c:pt>
                <c:pt idx="24">
                  <c:v>1.6851908004853899</c:v>
                </c:pt>
                <c:pt idx="25">
                  <c:v>1.68848597545907</c:v>
                </c:pt>
                <c:pt idx="26">
                  <c:v>1.67847075136966</c:v>
                </c:pt>
                <c:pt idx="27">
                  <c:v>1.65534070212303</c:v>
                </c:pt>
                <c:pt idx="28">
                  <c:v>1.61952214409094</c:v>
                </c:pt>
                <c:pt idx="29">
                  <c:v>1.5713339148410299</c:v>
                </c:pt>
                <c:pt idx="30">
                  <c:v>1.5117786095997201</c:v>
                </c:pt>
                <c:pt idx="31">
                  <c:v>1.44156156656545</c:v>
                </c:pt>
                <c:pt idx="32">
                  <c:v>1.36192433511322</c:v>
                </c:pt>
                <c:pt idx="33">
                  <c:v>1.27409999999999</c:v>
                </c:pt>
                <c:pt idx="34">
                  <c:v>1.1793908125807</c:v>
                </c:pt>
                <c:pt idx="35">
                  <c:v>1.07923572314086</c:v>
                </c:pt>
                <c:pt idx="36">
                  <c:v>0.97533677968842203</c:v>
                </c:pt>
                <c:pt idx="37">
                  <c:v>0.86922547237296099</c:v>
                </c:pt>
                <c:pt idx="38">
                  <c:v>0.76258212676391901</c:v>
                </c:pt>
                <c:pt idx="39">
                  <c:v>0.65711016013264001</c:v>
                </c:pt>
                <c:pt idx="40">
                  <c:v>0.55447089748483103</c:v>
                </c:pt>
                <c:pt idx="41">
                  <c:v>0.45610551920998499</c:v>
                </c:pt>
                <c:pt idx="42">
                  <c:v>0.36339675769701102</c:v>
                </c:pt>
                <c:pt idx="43">
                  <c:v>0.27701895980987001</c:v>
                </c:pt>
                <c:pt idx="44">
                  <c:v>0.19570000000000001</c:v>
                </c:pt>
                <c:pt idx="45">
                  <c:v>0.11055973557016301</c:v>
                </c:pt>
                <c:pt idx="46">
                  <c:v>2.6562679656035301E-2</c:v>
                </c:pt>
                <c:pt idx="47">
                  <c:v>2.2403759642602401E-2</c:v>
                </c:pt>
                <c:pt idx="48">
                  <c:v>2.2241836543737899E-2</c:v>
                </c:pt>
                <c:pt idx="49">
                  <c:v>2.2087929257573899E-2</c:v>
                </c:pt>
                <c:pt idx="50">
                  <c:v>2.2094112300486399E-2</c:v>
                </c:pt>
                <c:pt idx="51">
                  <c:v>2.25174008881661E-2</c:v>
                </c:pt>
                <c:pt idx="52">
                  <c:v>3.1711452989350498E-2</c:v>
                </c:pt>
                <c:pt idx="53">
                  <c:v>5.8300026555008197E-2</c:v>
                </c:pt>
                <c:pt idx="54">
                  <c:v>0.139550120895445</c:v>
                </c:pt>
                <c:pt idx="55">
                  <c:v>0.2447</c:v>
                </c:pt>
                <c:pt idx="56">
                  <c:v>0.26858279380945099</c:v>
                </c:pt>
                <c:pt idx="57">
                  <c:v>0.361927899901198</c:v>
                </c:pt>
                <c:pt idx="58">
                  <c:v>0.46210891119622699</c:v>
                </c:pt>
                <c:pt idx="59">
                  <c:v>0.56820066850492601</c:v>
                </c:pt>
                <c:pt idx="60">
                  <c:v>0.67903651918264996</c:v>
                </c:pt>
                <c:pt idx="61">
                  <c:v>0.793047965636135</c:v>
                </c:pt>
                <c:pt idx="62">
                  <c:v>0.90855341739557705</c:v>
                </c:pt>
                <c:pt idx="63">
                  <c:v>1.0238696201842701</c:v>
                </c:pt>
                <c:pt idx="64">
                  <c:v>1.1371535355692499</c:v>
                </c:pt>
                <c:pt idx="65">
                  <c:v>1.24663052093461</c:v>
                </c:pt>
                <c:pt idx="66">
                  <c:v>1.35059999999999</c:v>
                </c:pt>
                <c:pt idx="67">
                  <c:v>1.4471984007671399</c:v>
                </c:pt>
                <c:pt idx="68">
                  <c:v>1.5350444810792101</c:v>
                </c:pt>
                <c:pt idx="69">
                  <c:v>1.61259925696309</c:v>
                </c:pt>
                <c:pt idx="70">
                  <c:v>1.6786163978322699</c:v>
                </c:pt>
                <c:pt idx="71">
                  <c:v>1.7320553040445601</c:v>
                </c:pt>
                <c:pt idx="72">
                  <c:v>1.7719727707125901</c:v>
                </c:pt>
                <c:pt idx="73">
                  <c:v>1.7977198522187801</c:v>
                </c:pt>
                <c:pt idx="74">
                  <c:v>1.80889322370709</c:v>
                </c:pt>
                <c:pt idx="75">
                  <c:v>1.8052759115504899</c:v>
                </c:pt>
                <c:pt idx="76">
                  <c:v>1.7869421562171199</c:v>
                </c:pt>
                <c:pt idx="77">
                  <c:v>1.7543</c:v>
                </c:pt>
                <c:pt idx="78">
                  <c:v>1.7077868835719101</c:v>
                </c:pt>
                <c:pt idx="79">
                  <c:v>1.6481869144465</c:v>
                </c:pt>
                <c:pt idx="80">
                  <c:v>1.5764399272606899</c:v>
                </c:pt>
                <c:pt idx="81">
                  <c:v>1.49393684030493</c:v>
                </c:pt>
                <c:pt idx="82">
                  <c:v>1.40189870164075</c:v>
                </c:pt>
                <c:pt idx="83">
                  <c:v>1.301774395971</c:v>
                </c:pt>
                <c:pt idx="84">
                  <c:v>1.1954094331178899</c:v>
                </c:pt>
                <c:pt idx="85">
                  <c:v>1.0844841574166399</c:v>
                </c:pt>
                <c:pt idx="86">
                  <c:v>0.970693421138066</c:v>
                </c:pt>
                <c:pt idx="87">
                  <c:v>0.85606305146778405</c:v>
                </c:pt>
                <c:pt idx="88">
                  <c:v>0.74239999999999895</c:v>
                </c:pt>
                <c:pt idx="89">
                  <c:v>0.63146506466830798</c:v>
                </c:pt>
                <c:pt idx="90">
                  <c:v>0.525136392153149</c:v>
                </c:pt>
                <c:pt idx="91">
                  <c:v>0.42510718147307403</c:v>
                </c:pt>
                <c:pt idx="92">
                  <c:v>0.33280402252217001</c:v>
                </c:pt>
                <c:pt idx="93">
                  <c:v>0.24989636198637799</c:v>
                </c:pt>
                <c:pt idx="94">
                  <c:v>0.17762254721001</c:v>
                </c:pt>
                <c:pt idx="95">
                  <c:v>0.116908241870347</c:v>
                </c:pt>
                <c:pt idx="96">
                  <c:v>6.8858630363923201E-2</c:v>
                </c:pt>
                <c:pt idx="97">
                  <c:v>3.4053610591213097E-2</c:v>
                </c:pt>
                <c:pt idx="98">
                  <c:v>1.3030434749583601E-2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01-AA48-9804-30047900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airfoil_tables!$AX$9:$AX$108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airfoil_tables!$AZ$9:$AZ$108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1.29358233130474E-2</c:v>
                </c:pt>
                <c:pt idx="2">
                  <c:v>3.36174777276197E-2</c:v>
                </c:pt>
                <c:pt idx="3">
                  <c:v>6.7585088160154003E-2</c:v>
                </c:pt>
                <c:pt idx="4">
                  <c:v>0.114250758978866</c:v>
                </c:pt>
                <c:pt idx="5">
                  <c:v>0.172590079601144</c:v>
                </c:pt>
                <c:pt idx="6">
                  <c:v>0.241772174394323</c:v>
                </c:pt>
                <c:pt idx="7">
                  <c:v>0.32049394388352098</c:v>
                </c:pt>
                <c:pt idx="8">
                  <c:v>0.40746113540027801</c:v>
                </c:pt>
                <c:pt idx="9">
                  <c:v>0.50115415402062902</c:v>
                </c:pt>
                <c:pt idx="10">
                  <c:v>0.60018410158533197</c:v>
                </c:pt>
                <c:pt idx="11">
                  <c:v>0.70279999999999998</c:v>
                </c:pt>
                <c:pt idx="12">
                  <c:v>0.80738436925991597</c:v>
                </c:pt>
                <c:pt idx="13">
                  <c:v>0.91223807159311698</c:v>
                </c:pt>
                <c:pt idx="14">
                  <c:v>1.0158380139122001</c:v>
                </c:pt>
                <c:pt idx="15">
                  <c:v>1.11631609448876</c:v>
                </c:pt>
                <c:pt idx="16">
                  <c:v>1.2123625989334601</c:v>
                </c:pt>
                <c:pt idx="17">
                  <c:v>1.30219284003305</c:v>
                </c:pt>
                <c:pt idx="18">
                  <c:v>1.3846512279385901</c:v>
                </c:pt>
                <c:pt idx="19">
                  <c:v>1.45832949707758</c:v>
                </c:pt>
                <c:pt idx="20">
                  <c:v>1.5221289157892399</c:v>
                </c:pt>
                <c:pt idx="21">
                  <c:v>1.5750863781150399</c:v>
                </c:pt>
                <c:pt idx="22">
                  <c:v>1.6164000000000001</c:v>
                </c:pt>
                <c:pt idx="23">
                  <c:v>1.6454211304072599</c:v>
                </c:pt>
                <c:pt idx="24">
                  <c:v>1.6616862969755599</c:v>
                </c:pt>
                <c:pt idx="25">
                  <c:v>1.66488233220826</c:v>
                </c:pt>
                <c:pt idx="26">
                  <c:v>1.65511753656576</c:v>
                </c:pt>
                <c:pt idx="27">
                  <c:v>1.6324643645555299</c:v>
                </c:pt>
                <c:pt idx="28">
                  <c:v>1.59727141624659</c:v>
                </c:pt>
                <c:pt idx="29">
                  <c:v>1.5499604735578201</c:v>
                </c:pt>
                <c:pt idx="30">
                  <c:v>1.4915060300519201</c:v>
                </c:pt>
                <c:pt idx="31">
                  <c:v>1.4225514058964099</c:v>
                </c:pt>
                <c:pt idx="32">
                  <c:v>1.3443091931068401</c:v>
                </c:pt>
                <c:pt idx="33">
                  <c:v>1.258</c:v>
                </c:pt>
                <c:pt idx="34">
                  <c:v>1.16481490260978</c:v>
                </c:pt>
                <c:pt idx="35">
                  <c:v>1.06626512969867</c:v>
                </c:pt>
                <c:pt idx="36">
                  <c:v>0.96398885901019604</c:v>
                </c:pt>
                <c:pt idx="37">
                  <c:v>0.85944120835184101</c:v>
                </c:pt>
                <c:pt idx="38">
                  <c:v>0.75436443396407504</c:v>
                </c:pt>
                <c:pt idx="39">
                  <c:v>0.65024969082745498</c:v>
                </c:pt>
                <c:pt idx="40">
                  <c:v>0.54885280510765999</c:v>
                </c:pt>
                <c:pt idx="41">
                  <c:v>0.45162820730491998</c:v>
                </c:pt>
                <c:pt idx="42">
                  <c:v>0.35975092535696801</c:v>
                </c:pt>
                <c:pt idx="43">
                  <c:v>0.27359893398506202</c:v>
                </c:pt>
                <c:pt idx="44">
                  <c:v>0.19069999999999901</c:v>
                </c:pt>
                <c:pt idx="45">
                  <c:v>9.7445168392572903E-2</c:v>
                </c:pt>
                <c:pt idx="46">
                  <c:v>2.81725958409028E-2</c:v>
                </c:pt>
                <c:pt idx="47">
                  <c:v>2.2510032824226499E-2</c:v>
                </c:pt>
                <c:pt idx="48">
                  <c:v>2.2302109638977601E-2</c:v>
                </c:pt>
                <c:pt idx="49">
                  <c:v>2.2095246691374901E-2</c:v>
                </c:pt>
                <c:pt idx="50">
                  <c:v>2.1134417835379799E-2</c:v>
                </c:pt>
                <c:pt idx="51">
                  <c:v>2.29230220157754E-2</c:v>
                </c:pt>
                <c:pt idx="52">
                  <c:v>3.4762935295672599E-2</c:v>
                </c:pt>
                <c:pt idx="53">
                  <c:v>6.4332920228426196E-2</c:v>
                </c:pt>
                <c:pt idx="54">
                  <c:v>0.13130022072380701</c:v>
                </c:pt>
                <c:pt idx="55">
                  <c:v>0.25509999999999899</c:v>
                </c:pt>
                <c:pt idx="56">
                  <c:v>0.25956286143333102</c:v>
                </c:pt>
                <c:pt idx="57">
                  <c:v>0.35424325856199901</c:v>
                </c:pt>
                <c:pt idx="58">
                  <c:v>0.45578454527305201</c:v>
                </c:pt>
                <c:pt idx="59">
                  <c:v>0.56311895145083402</c:v>
                </c:pt>
                <c:pt idx="60">
                  <c:v>0.67518331669926301</c:v>
                </c:pt>
                <c:pt idx="61">
                  <c:v>0.79020633492436498</c:v>
                </c:pt>
                <c:pt idx="62">
                  <c:v>0.90678850045632797</c:v>
                </c:pt>
                <c:pt idx="63">
                  <c:v>1.0230914676043601</c:v>
                </c:pt>
                <c:pt idx="64">
                  <c:v>1.13735374742129</c:v>
                </c:pt>
                <c:pt idx="65">
                  <c:v>1.24770909505558</c:v>
                </c:pt>
                <c:pt idx="66">
                  <c:v>1.3525</c:v>
                </c:pt>
                <c:pt idx="67">
                  <c:v>1.4499936020143001</c:v>
                </c:pt>
                <c:pt idx="68">
                  <c:v>1.5385945042770499</c:v>
                </c:pt>
                <c:pt idx="69">
                  <c:v>1.6168854447308401</c:v>
                </c:pt>
                <c:pt idx="70">
                  <c:v>1.6835262167757401</c:v>
                </c:pt>
                <c:pt idx="71">
                  <c:v>1.7374720856775401</c:v>
                </c:pt>
                <c:pt idx="72">
                  <c:v>1.7777548228870499</c:v>
                </c:pt>
                <c:pt idx="73">
                  <c:v>1.80375473518788</c:v>
                </c:pt>
                <c:pt idx="74">
                  <c:v>1.8150993463238201</c:v>
                </c:pt>
                <c:pt idx="75">
                  <c:v>1.81157592231454</c:v>
                </c:pt>
                <c:pt idx="76">
                  <c:v>1.79317670437747</c:v>
                </c:pt>
                <c:pt idx="77">
                  <c:v>1.76029999999999</c:v>
                </c:pt>
                <c:pt idx="78">
                  <c:v>1.71342640900748</c:v>
                </c:pt>
                <c:pt idx="79">
                  <c:v>1.6534474964371999</c:v>
                </c:pt>
                <c:pt idx="80">
                  <c:v>1.58124733765783</c:v>
                </c:pt>
                <c:pt idx="81">
                  <c:v>1.49818586975236</c:v>
                </c:pt>
                <c:pt idx="82">
                  <c:v>1.40557472207326</c:v>
                </c:pt>
                <c:pt idx="83">
                  <c:v>1.30491452400664</c:v>
                </c:pt>
                <c:pt idx="84">
                  <c:v>1.1979606825436599</c:v>
                </c:pt>
                <c:pt idx="85">
                  <c:v>1.0863721083281599</c:v>
                </c:pt>
                <c:pt idx="86">
                  <c:v>0.97212915555630997</c:v>
                </c:pt>
                <c:pt idx="87">
                  <c:v>0.85700736368549202</c:v>
                </c:pt>
                <c:pt idx="88">
                  <c:v>0.7429</c:v>
                </c:pt>
                <c:pt idx="89">
                  <c:v>0.631603228743851</c:v>
                </c:pt>
                <c:pt idx="90">
                  <c:v>0.52500430541658005</c:v>
                </c:pt>
                <c:pt idx="91">
                  <c:v>0.42481317046082201</c:v>
                </c:pt>
                <c:pt idx="92">
                  <c:v>0.332513570704907</c:v>
                </c:pt>
                <c:pt idx="93">
                  <c:v>0.24949614072409301</c:v>
                </c:pt>
                <c:pt idx="94">
                  <c:v>0.177214628635878</c:v>
                </c:pt>
                <c:pt idx="95">
                  <c:v>0.11660101784980099</c:v>
                </c:pt>
                <c:pt idx="96">
                  <c:v>6.8658944161841304E-2</c:v>
                </c:pt>
                <c:pt idx="97">
                  <c:v>3.39571193792493E-2</c:v>
                </c:pt>
                <c:pt idx="98">
                  <c:v>1.3040790772425899E-2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01-AA48-9804-30047900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(NREL-S814)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airfoil_tables!$BJ$9:$BJ$108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airfoil_tables!$BK$9:$BK$108</c:f>
              <c:numCache>
                <c:formatCode>0.00E+00</c:formatCode>
                <c:ptCount val="100"/>
                <c:pt idx="0">
                  <c:v>-0.14678165000000001</c:v>
                </c:pt>
                <c:pt idx="1">
                  <c:v>3.71821573807652E-3</c:v>
                </c:pt>
                <c:pt idx="2">
                  <c:v>0.34495874553661698</c:v>
                </c:pt>
                <c:pt idx="3">
                  <c:v>0.52736694484763003</c:v>
                </c:pt>
                <c:pt idx="4">
                  <c:v>0.65909039598491803</c:v>
                </c:pt>
                <c:pt idx="5">
                  <c:v>0.65205773701911696</c:v>
                </c:pt>
                <c:pt idx="6">
                  <c:v>0.58289637045005604</c:v>
                </c:pt>
                <c:pt idx="7">
                  <c:v>0.54267684791231696</c:v>
                </c:pt>
                <c:pt idx="8">
                  <c:v>0.55156654506512204</c:v>
                </c:pt>
                <c:pt idx="9">
                  <c:v>0.55745755815873499</c:v>
                </c:pt>
                <c:pt idx="10">
                  <c:v>0.56529387775400397</c:v>
                </c:pt>
                <c:pt idx="11">
                  <c:v>0.57009251999999899</c:v>
                </c:pt>
                <c:pt idx="12">
                  <c:v>0.57921487525870197</c:v>
                </c:pt>
                <c:pt idx="13">
                  <c:v>0.57555724891026405</c:v>
                </c:pt>
                <c:pt idx="14">
                  <c:v>0.57962685269858705</c:v>
                </c:pt>
                <c:pt idx="15">
                  <c:v>0.56141263889579596</c:v>
                </c:pt>
                <c:pt idx="16">
                  <c:v>0.53353207774877498</c:v>
                </c:pt>
                <c:pt idx="17">
                  <c:v>0.49405539086378403</c:v>
                </c:pt>
                <c:pt idx="18">
                  <c:v>0.46654041224729698</c:v>
                </c:pt>
                <c:pt idx="19">
                  <c:v>0.385947621366515</c:v>
                </c:pt>
                <c:pt idx="20">
                  <c:v>0.28586739462452898</c:v>
                </c:pt>
                <c:pt idx="21">
                  <c:v>0.174378730795403</c:v>
                </c:pt>
                <c:pt idx="22">
                  <c:v>4.0836532000000002E-2</c:v>
                </c:pt>
                <c:pt idx="23">
                  <c:v>-7.4355485243689998E-2</c:v>
                </c:pt>
                <c:pt idx="24">
                  <c:v>-0.20551407009341</c:v>
                </c:pt>
                <c:pt idx="25">
                  <c:v>-0.33176372772820401</c:v>
                </c:pt>
                <c:pt idx="26">
                  <c:v>-0.45290861389218001</c:v>
                </c:pt>
                <c:pt idx="27">
                  <c:v>-0.57413148755002896</c:v>
                </c:pt>
                <c:pt idx="28">
                  <c:v>-0.67163785112900298</c:v>
                </c:pt>
                <c:pt idx="29">
                  <c:v>-0.76912208092353296</c:v>
                </c:pt>
                <c:pt idx="30">
                  <c:v>-0.81977703005148395</c:v>
                </c:pt>
                <c:pt idx="31">
                  <c:v>-0.87808070215205802</c:v>
                </c:pt>
                <c:pt idx="32">
                  <c:v>-0.91484639980864402</c:v>
                </c:pt>
                <c:pt idx="33">
                  <c:v>-0.93526781999999997</c:v>
                </c:pt>
                <c:pt idx="34">
                  <c:v>-0.94261305550185703</c:v>
                </c:pt>
                <c:pt idx="35">
                  <c:v>-0.92349606480599999</c:v>
                </c:pt>
                <c:pt idx="36">
                  <c:v>-0.888437740140534</c:v>
                </c:pt>
                <c:pt idx="37">
                  <c:v>-0.85690565736790003</c:v>
                </c:pt>
                <c:pt idx="38">
                  <c:v>-0.80541292912394702</c:v>
                </c:pt>
                <c:pt idx="39">
                  <c:v>-0.75587379473151395</c:v>
                </c:pt>
                <c:pt idx="40">
                  <c:v>-0.70381019520229204</c:v>
                </c:pt>
                <c:pt idx="41">
                  <c:v>-0.62904493905632297</c:v>
                </c:pt>
                <c:pt idx="42">
                  <c:v>-0.91632658859461802</c:v>
                </c:pt>
                <c:pt idx="43">
                  <c:v>-0.84617688336530394</c:v>
                </c:pt>
                <c:pt idx="44">
                  <c:v>-0.38960682000000002</c:v>
                </c:pt>
                <c:pt idx="45">
                  <c:v>-0.31773559922028599</c:v>
                </c:pt>
                <c:pt idx="46">
                  <c:v>-0.2278383213339</c:v>
                </c:pt>
                <c:pt idx="47">
                  <c:v>-0.128991465579578</c:v>
                </c:pt>
                <c:pt idx="48">
                  <c:v>2.3646784099814001E-2</c:v>
                </c:pt>
                <c:pt idx="49">
                  <c:v>0.16929121419151499</c:v>
                </c:pt>
                <c:pt idx="50">
                  <c:v>0.35628270172156301</c:v>
                </c:pt>
                <c:pt idx="51">
                  <c:v>0.66900730023939103</c:v>
                </c:pt>
                <c:pt idx="52">
                  <c:v>0.93015953823751696</c:v>
                </c:pt>
                <c:pt idx="53">
                  <c:v>1.08699000228036</c:v>
                </c:pt>
                <c:pt idx="54">
                  <c:v>1.1208478809075499</c:v>
                </c:pt>
                <c:pt idx="55">
                  <c:v>0.83870787000000002</c:v>
                </c:pt>
                <c:pt idx="56">
                  <c:v>0.83205234922824001</c:v>
                </c:pt>
                <c:pt idx="57">
                  <c:v>0.82021380159773605</c:v>
                </c:pt>
                <c:pt idx="58">
                  <c:v>0.85968528726720295</c:v>
                </c:pt>
                <c:pt idx="59">
                  <c:v>0.900981881241399</c:v>
                </c:pt>
                <c:pt idx="60">
                  <c:v>0.95027974078239097</c:v>
                </c:pt>
                <c:pt idx="61">
                  <c:v>0.98508774180035097</c:v>
                </c:pt>
                <c:pt idx="62">
                  <c:v>1.07297582271438</c:v>
                </c:pt>
                <c:pt idx="63">
                  <c:v>1.07941722667464</c:v>
                </c:pt>
                <c:pt idx="64">
                  <c:v>1.0771290889043399</c:v>
                </c:pt>
                <c:pt idx="65">
                  <c:v>1.0506022125453101</c:v>
                </c:pt>
                <c:pt idx="66">
                  <c:v>1.0148406000000001</c:v>
                </c:pt>
                <c:pt idx="67">
                  <c:v>0.958985393501113</c:v>
                </c:pt>
                <c:pt idx="68">
                  <c:v>0.87938101346499498</c:v>
                </c:pt>
                <c:pt idx="69">
                  <c:v>0.77870203666438798</c:v>
                </c:pt>
                <c:pt idx="70">
                  <c:v>0.67946887149115198</c:v>
                </c:pt>
                <c:pt idx="71">
                  <c:v>0.56531837898909498</c:v>
                </c:pt>
                <c:pt idx="72">
                  <c:v>0.44459386925994399</c:v>
                </c:pt>
                <c:pt idx="73">
                  <c:v>0.32376997135004998</c:v>
                </c:pt>
                <c:pt idx="74">
                  <c:v>0.192976841144441</c:v>
                </c:pt>
                <c:pt idx="75">
                  <c:v>6.7577569070716201E-2</c:v>
                </c:pt>
                <c:pt idx="76">
                  <c:v>-7.2875212538793796E-2</c:v>
                </c:pt>
                <c:pt idx="77">
                  <c:v>-0.193216419999999</c:v>
                </c:pt>
                <c:pt idx="78">
                  <c:v>-0.31184721342219102</c:v>
                </c:pt>
                <c:pt idx="79">
                  <c:v>-0.408236755411373</c:v>
                </c:pt>
                <c:pt idx="80">
                  <c:v>-0.49751243829220998</c:v>
                </c:pt>
                <c:pt idx="81">
                  <c:v>-0.56439035178682495</c:v>
                </c:pt>
                <c:pt idx="82">
                  <c:v>-0.629312204342801</c:v>
                </c:pt>
                <c:pt idx="83">
                  <c:v>-0.67385619635706895</c:v>
                </c:pt>
                <c:pt idx="84">
                  <c:v>-0.70142695033026803</c:v>
                </c:pt>
                <c:pt idx="85">
                  <c:v>-0.721219496698152</c:v>
                </c:pt>
                <c:pt idx="86">
                  <c:v>-0.75704108977742302</c:v>
                </c:pt>
                <c:pt idx="87">
                  <c:v>-0.77899991503722599</c:v>
                </c:pt>
                <c:pt idx="88">
                  <c:v>-0.80361985000000002</c:v>
                </c:pt>
                <c:pt idx="89">
                  <c:v>-0.81312801701067405</c:v>
                </c:pt>
                <c:pt idx="90">
                  <c:v>-0.83145969205175596</c:v>
                </c:pt>
                <c:pt idx="91">
                  <c:v>-0.85518137101942704</c:v>
                </c:pt>
                <c:pt idx="92">
                  <c:v>-0.88275237049585098</c:v>
                </c:pt>
                <c:pt idx="93">
                  <c:v>-0.96702025309892503</c:v>
                </c:pt>
                <c:pt idx="94">
                  <c:v>-1.11378382877408</c:v>
                </c:pt>
                <c:pt idx="95">
                  <c:v>-1.1943702956128199</c:v>
                </c:pt>
                <c:pt idx="96">
                  <c:v>-1.0895669269552299</c:v>
                </c:pt>
                <c:pt idx="97">
                  <c:v>-0.90734693792833798</c:v>
                </c:pt>
                <c:pt idx="98">
                  <c:v>-0.444639856883493</c:v>
                </c:pt>
                <c:pt idx="99">
                  <c:v>-0.14678165000000001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6-774E-A607-F73C06E66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(NREL-S814)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airfoil_tables!$BJ$9:$BJ$108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airfoil_tables!$BL$9:$BL$108</c:f>
              <c:numCache>
                <c:formatCode>0.00E+00</c:formatCode>
                <c:ptCount val="100"/>
                <c:pt idx="0">
                  <c:v>7.9652736000000002E-2</c:v>
                </c:pt>
                <c:pt idx="1">
                  <c:v>8.2075064419237106E-2</c:v>
                </c:pt>
                <c:pt idx="2">
                  <c:v>9.8626242426573404E-2</c:v>
                </c:pt>
                <c:pt idx="3">
                  <c:v>0.14254193778124399</c:v>
                </c:pt>
                <c:pt idx="4">
                  <c:v>0.21516547684083201</c:v>
                </c:pt>
                <c:pt idx="5">
                  <c:v>0.28708838802095399</c:v>
                </c:pt>
                <c:pt idx="6">
                  <c:v>0.34429008436838299</c:v>
                </c:pt>
                <c:pt idx="7">
                  <c:v>0.42230434551971502</c:v>
                </c:pt>
                <c:pt idx="8">
                  <c:v>0.50910539307453895</c:v>
                </c:pt>
                <c:pt idx="9">
                  <c:v>0.59794290361150004</c:v>
                </c:pt>
                <c:pt idx="10">
                  <c:v>0.70456670494889495</c:v>
                </c:pt>
                <c:pt idx="11">
                  <c:v>0.81571651999999895</c:v>
                </c:pt>
                <c:pt idx="12">
                  <c:v>0.94207924462674697</c:v>
                </c:pt>
                <c:pt idx="13">
                  <c:v>1.0787988535116499</c:v>
                </c:pt>
                <c:pt idx="14">
                  <c:v>1.2443621924475701</c:v>
                </c:pt>
                <c:pt idx="15">
                  <c:v>1.3703783024774401</c:v>
                </c:pt>
                <c:pt idx="16">
                  <c:v>1.52815382186881</c:v>
                </c:pt>
                <c:pt idx="17">
                  <c:v>1.67281011765623</c:v>
                </c:pt>
                <c:pt idx="18">
                  <c:v>1.83002591997224</c:v>
                </c:pt>
                <c:pt idx="19">
                  <c:v>1.9636425387169101</c:v>
                </c:pt>
                <c:pt idx="20">
                  <c:v>2.0964019961074101</c:v>
                </c:pt>
                <c:pt idx="21">
                  <c:v>2.1656325896125499</c:v>
                </c:pt>
                <c:pt idx="22">
                  <c:v>2.2569108999999901</c:v>
                </c:pt>
                <c:pt idx="23">
                  <c:v>2.2811778679738799</c:v>
                </c:pt>
                <c:pt idx="24">
                  <c:v>2.3166116599814699</c:v>
                </c:pt>
                <c:pt idx="25">
                  <c:v>2.3174345753349099</c:v>
                </c:pt>
                <c:pt idx="26">
                  <c:v>2.2882965326843001</c:v>
                </c:pt>
                <c:pt idx="27">
                  <c:v>2.23432264921049</c:v>
                </c:pt>
                <c:pt idx="28">
                  <c:v>2.1777335101342401</c:v>
                </c:pt>
                <c:pt idx="29">
                  <c:v>2.0960408959070902</c:v>
                </c:pt>
                <c:pt idx="30">
                  <c:v>1.90530571044335</c:v>
                </c:pt>
                <c:pt idx="31">
                  <c:v>1.8031911407727701</c:v>
                </c:pt>
                <c:pt idx="32">
                  <c:v>1.66358242309455</c:v>
                </c:pt>
                <c:pt idx="33">
                  <c:v>1.5122397999999999</c:v>
                </c:pt>
                <c:pt idx="34">
                  <c:v>1.3906593719117699</c:v>
                </c:pt>
                <c:pt idx="35">
                  <c:v>1.22134402363405</c:v>
                </c:pt>
                <c:pt idx="36">
                  <c:v>1.0605941894126001</c:v>
                </c:pt>
                <c:pt idx="37">
                  <c:v>0.93143279985445304</c:v>
                </c:pt>
                <c:pt idx="38">
                  <c:v>0.80295699997810699</c:v>
                </c:pt>
                <c:pt idx="39">
                  <c:v>0.68019396335805604</c:v>
                </c:pt>
                <c:pt idx="40">
                  <c:v>0.57305101782544898</c:v>
                </c:pt>
                <c:pt idx="41">
                  <c:v>0.46419435672460402</c:v>
                </c:pt>
                <c:pt idx="42">
                  <c:v>0.24822906789601401</c:v>
                </c:pt>
                <c:pt idx="43">
                  <c:v>0.27971481631976602</c:v>
                </c:pt>
                <c:pt idx="44">
                  <c:v>0.21179976</c:v>
                </c:pt>
                <c:pt idx="45">
                  <c:v>0.177302496929957</c:v>
                </c:pt>
                <c:pt idx="46">
                  <c:v>0.141371889269166</c:v>
                </c:pt>
                <c:pt idx="47">
                  <c:v>0.11336812977359501</c:v>
                </c:pt>
                <c:pt idx="48">
                  <c:v>8.6305401746768803E-2</c:v>
                </c:pt>
                <c:pt idx="49">
                  <c:v>6.8303557332082696E-2</c:v>
                </c:pt>
                <c:pt idx="50">
                  <c:v>4.7105542548272199E-2</c:v>
                </c:pt>
                <c:pt idx="51">
                  <c:v>4.7802516752171301E-2</c:v>
                </c:pt>
                <c:pt idx="52">
                  <c:v>6.6642282714668905E-2</c:v>
                </c:pt>
                <c:pt idx="53">
                  <c:v>9.8906747665473596E-2</c:v>
                </c:pt>
                <c:pt idx="54">
                  <c:v>0.142562010031928</c:v>
                </c:pt>
                <c:pt idx="55">
                  <c:v>0.35183902</c:v>
                </c:pt>
                <c:pt idx="56">
                  <c:v>0.46095478165604298</c:v>
                </c:pt>
                <c:pt idx="57">
                  <c:v>0.54796474099034698</c:v>
                </c:pt>
                <c:pt idx="58">
                  <c:v>0.65575119090384804</c:v>
                </c:pt>
                <c:pt idx="59">
                  <c:v>0.75568424145663204</c:v>
                </c:pt>
                <c:pt idx="60">
                  <c:v>0.89005737817761399</c:v>
                </c:pt>
                <c:pt idx="61">
                  <c:v>1.02088091194435</c:v>
                </c:pt>
                <c:pt idx="62">
                  <c:v>1.19515419715683</c:v>
                </c:pt>
                <c:pt idx="63">
                  <c:v>1.3583336082413799</c:v>
                </c:pt>
                <c:pt idx="64">
                  <c:v>1.5208570509530701</c:v>
                </c:pt>
                <c:pt idx="65">
                  <c:v>1.67404591591346</c:v>
                </c:pt>
                <c:pt idx="66">
                  <c:v>1.8318251999999899</c:v>
                </c:pt>
                <c:pt idx="67">
                  <c:v>1.9269241887781801</c:v>
                </c:pt>
                <c:pt idx="68">
                  <c:v>2.0664219591608601</c:v>
                </c:pt>
                <c:pt idx="69">
                  <c:v>2.1790964645342799</c:v>
                </c:pt>
                <c:pt idx="70">
                  <c:v>2.24276466379446</c:v>
                </c:pt>
                <c:pt idx="71">
                  <c:v>2.3225488923105502</c:v>
                </c:pt>
                <c:pt idx="72">
                  <c:v>2.3797675120732902</c:v>
                </c:pt>
                <c:pt idx="73">
                  <c:v>2.39222006639379</c:v>
                </c:pt>
                <c:pt idx="74">
                  <c:v>2.3780284341096301</c:v>
                </c:pt>
                <c:pt idx="75">
                  <c:v>2.3527126327884802</c:v>
                </c:pt>
                <c:pt idx="76">
                  <c:v>2.32951874991259</c:v>
                </c:pt>
                <c:pt idx="77">
                  <c:v>2.2394812000000002</c:v>
                </c:pt>
                <c:pt idx="78">
                  <c:v>2.1969966683386399</c:v>
                </c:pt>
                <c:pt idx="79">
                  <c:v>2.0884361940477598</c:v>
                </c:pt>
                <c:pt idx="80">
                  <c:v>1.9807851072834699</c:v>
                </c:pt>
                <c:pt idx="81">
                  <c:v>1.84406449321848</c:v>
                </c:pt>
                <c:pt idx="82">
                  <c:v>1.70440243040511</c:v>
                </c:pt>
                <c:pt idx="83">
                  <c:v>1.55799807316149</c:v>
                </c:pt>
                <c:pt idx="84">
                  <c:v>1.3765788842864899</c:v>
                </c:pt>
                <c:pt idx="85">
                  <c:v>1.2270572936888799</c:v>
                </c:pt>
                <c:pt idx="86">
                  <c:v>1.1209293659219399</c:v>
                </c:pt>
                <c:pt idx="87">
                  <c:v>0.99736954743692996</c:v>
                </c:pt>
                <c:pt idx="88">
                  <c:v>0.90723551999999896</c:v>
                </c:pt>
                <c:pt idx="89">
                  <c:v>0.80326824430356603</c:v>
                </c:pt>
                <c:pt idx="90">
                  <c:v>0.71077132372864704</c:v>
                </c:pt>
                <c:pt idx="91">
                  <c:v>0.62258059854610903</c:v>
                </c:pt>
                <c:pt idx="92">
                  <c:v>0.53293714958551197</c:v>
                </c:pt>
                <c:pt idx="93">
                  <c:v>0.46346915869873601</c:v>
                </c:pt>
                <c:pt idx="94">
                  <c:v>0.35706157482123202</c:v>
                </c:pt>
                <c:pt idx="95">
                  <c:v>0.244043142452363</c:v>
                </c:pt>
                <c:pt idx="96">
                  <c:v>0.14506901501410099</c:v>
                </c:pt>
                <c:pt idx="97">
                  <c:v>0.10543536453724001</c:v>
                </c:pt>
                <c:pt idx="98">
                  <c:v>9.7721175334345697E-2</c:v>
                </c:pt>
                <c:pt idx="99">
                  <c:v>7.9652736000000002E-2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46-754C-BBB5-B707EC3D3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Experiment</a:t>
            </a:r>
            <a:r>
              <a:rPr lang="en-US" b="1" baseline="0"/>
              <a:t> vs BEMT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CT-exp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validation!$D$4:$D$20</c:f>
              <c:numCache>
                <c:formatCode>General</c:formatCode>
                <c:ptCount val="17"/>
                <c:pt idx="0">
                  <c:v>0.13220000000000001</c:v>
                </c:pt>
                <c:pt idx="1">
                  <c:v>0.128</c:v>
                </c:pt>
                <c:pt idx="2">
                  <c:v>0.12239999999999999</c:v>
                </c:pt>
                <c:pt idx="3">
                  <c:v>0.11650000000000001</c:v>
                </c:pt>
                <c:pt idx="4">
                  <c:v>0.1101</c:v>
                </c:pt>
                <c:pt idx="5">
                  <c:v>0.1036</c:v>
                </c:pt>
                <c:pt idx="6">
                  <c:v>9.6799999999999997E-2</c:v>
                </c:pt>
                <c:pt idx="7">
                  <c:v>8.9899999999999994E-2</c:v>
                </c:pt>
                <c:pt idx="8">
                  <c:v>8.2600000000000007E-2</c:v>
                </c:pt>
                <c:pt idx="9">
                  <c:v>7.5200000000000003E-2</c:v>
                </c:pt>
                <c:pt idx="10">
                  <c:v>6.7400000000000002E-2</c:v>
                </c:pt>
                <c:pt idx="11">
                  <c:v>5.8700000000000002E-2</c:v>
                </c:pt>
                <c:pt idx="12">
                  <c:v>4.9500000000000002E-2</c:v>
                </c:pt>
                <c:pt idx="13">
                  <c:v>3.9100000000000003E-2</c:v>
                </c:pt>
                <c:pt idx="14">
                  <c:v>2.8799999999999999E-2</c:v>
                </c:pt>
                <c:pt idx="15">
                  <c:v>1.83E-2</c:v>
                </c:pt>
                <c:pt idx="16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0-BE46-9AFC-06E8C28EA368}"/>
            </c:ext>
          </c:extLst>
        </c:ser>
        <c:ser>
          <c:idx val="1"/>
          <c:order val="1"/>
          <c:tx>
            <c:v>CP-exp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validation!$E$4:$E$20</c:f>
              <c:numCache>
                <c:formatCode>General</c:formatCode>
                <c:ptCount val="17"/>
                <c:pt idx="0">
                  <c:v>5.8400000000000001E-2</c:v>
                </c:pt>
                <c:pt idx="1">
                  <c:v>5.8200000000000002E-2</c:v>
                </c:pt>
                <c:pt idx="2">
                  <c:v>5.7799999999999997E-2</c:v>
                </c:pt>
                <c:pt idx="3">
                  <c:v>5.7200000000000001E-2</c:v>
                </c:pt>
                <c:pt idx="4">
                  <c:v>5.6399999999999999E-2</c:v>
                </c:pt>
                <c:pt idx="5">
                  <c:v>5.5500000000000001E-2</c:v>
                </c:pt>
                <c:pt idx="6">
                  <c:v>5.4300000000000001E-2</c:v>
                </c:pt>
                <c:pt idx="7">
                  <c:v>5.2999999999999999E-2</c:v>
                </c:pt>
                <c:pt idx="8">
                  <c:v>5.1400000000000001E-2</c:v>
                </c:pt>
                <c:pt idx="9">
                  <c:v>4.9200000000000001E-2</c:v>
                </c:pt>
                <c:pt idx="10">
                  <c:v>4.6100000000000002E-2</c:v>
                </c:pt>
                <c:pt idx="11">
                  <c:v>4.19E-2</c:v>
                </c:pt>
                <c:pt idx="12">
                  <c:v>3.6999999999999998E-2</c:v>
                </c:pt>
                <c:pt idx="13">
                  <c:v>3.1399999999999997E-2</c:v>
                </c:pt>
                <c:pt idx="14">
                  <c:v>2.52E-2</c:v>
                </c:pt>
                <c:pt idx="15">
                  <c:v>1.8200000000000001E-2</c:v>
                </c:pt>
                <c:pt idx="16">
                  <c:v>1.06E-2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56816"/>
        <c:axId val="419231680"/>
      </c:scatterChart>
      <c:scatterChart>
        <c:scatterStyle val="smoothMarker"/>
        <c:varyColors val="0"/>
        <c:ser>
          <c:idx val="3"/>
          <c:order val="3"/>
          <c:tx>
            <c:v>CT-bemt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validation!$D$24:$D$69</c:f>
              <c:numCache>
                <c:formatCode>General</c:formatCode>
                <c:ptCount val="46"/>
                <c:pt idx="0">
                  <c:v>0.13756114149530227</c:v>
                </c:pt>
                <c:pt idx="1">
                  <c:v>0.13900706290509893</c:v>
                </c:pt>
                <c:pt idx="2">
                  <c:v>0.13687327609543906</c:v>
                </c:pt>
                <c:pt idx="3">
                  <c:v>0.13468643485481518</c:v>
                </c:pt>
                <c:pt idx="4">
                  <c:v>0.13244612392823049</c:v>
                </c:pt>
                <c:pt idx="5">
                  <c:v>0.130152000348078</c:v>
                </c:pt>
                <c:pt idx="6">
                  <c:v>0.12780379143048623</c:v>
                </c:pt>
                <c:pt idx="7">
                  <c:v>0.12540129088350571</c:v>
                </c:pt>
                <c:pt idx="8">
                  <c:v>0.12294437025873374</c:v>
                </c:pt>
                <c:pt idx="9">
                  <c:v>0.12043296699527706</c:v>
                </c:pt>
                <c:pt idx="10">
                  <c:v>0.11786709903466028</c:v>
                </c:pt>
                <c:pt idx="11">
                  <c:v>0.11524684278473754</c:v>
                </c:pt>
                <c:pt idx="12">
                  <c:v>0.11257235615034641</c:v>
                </c:pt>
                <c:pt idx="13">
                  <c:v>0.10984385704477058</c:v>
                </c:pt>
                <c:pt idx="14">
                  <c:v>0.10706163067370951</c:v>
                </c:pt>
                <c:pt idx="15">
                  <c:v>0.10422602209693513</c:v>
                </c:pt>
                <c:pt idx="16">
                  <c:v>0.10133743682024815</c:v>
                </c:pt>
                <c:pt idx="17">
                  <c:v>9.8396332682932228E-2</c:v>
                </c:pt>
                <c:pt idx="18">
                  <c:v>9.5403220360501251E-2</c:v>
                </c:pt>
                <c:pt idx="19">
                  <c:v>9.2358650601593553E-2</c:v>
                </c:pt>
                <c:pt idx="20">
                  <c:v>8.9263222154719948E-2</c:v>
                </c:pt>
                <c:pt idx="21">
                  <c:v>8.611756323739439E-2</c:v>
                </c:pt>
                <c:pt idx="22">
                  <c:v>8.2922336819380466E-2</c:v>
                </c:pt>
                <c:pt idx="23">
                  <c:v>7.9678231508325606E-2</c:v>
                </c:pt>
                <c:pt idx="24">
                  <c:v>7.638595659731566E-2</c:v>
                </c:pt>
                <c:pt idx="25">
                  <c:v>7.3046238743475406E-2</c:v>
                </c:pt>
                <c:pt idx="26">
                  <c:v>6.9659815418716103E-2</c:v>
                </c:pt>
                <c:pt idx="27">
                  <c:v>6.6227430577614307E-2</c:v>
                </c:pt>
                <c:pt idx="28">
                  <c:v>6.2749833362113094E-2</c:v>
                </c:pt>
                <c:pt idx="29">
                  <c:v>5.9227772381406377E-2</c:v>
                </c:pt>
                <c:pt idx="30">
                  <c:v>5.5661987509543508E-2</c:v>
                </c:pt>
                <c:pt idx="31">
                  <c:v>5.2053213750376616E-2</c:v>
                </c:pt>
                <c:pt idx="32">
                  <c:v>4.8402174324246629E-2</c:v>
                </c:pt>
                <c:pt idx="33">
                  <c:v>4.4709578491025227E-2</c:v>
                </c:pt>
                <c:pt idx="34">
                  <c:v>4.1543323116758443E-2</c:v>
                </c:pt>
                <c:pt idx="35">
                  <c:v>3.7971951154892644E-2</c:v>
                </c:pt>
                <c:pt idx="36">
                  <c:v>3.4366650775569448E-2</c:v>
                </c:pt>
                <c:pt idx="37">
                  <c:v>3.0728073222855617E-2</c:v>
                </c:pt>
                <c:pt idx="38">
                  <c:v>2.7056837308200583E-2</c:v>
                </c:pt>
                <c:pt idx="39">
                  <c:v>2.3353540249377965E-2</c:v>
                </c:pt>
                <c:pt idx="40">
                  <c:v>1.9618751498962167E-2</c:v>
                </c:pt>
                <c:pt idx="41">
                  <c:v>1.5853013965171921E-2</c:v>
                </c:pt>
                <c:pt idx="42">
                  <c:v>1.2056846041127757E-2</c:v>
                </c:pt>
                <c:pt idx="43">
                  <c:v>9.478771566653544E-3</c:v>
                </c:pt>
                <c:pt idx="44">
                  <c:v>5.9745670722236117E-3</c:v>
                </c:pt>
                <c:pt idx="45">
                  <c:v>2.4488326488181986E-3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00-BE46-9AFC-06E8C28EA368}"/>
            </c:ext>
          </c:extLst>
        </c:ser>
        <c:ser>
          <c:idx val="4"/>
          <c:order val="4"/>
          <c:tx>
            <c:v>CP-bemt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validation!$E$24:$E$69</c:f>
              <c:numCache>
                <c:formatCode>General</c:formatCode>
                <c:ptCount val="46"/>
                <c:pt idx="0">
                  <c:v>5.2588148987480245E-2</c:v>
                </c:pt>
                <c:pt idx="1">
                  <c:v>5.4082694263797942E-2</c:v>
                </c:pt>
                <c:pt idx="2">
                  <c:v>5.4248917972665969E-2</c:v>
                </c:pt>
                <c:pt idx="3">
                  <c:v>5.4388139009096559E-2</c:v>
                </c:pt>
                <c:pt idx="4">
                  <c:v>5.4498255617636729E-2</c:v>
                </c:pt>
                <c:pt idx="5">
                  <c:v>5.4577101702351034E-2</c:v>
                </c:pt>
                <c:pt idx="6">
                  <c:v>5.4622449587135073E-2</c:v>
                </c:pt>
                <c:pt idx="7">
                  <c:v>5.4632014768505488E-2</c:v>
                </c:pt>
                <c:pt idx="8">
                  <c:v>5.4603462101377245E-2</c:v>
                </c:pt>
                <c:pt idx="9">
                  <c:v>5.4534410555322911E-2</c:v>
                </c:pt>
                <c:pt idx="10">
                  <c:v>5.4422440954226992E-2</c:v>
                </c:pt>
                <c:pt idx="11">
                  <c:v>5.4265099849561585E-2</c:v>
                </c:pt>
                <c:pt idx="12">
                  <c:v>5.4059909541711047E-2</c:v>
                </c:pt>
                <c:pt idx="13">
                  <c:v>5.3804372180135722E-2</c:v>
                </c:pt>
                <c:pt idx="14">
                  <c:v>5.3495978015493717E-2</c:v>
                </c:pt>
                <c:pt idx="15">
                  <c:v>5.3132211963645572E-2</c:v>
                </c:pt>
                <c:pt idx="16">
                  <c:v>5.2710561000284817E-2</c:v>
                </c:pt>
                <c:pt idx="17">
                  <c:v>5.2228520118700737E-2</c:v>
                </c:pt>
                <c:pt idx="18">
                  <c:v>5.1683599726241938E-2</c:v>
                </c:pt>
                <c:pt idx="19">
                  <c:v>5.1073330068599425E-2</c:v>
                </c:pt>
                <c:pt idx="20">
                  <c:v>5.0395270131194138E-2</c:v>
                </c:pt>
                <c:pt idx="21">
                  <c:v>4.9647009681194371E-2</c:v>
                </c:pt>
                <c:pt idx="22">
                  <c:v>4.8826176719182254E-2</c:v>
                </c:pt>
                <c:pt idx="23">
                  <c:v>4.7930441166935414E-2</c:v>
                </c:pt>
                <c:pt idx="24">
                  <c:v>4.6957518943194825E-2</c:v>
                </c:pt>
                <c:pt idx="25">
                  <c:v>4.5905175709907271E-2</c:v>
                </c:pt>
                <c:pt idx="26">
                  <c:v>4.477122964425307E-2</c:v>
                </c:pt>
                <c:pt idx="27">
                  <c:v>4.3553553662657195E-2</c:v>
                </c:pt>
                <c:pt idx="28">
                  <c:v>4.2250078583909931E-2</c:v>
                </c:pt>
                <c:pt idx="29">
                  <c:v>4.0858794452282646E-2</c:v>
                </c:pt>
                <c:pt idx="30">
                  <c:v>3.937774944449788E-2</c:v>
                </c:pt>
                <c:pt idx="31">
                  <c:v>3.7805053446073308E-2</c:v>
                </c:pt>
                <c:pt idx="32">
                  <c:v>3.6138876930226757E-2</c:v>
                </c:pt>
                <c:pt idx="33">
                  <c:v>3.4377451150045792E-2</c:v>
                </c:pt>
                <c:pt idx="34">
                  <c:v>3.3208413976648005E-2</c:v>
                </c:pt>
                <c:pt idx="35">
                  <c:v>3.1260643752866954E-2</c:v>
                </c:pt>
                <c:pt idx="36">
                  <c:v>2.9215999168895716E-2</c:v>
                </c:pt>
                <c:pt idx="37">
                  <c:v>2.7073060859561449E-2</c:v>
                </c:pt>
                <c:pt idx="38">
                  <c:v>2.4830454913392794E-2</c:v>
                </c:pt>
                <c:pt idx="39">
                  <c:v>2.24868576646267E-2</c:v>
                </c:pt>
                <c:pt idx="40">
                  <c:v>2.0040991672569414E-2</c:v>
                </c:pt>
                <c:pt idx="41">
                  <c:v>1.7491624618448474E-2</c:v>
                </c:pt>
                <c:pt idx="42">
                  <c:v>1.4837569799811086E-2</c:v>
                </c:pt>
                <c:pt idx="43">
                  <c:v>1.3969921951479934E-2</c:v>
                </c:pt>
                <c:pt idx="44">
                  <c:v>1.113815586381486E-2</c:v>
                </c:pt>
                <c:pt idx="45">
                  <c:v>8.2051630940321672E-3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56816"/>
        <c:axId val="419231680"/>
      </c:scatterChart>
      <c:scatterChart>
        <c:scatterStyle val="lineMarker"/>
        <c:varyColors val="0"/>
        <c:ser>
          <c:idx val="2"/>
          <c:order val="2"/>
          <c:tx>
            <c:v>eta-exp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validation!$F$4:$F$20</c:f>
              <c:numCache>
                <c:formatCode>General</c:formatCode>
                <c:ptCount val="17"/>
                <c:pt idx="0">
                  <c:v>0</c:v>
                </c:pt>
                <c:pt idx="1">
                  <c:v>0.11</c:v>
                </c:pt>
                <c:pt idx="2">
                  <c:v>0.21199999999999999</c:v>
                </c:pt>
                <c:pt idx="3">
                  <c:v>0.30599999999999999</c:v>
                </c:pt>
                <c:pt idx="4">
                  <c:v>0.39100000000000001</c:v>
                </c:pt>
                <c:pt idx="5">
                  <c:v>0.46700000000000003</c:v>
                </c:pt>
                <c:pt idx="6">
                  <c:v>0.53500000000000003</c:v>
                </c:pt>
                <c:pt idx="7">
                  <c:v>0.59299999999999997</c:v>
                </c:pt>
                <c:pt idx="8">
                  <c:v>0.64300000000000002</c:v>
                </c:pt>
                <c:pt idx="9">
                  <c:v>0.68799999999999994</c:v>
                </c:pt>
                <c:pt idx="10">
                  <c:v>0.73199999999999998</c:v>
                </c:pt>
                <c:pt idx="11">
                  <c:v>0.77</c:v>
                </c:pt>
                <c:pt idx="12">
                  <c:v>0.80200000000000005</c:v>
                </c:pt>
                <c:pt idx="13">
                  <c:v>0.81</c:v>
                </c:pt>
                <c:pt idx="14">
                  <c:v>0.8</c:v>
                </c:pt>
                <c:pt idx="15">
                  <c:v>0.755</c:v>
                </c:pt>
                <c:pt idx="16">
                  <c:v>0.60399999999999998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5728"/>
        <c:axId val="602030496"/>
      </c:scatterChart>
      <c:scatterChart>
        <c:scatterStyle val="smoothMarker"/>
        <c:varyColors val="0"/>
        <c:ser>
          <c:idx val="5"/>
          <c:order val="5"/>
          <c:tx>
            <c:v>eta-bemt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validation!$F$24:$F$69</c:f>
              <c:numCache>
                <c:formatCode>General</c:formatCode>
                <c:ptCount val="46"/>
                <c:pt idx="0">
                  <c:v>0</c:v>
                </c:pt>
                <c:pt idx="1">
                  <c:v>4.5905855019433478E-2</c:v>
                </c:pt>
                <c:pt idx="2">
                  <c:v>9.0125380266454239E-2</c:v>
                </c:pt>
                <c:pt idx="3">
                  <c:v>0.13268763264165745</c:v>
                </c:pt>
                <c:pt idx="4">
                  <c:v>0.17362256794756029</c:v>
                </c:pt>
                <c:pt idx="5">
                  <c:v>0.21296092046736914</c:v>
                </c:pt>
                <c:pt idx="6">
                  <c:v>0.25073406874642507</c:v>
                </c:pt>
                <c:pt idx="7">
                  <c:v>0.28697387535062174</c:v>
                </c:pt>
                <c:pt idx="8">
                  <c:v>0.32171253773350622</c:v>
                </c:pt>
                <c:pt idx="9">
                  <c:v>0.35498238617668137</c:v>
                </c:pt>
                <c:pt idx="10">
                  <c:v>0.38681571564140826</c:v>
                </c:pt>
                <c:pt idx="11">
                  <c:v>0.4172445261141019</c:v>
                </c:pt>
                <c:pt idx="12">
                  <c:v>0.44630034226954524</c:v>
                </c:pt>
                <c:pt idx="13">
                  <c:v>0.4740139150413375</c:v>
                </c:pt>
                <c:pt idx="14">
                  <c:v>0.5004149667363581</c:v>
                </c:pt>
                <c:pt idx="15">
                  <c:v>0.52553186945329911</c:v>
                </c:pt>
                <c:pt idx="16">
                  <c:v>0.54939131795381169</c:v>
                </c:pt>
                <c:pt idx="17">
                  <c:v>0.57201793480625063</c:v>
                </c:pt>
                <c:pt idx="18">
                  <c:v>0.59343385369419988</c:v>
                </c:pt>
                <c:pt idx="19">
                  <c:v>0.61365819315487558</c:v>
                </c:pt>
                <c:pt idx="20">
                  <c:v>0.63270652065951039</c:v>
                </c:pt>
                <c:pt idx="21">
                  <c:v>0.65059012118784543</c:v>
                </c:pt>
                <c:pt idx="22">
                  <c:v>0.66731521503406666</c:v>
                </c:pt>
                <c:pt idx="23">
                  <c:v>0.68288194173889694</c:v>
                </c:pt>
                <c:pt idx="24">
                  <c:v>0.69728312284624838</c:v>
                </c:pt>
                <c:pt idx="25">
                  <c:v>0.71050272104534196</c:v>
                </c:pt>
                <c:pt idx="26">
                  <c:v>0.72251385129627366</c:v>
                </c:pt>
                <c:pt idx="27">
                  <c:v>0.73327622918475832</c:v>
                </c:pt>
                <c:pt idx="28">
                  <c:v>0.74273282789477613</c:v>
                </c:pt>
                <c:pt idx="29">
                  <c:v>0.750805387939388</c:v>
                </c:pt>
                <c:pt idx="30">
                  <c:v>0.75738832359264596</c:v>
                </c:pt>
                <c:pt idx="31">
                  <c:v>0.76234036870403954</c:v>
                </c:pt>
                <c:pt idx="32">
                  <c:v>0.76547274175265079</c:v>
                </c:pt>
                <c:pt idx="33">
                  <c:v>0.76653214900853361</c:v>
                </c:pt>
                <c:pt idx="34">
                  <c:v>0.75966400484418584</c:v>
                </c:pt>
                <c:pt idx="35">
                  <c:v>0.75931603831793859</c:v>
                </c:pt>
                <c:pt idx="36">
                  <c:v>0.75632507569793639</c:v>
                </c:pt>
                <c:pt idx="37">
                  <c:v>0.7500482913985862</c:v>
                </c:pt>
                <c:pt idx="38">
                  <c:v>0.73954649503246694</c:v>
                </c:pt>
                <c:pt idx="39">
                  <c:v>0.72339931766776311</c:v>
                </c:pt>
                <c:pt idx="40">
                  <c:v>0.69936143857204069</c:v>
                </c:pt>
                <c:pt idx="41">
                  <c:v>0.66367442601815763</c:v>
                </c:pt>
                <c:pt idx="42">
                  <c:v>0.60955060009409423</c:v>
                </c:pt>
                <c:pt idx="43">
                  <c:v>0.52109399139025547</c:v>
                </c:pt>
                <c:pt idx="44">
                  <c:v>0.42153666864317774</c:v>
                </c:pt>
                <c:pt idx="45">
                  <c:v>0.2398688953698028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5728"/>
        <c:axId val="602030496"/>
      </c:scatterChart>
      <c:valAx>
        <c:axId val="589456816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Advance</a:t>
                </a:r>
                <a:r>
                  <a:rPr lang="en-US" b="1" baseline="0"/>
                  <a:t> Ratio J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31680"/>
        <c:crosses val="autoZero"/>
        <c:crossBetween val="midCat"/>
      </c:valAx>
      <c:valAx>
        <c:axId val="4192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CT, 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56816"/>
        <c:crosses val="autoZero"/>
        <c:crossBetween val="midCat"/>
      </c:valAx>
      <c:valAx>
        <c:axId val="602030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5728"/>
        <c:crosses val="max"/>
        <c:crossBetween val="midCat"/>
      </c:valAx>
      <c:valAx>
        <c:axId val="44644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2030496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781050</xdr:colOff>
      <xdr:row>300</xdr:row>
      <xdr:rowOff>25400</xdr:rowOff>
    </xdr:from>
    <xdr:to>
      <xdr:col>22</xdr:col>
      <xdr:colOff>400050</xdr:colOff>
      <xdr:row>313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4BA439-433C-044E-FD17-768B5E138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260350</xdr:colOff>
      <xdr:row>238</xdr:row>
      <xdr:rowOff>152400</xdr:rowOff>
    </xdr:from>
    <xdr:to>
      <xdr:col>21</xdr:col>
      <xdr:colOff>704850</xdr:colOff>
      <xdr:row>252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E375D2-7741-DF5F-DBEF-CC9E78EF4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259120</xdr:colOff>
      <xdr:row>17</xdr:row>
      <xdr:rowOff>34513</xdr:rowOff>
    </xdr:from>
    <xdr:to>
      <xdr:col>9</xdr:col>
      <xdr:colOff>709107</xdr:colOff>
      <xdr:row>30</xdr:row>
      <xdr:rowOff>132567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8081910-2AF4-B7E9-E25B-7DE291015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241365</xdr:colOff>
      <xdr:row>31</xdr:row>
      <xdr:rowOff>28964</xdr:rowOff>
    </xdr:from>
    <xdr:to>
      <xdr:col>9</xdr:col>
      <xdr:colOff>691352</xdr:colOff>
      <xdr:row>44</xdr:row>
      <xdr:rowOff>129938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053A46-E4AD-CC43-81B5-429D56632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287873</xdr:colOff>
      <xdr:row>10</xdr:row>
      <xdr:rowOff>24978</xdr:rowOff>
    </xdr:from>
    <xdr:to>
      <xdr:col>21</xdr:col>
      <xdr:colOff>733849</xdr:colOff>
      <xdr:row>23</xdr:row>
      <xdr:rowOff>126576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C98BCF1-276B-8041-9CD5-C0369D626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336734</xdr:colOff>
      <xdr:row>26</xdr:row>
      <xdr:rowOff>136552</xdr:rowOff>
    </xdr:from>
    <xdr:to>
      <xdr:col>21</xdr:col>
      <xdr:colOff>782710</xdr:colOff>
      <xdr:row>40</xdr:row>
      <xdr:rowOff>34325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6A090DE-75F1-FD44-96E4-9AC0D7D1F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294640</xdr:colOff>
      <xdr:row>9</xdr:row>
      <xdr:rowOff>81280</xdr:rowOff>
    </xdr:from>
    <xdr:to>
      <xdr:col>33</xdr:col>
      <xdr:colOff>740616</xdr:colOff>
      <xdr:row>22</xdr:row>
      <xdr:rowOff>182878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170DC-343A-D64E-90F7-9459300B1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213360</xdr:colOff>
      <xdr:row>25</xdr:row>
      <xdr:rowOff>152400</xdr:rowOff>
    </xdr:from>
    <xdr:to>
      <xdr:col>33</xdr:col>
      <xdr:colOff>659336</xdr:colOff>
      <xdr:row>39</xdr:row>
      <xdr:rowOff>50173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A93D43-989A-CB41-BCB6-D0F403E3F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40</xdr:col>
      <xdr:colOff>457200</xdr:colOff>
      <xdr:row>8</xdr:row>
      <xdr:rowOff>132080</xdr:rowOff>
    </xdr:from>
    <xdr:to>
      <xdr:col>46</xdr:col>
      <xdr:colOff>80216</xdr:colOff>
      <xdr:row>22</xdr:row>
      <xdr:rowOff>30478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D3F89C-2BB4-F34F-951A-59D906C36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457200</xdr:colOff>
      <xdr:row>23</xdr:row>
      <xdr:rowOff>121920</xdr:rowOff>
    </xdr:from>
    <xdr:to>
      <xdr:col>46</xdr:col>
      <xdr:colOff>80216</xdr:colOff>
      <xdr:row>37</xdr:row>
      <xdr:rowOff>19693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5A726E-7859-4144-A252-F133F4692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52</xdr:col>
      <xdr:colOff>560063</xdr:colOff>
      <xdr:row>8</xdr:row>
      <xdr:rowOff>205093</xdr:rowOff>
    </xdr:from>
    <xdr:to>
      <xdr:col>58</xdr:col>
      <xdr:colOff>183079</xdr:colOff>
      <xdr:row>22</xdr:row>
      <xdr:rowOff>103491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347A93-4331-3847-BA24-2D015E4E4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53</xdr:col>
      <xdr:colOff>0</xdr:colOff>
      <xdr:row>24</xdr:row>
      <xdr:rowOff>0</xdr:rowOff>
    </xdr:from>
    <xdr:to>
      <xdr:col>58</xdr:col>
      <xdr:colOff>451277</xdr:colOff>
      <xdr:row>37</xdr:row>
      <xdr:rowOff>102866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9B015D-C7B4-8A46-B609-3F68E7ED2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52</xdr:col>
      <xdr:colOff>552174</xdr:colOff>
      <xdr:row>24</xdr:row>
      <xdr:rowOff>39441</xdr:rowOff>
    </xdr:from>
    <xdr:to>
      <xdr:col>58</xdr:col>
      <xdr:colOff>175190</xdr:colOff>
      <xdr:row>37</xdr:row>
      <xdr:rowOff>142307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24D217-7C51-AED6-0370-6C1CE353F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64</xdr:col>
      <xdr:colOff>678385</xdr:colOff>
      <xdr:row>7</xdr:row>
      <xdr:rowOff>23664</xdr:rowOff>
    </xdr:from>
    <xdr:to>
      <xdr:col>70</xdr:col>
      <xdr:colOff>301401</xdr:colOff>
      <xdr:row>20</xdr:row>
      <xdr:rowOff>127156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4FBAA28-5949-F942-A37F-E446196AE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64</xdr:col>
      <xdr:colOff>670496</xdr:colOff>
      <xdr:row>22</xdr:row>
      <xdr:rowOff>15776</xdr:rowOff>
    </xdr:from>
    <xdr:to>
      <xdr:col>70</xdr:col>
      <xdr:colOff>293512</xdr:colOff>
      <xdr:row>35</xdr:row>
      <xdr:rowOff>118642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F07CAFF-A7A7-F343-8594-1A11A4491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450405</xdr:colOff>
      <xdr:row>9</xdr:row>
      <xdr:rowOff>42029</xdr:rowOff>
    </xdr:from>
    <xdr:to>
      <xdr:col>12</xdr:col>
      <xdr:colOff>35050</xdr:colOff>
      <xdr:row>22</xdr:row>
      <xdr:rowOff>142888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2FBB4-F55F-D58B-FE27-C8E5ABAA0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AB9D-DC7A-E946-B7FC-3BFE04AF1B17}">
  <dimension ref="B2:BE136"/>
  <sheetViews>
    <sheetView tabSelected="1" zoomScale="125" workbookViewId="0">
      <selection activeCell="F33" sqref="F33:H33"/>
    </sheetView>
  </sheetViews>
  <sheetFormatPr baseColWidth="10" defaultRowHeight="16" x14ac:dyDescent="0.2"/>
  <cols>
    <col min="1" max="1" width="3" customWidth="1"/>
    <col min="3" max="3" width="11" bestFit="1" customWidth="1"/>
    <col min="4" max="4" width="7.1640625" customWidth="1"/>
    <col min="5" max="5" width="3.5" customWidth="1"/>
    <col min="6" max="6" width="12.33203125" customWidth="1"/>
    <col min="7" max="7" width="10.6640625" customWidth="1"/>
    <col min="8" max="8" width="5.6640625" customWidth="1"/>
    <col min="9" max="9" width="16.83203125" customWidth="1"/>
    <col min="10" max="10" width="6.5" customWidth="1"/>
    <col min="11" max="11" width="11.83203125" customWidth="1"/>
    <col min="12" max="12" width="4.83203125" customWidth="1"/>
    <col min="13" max="13" width="1.5" customWidth="1"/>
    <col min="14" max="14" width="6.33203125" customWidth="1"/>
    <col min="15" max="15" width="11.83203125" customWidth="1"/>
    <col min="16" max="16" width="4.6640625" customWidth="1"/>
    <col min="17" max="17" width="11.83203125" customWidth="1"/>
    <col min="19" max="19" width="13.1640625" bestFit="1" customWidth="1"/>
    <col min="21" max="21" width="3.33203125" customWidth="1"/>
    <col min="23" max="23" width="13.1640625" bestFit="1" customWidth="1"/>
    <col min="26" max="26" width="4.5" customWidth="1"/>
    <col min="27" max="27" width="7.33203125" customWidth="1"/>
    <col min="28" max="28" width="13.1640625" bestFit="1" customWidth="1"/>
    <col min="29" max="29" width="7.6640625" customWidth="1"/>
    <col min="30" max="30" width="13.1640625" bestFit="1" customWidth="1"/>
    <col min="31" max="31" width="11" bestFit="1" customWidth="1"/>
    <col min="32" max="32" width="13.1640625" bestFit="1" customWidth="1"/>
    <col min="33" max="35" width="11" bestFit="1" customWidth="1"/>
    <col min="36" max="36" width="3.1640625" customWidth="1"/>
    <col min="37" max="37" width="5.1640625" customWidth="1"/>
    <col min="39" max="39" width="13.5" bestFit="1" customWidth="1"/>
    <col min="47" max="47" width="3.5" customWidth="1"/>
  </cols>
  <sheetData>
    <row r="2" spans="2:57" x14ac:dyDescent="0.2">
      <c r="B2" s="33" t="s">
        <v>0</v>
      </c>
      <c r="C2" s="33"/>
      <c r="D2" s="33"/>
      <c r="F2" s="33" t="s">
        <v>84</v>
      </c>
      <c r="G2" s="33"/>
      <c r="H2" s="33"/>
      <c r="J2" s="33" t="s">
        <v>85</v>
      </c>
      <c r="K2" s="33"/>
      <c r="L2" s="33"/>
      <c r="M2" s="33"/>
      <c r="N2" s="33"/>
      <c r="O2" s="33"/>
      <c r="P2" s="33"/>
      <c r="R2" s="33" t="s">
        <v>76</v>
      </c>
      <c r="S2" s="33"/>
      <c r="T2" s="33"/>
      <c r="U2" s="33"/>
      <c r="V2" s="33"/>
      <c r="W2" s="33"/>
      <c r="X2" s="33"/>
      <c r="Z2" s="33" t="s">
        <v>77</v>
      </c>
      <c r="AA2" s="33"/>
      <c r="AB2" s="33"/>
      <c r="AC2" s="33"/>
      <c r="AD2" s="33"/>
      <c r="AE2" s="33"/>
      <c r="AF2" s="33"/>
      <c r="AG2" s="33"/>
      <c r="AH2" s="33"/>
      <c r="AI2" s="33"/>
      <c r="AK2" s="33" t="s">
        <v>78</v>
      </c>
      <c r="AL2" s="33"/>
      <c r="AM2" s="33"/>
      <c r="AN2" s="33"/>
      <c r="AO2" s="33"/>
      <c r="AP2" s="33"/>
      <c r="AQ2" s="33"/>
      <c r="AR2" s="33"/>
      <c r="AS2" s="33"/>
      <c r="AT2" s="33"/>
      <c r="AV2" s="16" t="s">
        <v>50</v>
      </c>
      <c r="AW2" s="17" t="s">
        <v>51</v>
      </c>
      <c r="AX2" s="17"/>
      <c r="AY2" s="17"/>
      <c r="AZ2" s="17"/>
      <c r="BA2" s="17"/>
      <c r="BB2" s="17"/>
      <c r="BC2" s="17"/>
      <c r="BD2" s="17"/>
      <c r="BE2" s="18"/>
    </row>
    <row r="3" spans="2:57" x14ac:dyDescent="0.2">
      <c r="B3" s="2" t="s">
        <v>1</v>
      </c>
      <c r="C3" s="9">
        <v>1</v>
      </c>
      <c r="D3" s="3" t="s">
        <v>2</v>
      </c>
      <c r="F3" s="2" t="s">
        <v>22</v>
      </c>
      <c r="G3" s="2">
        <f>0.5*C9</f>
        <v>1.5269999999999999</v>
      </c>
      <c r="H3" s="3" t="s">
        <v>10</v>
      </c>
      <c r="J3" s="35" t="s">
        <v>25</v>
      </c>
      <c r="K3" s="35"/>
      <c r="L3" s="35"/>
      <c r="N3" s="35" t="s">
        <v>26</v>
      </c>
      <c r="O3" s="35"/>
      <c r="P3" s="35"/>
      <c r="R3" s="35" t="s">
        <v>25</v>
      </c>
      <c r="S3" s="35"/>
      <c r="T3" s="35"/>
      <c r="U3" s="2"/>
      <c r="V3" s="35" t="s">
        <v>26</v>
      </c>
      <c r="W3" s="35"/>
      <c r="X3" s="35"/>
      <c r="Z3" s="8" t="s">
        <v>33</v>
      </c>
      <c r="AA3" s="8" t="s">
        <v>34</v>
      </c>
      <c r="AB3" s="8" t="s">
        <v>35</v>
      </c>
      <c r="AC3" s="8" t="s">
        <v>36</v>
      </c>
      <c r="AD3" s="8" t="s">
        <v>37</v>
      </c>
      <c r="AE3" s="8" t="s">
        <v>38</v>
      </c>
      <c r="AF3" s="8" t="s">
        <v>39</v>
      </c>
      <c r="AG3" s="8" t="s">
        <v>40</v>
      </c>
      <c r="AH3" s="8" t="s">
        <v>41</v>
      </c>
      <c r="AI3" s="8" t="s">
        <v>42</v>
      </c>
      <c r="AK3" s="8" t="s">
        <v>33</v>
      </c>
      <c r="AL3" s="8" t="s">
        <v>34</v>
      </c>
      <c r="AM3" s="8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8" t="s">
        <v>42</v>
      </c>
      <c r="AV3" s="19"/>
      <c r="AW3" s="34" t="s">
        <v>60</v>
      </c>
      <c r="AX3" s="34"/>
      <c r="AY3" s="34"/>
      <c r="AZ3" s="34" t="s">
        <v>61</v>
      </c>
      <c r="BA3" s="34"/>
      <c r="BB3" s="34"/>
      <c r="BC3" s="34" t="s">
        <v>62</v>
      </c>
      <c r="BD3" s="34"/>
      <c r="BE3" s="36"/>
    </row>
    <row r="4" spans="2:57" x14ac:dyDescent="0.2">
      <c r="B4" s="2" t="s">
        <v>3</v>
      </c>
      <c r="C4" s="9">
        <v>1100</v>
      </c>
      <c r="D4" s="3" t="s">
        <v>4</v>
      </c>
      <c r="F4" s="2" t="s">
        <v>23</v>
      </c>
      <c r="G4" s="2">
        <f>PI()*G3^2</f>
        <v>7.3253426965622737</v>
      </c>
      <c r="H4" s="3" t="s">
        <v>24</v>
      </c>
      <c r="J4" s="2" t="s">
        <v>91</v>
      </c>
      <c r="K4" s="2">
        <f>$C$18-$C$10</f>
        <v>0.15000000000000002</v>
      </c>
      <c r="L4" s="3" t="s">
        <v>10</v>
      </c>
      <c r="N4" s="2" t="s">
        <v>91</v>
      </c>
      <c r="O4" s="2">
        <f>$C$19-$C$18</f>
        <v>0.15000000000000002</v>
      </c>
      <c r="P4" s="3" t="s">
        <v>10</v>
      </c>
      <c r="R4" s="27" t="s">
        <v>46</v>
      </c>
      <c r="S4" s="28">
        <f>AE34</f>
        <v>0.20799145693892535</v>
      </c>
      <c r="T4" s="25" t="s">
        <v>27</v>
      </c>
      <c r="U4" s="2"/>
      <c r="V4" s="27" t="s">
        <v>46</v>
      </c>
      <c r="W4" s="28">
        <f>AP34</f>
        <v>0.20147736759135704</v>
      </c>
      <c r="X4" s="25" t="s">
        <v>27</v>
      </c>
      <c r="Z4" s="15">
        <v>0</v>
      </c>
      <c r="AA4" s="15"/>
      <c r="AB4" s="15">
        <f>$S$20</f>
        <v>-5.785007573672063E-9</v>
      </c>
      <c r="AC4" s="15"/>
      <c r="AD4" s="15">
        <f>$S$20</f>
        <v>-5.785007573672063E-9</v>
      </c>
      <c r="AE4" s="15"/>
      <c r="AF4" s="15">
        <f>$S$20</f>
        <v>-5.785007573672063E-9</v>
      </c>
      <c r="AG4" s="15"/>
      <c r="AH4" s="15"/>
      <c r="AI4" s="15"/>
      <c r="AK4" s="15">
        <v>0</v>
      </c>
      <c r="AL4" s="15"/>
      <c r="AM4" s="15">
        <f>$W$20</f>
        <v>-2.4493098400163449E-9</v>
      </c>
      <c r="AN4" s="15"/>
      <c r="AO4" s="15">
        <f>$W$20</f>
        <v>-2.4493098400163449E-9</v>
      </c>
      <c r="AP4" s="15"/>
      <c r="AQ4" s="15">
        <f>$W$20</f>
        <v>-2.4493098400163449E-9</v>
      </c>
      <c r="AR4" s="15"/>
      <c r="AS4" s="15"/>
      <c r="AT4" s="15"/>
      <c r="AV4" s="19"/>
      <c r="AW4" s="5" t="s">
        <v>63</v>
      </c>
      <c r="AX4" s="2">
        <v>-180</v>
      </c>
      <c r="AY4" s="2">
        <v>-9.0909090909090899</v>
      </c>
      <c r="AZ4" s="5" t="s">
        <v>63</v>
      </c>
      <c r="BA4" s="2">
        <v>-9.0909090909090899</v>
      </c>
      <c r="BB4" s="2">
        <v>12.7272727272727</v>
      </c>
      <c r="BC4" s="5" t="s">
        <v>63</v>
      </c>
      <c r="BD4" s="2">
        <v>12.7272727272727</v>
      </c>
      <c r="BE4" s="20">
        <v>180</v>
      </c>
    </row>
    <row r="5" spans="2:57" x14ac:dyDescent="0.2">
      <c r="B5" s="2" t="s">
        <v>21</v>
      </c>
      <c r="C5" s="9">
        <v>0</v>
      </c>
      <c r="D5" s="3" t="s">
        <v>5</v>
      </c>
      <c r="F5" s="2" t="s">
        <v>31</v>
      </c>
      <c r="G5" s="2">
        <f>C4*2*PI()/60</f>
        <v>115.19173063162575</v>
      </c>
      <c r="H5" s="3" t="s">
        <v>32</v>
      </c>
      <c r="J5" s="2" t="s">
        <v>86</v>
      </c>
      <c r="K5" s="2">
        <f>(1+$S$18)*$C$3</f>
        <v>12.23892523232675</v>
      </c>
      <c r="L5" s="3" t="s">
        <v>2</v>
      </c>
      <c r="N5" s="2" t="s">
        <v>86</v>
      </c>
      <c r="O5" s="2">
        <f>(1+$W$18)*$C$3</f>
        <v>15.257305434912031</v>
      </c>
      <c r="P5" s="3" t="s">
        <v>2</v>
      </c>
      <c r="R5" s="2" t="s">
        <v>30</v>
      </c>
      <c r="S5" s="2">
        <f>($C$32+$C$5)/180*PI()</f>
        <v>0.29670597283903599</v>
      </c>
      <c r="T5" s="2" t="s">
        <v>27</v>
      </c>
      <c r="U5" s="2"/>
      <c r="V5" s="2" t="s">
        <v>30</v>
      </c>
      <c r="W5" s="2">
        <f>($C$33+$C$5)/180*PI()</f>
        <v>0.29670597283903599</v>
      </c>
      <c r="X5" s="2" t="s">
        <v>27</v>
      </c>
      <c r="Z5" s="2">
        <v>1</v>
      </c>
      <c r="AA5" s="9">
        <f>0.01*PI()</f>
        <v>3.1415926535897934E-2</v>
      </c>
      <c r="AB5" s="2">
        <f t="dataTable" ref="AB5:AB34" dt2D="0" dtr="0" r1="S4" ca="1"/>
        <v>-1.7906410405487996</v>
      </c>
      <c r="AC5" s="9">
        <f>0.9*PI()</f>
        <v>2.8274333882308138</v>
      </c>
      <c r="AD5" s="2">
        <f t="dataTable" ref="AD5:AD34" dt2D="0" dtr="0" r1="S4" ca="1"/>
        <v>0.13161971972094719</v>
      </c>
      <c r="AE5" s="2">
        <f>(AA5+AC5)/2</f>
        <v>1.4294246573833558</v>
      </c>
      <c r="AF5" s="2">
        <f t="dataTable" ref="AF5:AF34" dt2D="0" dtr="0" r1="S4"/>
        <v>0.96152670698992004</v>
      </c>
      <c r="AG5" s="2">
        <f>AB5*AF5</f>
        <v>-1.7217491831198912</v>
      </c>
      <c r="AH5" s="2">
        <f>AD5*AF5</f>
        <v>0.12655587567821858</v>
      </c>
      <c r="AI5" s="2">
        <f>AC5-AA5</f>
        <v>2.7960174616949161</v>
      </c>
      <c r="AK5" s="2">
        <v>1</v>
      </c>
      <c r="AL5" s="9">
        <f>0.01*PI()</f>
        <v>3.1415926535897934E-2</v>
      </c>
      <c r="AM5" s="2">
        <f t="dataTable" ref="AM5:AM34" dt2D="0" dtr="0" r1="W4" ca="1"/>
        <v>-1.7363096218797003</v>
      </c>
      <c r="AN5" s="9">
        <f>0.9*PI()</f>
        <v>2.8274333882308138</v>
      </c>
      <c r="AO5" s="2">
        <f t="dataTable" ref="AO5:AO34" dt2D="0" dtr="0" r1="W4" ca="1"/>
        <v>0.15090777810591835</v>
      </c>
      <c r="AP5" s="2">
        <f>(AL5+AN5)/2</f>
        <v>1.4294246573833558</v>
      </c>
      <c r="AQ5" s="2">
        <f t="dataTable" ref="AQ5:AQ34" dt2D="0" dtr="0" r1="W4"/>
        <v>0.96520909025823931</v>
      </c>
      <c r="AR5" s="2">
        <f>AM5*AQ5</f>
        <v>-1.6759018305411331</v>
      </c>
      <c r="AS5" s="2">
        <f>AO5*AQ5</f>
        <v>0.14565755921850571</v>
      </c>
      <c r="AT5" s="2">
        <f>AN5-AL5</f>
        <v>2.7960174616949161</v>
      </c>
      <c r="AV5" s="23" t="s">
        <v>52</v>
      </c>
      <c r="AW5" s="2">
        <v>1.6051999999999999E-4</v>
      </c>
      <c r="AX5" s="2">
        <v>3.0378019999999999E-2</v>
      </c>
      <c r="AY5" s="2">
        <v>-0.12694486999999999</v>
      </c>
      <c r="AZ5" s="2">
        <v>0</v>
      </c>
      <c r="BA5" s="2">
        <v>0.10334725</v>
      </c>
      <c r="BB5" s="2">
        <v>0.376</v>
      </c>
      <c r="BC5" s="2">
        <v>1.3292999999999999E-4</v>
      </c>
      <c r="BD5" s="2">
        <v>-2.6172910000000001E-2</v>
      </c>
      <c r="BE5" s="20">
        <v>1.7537997599999999</v>
      </c>
    </row>
    <row r="6" spans="2:57" x14ac:dyDescent="0.2">
      <c r="B6" s="2"/>
      <c r="C6" s="2"/>
      <c r="D6" s="3"/>
      <c r="F6" s="2" t="s">
        <v>114</v>
      </c>
      <c r="G6" s="30">
        <f>$C$4/60</f>
        <v>18.333333333333332</v>
      </c>
      <c r="H6" s="3" t="s">
        <v>115</v>
      </c>
      <c r="J6" s="2" t="s">
        <v>87</v>
      </c>
      <c r="K6" s="2">
        <f>(1-$S$19)*$G$5*$C$18</f>
        <v>57.992395705947146</v>
      </c>
      <c r="L6" s="3" t="s">
        <v>2</v>
      </c>
      <c r="N6" s="2" t="s">
        <v>87</v>
      </c>
      <c r="O6" s="2">
        <f>(1-$W$19)*$G$5*$C$19</f>
        <v>74.699678118020174</v>
      </c>
      <c r="P6" s="3" t="s">
        <v>2</v>
      </c>
      <c r="R6" s="2" t="s">
        <v>47</v>
      </c>
      <c r="S6" s="2">
        <f>S5-S4</f>
        <v>8.8714515900110646E-2</v>
      </c>
      <c r="T6" s="2" t="s">
        <v>27</v>
      </c>
      <c r="U6" s="2"/>
      <c r="V6" s="2" t="s">
        <v>47</v>
      </c>
      <c r="W6" s="2">
        <f>W5-W4</f>
        <v>9.5228605247678955E-2</v>
      </c>
      <c r="X6" s="2" t="s">
        <v>27</v>
      </c>
      <c r="Z6" s="2">
        <v>2</v>
      </c>
      <c r="AA6" s="2">
        <f>IF(AG5&gt;0,AE5,AA5)</f>
        <v>3.1415926535897934E-2</v>
      </c>
      <c r="AB6" s="2">
        <v>-1.7906410405487996</v>
      </c>
      <c r="AC6" s="2">
        <f>IF(AH5&gt;0,AE5,AC5)</f>
        <v>1.4294246573833558</v>
      </c>
      <c r="AD6" s="2">
        <v>0.96152670698992004</v>
      </c>
      <c r="AE6" s="2">
        <f t="shared" ref="AE6:AE32" si="0">(AA6+AC6)/2</f>
        <v>0.73042029195962688</v>
      </c>
      <c r="AF6" s="2">
        <v>0.70132206170042299</v>
      </c>
      <c r="AG6" s="2">
        <f t="shared" ref="AG6:AG34" si="1">AB6*AF6</f>
        <v>-1.2558160663230749</v>
      </c>
      <c r="AH6" s="2">
        <f t="shared" ref="AH6:AH34" si="2">AD6*AF6</f>
        <v>0.6743398925261892</v>
      </c>
      <c r="AI6" s="2">
        <f t="shared" ref="AI6:AI34" si="3">AC6-AA6</f>
        <v>1.3980087308474578</v>
      </c>
      <c r="AK6" s="2">
        <v>2</v>
      </c>
      <c r="AL6" s="2">
        <f>IF(AR5&gt;0,AP5,AL5)</f>
        <v>3.1415926535897934E-2</v>
      </c>
      <c r="AM6" s="2">
        <v>-1.7363096218797003</v>
      </c>
      <c r="AN6" s="2">
        <f>IF(AS5&gt;0,AP5,AN5)</f>
        <v>1.4294246573833558</v>
      </c>
      <c r="AO6" s="2">
        <v>0.96520909025823931</v>
      </c>
      <c r="AP6" s="2">
        <f t="shared" ref="AP6:AP32" si="4">(AL6+AN6)/2</f>
        <v>0.73042029195962688</v>
      </c>
      <c r="AQ6" s="2">
        <v>0.69702495369112494</v>
      </c>
      <c r="AR6" s="2">
        <f t="shared" ref="AR6:AR34" si="5">AM6*AQ6</f>
        <v>-1.2102511337841528</v>
      </c>
      <c r="AS6" s="2">
        <f t="shared" ref="AS6:AS34" si="6">AO6*AQ6</f>
        <v>0.67277482143950207</v>
      </c>
      <c r="AT6" s="2">
        <f t="shared" ref="AT6:AT34" si="7">AN6-AL6</f>
        <v>1.3980087308474578</v>
      </c>
      <c r="AV6" s="24" t="s">
        <v>53</v>
      </c>
      <c r="AW6" s="21">
        <v>1.0178E-4</v>
      </c>
      <c r="AX6" s="21">
        <v>1.9261199999999999E-2</v>
      </c>
      <c r="AY6" s="21">
        <v>0.25441268</v>
      </c>
      <c r="AZ6" s="21">
        <v>1.6333999999999999E-4</v>
      </c>
      <c r="BA6" s="21">
        <v>-4.3427E-4</v>
      </c>
      <c r="BB6" s="21">
        <v>6.5199999999999998E-3</v>
      </c>
      <c r="BC6" s="21">
        <v>-1.0616E-4</v>
      </c>
      <c r="BD6" s="21">
        <v>2.0903049999999999E-2</v>
      </c>
      <c r="BE6" s="22">
        <v>-0.22847176999999999</v>
      </c>
    </row>
    <row r="7" spans="2:57" x14ac:dyDescent="0.2">
      <c r="B7" s="33" t="s">
        <v>6</v>
      </c>
      <c r="C7" s="33"/>
      <c r="D7" s="33"/>
      <c r="F7" s="2" t="s">
        <v>105</v>
      </c>
      <c r="G7" s="30">
        <f>$C$3/(G6*C9)</f>
        <v>1.7860332202178961E-2</v>
      </c>
      <c r="J7" s="2" t="s">
        <v>88</v>
      </c>
      <c r="K7" s="2">
        <f>SQRT(K5^2 + K6^2)</f>
        <v>59.269800493654792</v>
      </c>
      <c r="L7" s="3" t="s">
        <v>2</v>
      </c>
      <c r="N7" s="2" t="s">
        <v>88</v>
      </c>
      <c r="O7" s="2">
        <f>SQRT(O5^2 + O6^2)</f>
        <v>76.241899766926181</v>
      </c>
      <c r="P7" s="3" t="s">
        <v>2</v>
      </c>
      <c r="R7" s="2" t="s">
        <v>64</v>
      </c>
      <c r="S7" s="2">
        <f>S6/PI()*180</f>
        <v>5.0829673426225757</v>
      </c>
      <c r="T7" s="2" t="s">
        <v>5</v>
      </c>
      <c r="U7" s="2"/>
      <c r="V7" s="2" t="s">
        <v>64</v>
      </c>
      <c r="W7" s="2">
        <f>W6/PI()*180</f>
        <v>5.4561971696093678</v>
      </c>
      <c r="X7" s="2" t="s">
        <v>5</v>
      </c>
      <c r="Z7" s="2">
        <v>3</v>
      </c>
      <c r="AA7" s="2">
        <f t="shared" ref="AA7:AA34" si="8">IF(AG6&gt;0,AE6,AA6)</f>
        <v>3.1415926535897934E-2</v>
      </c>
      <c r="AB7" s="2">
        <v>-1.7906410405487996</v>
      </c>
      <c r="AC7" s="2">
        <f t="shared" ref="AC7:AC34" si="9">IF(AH6&gt;0,AE6,AC6)</f>
        <v>0.73042029195962688</v>
      </c>
      <c r="AD7" s="2">
        <v>0.70132206170042299</v>
      </c>
      <c r="AE7" s="2">
        <f t="shared" si="0"/>
        <v>0.38091810924776243</v>
      </c>
      <c r="AF7" s="2">
        <v>0.37290047612708654</v>
      </c>
      <c r="AG7" s="2">
        <f t="shared" si="1"/>
        <v>-0.66773089659334905</v>
      </c>
      <c r="AH7" s="2">
        <f t="shared" si="2"/>
        <v>0.26152333072651768</v>
      </c>
      <c r="AI7" s="2">
        <f t="shared" si="3"/>
        <v>0.6990043654237289</v>
      </c>
      <c r="AK7" s="2">
        <v>3</v>
      </c>
      <c r="AL7" s="2">
        <f t="shared" ref="AL7:AL34" si="10">IF(AR6&gt;0,AP6,AL6)</f>
        <v>3.1415926535897934E-2</v>
      </c>
      <c r="AM7" s="2">
        <v>-1.7363096218797003</v>
      </c>
      <c r="AN7" s="2">
        <f t="shared" ref="AN7:AN34" si="11">IF(AS6&gt;0,AP6,AN6)</f>
        <v>0.73042029195962688</v>
      </c>
      <c r="AO7" s="2">
        <v>0.69702495369112494</v>
      </c>
      <c r="AP7" s="2">
        <f t="shared" si="4"/>
        <v>0.38091810924776243</v>
      </c>
      <c r="AQ7" s="2">
        <v>0.37413243592100948</v>
      </c>
      <c r="AR7" s="2">
        <f t="shared" si="5"/>
        <v>-0.64960974834693919</v>
      </c>
      <c r="AS7" s="2">
        <f t="shared" si="6"/>
        <v>0.26077964382218938</v>
      </c>
      <c r="AT7" s="2">
        <f t="shared" si="7"/>
        <v>0.6990043654237289</v>
      </c>
    </row>
    <row r="8" spans="2:57" x14ac:dyDescent="0.2">
      <c r="B8" s="2" t="s">
        <v>7</v>
      </c>
      <c r="C8" s="9">
        <v>3</v>
      </c>
      <c r="D8" s="3"/>
      <c r="J8" s="2" t="s">
        <v>89</v>
      </c>
      <c r="K8" s="7">
        <f>$C$41*K7*$C$25/$C$42</f>
        <v>722043.70214645762</v>
      </c>
      <c r="L8" s="3"/>
      <c r="N8" s="2" t="s">
        <v>89</v>
      </c>
      <c r="O8" s="7">
        <f>$C$41*O7*$C$26/$C$42</f>
        <v>1161004.0675833721</v>
      </c>
      <c r="P8" s="3"/>
      <c r="R8" s="2" t="s">
        <v>73</v>
      </c>
      <c r="S8" s="2">
        <f xml:space="preserve"> $C$8*$C$25 / (2*PI()*$C$18)</f>
        <v>0.16370222718023522</v>
      </c>
      <c r="T8" s="2"/>
      <c r="U8" s="2"/>
      <c r="V8" s="2" t="s">
        <v>73</v>
      </c>
      <c r="W8" s="2">
        <f xml:space="preserve"> $C$8*$C$26 / (2*PI()*$C$19)</f>
        <v>0.15915494309189535</v>
      </c>
      <c r="X8" s="2"/>
      <c r="Z8" s="2">
        <v>4</v>
      </c>
      <c r="AA8" s="2">
        <f t="shared" si="8"/>
        <v>3.1415926535897934E-2</v>
      </c>
      <c r="AB8" s="2">
        <v>-1.7906410405487996</v>
      </c>
      <c r="AC8" s="2">
        <f t="shared" si="9"/>
        <v>0.38091810924776243</v>
      </c>
      <c r="AD8" s="2">
        <v>0.37290047612708654</v>
      </c>
      <c r="AE8" s="2">
        <f t="shared" si="0"/>
        <v>0.20616701789183017</v>
      </c>
      <c r="AF8" s="2">
        <v>-5.518645206470163E-3</v>
      </c>
      <c r="AG8" s="2">
        <f t="shared" si="1"/>
        <v>9.8819125949333782E-3</v>
      </c>
      <c r="AH8" s="2">
        <f t="shared" si="2"/>
        <v>-2.0579054250691878E-3</v>
      </c>
      <c r="AI8" s="2">
        <f t="shared" si="3"/>
        <v>0.34950218271186451</v>
      </c>
      <c r="AK8" s="2">
        <v>4</v>
      </c>
      <c r="AL8" s="2">
        <f t="shared" si="10"/>
        <v>3.1415926535897934E-2</v>
      </c>
      <c r="AM8" s="2">
        <v>-1.7363096218797003</v>
      </c>
      <c r="AN8" s="2">
        <f t="shared" si="11"/>
        <v>0.38091810924776243</v>
      </c>
      <c r="AO8" s="2">
        <v>0.37413243592100948</v>
      </c>
      <c r="AP8" s="2">
        <f t="shared" si="4"/>
        <v>0.20616701789183017</v>
      </c>
      <c r="AQ8" s="2">
        <v>1.406980592209834E-2</v>
      </c>
      <c r="AR8" s="2">
        <f t="shared" si="5"/>
        <v>-2.4429539400519337E-2</v>
      </c>
      <c r="AS8" s="2">
        <f t="shared" si="6"/>
        <v>5.263970762570497E-3</v>
      </c>
      <c r="AT8" s="2">
        <f t="shared" si="7"/>
        <v>0.34950218271186451</v>
      </c>
    </row>
    <row r="9" spans="2:57" x14ac:dyDescent="0.2">
      <c r="B9" s="2" t="s">
        <v>8</v>
      </c>
      <c r="C9" s="9">
        <v>3.0539999999999998</v>
      </c>
      <c r="D9" s="3" t="s">
        <v>10</v>
      </c>
      <c r="F9" s="33" t="s">
        <v>113</v>
      </c>
      <c r="G9" s="33"/>
      <c r="H9" s="33"/>
      <c r="J9" s="2" t="s">
        <v>90</v>
      </c>
      <c r="K9" s="30">
        <f xml:space="preserve"> $S$8 * PI() * $C$41 * K7^2 *$S$14 * $C$18 * K4</f>
        <v>153.39160340638563</v>
      </c>
      <c r="L9" s="3" t="s">
        <v>92</v>
      </c>
      <c r="N9" s="2" t="s">
        <v>90</v>
      </c>
      <c r="O9" s="30">
        <f xml:space="preserve"> $W$8 * PI() * $C$41 * O7^2 * $W$14 * $C$19 * O4</f>
        <v>331.31101263560038</v>
      </c>
      <c r="P9" s="3" t="s">
        <v>92</v>
      </c>
      <c r="R9" s="2" t="s">
        <v>71</v>
      </c>
      <c r="S9" s="2">
        <f>IF(-$C$8*($G$3-$C$18)/(2*$C$18*SIN(S4))&gt;500, 1, 2*ACOS(MIN(1, EXP(-$C$8*($G$3-$C$18)/(2*$C$18*SIN(S4)))))/PI() )</f>
        <v>0.99999939354124312</v>
      </c>
      <c r="T9" s="2"/>
      <c r="U9" s="2"/>
      <c r="V9" s="2" t="s">
        <v>71</v>
      </c>
      <c r="W9" s="2">
        <f>IF(-$C$8*($G$3-$C$19)/(2*$C$19*SIN(W4))&gt;500, 1, 2*ACOS(MIN(1, EXP(-$C$8*($G$3-$C$19)/(2*$C$19*SIN(W4)))))/PI() )</f>
        <v>0.99995045915579239</v>
      </c>
      <c r="X9" s="2"/>
      <c r="Z9" s="2">
        <v>5</v>
      </c>
      <c r="AA9" s="2">
        <f t="shared" si="8"/>
        <v>0.20616701789183017</v>
      </c>
      <c r="AB9" s="2">
        <v>-5.518645206470163E-3</v>
      </c>
      <c r="AC9" s="2">
        <f t="shared" si="9"/>
        <v>0.38091810924776243</v>
      </c>
      <c r="AD9" s="2">
        <v>0.37290047612708654</v>
      </c>
      <c r="AE9" s="2">
        <f t="shared" si="0"/>
        <v>0.2935425635697963</v>
      </c>
      <c r="AF9" s="2">
        <v>0.21091202980096629</v>
      </c>
      <c r="AG9" s="2">
        <f t="shared" si="1"/>
        <v>-1.1639486622479949E-3</v>
      </c>
      <c r="AH9" s="2">
        <f t="shared" si="2"/>
        <v>7.8649196333710591E-2</v>
      </c>
      <c r="AI9" s="2">
        <f t="shared" si="3"/>
        <v>0.17475109135593225</v>
      </c>
      <c r="AK9" s="2">
        <v>5</v>
      </c>
      <c r="AL9" s="2">
        <f t="shared" si="10"/>
        <v>3.1415926535897934E-2</v>
      </c>
      <c r="AM9" s="2">
        <v>-1.7363096218797003</v>
      </c>
      <c r="AN9" s="2">
        <f t="shared" si="11"/>
        <v>0.20616701789183017</v>
      </c>
      <c r="AO9" s="2">
        <v>1.406980592209834E-2</v>
      </c>
      <c r="AP9" s="2">
        <f t="shared" si="4"/>
        <v>0.11879147221386405</v>
      </c>
      <c r="AQ9" s="2">
        <v>-0.37195897733009375</v>
      </c>
      <c r="AR9" s="2">
        <f t="shared" si="5"/>
        <v>0.64583595128277504</v>
      </c>
      <c r="AS9" s="2">
        <f t="shared" si="6"/>
        <v>-5.2333906220165954E-3</v>
      </c>
      <c r="AT9" s="2">
        <f t="shared" si="7"/>
        <v>0.17475109135593225</v>
      </c>
    </row>
    <row r="10" spans="2:57" x14ac:dyDescent="0.2">
      <c r="B10" s="2" t="s">
        <v>9</v>
      </c>
      <c r="C10" s="9">
        <v>0.375</v>
      </c>
      <c r="D10" s="3" t="s">
        <v>10</v>
      </c>
      <c r="F10" s="5" t="s">
        <v>96</v>
      </c>
      <c r="G10" s="31">
        <f>K9+O9+K18+O18+K27+O27+K36</f>
        <v>4978.883407094213</v>
      </c>
      <c r="H10" s="3" t="s">
        <v>92</v>
      </c>
      <c r="J10" s="2" t="s">
        <v>94</v>
      </c>
      <c r="K10" s="30">
        <f xml:space="preserve"> $S$8 * PI() * $C$41 * K7^2 * $S$15 * $C$18^2 * K4</f>
        <v>17.793400469948409</v>
      </c>
      <c r="L10" s="3" t="s">
        <v>93</v>
      </c>
      <c r="N10" s="2" t="s">
        <v>94</v>
      </c>
      <c r="O10" s="30">
        <f xml:space="preserve"> $W$8 * PI() * $C$41 * O7^2 * $W$15 * $C$19^2 * O4</f>
        <v>47.915556034205601</v>
      </c>
      <c r="P10" s="3" t="s">
        <v>93</v>
      </c>
      <c r="R10" s="2" t="s">
        <v>72</v>
      </c>
      <c r="S10" s="2">
        <f>IF(-$C$8*($C$18-$C$10)/(2*$C$18*SIN(S4))&gt;500, 1, 2*ACOS(MIN(1, EXP(-$C$8*($C$18-$C$10)/(2*$C$18*SIN(S4)))))/PI() )</f>
        <v>0.91989351400523434</v>
      </c>
      <c r="T10" s="2"/>
      <c r="U10" s="2"/>
      <c r="V10" s="2" t="s">
        <v>72</v>
      </c>
      <c r="W10" s="2">
        <f>IF(-$C$8*($C$19-$C$10)/(2*$C$19*SIN(W4))&gt;500, 1, 2*ACOS(MIN(1, EXP(-$C$8*($C$19-$C$10)/(2*$C$19*SIN(W4)))))/PI() )</f>
        <v>0.977240066943313</v>
      </c>
      <c r="X10" s="2"/>
      <c r="Z10" s="2">
        <v>6</v>
      </c>
      <c r="AA10" s="2">
        <f t="shared" si="8"/>
        <v>0.20616701789183017</v>
      </c>
      <c r="AB10" s="2">
        <v>-5.518645206470163E-3</v>
      </c>
      <c r="AC10" s="2">
        <f t="shared" si="9"/>
        <v>0.2935425635697963</v>
      </c>
      <c r="AD10" s="2">
        <v>0.21091202980096629</v>
      </c>
      <c r="AE10" s="2">
        <f t="shared" si="0"/>
        <v>0.24985479073081324</v>
      </c>
      <c r="AF10" s="2">
        <v>0.11286928364899326</v>
      </c>
      <c r="AG10" s="2">
        <f t="shared" si="1"/>
        <v>-6.2288553116723779E-4</v>
      </c>
      <c r="AH10" s="2">
        <f t="shared" si="2"/>
        <v>2.3805489716590186E-2</v>
      </c>
      <c r="AI10" s="2">
        <f t="shared" si="3"/>
        <v>8.7375545677966127E-2</v>
      </c>
      <c r="AK10" s="2">
        <v>6</v>
      </c>
      <c r="AL10" s="2">
        <f t="shared" si="10"/>
        <v>0.11879147221386405</v>
      </c>
      <c r="AM10" s="2">
        <v>-0.37195897733009375</v>
      </c>
      <c r="AN10" s="2">
        <f t="shared" si="11"/>
        <v>0.20616701789183017</v>
      </c>
      <c r="AO10" s="2">
        <v>1.406980592209834E-2</v>
      </c>
      <c r="AP10" s="2">
        <f t="shared" si="4"/>
        <v>0.16247924505284711</v>
      </c>
      <c r="AQ10" s="2">
        <v>-0.13820876872336998</v>
      </c>
      <c r="AR10" s="2">
        <f t="shared" si="5"/>
        <v>5.1407992272396147E-2</v>
      </c>
      <c r="AS10" s="2">
        <f t="shared" si="6"/>
        <v>-1.9445705526699908E-3</v>
      </c>
      <c r="AT10" s="2">
        <f t="shared" si="7"/>
        <v>8.7375545677966127E-2</v>
      </c>
    </row>
    <row r="11" spans="2:57" x14ac:dyDescent="0.2">
      <c r="B11" s="32" t="s">
        <v>17</v>
      </c>
      <c r="C11" s="9" t="s">
        <v>16</v>
      </c>
      <c r="D11" s="3"/>
      <c r="F11" s="5" t="s">
        <v>97</v>
      </c>
      <c r="G11" s="31">
        <f>K10+O10+K19+O19+K28+O28+K37</f>
        <v>941.54823247211618</v>
      </c>
      <c r="H11" s="3" t="s">
        <v>93</v>
      </c>
      <c r="K11" s="30"/>
      <c r="R11" s="2" t="s">
        <v>70</v>
      </c>
      <c r="S11" s="2">
        <f>IF(S4=0,1,S9*S10)</f>
        <v>0.91989295612775734</v>
      </c>
      <c r="T11" s="2"/>
      <c r="U11" s="2"/>
      <c r="V11" s="2" t="s">
        <v>70</v>
      </c>
      <c r="W11" s="2">
        <f>IF(W4=0,1,W9*W10)</f>
        <v>0.97719165364540317</v>
      </c>
      <c r="X11" s="2"/>
      <c r="Z11" s="2">
        <v>7</v>
      </c>
      <c r="AA11" s="2">
        <f t="shared" si="8"/>
        <v>0.20616701789183017</v>
      </c>
      <c r="AB11" s="2">
        <v>-5.518645206470163E-3</v>
      </c>
      <c r="AC11" s="2">
        <f t="shared" si="9"/>
        <v>0.24985479073081324</v>
      </c>
      <c r="AD11" s="2">
        <v>0.11286928364899326</v>
      </c>
      <c r="AE11" s="2">
        <f t="shared" si="0"/>
        <v>0.2280109043113217</v>
      </c>
      <c r="AF11" s="2">
        <v>5.6945174269527762E-2</v>
      </c>
      <c r="AG11" s="2">
        <f t="shared" si="1"/>
        <v>-3.1426021301413743E-4</v>
      </c>
      <c r="AH11" s="2">
        <f t="shared" si="2"/>
        <v>6.4273610270686819E-3</v>
      </c>
      <c r="AI11" s="2">
        <f t="shared" si="3"/>
        <v>4.3687772838983063E-2</v>
      </c>
      <c r="AK11" s="2">
        <v>7</v>
      </c>
      <c r="AL11" s="2">
        <f t="shared" si="10"/>
        <v>0.16247924505284711</v>
      </c>
      <c r="AM11" s="2">
        <v>-0.13820876872336998</v>
      </c>
      <c r="AN11" s="2">
        <f t="shared" si="11"/>
        <v>0.20616701789183017</v>
      </c>
      <c r="AO11" s="2">
        <v>1.406980592209834E-2</v>
      </c>
      <c r="AP11" s="2">
        <f t="shared" si="4"/>
        <v>0.18432313147233864</v>
      </c>
      <c r="AQ11" s="2">
        <v>-5.5563284550877487E-2</v>
      </c>
      <c r="AR11" s="2">
        <f t="shared" si="5"/>
        <v>7.679333144003023E-3</v>
      </c>
      <c r="AS11" s="2">
        <f t="shared" si="6"/>
        <v>-7.8176463002517125E-4</v>
      </c>
      <c r="AT11" s="2">
        <f t="shared" si="7"/>
        <v>4.3687772838983063E-2</v>
      </c>
    </row>
    <row r="12" spans="2:57" x14ac:dyDescent="0.2">
      <c r="B12" s="32"/>
      <c r="C12" s="9" t="s">
        <v>16</v>
      </c>
      <c r="D12" s="3"/>
      <c r="F12" s="5" t="s">
        <v>98</v>
      </c>
      <c r="G12" s="31">
        <f>G11*G5/1000</f>
        <v>108.45857037161134</v>
      </c>
      <c r="H12" s="3" t="s">
        <v>99</v>
      </c>
      <c r="J12" s="35" t="s">
        <v>28</v>
      </c>
      <c r="K12" s="35"/>
      <c r="L12" s="35"/>
      <c r="N12" s="35" t="s">
        <v>29</v>
      </c>
      <c r="O12" s="35"/>
      <c r="P12" s="35"/>
      <c r="R12" s="2" t="s">
        <v>48</v>
      </c>
      <c r="S12" s="2">
        <f>IF(S7&lt;$BA$4, $AW$5*S7^2 + $AX$5*S7 + $AY$5, IF(S7&gt;$BB$4, $BC$5*S7^2 + $BD$5*S7 + $BE$5, $AZ$5*S7^2 + $BA$5*S7 + $BB$5))</f>
        <v>0.90131069669985098</v>
      </c>
      <c r="T12" s="2"/>
      <c r="U12" s="2"/>
      <c r="V12" s="2" t="s">
        <v>48</v>
      </c>
      <c r="W12" s="2">
        <f>IF(W7&lt;$BA$4, $AW$5*W7^2 + $AX$5*W7 + $AY$5, IF(W7&gt;$BB$4, $BC$5*W7^2 + $BD$5*W7 + $BE$5, $AZ$5*W7^2 + $BA$5*W7 + $BB$5))</f>
        <v>0.9398829729369117</v>
      </c>
      <c r="X12" s="2"/>
      <c r="Z12" s="2">
        <v>8</v>
      </c>
      <c r="AA12" s="2">
        <f t="shared" si="8"/>
        <v>0.20616701789183017</v>
      </c>
      <c r="AB12" s="2">
        <v>-5.518645206470163E-3</v>
      </c>
      <c r="AC12" s="2">
        <f t="shared" si="9"/>
        <v>0.2280109043113217</v>
      </c>
      <c r="AD12" s="2">
        <v>5.6945174269527762E-2</v>
      </c>
      <c r="AE12" s="2">
        <f t="shared" si="0"/>
        <v>0.21708896110157594</v>
      </c>
      <c r="AF12" s="2">
        <v>2.6655914637893158E-2</v>
      </c>
      <c r="AG12" s="2">
        <f t="shared" si="1"/>
        <v>-1.4710453554048694E-4</v>
      </c>
      <c r="AH12" s="2">
        <f t="shared" si="2"/>
        <v>1.517925704368482E-3</v>
      </c>
      <c r="AI12" s="2">
        <f t="shared" si="3"/>
        <v>2.1843886419491532E-2</v>
      </c>
      <c r="AK12" s="2">
        <v>8</v>
      </c>
      <c r="AL12" s="2">
        <f t="shared" si="10"/>
        <v>0.18432313147233864</v>
      </c>
      <c r="AM12" s="2">
        <v>-5.5563284550877487E-2</v>
      </c>
      <c r="AN12" s="2">
        <f t="shared" si="11"/>
        <v>0.20616701789183017</v>
      </c>
      <c r="AO12" s="2">
        <v>1.406980592209834E-2</v>
      </c>
      <c r="AP12" s="2">
        <f t="shared" si="4"/>
        <v>0.19524507468208441</v>
      </c>
      <c r="AQ12" s="2">
        <v>-1.9399598979421399E-2</v>
      </c>
      <c r="AR12" s="2">
        <f t="shared" si="5"/>
        <v>1.0779054382665037E-3</v>
      </c>
      <c r="AS12" s="2">
        <f t="shared" si="6"/>
        <v>-2.729485926069961E-4</v>
      </c>
      <c r="AT12" s="2">
        <f t="shared" si="7"/>
        <v>2.1843886419491532E-2</v>
      </c>
    </row>
    <row r="13" spans="2:57" x14ac:dyDescent="0.2">
      <c r="B13" s="32"/>
      <c r="C13" s="9" t="s">
        <v>16</v>
      </c>
      <c r="D13" s="3"/>
      <c r="J13" s="2" t="s">
        <v>91</v>
      </c>
      <c r="K13" s="2">
        <f>$C$20-$C$19</f>
        <v>0.14999999999999991</v>
      </c>
      <c r="L13" s="3" t="s">
        <v>10</v>
      </c>
      <c r="N13" s="2" t="s">
        <v>91</v>
      </c>
      <c r="O13" s="2">
        <f>$C$21-$C$20</f>
        <v>0.15000000000000002</v>
      </c>
      <c r="P13" s="3" t="s">
        <v>10</v>
      </c>
      <c r="R13" s="2" t="s">
        <v>49</v>
      </c>
      <c r="S13" s="2">
        <f>IF(S7&lt;$BA$4, $AW$6*S7^2 + $AX$6*S7 + $AY$6, IF(S7&gt;$BB$4, $BC$6*S7^2 + $BD$6*S7 + $BE$6, $AZ$6*S7^2 + $BA$6*S7 + $BB$6))</f>
        <v>8.5327629935067102E-3</v>
      </c>
      <c r="T13" s="2"/>
      <c r="U13" s="2"/>
      <c r="V13" s="2" t="s">
        <v>49</v>
      </c>
      <c r="W13" s="2">
        <f>IF(W7&lt;$BA$4, $AW$6*W7^2 + $AX$6*W7 + $AY$6, IF(W7&gt;$BB$4, $BC$6*W7^2 + $BD$6*W7 + $BE$6, $AZ$6*W7^2 + $BA$6*W7 + $BB$6))</f>
        <v>9.0131833561674646E-3</v>
      </c>
      <c r="X13" s="2"/>
      <c r="Z13" s="2">
        <v>9</v>
      </c>
      <c r="AA13" s="2">
        <f t="shared" si="8"/>
        <v>0.20616701789183017</v>
      </c>
      <c r="AB13" s="2">
        <v>-5.518645206470163E-3</v>
      </c>
      <c r="AC13" s="2">
        <f t="shared" si="9"/>
        <v>0.21708896110157594</v>
      </c>
      <c r="AD13" s="2">
        <v>2.6655914637893158E-2</v>
      </c>
      <c r="AE13" s="2">
        <f t="shared" si="0"/>
        <v>0.21162798949670306</v>
      </c>
      <c r="AF13" s="2">
        <v>1.0822961784637569E-2</v>
      </c>
      <c r="AG13" s="2">
        <f t="shared" si="1"/>
        <v>-5.972808617259988E-5</v>
      </c>
      <c r="AH13" s="2">
        <f t="shared" si="2"/>
        <v>2.8849594546047884E-4</v>
      </c>
      <c r="AI13" s="2">
        <f t="shared" si="3"/>
        <v>1.0921943209745766E-2</v>
      </c>
      <c r="AK13" s="2">
        <v>9</v>
      </c>
      <c r="AL13" s="2">
        <f t="shared" si="10"/>
        <v>0.19524507468208441</v>
      </c>
      <c r="AM13" s="2">
        <v>-1.9399598979421399E-2</v>
      </c>
      <c r="AN13" s="2">
        <f t="shared" si="11"/>
        <v>0.20616701789183017</v>
      </c>
      <c r="AO13" s="2">
        <v>1.406980592209834E-2</v>
      </c>
      <c r="AP13" s="2">
        <f t="shared" si="4"/>
        <v>0.20070604628695729</v>
      </c>
      <c r="AQ13" s="2">
        <v>-2.3563091369655596E-3</v>
      </c>
      <c r="AR13" s="2">
        <f t="shared" si="5"/>
        <v>4.5711452328678389E-5</v>
      </c>
      <c r="AS13" s="2">
        <f t="shared" si="6"/>
        <v>-3.3152812249572456E-5</v>
      </c>
      <c r="AT13" s="2">
        <f t="shared" si="7"/>
        <v>1.0921943209745766E-2</v>
      </c>
    </row>
    <row r="14" spans="2:57" x14ac:dyDescent="0.2">
      <c r="B14" s="32"/>
      <c r="C14" s="9" t="s">
        <v>16</v>
      </c>
      <c r="D14" s="3"/>
      <c r="F14" s="33" t="s">
        <v>95</v>
      </c>
      <c r="G14" s="33"/>
      <c r="H14" s="33"/>
      <c r="J14" s="2" t="s">
        <v>86</v>
      </c>
      <c r="K14" s="2">
        <f>(1+$S$37)*$C$3</f>
        <v>17.436619311182056</v>
      </c>
      <c r="L14" s="3" t="s">
        <v>2</v>
      </c>
      <c r="N14" s="2" t="s">
        <v>86</v>
      </c>
      <c r="O14" s="2">
        <f>(1+$W$37)*$C$3</f>
        <v>19.076379533570648</v>
      </c>
      <c r="P14" s="3" t="s">
        <v>2</v>
      </c>
      <c r="R14" s="2" t="s">
        <v>66</v>
      </c>
      <c r="S14" s="2">
        <f xml:space="preserve"> S12*COS(S4) - S13*SIN(S4)</f>
        <v>0.88012335274816722</v>
      </c>
      <c r="T14" s="2"/>
      <c r="U14" s="2"/>
      <c r="V14" s="2" t="s">
        <v>66</v>
      </c>
      <c r="W14" s="2">
        <f xml:space="preserve"> W12*COS(W4) - W13*SIN(W4)</f>
        <v>0.91906732937529478</v>
      </c>
      <c r="X14" s="2"/>
      <c r="Z14" s="2">
        <v>10</v>
      </c>
      <c r="AA14" s="2">
        <f t="shared" si="8"/>
        <v>0.20616701789183017</v>
      </c>
      <c r="AB14" s="2">
        <v>-5.518645206470163E-3</v>
      </c>
      <c r="AC14" s="2">
        <f t="shared" si="9"/>
        <v>0.21162798949670306</v>
      </c>
      <c r="AD14" s="2">
        <v>1.0822961784637569E-2</v>
      </c>
      <c r="AE14" s="2">
        <f t="shared" si="0"/>
        <v>0.20889750369426663</v>
      </c>
      <c r="AF14" s="2">
        <v>2.7183000780960954E-3</v>
      </c>
      <c r="AG14" s="2">
        <f t="shared" si="1"/>
        <v>-1.5001333695732487E-5</v>
      </c>
      <c r="AH14" s="2">
        <f t="shared" si="2"/>
        <v>2.9420057864411362E-5</v>
      </c>
      <c r="AI14" s="2">
        <f t="shared" si="3"/>
        <v>5.4609716048728829E-3</v>
      </c>
      <c r="AK14" s="2">
        <v>10</v>
      </c>
      <c r="AL14" s="2">
        <f t="shared" si="10"/>
        <v>0.20070604628695729</v>
      </c>
      <c r="AM14" s="2">
        <v>-2.3563091369655596E-3</v>
      </c>
      <c r="AN14" s="2">
        <f t="shared" si="11"/>
        <v>0.20616701789183017</v>
      </c>
      <c r="AO14" s="2">
        <v>1.406980592209834E-2</v>
      </c>
      <c r="AP14" s="2">
        <f t="shared" si="4"/>
        <v>0.20343653208939372</v>
      </c>
      <c r="AQ14" s="2">
        <v>5.9307072856442378E-3</v>
      </c>
      <c r="AR14" s="2">
        <f t="shared" si="5"/>
        <v>-1.397457976583173E-5</v>
      </c>
      <c r="AS14" s="2">
        <f t="shared" si="6"/>
        <v>8.3443900489789066E-5</v>
      </c>
      <c r="AT14" s="2">
        <f t="shared" si="7"/>
        <v>5.4609716048728829E-3</v>
      </c>
    </row>
    <row r="15" spans="2:57" x14ac:dyDescent="0.2">
      <c r="B15" s="32"/>
      <c r="C15" s="9" t="s">
        <v>16</v>
      </c>
      <c r="D15" s="3"/>
      <c r="F15" s="2" t="s">
        <v>100</v>
      </c>
      <c r="G15" s="2">
        <f>SQRT(G10^3/(2*C41*PI()*(C9/2)^2))/1000</f>
        <v>82.927947944833036</v>
      </c>
      <c r="H15" s="3" t="s">
        <v>99</v>
      </c>
      <c r="J15" s="2" t="s">
        <v>87</v>
      </c>
      <c r="K15" s="2">
        <f>(1-$S$38)*$G$5*$C$20</f>
        <v>91.739152113704833</v>
      </c>
      <c r="L15" s="3" t="s">
        <v>2</v>
      </c>
      <c r="N15" s="2" t="s">
        <v>87</v>
      </c>
      <c r="O15" s="2">
        <f>(1-$W$38)*$G$5*$C$21</f>
        <v>108.95105870926399</v>
      </c>
      <c r="P15" s="3" t="s">
        <v>2</v>
      </c>
      <c r="R15" s="2" t="s">
        <v>67</v>
      </c>
      <c r="S15" s="2">
        <f xml:space="preserve"> S12*SIN(S4) + S13*COS(S4)</f>
        <v>0.19446507135524177</v>
      </c>
      <c r="T15" s="2"/>
      <c r="U15" s="2"/>
      <c r="V15" s="2" t="s">
        <v>67</v>
      </c>
      <c r="W15" s="2">
        <f xml:space="preserve"> W12*SIN(W4) + W13*COS(W4)</f>
        <v>0.1969174557166091</v>
      </c>
      <c r="X15" s="2"/>
      <c r="Z15" s="2">
        <v>11</v>
      </c>
      <c r="AA15" s="2">
        <f t="shared" si="8"/>
        <v>0.20616701789183017</v>
      </c>
      <c r="AB15" s="2">
        <v>-5.518645206470163E-3</v>
      </c>
      <c r="AC15" s="2">
        <f t="shared" si="9"/>
        <v>0.20889750369426663</v>
      </c>
      <c r="AD15" s="2">
        <v>2.7183000780960954E-3</v>
      </c>
      <c r="AE15" s="2">
        <f t="shared" si="0"/>
        <v>0.2075322607930484</v>
      </c>
      <c r="AF15" s="2">
        <v>-1.3833014791022492E-3</v>
      </c>
      <c r="AG15" s="2">
        <f t="shared" si="1"/>
        <v>7.6339500767507141E-6</v>
      </c>
      <c r="AH15" s="2">
        <f t="shared" si="2"/>
        <v>-3.7602285186740882E-6</v>
      </c>
      <c r="AI15" s="2">
        <f t="shared" si="3"/>
        <v>2.7304858024364553E-3</v>
      </c>
      <c r="AK15" s="2">
        <v>11</v>
      </c>
      <c r="AL15" s="2">
        <f t="shared" si="10"/>
        <v>0.20070604628695729</v>
      </c>
      <c r="AM15" s="2">
        <v>-2.3563091369655596E-3</v>
      </c>
      <c r="AN15" s="2">
        <f t="shared" si="11"/>
        <v>0.20343653208939372</v>
      </c>
      <c r="AO15" s="2">
        <v>5.9307072856442378E-3</v>
      </c>
      <c r="AP15" s="2">
        <f t="shared" si="4"/>
        <v>0.20207128918817552</v>
      </c>
      <c r="AQ15" s="2">
        <v>1.8060735672682533E-3</v>
      </c>
      <c r="AR15" s="2">
        <f t="shared" si="5"/>
        <v>-4.2556676485861673E-6</v>
      </c>
      <c r="AS15" s="2">
        <f t="shared" si="6"/>
        <v>1.0711293663807308E-5</v>
      </c>
      <c r="AT15" s="2">
        <f t="shared" si="7"/>
        <v>2.7304858024364276E-3</v>
      </c>
    </row>
    <row r="16" spans="2:57" x14ac:dyDescent="0.2">
      <c r="B16" s="32"/>
      <c r="C16" s="9" t="s">
        <v>16</v>
      </c>
      <c r="D16" s="3"/>
      <c r="F16" s="2" t="s">
        <v>101</v>
      </c>
      <c r="G16" s="2">
        <f>G15/G12</f>
        <v>0.76460484091480463</v>
      </c>
      <c r="H16" s="3"/>
      <c r="J16" s="2" t="s">
        <v>88</v>
      </c>
      <c r="K16" s="2">
        <f>SQRT(K14^2 + K15^2)</f>
        <v>93.381517033857193</v>
      </c>
      <c r="L16" s="3" t="s">
        <v>2</v>
      </c>
      <c r="N16" s="2" t="s">
        <v>88</v>
      </c>
      <c r="O16" s="2">
        <f>SQRT(O14^2 + O15^2)</f>
        <v>110.6085053238598</v>
      </c>
      <c r="P16" s="3" t="s">
        <v>2</v>
      </c>
      <c r="R16" s="2" t="s">
        <v>68</v>
      </c>
      <c r="S16" s="2">
        <f xml:space="preserve"> 4*S11*SIN(S4)*SIN(S4) / (S8*S14)</f>
        <v>1.0889764794522949</v>
      </c>
      <c r="T16" s="2"/>
      <c r="U16" s="2"/>
      <c r="V16" s="2" t="s">
        <v>68</v>
      </c>
      <c r="W16" s="2">
        <f xml:space="preserve"> 4*W11*SIN(W4)*SIN(W4) / (W8*W14)</f>
        <v>1.0701394807430644</v>
      </c>
      <c r="X16" s="2"/>
      <c r="Z16" s="2">
        <v>12</v>
      </c>
      <c r="AA16" s="2">
        <f t="shared" si="8"/>
        <v>0.2075322607930484</v>
      </c>
      <c r="AB16" s="2">
        <v>-1.3833014791022492E-3</v>
      </c>
      <c r="AC16" s="2">
        <f t="shared" si="9"/>
        <v>0.20889750369426663</v>
      </c>
      <c r="AD16" s="2">
        <v>2.7183000780960954E-3</v>
      </c>
      <c r="AE16" s="2">
        <f t="shared" si="0"/>
        <v>0.20821488224365753</v>
      </c>
      <c r="AF16" s="2">
        <v>6.7167438727669046E-4</v>
      </c>
      <c r="AG16" s="2">
        <f t="shared" si="1"/>
        <v>-9.2912817339494282E-7</v>
      </c>
      <c r="AH16" s="2">
        <f t="shared" si="2"/>
        <v>1.8258125393893747E-6</v>
      </c>
      <c r="AI16" s="2">
        <f t="shared" si="3"/>
        <v>1.3652429012182277E-3</v>
      </c>
      <c r="AK16" s="2">
        <v>12</v>
      </c>
      <c r="AL16" s="2">
        <f t="shared" si="10"/>
        <v>0.20070604628695729</v>
      </c>
      <c r="AM16" s="2">
        <v>-2.3563091369655596E-3</v>
      </c>
      <c r="AN16" s="2">
        <f t="shared" si="11"/>
        <v>0.20207128918817552</v>
      </c>
      <c r="AO16" s="2">
        <v>1.8060735672682533E-3</v>
      </c>
      <c r="AP16" s="2">
        <f t="shared" si="4"/>
        <v>0.20138866773756642</v>
      </c>
      <c r="AQ16" s="2">
        <v>-2.7034990085455721E-4</v>
      </c>
      <c r="AR16" s="2">
        <f t="shared" si="5"/>
        <v>6.3702794156132633E-7</v>
      </c>
      <c r="AS16" s="2">
        <f t="shared" si="6"/>
        <v>-4.8827180984700877E-7</v>
      </c>
      <c r="AT16" s="2">
        <f t="shared" si="7"/>
        <v>1.3652429012182277E-3</v>
      </c>
    </row>
    <row r="17" spans="2:46" x14ac:dyDescent="0.2">
      <c r="B17" s="32"/>
      <c r="C17" s="9" t="s">
        <v>16</v>
      </c>
      <c r="D17" s="3"/>
      <c r="F17" s="2" t="s">
        <v>66</v>
      </c>
      <c r="G17" s="2">
        <f>G10/($C$41*G6^2*C9^4)</f>
        <v>0.13900706290509893</v>
      </c>
      <c r="H17" s="2"/>
      <c r="J17" s="2" t="s">
        <v>89</v>
      </c>
      <c r="K17" s="7">
        <f>$C$41*K16*$C$27/$C$42</f>
        <v>1422004.4548318726</v>
      </c>
      <c r="L17" s="3"/>
      <c r="N17" s="2" t="s">
        <v>89</v>
      </c>
      <c r="O17" s="7">
        <f>$C$41*O16*$C$28/$C$42</f>
        <v>1572046.2980421514</v>
      </c>
      <c r="P17" s="3"/>
      <c r="R17" s="2" t="s">
        <v>69</v>
      </c>
      <c r="S17" s="2">
        <f xml:space="preserve"> 4*S11*SIN(S4)*COS(S4) / (S8*S15)</f>
        <v>23.353305151239201</v>
      </c>
      <c r="T17" s="2"/>
      <c r="U17" s="2"/>
      <c r="V17" s="2" t="s">
        <v>69</v>
      </c>
      <c r="W17" s="2">
        <f xml:space="preserve"> 4*W11*SIN(W4)*COS(W4) / (W8*W15)</f>
        <v>24.453693830474801</v>
      </c>
      <c r="X17" s="2"/>
      <c r="Z17" s="2">
        <v>13</v>
      </c>
      <c r="AA17" s="2">
        <f t="shared" si="8"/>
        <v>0.2075322607930484</v>
      </c>
      <c r="AB17" s="2">
        <v>-1.3833014791022492E-3</v>
      </c>
      <c r="AC17" s="2">
        <f t="shared" si="9"/>
        <v>0.20821488224365753</v>
      </c>
      <c r="AD17" s="2">
        <v>6.7167438727669046E-4</v>
      </c>
      <c r="AE17" s="2">
        <f t="shared" si="0"/>
        <v>0.20787357151835295</v>
      </c>
      <c r="AF17" s="2">
        <v>-3.5476448492918061E-4</v>
      </c>
      <c r="AG17" s="2">
        <f t="shared" si="1"/>
        <v>4.9074623673548308E-7</v>
      </c>
      <c r="AH17" s="2">
        <f t="shared" si="2"/>
        <v>-2.3828621804233809E-7</v>
      </c>
      <c r="AI17" s="2">
        <f t="shared" si="3"/>
        <v>6.8262145060912771E-4</v>
      </c>
      <c r="AK17" s="2">
        <v>13</v>
      </c>
      <c r="AL17" s="2">
        <f t="shared" si="10"/>
        <v>0.20138866773756642</v>
      </c>
      <c r="AM17" s="2">
        <v>-2.7034990085455721E-4</v>
      </c>
      <c r="AN17" s="2">
        <f t="shared" si="11"/>
        <v>0.20207128918817552</v>
      </c>
      <c r="AO17" s="2">
        <v>1.8060735672682533E-3</v>
      </c>
      <c r="AP17" s="2">
        <f t="shared" si="4"/>
        <v>0.20172997846287097</v>
      </c>
      <c r="AQ17" s="2">
        <v>7.69047593485837E-4</v>
      </c>
      <c r="AR17" s="2">
        <f t="shared" si="5"/>
        <v>-2.0791194065133184E-7</v>
      </c>
      <c r="AS17" s="2">
        <f t="shared" si="6"/>
        <v>1.3889565305660311E-6</v>
      </c>
      <c r="AT17" s="2">
        <f t="shared" si="7"/>
        <v>6.8262145060909996E-4</v>
      </c>
    </row>
    <row r="18" spans="2:46" x14ac:dyDescent="0.2">
      <c r="B18" s="32" t="s">
        <v>19</v>
      </c>
      <c r="C18" s="9">
        <v>0.52500000000000002</v>
      </c>
      <c r="D18" s="3" t="s">
        <v>10</v>
      </c>
      <c r="F18" s="2" t="s">
        <v>67</v>
      </c>
      <c r="G18" s="2">
        <f>G11/($C$41*G6^2*C9^5)</f>
        <v>8.6075281278111364E-3</v>
      </c>
      <c r="H18" s="3"/>
      <c r="J18" s="2" t="s">
        <v>90</v>
      </c>
      <c r="K18" s="30">
        <f xml:space="preserve"> $S$27 * PI() * $C$41 * K16^2 *$S$33 * $C$20 * K13</f>
        <v>541.2491799423791</v>
      </c>
      <c r="L18" s="3" t="s">
        <v>92</v>
      </c>
      <c r="N18" s="2" t="s">
        <v>90</v>
      </c>
      <c r="O18" s="30">
        <f xml:space="preserve"> $W$27 * PI() * $C$41 * O16^2 * $W$33 * $C$21 * O13</f>
        <v>770.41036338461458</v>
      </c>
      <c r="P18" s="3" t="s">
        <v>92</v>
      </c>
      <c r="R18" s="2" t="s">
        <v>34</v>
      </c>
      <c r="S18" s="2">
        <f>1/(S16-1)</f>
        <v>11.23892523232675</v>
      </c>
      <c r="T18" s="2"/>
      <c r="U18" s="2"/>
      <c r="V18" s="2" t="s">
        <v>34</v>
      </c>
      <c r="W18" s="2">
        <f>1/(W16-1)</f>
        <v>14.257305434912031</v>
      </c>
      <c r="X18" s="2"/>
      <c r="Z18" s="2">
        <v>14</v>
      </c>
      <c r="AA18" s="2">
        <f t="shared" si="8"/>
        <v>0.20787357151835295</v>
      </c>
      <c r="AB18" s="2">
        <v>-3.5476448492918061E-4</v>
      </c>
      <c r="AC18" s="2">
        <f t="shared" si="9"/>
        <v>0.20821488224365753</v>
      </c>
      <c r="AD18" s="2">
        <v>6.7167438727669046E-4</v>
      </c>
      <c r="AE18" s="2">
        <f t="shared" si="0"/>
        <v>0.20804422688100524</v>
      </c>
      <c r="AF18" s="2">
        <v>1.5871655241695218E-4</v>
      </c>
      <c r="AG18" s="2">
        <f t="shared" si="1"/>
        <v>-5.6306995967935337E-8</v>
      </c>
      <c r="AH18" s="2">
        <f t="shared" si="2"/>
        <v>1.0660584309532508E-7</v>
      </c>
      <c r="AI18" s="2">
        <f t="shared" si="3"/>
        <v>3.4131072530457773E-4</v>
      </c>
      <c r="AK18" s="2">
        <v>14</v>
      </c>
      <c r="AL18" s="2">
        <f t="shared" si="10"/>
        <v>0.20138866773756642</v>
      </c>
      <c r="AM18" s="2">
        <v>-2.7034990085455721E-4</v>
      </c>
      <c r="AN18" s="2">
        <f t="shared" si="11"/>
        <v>0.20172997846287097</v>
      </c>
      <c r="AO18" s="2">
        <v>7.69047593485837E-4</v>
      </c>
      <c r="AP18" s="2">
        <f t="shared" si="4"/>
        <v>0.20155932310021868</v>
      </c>
      <c r="AQ18" s="2">
        <v>2.4964605937427727E-4</v>
      </c>
      <c r="AR18" s="2">
        <f t="shared" si="5"/>
        <v>-6.7491787400566766E-8</v>
      </c>
      <c r="AS18" s="2">
        <f t="shared" si="6"/>
        <v>1.919897011850103E-7</v>
      </c>
      <c r="AT18" s="2">
        <f t="shared" si="7"/>
        <v>3.4131072530454998E-4</v>
      </c>
    </row>
    <row r="19" spans="2:46" x14ac:dyDescent="0.2">
      <c r="B19" s="32"/>
      <c r="C19" s="9">
        <v>0.67500000000000004</v>
      </c>
      <c r="D19" s="3" t="s">
        <v>10</v>
      </c>
      <c r="F19" s="2" t="s">
        <v>106</v>
      </c>
      <c r="G19" s="2">
        <f>2*PI()*G18</f>
        <v>5.4082694263797942E-2</v>
      </c>
      <c r="H19" s="3"/>
      <c r="J19" s="2" t="s">
        <v>94</v>
      </c>
      <c r="K19" s="30">
        <f xml:space="preserve"> $S$27 * PI() * $C$41 * K16^2 * $S$34 * $C$20^2 * K13</f>
        <v>89.488241156515613</v>
      </c>
      <c r="L19" s="3" t="s">
        <v>93</v>
      </c>
      <c r="N19" s="2" t="s">
        <v>94</v>
      </c>
      <c r="O19" s="30">
        <f xml:space="preserve"> $W$27 * PI() * $C$41 * O16^2 * $W$34 * $C$21^2 * O13</f>
        <v>139.65882716234117</v>
      </c>
      <c r="P19" s="3" t="s">
        <v>93</v>
      </c>
      <c r="R19" s="2" t="s">
        <v>74</v>
      </c>
      <c r="S19" s="2">
        <f>1/(S17+1)</f>
        <v>4.10621882241358E-2</v>
      </c>
      <c r="T19" s="2"/>
      <c r="U19" s="2"/>
      <c r="V19" s="2" t="s">
        <v>74</v>
      </c>
      <c r="W19" s="2">
        <f>1/(W17+1)</f>
        <v>3.9287028698472656E-2</v>
      </c>
      <c r="X19" s="2"/>
      <c r="Z19" s="2">
        <v>15</v>
      </c>
      <c r="AA19" s="2">
        <f t="shared" si="8"/>
        <v>0.20787357151835295</v>
      </c>
      <c r="AB19" s="2">
        <v>-3.5476448492918061E-4</v>
      </c>
      <c r="AC19" s="2">
        <f t="shared" si="9"/>
        <v>0.20804422688100524</v>
      </c>
      <c r="AD19" s="2">
        <v>1.5871655241695218E-4</v>
      </c>
      <c r="AE19" s="2">
        <f t="shared" si="0"/>
        <v>0.20795889919967908</v>
      </c>
      <c r="AF19" s="2">
        <v>-9.7958483125399481E-5</v>
      </c>
      <c r="AG19" s="2">
        <f t="shared" si="1"/>
        <v>3.4752190810426175E-8</v>
      </c>
      <c r="AH19" s="2">
        <f t="shared" si="2"/>
        <v>-1.5547632721657592E-8</v>
      </c>
      <c r="AI19" s="2">
        <f t="shared" si="3"/>
        <v>1.7065536265228887E-4</v>
      </c>
      <c r="AK19" s="2">
        <v>15</v>
      </c>
      <c r="AL19" s="2">
        <f t="shared" si="10"/>
        <v>0.20138866773756642</v>
      </c>
      <c r="AM19" s="2">
        <v>-2.7034990085455721E-4</v>
      </c>
      <c r="AN19" s="2">
        <f t="shared" si="11"/>
        <v>0.20155932310021868</v>
      </c>
      <c r="AO19" s="2">
        <v>2.4964605937427727E-4</v>
      </c>
      <c r="AP19" s="2">
        <f t="shared" si="4"/>
        <v>0.20147399541889255</v>
      </c>
      <c r="AQ19" s="2">
        <v>-1.0277520559685144E-5</v>
      </c>
      <c r="AR19" s="2">
        <f t="shared" si="5"/>
        <v>2.7785266643415521E-9</v>
      </c>
      <c r="AS19" s="2">
        <f t="shared" si="6"/>
        <v>-2.5657425078635125E-9</v>
      </c>
      <c r="AT19" s="2">
        <f t="shared" si="7"/>
        <v>1.7065536265226111E-4</v>
      </c>
    </row>
    <row r="20" spans="2:46" x14ac:dyDescent="0.2">
      <c r="B20" s="32"/>
      <c r="C20" s="9">
        <v>0.82499999999999996</v>
      </c>
      <c r="D20" s="3" t="s">
        <v>10</v>
      </c>
      <c r="F20" s="2" t="s">
        <v>107</v>
      </c>
      <c r="G20" s="2">
        <f>G17/G19*G7</f>
        <v>4.5905855019433478E-2</v>
      </c>
      <c r="H20" s="4"/>
      <c r="R20" s="8" t="s">
        <v>75</v>
      </c>
      <c r="S20" s="29">
        <f>SIN(S4)/(1+S18) - $C$3*COS(S4)/($G$5*$C$18*(1-S19))</f>
        <v>-5.785007573672063E-9</v>
      </c>
      <c r="T20" s="29"/>
      <c r="U20" s="2"/>
      <c r="V20" s="8" t="s">
        <v>75</v>
      </c>
      <c r="W20" s="29">
        <f>SIN(W4)/(1+W18) - $C$3*COS(W4)/($G$5*$C$19*(1-W19))</f>
        <v>-2.4493098400163449E-9</v>
      </c>
      <c r="X20" s="29"/>
      <c r="Z20" s="2">
        <v>16</v>
      </c>
      <c r="AA20" s="2">
        <f t="shared" si="8"/>
        <v>0.20795889919967908</v>
      </c>
      <c r="AB20" s="2">
        <v>-9.7958483125399481E-5</v>
      </c>
      <c r="AC20" s="2">
        <f t="shared" si="9"/>
        <v>0.20804422688100524</v>
      </c>
      <c r="AD20" s="2">
        <v>1.5871655241695218E-4</v>
      </c>
      <c r="AE20" s="2">
        <f t="shared" si="0"/>
        <v>0.20800156304034217</v>
      </c>
      <c r="AF20" s="2">
        <v>3.0395395064775066E-5</v>
      </c>
      <c r="AG20" s="2">
        <f t="shared" si="1"/>
        <v>-2.9774867945426189E-9</v>
      </c>
      <c r="AH20" s="2">
        <f t="shared" si="2"/>
        <v>4.8242523140323416E-9</v>
      </c>
      <c r="AI20" s="2">
        <f t="shared" si="3"/>
        <v>8.5327681326158311E-5</v>
      </c>
      <c r="AK20" s="2">
        <v>16</v>
      </c>
      <c r="AL20" s="2">
        <f t="shared" si="10"/>
        <v>0.20147399541889255</v>
      </c>
      <c r="AM20" s="2">
        <v>-1.0277520559685144E-5</v>
      </c>
      <c r="AN20" s="2">
        <f t="shared" si="11"/>
        <v>0.20155932310021868</v>
      </c>
      <c r="AO20" s="2">
        <v>2.4964605937427727E-4</v>
      </c>
      <c r="AP20" s="2">
        <f t="shared" si="4"/>
        <v>0.20151665925955561</v>
      </c>
      <c r="AQ20" s="2">
        <v>1.1970285732492043E-4</v>
      </c>
      <c r="AR20" s="2">
        <f t="shared" si="5"/>
        <v>-1.2302485772099271E-9</v>
      </c>
      <c r="AS20" s="2">
        <f t="shared" si="6"/>
        <v>2.988334662700773E-8</v>
      </c>
      <c r="AT20" s="2">
        <f t="shared" si="7"/>
        <v>8.5327681326130556E-5</v>
      </c>
    </row>
    <row r="21" spans="2:46" x14ac:dyDescent="0.2">
      <c r="B21" s="32"/>
      <c r="C21" s="9">
        <v>0.97499999999999998</v>
      </c>
      <c r="D21" s="3" t="s">
        <v>10</v>
      </c>
      <c r="H21" s="4"/>
      <c r="J21" s="35" t="s">
        <v>43</v>
      </c>
      <c r="K21" s="35"/>
      <c r="L21" s="35"/>
      <c r="N21" s="35" t="s">
        <v>44</v>
      </c>
      <c r="O21" s="35"/>
      <c r="P21" s="35"/>
      <c r="R21" s="2"/>
      <c r="S21" s="2"/>
      <c r="T21" s="2"/>
      <c r="U21" s="2"/>
      <c r="V21" s="2"/>
      <c r="W21" s="2"/>
      <c r="X21" s="2"/>
      <c r="Z21" s="2">
        <v>17</v>
      </c>
      <c r="AA21" s="2">
        <f t="shared" si="8"/>
        <v>0.20795889919967908</v>
      </c>
      <c r="AB21" s="2">
        <v>-9.7958483125399481E-5</v>
      </c>
      <c r="AC21" s="2">
        <f t="shared" si="9"/>
        <v>0.20800156304034217</v>
      </c>
      <c r="AD21" s="2">
        <v>3.0395395064775066E-5</v>
      </c>
      <c r="AE21" s="2">
        <f t="shared" si="0"/>
        <v>0.20798023112001063</v>
      </c>
      <c r="AF21" s="2">
        <v>-3.3777452630823906E-5</v>
      </c>
      <c r="AG21" s="2">
        <f t="shared" si="1"/>
        <v>3.308788023555544E-9</v>
      </c>
      <c r="AH21" s="2">
        <f t="shared" si="2"/>
        <v>-1.0266790169956186E-9</v>
      </c>
      <c r="AI21" s="2">
        <f t="shared" si="3"/>
        <v>4.2663840663093033E-5</v>
      </c>
      <c r="AK21" s="2">
        <v>17</v>
      </c>
      <c r="AL21" s="2">
        <f t="shared" si="10"/>
        <v>0.20147399541889255</v>
      </c>
      <c r="AM21" s="2">
        <v>-1.0277520559685144E-5</v>
      </c>
      <c r="AN21" s="2">
        <f t="shared" si="11"/>
        <v>0.20151665925955561</v>
      </c>
      <c r="AO21" s="2">
        <v>1.1970285732492043E-4</v>
      </c>
      <c r="AP21" s="2">
        <f t="shared" si="4"/>
        <v>0.2014953273392241</v>
      </c>
      <c r="AQ21" s="2">
        <v>5.4717316877122765E-5</v>
      </c>
      <c r="AR21" s="2">
        <f t="shared" si="5"/>
        <v>-5.6235834917543617E-10</v>
      </c>
      <c r="AS21" s="2">
        <f t="shared" si="6"/>
        <v>6.5498191753446876E-9</v>
      </c>
      <c r="AT21" s="2">
        <f t="shared" si="7"/>
        <v>4.2663840663065278E-5</v>
      </c>
    </row>
    <row r="22" spans="2:46" x14ac:dyDescent="0.2">
      <c r="B22" s="32"/>
      <c r="C22" s="9">
        <v>1.125</v>
      </c>
      <c r="D22" s="3" t="s">
        <v>10</v>
      </c>
      <c r="F22" s="33" t="s">
        <v>102</v>
      </c>
      <c r="G22" s="33"/>
      <c r="H22" s="33"/>
      <c r="J22" s="2" t="s">
        <v>91</v>
      </c>
      <c r="K22" s="2">
        <f>$C$22-$C$21</f>
        <v>0.15000000000000002</v>
      </c>
      <c r="L22" s="3" t="s">
        <v>10</v>
      </c>
      <c r="N22" s="2" t="s">
        <v>91</v>
      </c>
      <c r="O22" s="2">
        <f>$C$23-$C$22</f>
        <v>0.14999999999999991</v>
      </c>
      <c r="P22" s="3" t="s">
        <v>10</v>
      </c>
      <c r="R22" s="35" t="s">
        <v>28</v>
      </c>
      <c r="S22" s="35"/>
      <c r="T22" s="35"/>
      <c r="U22" s="2"/>
      <c r="V22" s="35" t="s">
        <v>29</v>
      </c>
      <c r="W22" s="35"/>
      <c r="X22" s="35"/>
      <c r="Z22" s="2">
        <v>18</v>
      </c>
      <c r="AA22" s="2">
        <f t="shared" si="8"/>
        <v>0.20798023112001063</v>
      </c>
      <c r="AB22" s="2">
        <v>-3.3777452630823906E-5</v>
      </c>
      <c r="AC22" s="2">
        <f t="shared" si="9"/>
        <v>0.20800156304034217</v>
      </c>
      <c r="AD22" s="2">
        <v>3.0395395064775066E-5</v>
      </c>
      <c r="AE22" s="2">
        <f t="shared" si="0"/>
        <v>0.2079908970801764</v>
      </c>
      <c r="AF22" s="2">
        <v>-1.6900060950397755E-6</v>
      </c>
      <c r="AG22" s="2">
        <f t="shared" si="1"/>
        <v>5.7084100821009703E-11</v>
      </c>
      <c r="AH22" s="2">
        <f t="shared" si="2"/>
        <v>-5.1368402920611775E-11</v>
      </c>
      <c r="AI22" s="2">
        <f t="shared" si="3"/>
        <v>2.1331920331546517E-5</v>
      </c>
      <c r="AK22" s="2">
        <v>18</v>
      </c>
      <c r="AL22" s="2">
        <f t="shared" si="10"/>
        <v>0.20147399541889255</v>
      </c>
      <c r="AM22" s="2">
        <v>-1.0277520559685144E-5</v>
      </c>
      <c r="AN22" s="2">
        <f t="shared" si="11"/>
        <v>0.2014953273392241</v>
      </c>
      <c r="AO22" s="2">
        <v>5.4717316877122765E-5</v>
      </c>
      <c r="AP22" s="2">
        <f t="shared" si="4"/>
        <v>0.20148466137905832</v>
      </c>
      <c r="AQ22" s="2">
        <v>2.2221060471791856E-5</v>
      </c>
      <c r="AR22" s="2">
        <f t="shared" si="5"/>
        <v>-2.2837740585684766E-10</v>
      </c>
      <c r="AS22" s="2">
        <f t="shared" si="6"/>
        <v>1.215876807180742E-9</v>
      </c>
      <c r="AT22" s="2">
        <f t="shared" si="7"/>
        <v>2.1331920331546517E-5</v>
      </c>
    </row>
    <row r="23" spans="2:46" x14ac:dyDescent="0.2">
      <c r="B23" s="32"/>
      <c r="C23" s="9">
        <v>1.2749999999999999</v>
      </c>
      <c r="D23" s="3" t="s">
        <v>10</v>
      </c>
      <c r="F23" s="34" t="s">
        <v>103</v>
      </c>
      <c r="G23" s="32">
        <f>S20</f>
        <v>-5.785007573672063E-9</v>
      </c>
      <c r="H23" s="32"/>
      <c r="J23" s="2" t="s">
        <v>86</v>
      </c>
      <c r="K23" s="2">
        <f>(1+$S$56)*$C$3</f>
        <v>20.271729817762573</v>
      </c>
      <c r="L23" s="3" t="s">
        <v>2</v>
      </c>
      <c r="N23" s="2" t="s">
        <v>86</v>
      </c>
      <c r="O23" s="2">
        <f>(1+$W$56)*$C$3</f>
        <v>20.326758082476172</v>
      </c>
      <c r="P23" s="3" t="s">
        <v>2</v>
      </c>
      <c r="R23" s="27" t="s">
        <v>46</v>
      </c>
      <c r="S23" s="28">
        <f>AE68</f>
        <v>0.18782684470291544</v>
      </c>
      <c r="T23" s="25" t="s">
        <v>27</v>
      </c>
      <c r="U23" s="2"/>
      <c r="V23" s="27" t="s">
        <v>46</v>
      </c>
      <c r="W23" s="28">
        <f>AP68</f>
        <v>0.17333411718447045</v>
      </c>
      <c r="X23" s="25" t="s">
        <v>27</v>
      </c>
      <c r="Z23" s="2">
        <v>19</v>
      </c>
      <c r="AA23" s="2">
        <f t="shared" si="8"/>
        <v>0.2079908970801764</v>
      </c>
      <c r="AB23" s="2">
        <v>-1.6900060950397755E-6</v>
      </c>
      <c r="AC23" s="2">
        <f t="shared" si="9"/>
        <v>0.20800156304034217</v>
      </c>
      <c r="AD23" s="2">
        <v>3.0395395064775066E-5</v>
      </c>
      <c r="AE23" s="2">
        <f t="shared" si="0"/>
        <v>0.2079962300602593</v>
      </c>
      <c r="AF23" s="2">
        <v>1.4352950136669457E-5</v>
      </c>
      <c r="AG23" s="2">
        <f t="shared" si="1"/>
        <v>-2.425657321277336E-11</v>
      </c>
      <c r="AH23" s="2">
        <f t="shared" si="2"/>
        <v>4.3626358974908543E-10</v>
      </c>
      <c r="AI23" s="2">
        <f t="shared" si="3"/>
        <v>1.0665960165773258E-5</v>
      </c>
      <c r="AK23" s="2">
        <v>19</v>
      </c>
      <c r="AL23" s="2">
        <f t="shared" si="10"/>
        <v>0.20147399541889255</v>
      </c>
      <c r="AM23" s="2">
        <v>-1.0277520559685144E-5</v>
      </c>
      <c r="AN23" s="2">
        <f t="shared" si="11"/>
        <v>0.20148466137905832</v>
      </c>
      <c r="AO23" s="2">
        <v>2.2221060471791856E-5</v>
      </c>
      <c r="AP23" s="2">
        <f t="shared" si="4"/>
        <v>0.20147932839897542</v>
      </c>
      <c r="AQ23" s="2">
        <v>5.9720605580029784E-6</v>
      </c>
      <c r="AR23" s="2">
        <f t="shared" si="5"/>
        <v>-6.1377975168560345E-11</v>
      </c>
      <c r="AS23" s="2">
        <f t="shared" si="6"/>
        <v>1.3270551880058721E-10</v>
      </c>
      <c r="AT23" s="2">
        <f t="shared" si="7"/>
        <v>1.0665960165773258E-5</v>
      </c>
    </row>
    <row r="24" spans="2:46" x14ac:dyDescent="0.2">
      <c r="B24" s="32"/>
      <c r="C24" s="9">
        <v>1.425</v>
      </c>
      <c r="D24" s="3" t="s">
        <v>10</v>
      </c>
      <c r="F24" s="34"/>
      <c r="G24" s="32">
        <f>W20</f>
        <v>-2.4493098400163449E-9</v>
      </c>
      <c r="H24" s="32"/>
      <c r="J24" s="2" t="s">
        <v>87</v>
      </c>
      <c r="K24" s="2">
        <f>(1-$S$57)*$G$5*$C$22</f>
        <v>126.27664823914773</v>
      </c>
      <c r="L24" s="3" t="s">
        <v>2</v>
      </c>
      <c r="N24" s="2" t="s">
        <v>87</v>
      </c>
      <c r="O24" s="2">
        <f>(1-$W$57)*$G$5*$C$23</f>
        <v>143.90070223136044</v>
      </c>
      <c r="P24" s="3" t="s">
        <v>2</v>
      </c>
      <c r="R24" s="2" t="s">
        <v>30</v>
      </c>
      <c r="S24" s="2">
        <f>($C$34+$C$5)/180*PI()</f>
        <v>0.29670597283903599</v>
      </c>
      <c r="T24" s="2" t="s">
        <v>27</v>
      </c>
      <c r="U24" s="2"/>
      <c r="V24" s="2" t="s">
        <v>30</v>
      </c>
      <c r="W24" s="2">
        <f>($C$35+$C$5)/180*PI()</f>
        <v>0.29670597283903599</v>
      </c>
      <c r="X24" s="2" t="s">
        <v>27</v>
      </c>
      <c r="Z24" s="2">
        <v>20</v>
      </c>
      <c r="AA24" s="2">
        <f t="shared" si="8"/>
        <v>0.2079908970801764</v>
      </c>
      <c r="AB24" s="2">
        <v>-1.6900060950397755E-6</v>
      </c>
      <c r="AC24" s="2">
        <f t="shared" si="9"/>
        <v>0.2079962300602593</v>
      </c>
      <c r="AD24" s="2">
        <v>1.4352950136669457E-5</v>
      </c>
      <c r="AE24" s="2">
        <f t="shared" si="0"/>
        <v>0.20799356357021787</v>
      </c>
      <c r="AF24" s="2">
        <v>6.3315359363214085E-6</v>
      </c>
      <c r="AG24" s="2">
        <f t="shared" si="1"/>
        <v>-1.0700334323346552E-11</v>
      </c>
      <c r="AH24" s="2">
        <f t="shared" si="2"/>
        <v>9.0876219582551933E-11</v>
      </c>
      <c r="AI24" s="2">
        <f t="shared" si="3"/>
        <v>5.332980082900507E-6</v>
      </c>
      <c r="AK24" s="2">
        <v>20</v>
      </c>
      <c r="AL24" s="2">
        <f t="shared" si="10"/>
        <v>0.20147399541889255</v>
      </c>
      <c r="AM24" s="2">
        <v>-1.0277520559685144E-5</v>
      </c>
      <c r="AN24" s="2">
        <f t="shared" si="11"/>
        <v>0.20147932839897542</v>
      </c>
      <c r="AO24" s="2">
        <v>5.9720605580029784E-6</v>
      </c>
      <c r="AP24" s="2">
        <f t="shared" si="4"/>
        <v>0.20147666190893398</v>
      </c>
      <c r="AQ24" s="2">
        <v>-2.1526573474282829E-6</v>
      </c>
      <c r="AR24" s="2">
        <f t="shared" si="5"/>
        <v>2.2123980146151464E-11</v>
      </c>
      <c r="AS24" s="2">
        <f t="shared" si="6"/>
        <v>-1.2855800039471762E-11</v>
      </c>
      <c r="AT24" s="2">
        <f t="shared" si="7"/>
        <v>5.3329800828727514E-6</v>
      </c>
    </row>
    <row r="25" spans="2:46" x14ac:dyDescent="0.2">
      <c r="B25" s="32" t="s">
        <v>18</v>
      </c>
      <c r="C25" s="9">
        <v>0.18</v>
      </c>
      <c r="D25" s="3" t="s">
        <v>10</v>
      </c>
      <c r="F25" s="34"/>
      <c r="G25" s="32">
        <f>S39</f>
        <v>-7.1855308803742135E-9</v>
      </c>
      <c r="H25" s="32"/>
      <c r="J25" s="2" t="s">
        <v>88</v>
      </c>
      <c r="K25" s="2">
        <f>SQRT(K23^2 + K24^2)</f>
        <v>127.89345143641177</v>
      </c>
      <c r="L25" s="3" t="s">
        <v>2</v>
      </c>
      <c r="N25" s="2" t="s">
        <v>88</v>
      </c>
      <c r="O25" s="2">
        <f>SQRT(O23^2 + O24^2)</f>
        <v>145.32924412114093</v>
      </c>
      <c r="P25" s="3" t="s">
        <v>2</v>
      </c>
      <c r="R25" s="2" t="s">
        <v>47</v>
      </c>
      <c r="S25" s="2">
        <f>S24-S23</f>
        <v>0.10887912813612055</v>
      </c>
      <c r="T25" s="2" t="s">
        <v>27</v>
      </c>
      <c r="U25" s="2"/>
      <c r="V25" s="2" t="s">
        <v>47</v>
      </c>
      <c r="W25" s="2">
        <f>W24-W23</f>
        <v>0.12337185565456554</v>
      </c>
      <c r="X25" s="2" t="s">
        <v>27</v>
      </c>
      <c r="Z25" s="2">
        <v>21</v>
      </c>
      <c r="AA25" s="2">
        <f t="shared" si="8"/>
        <v>0.2079908970801764</v>
      </c>
      <c r="AB25" s="2">
        <v>-1.6900060950397755E-6</v>
      </c>
      <c r="AC25" s="2">
        <f t="shared" si="9"/>
        <v>0.20799356357021787</v>
      </c>
      <c r="AD25" s="2">
        <v>6.3315359363214085E-6</v>
      </c>
      <c r="AE25" s="2">
        <f t="shared" si="0"/>
        <v>0.20799223032519715</v>
      </c>
      <c r="AF25" s="2">
        <v>2.3207808998865209E-6</v>
      </c>
      <c r="AG25" s="2">
        <f t="shared" si="1"/>
        <v>-3.9221338660601157E-12</v>
      </c>
      <c r="AH25" s="2">
        <f t="shared" si="2"/>
        <v>1.4694107667959843E-11</v>
      </c>
      <c r="AI25" s="2">
        <f t="shared" si="3"/>
        <v>2.6664900414641313E-6</v>
      </c>
      <c r="AK25" s="2">
        <v>21</v>
      </c>
      <c r="AL25" s="2">
        <f t="shared" si="10"/>
        <v>0.20147666190893398</v>
      </c>
      <c r="AM25" s="2">
        <v>-2.1526573474282829E-6</v>
      </c>
      <c r="AN25" s="2">
        <f t="shared" si="11"/>
        <v>0.20147932839897542</v>
      </c>
      <c r="AO25" s="2">
        <v>5.9720605580029784E-6</v>
      </c>
      <c r="AP25" s="2">
        <f t="shared" si="4"/>
        <v>0.2014779951539547</v>
      </c>
      <c r="AQ25" s="2">
        <v>1.9097197682532707E-6</v>
      </c>
      <c r="AR25" s="2">
        <f t="shared" si="5"/>
        <v>-4.1109722906594409E-12</v>
      </c>
      <c r="AS25" s="2">
        <f t="shared" si="6"/>
        <v>1.1404962104823947E-11</v>
      </c>
      <c r="AT25" s="2">
        <f t="shared" si="7"/>
        <v>2.6664900414363757E-6</v>
      </c>
    </row>
    <row r="26" spans="2:46" x14ac:dyDescent="0.2">
      <c r="B26" s="32"/>
      <c r="C26" s="9">
        <v>0.22500000000000001</v>
      </c>
      <c r="D26" s="3" t="s">
        <v>10</v>
      </c>
      <c r="F26" s="34"/>
      <c r="G26" s="32">
        <f>W39</f>
        <v>-5.7714195835639748E-9</v>
      </c>
      <c r="H26" s="32"/>
      <c r="J26" s="2" t="s">
        <v>89</v>
      </c>
      <c r="K26" s="7">
        <f>$C$41*K25*$C$29/$C$42</f>
        <v>1622957.2998232504</v>
      </c>
      <c r="L26" s="3"/>
      <c r="N26" s="2" t="s">
        <v>89</v>
      </c>
      <c r="O26" s="7">
        <f>$C$41*O25*$C$30/$C$42</f>
        <v>1401604.2086683239</v>
      </c>
      <c r="P26" s="3"/>
      <c r="R26" s="2" t="s">
        <v>64</v>
      </c>
      <c r="S26" s="2">
        <f>S25/PI()*180</f>
        <v>6.2383145192638008</v>
      </c>
      <c r="T26" s="2" t="s">
        <v>5</v>
      </c>
      <c r="U26" s="2"/>
      <c r="V26" s="2" t="s">
        <v>64</v>
      </c>
      <c r="W26" s="2">
        <f>W25/PI()*180</f>
        <v>7.068686639703806</v>
      </c>
      <c r="X26" s="2" t="s">
        <v>5</v>
      </c>
      <c r="Z26" s="2">
        <v>22</v>
      </c>
      <c r="AA26" s="2">
        <f t="shared" si="8"/>
        <v>0.2079908970801764</v>
      </c>
      <c r="AB26" s="2">
        <v>-1.6900060950397755E-6</v>
      </c>
      <c r="AC26" s="2">
        <f t="shared" si="9"/>
        <v>0.20799223032519715</v>
      </c>
      <c r="AD26" s="2">
        <v>2.3207808998865209E-6</v>
      </c>
      <c r="AE26" s="2">
        <f t="shared" si="0"/>
        <v>0.20799156370268679</v>
      </c>
      <c r="AF26" s="2">
        <v>3.1539139728337107E-7</v>
      </c>
      <c r="AG26" s="2">
        <f t="shared" si="1"/>
        <v>-5.3301338373200844E-13</v>
      </c>
      <c r="AH26" s="2">
        <f t="shared" si="2"/>
        <v>7.3195433080376918E-13</v>
      </c>
      <c r="AI26" s="2">
        <f t="shared" si="3"/>
        <v>1.3332450207459434E-6</v>
      </c>
      <c r="AK26" s="2">
        <v>22</v>
      </c>
      <c r="AL26" s="2">
        <f t="shared" si="10"/>
        <v>0.20147666190893398</v>
      </c>
      <c r="AM26" s="2">
        <v>-2.1526573474282829E-6</v>
      </c>
      <c r="AN26" s="2">
        <f t="shared" si="11"/>
        <v>0.2014779951539547</v>
      </c>
      <c r="AO26" s="2">
        <v>1.9097197682532707E-6</v>
      </c>
      <c r="AP26" s="2">
        <f t="shared" si="4"/>
        <v>0.20147732853144434</v>
      </c>
      <c r="AQ26" s="2">
        <v>-1.2146424873717143E-7</v>
      </c>
      <c r="AR26" s="2">
        <f t="shared" si="5"/>
        <v>2.614709074939286E-13</v>
      </c>
      <c r="AS26" s="2">
        <f t="shared" si="6"/>
        <v>-2.3196267694940867E-13</v>
      </c>
      <c r="AT26" s="2">
        <f t="shared" si="7"/>
        <v>1.3332450207181878E-6</v>
      </c>
    </row>
    <row r="27" spans="2:46" x14ac:dyDescent="0.2">
      <c r="B27" s="32"/>
      <c r="C27" s="9">
        <v>0.22500000000000001</v>
      </c>
      <c r="D27" s="3" t="s">
        <v>10</v>
      </c>
      <c r="F27" s="34"/>
      <c r="G27" s="32">
        <f>S58</f>
        <v>2.8131671818421022E-9</v>
      </c>
      <c r="H27" s="32"/>
      <c r="J27" s="2" t="s">
        <v>90</v>
      </c>
      <c r="K27" s="30">
        <f xml:space="preserve"> $S$46 * PI() * $C$41 * K25^2 * $S$52 * $C$22 * K22</f>
        <v>991.73268785653318</v>
      </c>
      <c r="L27" s="3" t="s">
        <v>92</v>
      </c>
      <c r="N27" s="2" t="s">
        <v>90</v>
      </c>
      <c r="O27" s="30">
        <f xml:space="preserve"> $W$46 * PI() * $C$41 * O25^2 * $W$52 * $C$23 * O22</f>
        <v>1067.6036174984533</v>
      </c>
      <c r="P27" s="3" t="s">
        <v>92</v>
      </c>
      <c r="R27" s="2" t="s">
        <v>73</v>
      </c>
      <c r="S27" s="2">
        <f xml:space="preserve"> $C$8*$C$27 / (2*PI()*$C$20)</f>
        <v>0.13021768071155074</v>
      </c>
      <c r="T27" s="2"/>
      <c r="U27" s="2"/>
      <c r="V27" s="2" t="s">
        <v>73</v>
      </c>
      <c r="W27" s="2">
        <f xml:space="preserve"> $C$8*$C$28 / (2*PI()*$C$21)</f>
        <v>0.10283857861322468</v>
      </c>
      <c r="X27" s="2"/>
      <c r="Z27" s="2">
        <v>23</v>
      </c>
      <c r="AA27" s="2">
        <f t="shared" si="8"/>
        <v>0.2079908970801764</v>
      </c>
      <c r="AB27" s="2">
        <v>-1.6900060950397755E-6</v>
      </c>
      <c r="AC27" s="2">
        <f t="shared" si="9"/>
        <v>0.20799156370268679</v>
      </c>
      <c r="AD27" s="2">
        <v>3.1539139728337107E-7</v>
      </c>
      <c r="AE27" s="2">
        <f t="shared" si="0"/>
        <v>0.20799123039143158</v>
      </c>
      <c r="AF27" s="2">
        <v>-6.8730635016667208E-7</v>
      </c>
      <c r="AG27" s="2">
        <f t="shared" si="1"/>
        <v>1.1615519209412179E-12</v>
      </c>
      <c r="AH27" s="2">
        <f t="shared" si="2"/>
        <v>-2.1677051014080063E-13</v>
      </c>
      <c r="AI27" s="2">
        <f t="shared" si="3"/>
        <v>6.666225103868495E-7</v>
      </c>
      <c r="AK27" s="2">
        <v>23</v>
      </c>
      <c r="AL27" s="2">
        <f t="shared" si="10"/>
        <v>0.20147732853144434</v>
      </c>
      <c r="AM27" s="2">
        <v>-1.2146424873717143E-7</v>
      </c>
      <c r="AN27" s="2">
        <f t="shared" si="11"/>
        <v>0.2014779951539547</v>
      </c>
      <c r="AO27" s="2">
        <v>1.9097197682532707E-6</v>
      </c>
      <c r="AP27" s="2">
        <f t="shared" si="4"/>
        <v>0.20147766184269952</v>
      </c>
      <c r="AQ27" s="2">
        <v>8.9412889494287773E-7</v>
      </c>
      <c r="AR27" s="2">
        <f t="shared" si="5"/>
        <v>-1.0860469449843392E-13</v>
      </c>
      <c r="AS27" s="2">
        <f t="shared" si="6"/>
        <v>1.7075356260388655E-12</v>
      </c>
      <c r="AT27" s="2">
        <f t="shared" si="7"/>
        <v>6.6662251035909392E-7</v>
      </c>
    </row>
    <row r="28" spans="2:46" x14ac:dyDescent="0.2">
      <c r="B28" s="32"/>
      <c r="C28" s="9">
        <v>0.21</v>
      </c>
      <c r="D28" s="3" t="s">
        <v>10</v>
      </c>
      <c r="F28" s="34"/>
      <c r="G28" s="32">
        <f>W58</f>
        <v>8.1482677983385488E-10</v>
      </c>
      <c r="H28" s="32"/>
      <c r="J28" s="2" t="s">
        <v>94</v>
      </c>
      <c r="K28" s="30">
        <f xml:space="preserve"> $S$46 * PI() * $C$41 * K25^2 * $S$53 * $C$22^2 * K22</f>
        <v>191.86032891858915</v>
      </c>
      <c r="L28" s="3" t="s">
        <v>93</v>
      </c>
      <c r="N28" s="2" t="s">
        <v>94</v>
      </c>
      <c r="O28" s="30">
        <f xml:space="preserve"> $W$46 * PI() * $C$41 * O25^2 * $W$53 * $C$23^2 * O22</f>
        <v>209.0910382006237</v>
      </c>
      <c r="P28" s="3" t="s">
        <v>93</v>
      </c>
      <c r="R28" s="2" t="s">
        <v>71</v>
      </c>
      <c r="S28" s="2">
        <f>IF(-$C$8*($G$3-$C$20)/(2*$C$20*SIN(S23))&gt;500, 1, 2*ACOS(MIN(1, EXP(-$C$8*($G$3-$C$20)/(2*$C$20*SIN(S23)))))/PI() )</f>
        <v>0.99931571126568908</v>
      </c>
      <c r="T28" s="2"/>
      <c r="U28" s="2"/>
      <c r="V28" s="2" t="s">
        <v>71</v>
      </c>
      <c r="W28" s="2">
        <f>IF(-$C$8*($G$3-$C$21)/(2*$C$21*SIN(W23))&gt;500, 1, 2*ACOS(MIN(1, EXP(-$C$8*($G$3-$C$21)/(2*$C$21*SIN(W23)))))/PI() )</f>
        <v>0.99537176520309123</v>
      </c>
      <c r="X28" s="2"/>
      <c r="Z28" s="2">
        <v>24</v>
      </c>
      <c r="AA28" s="2">
        <f t="shared" si="8"/>
        <v>0.20799123039143158</v>
      </c>
      <c r="AB28" s="2">
        <v>-6.8730635016667208E-7</v>
      </c>
      <c r="AC28" s="2">
        <f t="shared" si="9"/>
        <v>0.20799156370268679</v>
      </c>
      <c r="AD28" s="2">
        <v>3.1539139728337107E-7</v>
      </c>
      <c r="AE28" s="2">
        <f t="shared" si="0"/>
        <v>0.20799139704705918</v>
      </c>
      <c r="AF28" s="2">
        <v>-1.8595722674555337E-7</v>
      </c>
      <c r="AG28" s="2">
        <f t="shared" si="1"/>
        <v>1.2780958280160254E-13</v>
      </c>
      <c r="AH28" s="2">
        <f t="shared" si="2"/>
        <v>-5.8649309578220743E-14</v>
      </c>
      <c r="AI28" s="2">
        <f t="shared" si="3"/>
        <v>3.3331125520730254E-7</v>
      </c>
      <c r="AK28" s="2">
        <v>24</v>
      </c>
      <c r="AL28" s="2">
        <f t="shared" si="10"/>
        <v>0.20147732853144434</v>
      </c>
      <c r="AM28" s="2">
        <v>-1.2146424873717143E-7</v>
      </c>
      <c r="AN28" s="2">
        <f t="shared" si="11"/>
        <v>0.20147766184269952</v>
      </c>
      <c r="AO28" s="2">
        <v>8.9412889494287773E-7</v>
      </c>
      <c r="AP28" s="2">
        <f t="shared" si="4"/>
        <v>0.20147749518707192</v>
      </c>
      <c r="AQ28" s="2">
        <v>3.863326068359596E-7</v>
      </c>
      <c r="AR28" s="2">
        <f t="shared" si="5"/>
        <v>-4.6925599852002852E-14</v>
      </c>
      <c r="AS28" s="2">
        <f t="shared" si="6"/>
        <v>3.4543114683063782E-13</v>
      </c>
      <c r="AT28" s="2">
        <f t="shared" si="7"/>
        <v>3.3331125517954696E-7</v>
      </c>
    </row>
    <row r="29" spans="2:46" x14ac:dyDescent="0.2">
      <c r="B29" s="32"/>
      <c r="C29" s="9">
        <v>0.1875</v>
      </c>
      <c r="D29" s="3" t="s">
        <v>10</v>
      </c>
      <c r="F29" s="34"/>
      <c r="G29" s="32">
        <f>S77</f>
        <v>-4.7047981378833814E-9</v>
      </c>
      <c r="H29" s="32"/>
      <c r="R29" s="2" t="s">
        <v>72</v>
      </c>
      <c r="S29" s="2">
        <f>IF(-$C$8*($C$20-$C$10)/(2*$C$20*SIN(S23))&gt;500, 1, 2*ACOS(MIN(1, EXP(-$C$8*($C$20-$C$10)/(2*$C$20*SIN(S23)))))/PI() )</f>
        <v>0.99203993604646279</v>
      </c>
      <c r="T29" s="2"/>
      <c r="U29" s="2"/>
      <c r="V29" s="2" t="s">
        <v>72</v>
      </c>
      <c r="W29" s="2">
        <f>IF(-$C$8*($C$21-$C$10)/(2*$C$21*SIN(W23))&gt;500, 1, 2*ACOS(MIN(1, EXP(-$C$8*($C$21-$C$10)/(2*$C$21*SIN(W23)))))/PI() )</f>
        <v>0.99698380515021612</v>
      </c>
      <c r="X29" s="2"/>
      <c r="Z29" s="2">
        <v>25</v>
      </c>
      <c r="AA29" s="2">
        <f t="shared" si="8"/>
        <v>0.20799139704705918</v>
      </c>
      <c r="AB29" s="2">
        <v>-1.8595722674555337E-7</v>
      </c>
      <c r="AC29" s="2">
        <f t="shared" si="9"/>
        <v>0.20799156370268679</v>
      </c>
      <c r="AD29" s="2">
        <v>3.1539139728337107E-7</v>
      </c>
      <c r="AE29" s="2">
        <f t="shared" si="0"/>
        <v>0.20799148037487297</v>
      </c>
      <c r="AF29" s="2">
        <v>6.4717147654769214E-8</v>
      </c>
      <c r="AG29" s="2">
        <f t="shared" si="1"/>
        <v>-1.2034621300763376E-14</v>
      </c>
      <c r="AH29" s="2">
        <f t="shared" si="2"/>
        <v>2.0411231627031904E-14</v>
      </c>
      <c r="AI29" s="2">
        <f t="shared" si="3"/>
        <v>1.6665562760365127E-7</v>
      </c>
      <c r="AK29" s="2">
        <v>25</v>
      </c>
      <c r="AL29" s="2">
        <f t="shared" si="10"/>
        <v>0.20147732853144434</v>
      </c>
      <c r="AM29" s="2">
        <v>-1.2146424873717143E-7</v>
      </c>
      <c r="AN29" s="2">
        <f t="shared" si="11"/>
        <v>0.20147749518707192</v>
      </c>
      <c r="AO29" s="2">
        <v>3.863326068359596E-7</v>
      </c>
      <c r="AP29" s="2">
        <f t="shared" si="4"/>
        <v>0.20147741185925813</v>
      </c>
      <c r="AQ29" s="2">
        <v>1.3243425000218634E-7</v>
      </c>
      <c r="AR29" s="2">
        <f t="shared" si="5"/>
        <v>-1.6086026683586307E-14</v>
      </c>
      <c r="AS29" s="2">
        <f t="shared" si="6"/>
        <v>5.1163669037709838E-14</v>
      </c>
      <c r="AT29" s="2">
        <f t="shared" si="7"/>
        <v>1.6665562757589569E-7</v>
      </c>
    </row>
    <row r="30" spans="2:46" x14ac:dyDescent="0.2">
      <c r="B30" s="32"/>
      <c r="C30" s="9">
        <v>0.14249999999999999</v>
      </c>
      <c r="D30" s="3" t="s">
        <v>10</v>
      </c>
      <c r="F30" s="31" t="s">
        <v>104</v>
      </c>
      <c r="G30" s="32" t="b">
        <f>IF(G23&lt;0.00001,IF(G24&lt;0.00001,IF(G25&lt;0.00001,IF(G26&lt;0.00001,IF(G27&lt;0.00001,IF(G28&lt;0.00001,IF(G29&lt;0.00001,TRUE,FALSE),FALSE),FALSE),FALSE),FALSE),FALSE),FALSE)</f>
        <v>1</v>
      </c>
      <c r="H30" s="32"/>
      <c r="J30" s="35" t="s">
        <v>45</v>
      </c>
      <c r="K30" s="35"/>
      <c r="L30" s="35"/>
      <c r="R30" s="2" t="s">
        <v>70</v>
      </c>
      <c r="S30" s="2">
        <f>IF(S23=0,1,S28*S29)</f>
        <v>0.99136109429423969</v>
      </c>
      <c r="T30" s="2"/>
      <c r="U30" s="2"/>
      <c r="V30" s="2" t="s">
        <v>70</v>
      </c>
      <c r="W30" s="2">
        <f>IF(W23=0,1,W28*W29)</f>
        <v>0.99236953001126538</v>
      </c>
      <c r="X30" s="2"/>
      <c r="Z30" s="2">
        <v>26</v>
      </c>
      <c r="AA30" s="2">
        <f t="shared" si="8"/>
        <v>0.20799139704705918</v>
      </c>
      <c r="AB30" s="2">
        <v>-1.8595722674555337E-7</v>
      </c>
      <c r="AC30" s="2">
        <f t="shared" si="9"/>
        <v>0.20799148037487297</v>
      </c>
      <c r="AD30" s="2">
        <v>6.4717147654769214E-8</v>
      </c>
      <c r="AE30" s="2">
        <f t="shared" si="0"/>
        <v>0.20799143871096609</v>
      </c>
      <c r="AF30" s="2">
        <v>-6.0620023983187776E-8</v>
      </c>
      <c r="AG30" s="2">
        <f t="shared" si="1"/>
        <v>1.1272731545162532E-14</v>
      </c>
      <c r="AH30" s="2">
        <f t="shared" si="2"/>
        <v>-3.9231550429556146E-15</v>
      </c>
      <c r="AI30" s="2">
        <f t="shared" si="3"/>
        <v>8.3327813787947846E-8</v>
      </c>
      <c r="AK30" s="2">
        <v>26</v>
      </c>
      <c r="AL30" s="2">
        <f t="shared" si="10"/>
        <v>0.20147732853144434</v>
      </c>
      <c r="AM30" s="2">
        <v>-1.2146424873717143E-7</v>
      </c>
      <c r="AN30" s="2">
        <f t="shared" si="11"/>
        <v>0.20147741185925813</v>
      </c>
      <c r="AO30" s="2">
        <v>1.3243425000218634E-7</v>
      </c>
      <c r="AP30" s="2">
        <f t="shared" si="4"/>
        <v>0.20147737019535122</v>
      </c>
      <c r="AQ30" s="2">
        <v>5.4850182954618854E-9</v>
      </c>
      <c r="AR30" s="2">
        <f t="shared" si="5"/>
        <v>-6.6623362656791856E-16</v>
      </c>
      <c r="AS30" s="2">
        <f t="shared" si="6"/>
        <v>7.2640428420776528E-16</v>
      </c>
      <c r="AT30" s="2">
        <f t="shared" si="7"/>
        <v>8.3327813787947846E-8</v>
      </c>
    </row>
    <row r="31" spans="2:46" x14ac:dyDescent="0.2">
      <c r="B31" s="32"/>
      <c r="C31" s="9">
        <v>0.12</v>
      </c>
      <c r="D31" s="3" t="s">
        <v>10</v>
      </c>
      <c r="J31" s="2" t="s">
        <v>91</v>
      </c>
      <c r="K31" s="2">
        <f>$C$24-$C$23</f>
        <v>0.15000000000000013</v>
      </c>
      <c r="L31" s="3" t="s">
        <v>10</v>
      </c>
      <c r="R31" s="2" t="s">
        <v>48</v>
      </c>
      <c r="S31" s="2">
        <f>IF(S26&lt;$BA$4, $AW$5*S26^2 + $AX$5*S26 + $AY$5, IF(S26&gt;$BB$4, $BC$5*S26^2 + $BD$5*S26 + $BE$5, $AZ$5*S26^2 + $BA$5*S26 + $BB$5))</f>
        <v>1.020712650200986</v>
      </c>
      <c r="T31" s="2"/>
      <c r="U31" s="2"/>
      <c r="V31" s="2" t="s">
        <v>48</v>
      </c>
      <c r="W31" s="2">
        <f>IF(W26&lt;$BA$4, $AW$5*W26^2 + $AX$5*W26 + $AY$5, IF(W26&gt;$BB$4, $BC$5*W26^2 + $BD$5*W26 + $BE$5, $AZ$5*W26^2 + $BA$5*W26 + $BB$5))</f>
        <v>1.1065293253251292</v>
      </c>
      <c r="X31" s="2"/>
      <c r="Z31" s="2">
        <v>27</v>
      </c>
      <c r="AA31" s="2">
        <f t="shared" si="8"/>
        <v>0.20799143871096609</v>
      </c>
      <c r="AB31" s="2">
        <v>-6.0620023983187776E-8</v>
      </c>
      <c r="AC31" s="2">
        <f t="shared" si="9"/>
        <v>0.20799148037487297</v>
      </c>
      <c r="AD31" s="2">
        <v>6.4717147654769214E-8</v>
      </c>
      <c r="AE31" s="2">
        <f t="shared" si="0"/>
        <v>0.20799145954291953</v>
      </c>
      <c r="AF31" s="2">
        <v>2.048565747592157E-9</v>
      </c>
      <c r="AG31" s="2">
        <f t="shared" si="1"/>
        <v>-1.2418410475017355E-16</v>
      </c>
      <c r="AH31" s="2">
        <f t="shared" si="2"/>
        <v>1.3257733196742431E-16</v>
      </c>
      <c r="AI31" s="2">
        <f t="shared" si="3"/>
        <v>4.1663906880096135E-8</v>
      </c>
      <c r="AK31" s="2">
        <v>27</v>
      </c>
      <c r="AL31" s="2">
        <f t="shared" si="10"/>
        <v>0.20147732853144434</v>
      </c>
      <c r="AM31" s="2">
        <v>-1.2146424873717143E-7</v>
      </c>
      <c r="AN31" s="2">
        <f t="shared" si="11"/>
        <v>0.20147737019535122</v>
      </c>
      <c r="AO31" s="2">
        <v>5.4850182954618854E-9</v>
      </c>
      <c r="AP31" s="2">
        <f t="shared" si="4"/>
        <v>0.20147734936339778</v>
      </c>
      <c r="AQ31" s="2">
        <v>-5.798961079730991E-8</v>
      </c>
      <c r="AR31" s="2">
        <f t="shared" si="5"/>
        <v>7.0436645100562132E-15</v>
      </c>
      <c r="AS31" s="2">
        <f t="shared" si="6"/>
        <v>-3.1807407616995893E-16</v>
      </c>
      <c r="AT31" s="2">
        <f t="shared" si="7"/>
        <v>4.1663906880096135E-8</v>
      </c>
    </row>
    <row r="32" spans="2:46" x14ac:dyDescent="0.2">
      <c r="B32" s="32" t="s">
        <v>20</v>
      </c>
      <c r="C32" s="9">
        <v>17</v>
      </c>
      <c r="D32" s="3" t="s">
        <v>5</v>
      </c>
      <c r="J32" s="2" t="s">
        <v>86</v>
      </c>
      <c r="K32" s="2">
        <f>(1+$S$75)*$C$3</f>
        <v>22.703910763441108</v>
      </c>
      <c r="L32" s="3" t="s">
        <v>2</v>
      </c>
      <c r="R32" s="2" t="s">
        <v>49</v>
      </c>
      <c r="S32" s="2">
        <f>IF(S26&lt;$BA$4, $AW$6*S26^2 + $AX$6*S26 + $AY$6, IF(S26&gt;$BB$4, $BC$6*S26^2 + $BD$6*S26 + $BE$6, $AZ$6*S26^2 + $BA$6*S26 + $BB$6))</f>
        <v>1.0167519377578317E-2</v>
      </c>
      <c r="T32" s="2"/>
      <c r="U32" s="2"/>
      <c r="V32" s="2" t="s">
        <v>49</v>
      </c>
      <c r="W32" s="2">
        <f>IF(W26&lt;$BA$4, $AW$6*W26^2 + $AX$6*W26 + $AY$6, IF(W26&gt;$BB$4, $BC$6*W26^2 + $BD$6*W26 + $BE$6, $AZ$6*W26^2 + $BA$6*W26 + $BB$6))</f>
        <v>1.1611781927534655E-2</v>
      </c>
      <c r="X32" s="2"/>
      <c r="Z32" s="2">
        <v>28</v>
      </c>
      <c r="AA32" s="2">
        <f t="shared" si="8"/>
        <v>0.20799143871096609</v>
      </c>
      <c r="AB32" s="2">
        <v>-6.0620023983187776E-8</v>
      </c>
      <c r="AC32" s="2">
        <f t="shared" si="9"/>
        <v>0.20799145954291953</v>
      </c>
      <c r="AD32" s="2">
        <v>2.048565747592157E-9</v>
      </c>
      <c r="AE32" s="2">
        <f t="shared" si="0"/>
        <v>0.20799144912694281</v>
      </c>
      <c r="AF32" s="2">
        <v>-2.9285728054412319E-8</v>
      </c>
      <c r="AG32" s="2">
        <f t="shared" si="1"/>
        <v>1.7753015370235899E-15</v>
      </c>
      <c r="AH32" s="2">
        <f t="shared" si="2"/>
        <v>-5.9993739385567785E-17</v>
      </c>
      <c r="AI32" s="2">
        <f t="shared" si="3"/>
        <v>2.0831953440048068E-8</v>
      </c>
      <c r="AK32" s="2">
        <v>28</v>
      </c>
      <c r="AL32" s="2">
        <f t="shared" si="10"/>
        <v>0.20147734936339778</v>
      </c>
      <c r="AM32" s="2">
        <v>-5.798961079730991E-8</v>
      </c>
      <c r="AN32" s="2">
        <f t="shared" si="11"/>
        <v>0.20147737019535122</v>
      </c>
      <c r="AO32" s="2">
        <v>5.4850182954618854E-9</v>
      </c>
      <c r="AP32" s="2">
        <f t="shared" si="4"/>
        <v>0.2014773597793745</v>
      </c>
      <c r="AQ32" s="2">
        <v>-2.6252295174528095E-8</v>
      </c>
      <c r="AR32" s="2">
        <f t="shared" si="5"/>
        <v>1.5223603797069812E-15</v>
      </c>
      <c r="AS32" s="2">
        <f t="shared" si="6"/>
        <v>-1.4399431933015238E-16</v>
      </c>
      <c r="AT32" s="2">
        <f t="shared" si="7"/>
        <v>2.0831953440048068E-8</v>
      </c>
    </row>
    <row r="33" spans="2:46" x14ac:dyDescent="0.2">
      <c r="B33" s="32"/>
      <c r="C33" s="9">
        <v>17</v>
      </c>
      <c r="D33" s="3" t="s">
        <v>5</v>
      </c>
      <c r="J33" s="2" t="s">
        <v>87</v>
      </c>
      <c r="K33" s="2">
        <f>(1-$S$76)*$G$5*$C$24</f>
        <v>160.81587952991913</v>
      </c>
      <c r="L33" s="3" t="s">
        <v>2</v>
      </c>
      <c r="R33" s="2" t="s">
        <v>66</v>
      </c>
      <c r="S33" s="2">
        <f xml:space="preserve"> S31*COS(S23) - S32*SIN(S23)</f>
        <v>1.0008621747712489</v>
      </c>
      <c r="T33" s="2"/>
      <c r="V33" s="2" t="s">
        <v>66</v>
      </c>
      <c r="W33" s="2">
        <f xml:space="preserve"> W31*COS(W23) - W32*SIN(W23)</f>
        <v>1.0879455680370056</v>
      </c>
      <c r="X33" s="2"/>
      <c r="Z33" s="2">
        <v>29</v>
      </c>
      <c r="AA33" s="2">
        <f t="shared" si="8"/>
        <v>0.20799144912694281</v>
      </c>
      <c r="AB33" s="2">
        <v>-2.9285728054412319E-8</v>
      </c>
      <c r="AC33" s="2">
        <f t="shared" si="9"/>
        <v>0.20799145954291953</v>
      </c>
      <c r="AD33" s="2">
        <v>2.048565747592157E-9</v>
      </c>
      <c r="AE33" s="2">
        <f>(AA33+AC33)/2</f>
        <v>0.20799145433493116</v>
      </c>
      <c r="AF33" s="2">
        <v>-1.3618580967794669E-8</v>
      </c>
      <c r="AG33" s="2">
        <f t="shared" si="1"/>
        <v>3.9883005870983002E-16</v>
      </c>
      <c r="AH33" s="2">
        <f t="shared" si="2"/>
        <v>-2.7898558501434608E-17</v>
      </c>
      <c r="AI33" s="2">
        <f t="shared" si="3"/>
        <v>1.0415976720024034E-8</v>
      </c>
      <c r="AK33" s="2">
        <v>29</v>
      </c>
      <c r="AL33" s="2">
        <f t="shared" si="10"/>
        <v>0.2014773597793745</v>
      </c>
      <c r="AM33" s="2">
        <v>-2.6252295174528095E-8</v>
      </c>
      <c r="AN33" s="2">
        <f t="shared" si="11"/>
        <v>0.20147737019535122</v>
      </c>
      <c r="AO33" s="2">
        <v>5.4850182954618854E-9</v>
      </c>
      <c r="AP33" s="2">
        <f>(AL33+AN33)/2</f>
        <v>0.20147736498736285</v>
      </c>
      <c r="AQ33" s="2">
        <v>-1.0383638114272453E-8</v>
      </c>
      <c r="AR33" s="2">
        <f t="shared" si="5"/>
        <v>2.7259433276136073E-16</v>
      </c>
      <c r="AS33" s="2">
        <f t="shared" si="6"/>
        <v>-5.6954445030239757E-17</v>
      </c>
      <c r="AT33" s="2">
        <f t="shared" si="7"/>
        <v>1.0415976720024034E-8</v>
      </c>
    </row>
    <row r="34" spans="2:46" x14ac:dyDescent="0.2">
      <c r="B34" s="32"/>
      <c r="C34" s="9">
        <v>17</v>
      </c>
      <c r="D34" s="3" t="s">
        <v>5</v>
      </c>
      <c r="J34" s="2" t="s">
        <v>88</v>
      </c>
      <c r="K34" s="2">
        <f>SQRT(K32^2 + K33^2)</f>
        <v>162.41063596001266</v>
      </c>
      <c r="L34" s="3" t="s">
        <v>2</v>
      </c>
      <c r="R34" s="2" t="s">
        <v>67</v>
      </c>
      <c r="S34" s="2">
        <f xml:space="preserve"> S31*SIN(S23) + S32*COS(S23)</f>
        <v>0.20058065670143696</v>
      </c>
      <c r="T34" s="2"/>
      <c r="V34" s="2" t="s">
        <v>67</v>
      </c>
      <c r="W34" s="2">
        <f xml:space="preserve"> W31*SIN(W23) + W32*COS(W23)</f>
        <v>0.20227808154284965</v>
      </c>
      <c r="X34" s="2"/>
      <c r="Z34" s="2">
        <v>30</v>
      </c>
      <c r="AA34" s="2">
        <f t="shared" si="8"/>
        <v>0.20799145433493116</v>
      </c>
      <c r="AB34" s="2">
        <v>-1.3618580967794669E-8</v>
      </c>
      <c r="AC34" s="2">
        <f t="shared" si="9"/>
        <v>0.20799145954291953</v>
      </c>
      <c r="AD34" s="2">
        <v>2.048565747592157E-9</v>
      </c>
      <c r="AE34" s="25">
        <f>(AA34+AC34)/2</f>
        <v>0.20799145693892535</v>
      </c>
      <c r="AF34" s="2">
        <v>-5.785007573672063E-9</v>
      </c>
      <c r="AG34" s="2">
        <f t="shared" si="1"/>
        <v>7.8783594041358369E-17</v>
      </c>
      <c r="AH34" s="2">
        <f t="shared" si="2"/>
        <v>-1.18509683649858E-17</v>
      </c>
      <c r="AI34" s="2">
        <f t="shared" si="3"/>
        <v>5.2079883738898047E-9</v>
      </c>
      <c r="AK34" s="2">
        <v>30</v>
      </c>
      <c r="AL34" s="2">
        <f t="shared" si="10"/>
        <v>0.20147736498736285</v>
      </c>
      <c r="AM34" s="2">
        <v>-1.0383638114272453E-8</v>
      </c>
      <c r="AN34" s="2">
        <f t="shared" si="11"/>
        <v>0.20147737019535122</v>
      </c>
      <c r="AO34" s="2">
        <v>5.4850182954618854E-9</v>
      </c>
      <c r="AP34" s="25">
        <f>(AL34+AN34)/2</f>
        <v>0.20147736759135704</v>
      </c>
      <c r="AQ34" s="2">
        <v>-2.4493098400163449E-9</v>
      </c>
      <c r="AR34" s="2">
        <f t="shared" si="5"/>
        <v>2.5432747008456283E-17</v>
      </c>
      <c r="AS34" s="2">
        <f t="shared" si="6"/>
        <v>-1.3434509283744475E-17</v>
      </c>
      <c r="AT34" s="2">
        <f t="shared" si="7"/>
        <v>5.2079883738898047E-9</v>
      </c>
    </row>
    <row r="35" spans="2:46" x14ac:dyDescent="0.2">
      <c r="B35" s="32"/>
      <c r="C35" s="9">
        <v>17</v>
      </c>
      <c r="D35" s="3" t="s">
        <v>5</v>
      </c>
      <c r="J35" s="2" t="s">
        <v>89</v>
      </c>
      <c r="K35" s="7">
        <f>$C$41*K34*$C$31/$C$42</f>
        <v>1319025.6069680585</v>
      </c>
      <c r="L35" s="3"/>
      <c r="R35" s="2" t="s">
        <v>68</v>
      </c>
      <c r="S35" s="2">
        <f xml:space="preserve"> 4*S30*SIN(S23)*SIN(S23) / (S27*S33)</f>
        <v>1.0608397615755258</v>
      </c>
      <c r="T35" s="2"/>
      <c r="V35" s="2" t="s">
        <v>68</v>
      </c>
      <c r="W35" s="2">
        <f xml:space="preserve"> 4*W30*SIN(W23)*SIN(W23) / (W27*W33)</f>
        <v>1.0553208123420315</v>
      </c>
      <c r="X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46" x14ac:dyDescent="0.2">
      <c r="B36" s="32"/>
      <c r="C36" s="9">
        <v>17</v>
      </c>
      <c r="D36" s="3" t="s">
        <v>5</v>
      </c>
      <c r="J36" s="2" t="s">
        <v>90</v>
      </c>
      <c r="K36" s="30">
        <f xml:space="preserve"> $S$65 * PI() * $C$41 * K34^2 * $S$71 * $C$24 * K31</f>
        <v>1123.1849423702465</v>
      </c>
      <c r="L36" s="3" t="s">
        <v>92</v>
      </c>
      <c r="R36" s="2" t="s">
        <v>69</v>
      </c>
      <c r="S36" s="2">
        <f xml:space="preserve"> 4*S30*SIN(S23)*COS(S23) / (S27*S34)</f>
        <v>27.850163191046324</v>
      </c>
      <c r="T36" s="2"/>
      <c r="V36" s="2" t="s">
        <v>69</v>
      </c>
      <c r="W36" s="2">
        <f xml:space="preserve"> 4*W30*SIN(W23)*COS(W23) / (W27*W34)</f>
        <v>32.417433011526782</v>
      </c>
      <c r="X36" s="2"/>
      <c r="Z36" s="33" t="s">
        <v>79</v>
      </c>
      <c r="AA36" s="33"/>
      <c r="AB36" s="33"/>
      <c r="AC36" s="33"/>
      <c r="AD36" s="33"/>
      <c r="AE36" s="33"/>
      <c r="AF36" s="33"/>
      <c r="AG36" s="33"/>
      <c r="AH36" s="33"/>
      <c r="AI36" s="33"/>
      <c r="AK36" s="33" t="s">
        <v>80</v>
      </c>
      <c r="AL36" s="33"/>
      <c r="AM36" s="33"/>
      <c r="AN36" s="33"/>
      <c r="AO36" s="33"/>
      <c r="AP36" s="33"/>
      <c r="AQ36" s="33"/>
      <c r="AR36" s="33"/>
      <c r="AS36" s="33"/>
      <c r="AT36" s="33"/>
    </row>
    <row r="37" spans="2:46" x14ac:dyDescent="0.2">
      <c r="B37" s="32"/>
      <c r="C37" s="9">
        <v>17</v>
      </c>
      <c r="D37" s="3" t="s">
        <v>5</v>
      </c>
      <c r="J37" s="2" t="s">
        <v>94</v>
      </c>
      <c r="K37" s="30">
        <f xml:space="preserve"> $S$65 * PI() * $C$41 * K34^2 * $S$72 * $C$24^2 * K31</f>
        <v>245.74084052989255</v>
      </c>
      <c r="L37" s="3" t="s">
        <v>93</v>
      </c>
      <c r="R37" s="2" t="s">
        <v>34</v>
      </c>
      <c r="S37" s="2">
        <f>1/(S35-1)</f>
        <v>16.436619311182056</v>
      </c>
      <c r="T37" s="2"/>
      <c r="V37" s="2" t="s">
        <v>34</v>
      </c>
      <c r="W37" s="2">
        <f>1/(W35-1)</f>
        <v>18.076379533570648</v>
      </c>
      <c r="X37" s="2"/>
      <c r="Z37" s="8" t="s">
        <v>33</v>
      </c>
      <c r="AA37" s="8" t="s">
        <v>34</v>
      </c>
      <c r="AB37" s="8" t="s">
        <v>35</v>
      </c>
      <c r="AC37" s="8" t="s">
        <v>36</v>
      </c>
      <c r="AD37" s="8" t="s">
        <v>37</v>
      </c>
      <c r="AE37" s="8" t="s">
        <v>38</v>
      </c>
      <c r="AF37" s="8" t="s">
        <v>39</v>
      </c>
      <c r="AG37" s="8" t="s">
        <v>40</v>
      </c>
      <c r="AH37" s="8" t="s">
        <v>41</v>
      </c>
      <c r="AI37" s="8" t="s">
        <v>42</v>
      </c>
      <c r="AK37" s="8" t="s">
        <v>33</v>
      </c>
      <c r="AL37" s="8" t="s">
        <v>34</v>
      </c>
      <c r="AM37" s="8" t="s">
        <v>35</v>
      </c>
      <c r="AN37" s="8" t="s">
        <v>36</v>
      </c>
      <c r="AO37" s="8" t="s">
        <v>37</v>
      </c>
      <c r="AP37" s="8" t="s">
        <v>38</v>
      </c>
      <c r="AQ37" s="8" t="s">
        <v>39</v>
      </c>
      <c r="AR37" s="8" t="s">
        <v>40</v>
      </c>
      <c r="AS37" s="8" t="s">
        <v>41</v>
      </c>
      <c r="AT37" s="8" t="s">
        <v>42</v>
      </c>
    </row>
    <row r="38" spans="2:46" x14ac:dyDescent="0.2">
      <c r="B38" s="32"/>
      <c r="C38" s="9">
        <v>17</v>
      </c>
      <c r="D38" s="3" t="s">
        <v>5</v>
      </c>
      <c r="R38" s="2" t="s">
        <v>74</v>
      </c>
      <c r="S38" s="2">
        <f>1/(S36+1)</f>
        <v>3.4661848994682672E-2</v>
      </c>
      <c r="T38" s="2"/>
      <c r="V38" s="2" t="s">
        <v>74</v>
      </c>
      <c r="W38" s="2">
        <f>1/(W36+1)</f>
        <v>2.9924500773445609E-2</v>
      </c>
      <c r="X38" s="2"/>
      <c r="Z38" s="15">
        <v>0</v>
      </c>
      <c r="AA38" s="15"/>
      <c r="AB38" s="15">
        <f>$S$39</f>
        <v>-7.1855308803742135E-9</v>
      </c>
      <c r="AC38" s="15"/>
      <c r="AD38" s="15">
        <f>$S$39</f>
        <v>-7.1855308803742135E-9</v>
      </c>
      <c r="AE38" s="15"/>
      <c r="AF38" s="15">
        <f>$S$39</f>
        <v>-7.1855308803742135E-9</v>
      </c>
      <c r="AG38" s="15"/>
      <c r="AH38" s="15"/>
      <c r="AI38" s="15"/>
      <c r="AK38" s="15">
        <v>0</v>
      </c>
      <c r="AL38" s="15"/>
      <c r="AM38" s="15">
        <f>$W$39</f>
        <v>-5.7714195835639748E-9</v>
      </c>
      <c r="AN38" s="15"/>
      <c r="AO38" s="15">
        <f>$W$39</f>
        <v>-5.7714195835639748E-9</v>
      </c>
      <c r="AP38" s="15"/>
      <c r="AQ38" s="15">
        <f>$W$39</f>
        <v>-5.7714195835639748E-9</v>
      </c>
      <c r="AR38" s="15"/>
      <c r="AS38" s="15"/>
      <c r="AT38" s="15"/>
    </row>
    <row r="39" spans="2:46" x14ac:dyDescent="0.2">
      <c r="B39" s="2"/>
      <c r="C39" s="2"/>
      <c r="D39" s="3"/>
      <c r="R39" s="8" t="s">
        <v>75</v>
      </c>
      <c r="S39" s="29">
        <f>SIN(S23)/(1+S37) - $C$3*COS(S23)/($G$5*$C$20*(1-S38))</f>
        <v>-7.1855308803742135E-9</v>
      </c>
      <c r="T39" s="29"/>
      <c r="V39" s="8" t="s">
        <v>75</v>
      </c>
      <c r="W39" s="29">
        <f>SIN(W23)/(1+W37) - $C$3*COS(W23)/($G$5*$C$21*(1-W38))</f>
        <v>-5.7714195835639748E-9</v>
      </c>
      <c r="X39" s="29"/>
      <c r="Z39" s="2">
        <v>1</v>
      </c>
      <c r="AA39" s="9">
        <f>0.01*PI()</f>
        <v>3.1415926535897934E-2</v>
      </c>
      <c r="AB39" s="2">
        <f t="dataTable" ref="AB39:AB68" dt2D="0" dtr="0" r1="S23" ca="1"/>
        <v>-1.4146435659697671</v>
      </c>
      <c r="AC39" s="9">
        <f>0.9*PI()</f>
        <v>2.8274333882308138</v>
      </c>
      <c r="AD39" s="2">
        <f t="dataTable" ref="AD39:AD68" dt2D="0" dtr="0" r1="S23" ca="1"/>
        <v>0.18263494917145773</v>
      </c>
      <c r="AE39" s="2">
        <f>(AA39+AC39)/2</f>
        <v>1.4294246573833558</v>
      </c>
      <c r="AF39" s="2">
        <f t="dataTable" ref="AF39:AF68" dt2D="0" dtr="0" r1="S23"/>
        <v>0.96914364094302141</v>
      </c>
      <c r="AG39" s="2">
        <f>AB39*AF39</f>
        <v>-1.3709928161605593</v>
      </c>
      <c r="AH39" s="2">
        <f>AD39*AF39</f>
        <v>0.1769994996034702</v>
      </c>
      <c r="AI39" s="2">
        <f>AC39-AA39</f>
        <v>2.7960174616949161</v>
      </c>
      <c r="AK39" s="2">
        <v>1</v>
      </c>
      <c r="AL39" s="9">
        <f>0.01*PI()</f>
        <v>3.1415926535897934E-2</v>
      </c>
      <c r="AM39" s="2">
        <f t="dataTable" ref="AM39:AM68" dt2D="0" dtr="0" r1="W23" ca="1"/>
        <v>-1.1110512279668208</v>
      </c>
      <c r="AN39" s="9">
        <f>0.9*PI()</f>
        <v>2.8274333882308138</v>
      </c>
      <c r="AO39" s="2">
        <f t="dataTable" ref="AO39:AO68" dt2D="0" dtr="0" r1="W23" ca="1"/>
        <v>0.20783581121173944</v>
      </c>
      <c r="AP39" s="2">
        <f>(AL39+AN39)/2</f>
        <v>1.4294246573833558</v>
      </c>
      <c r="AQ39" s="2">
        <f t="dataTable" ref="AQ39:AQ68" dt2D="0" dtr="0" r1="W23"/>
        <v>0.97190949455447628</v>
      </c>
      <c r="AR39" s="2">
        <f>AM39*AQ39</f>
        <v>-1.0798412373973629</v>
      </c>
      <c r="AS39" s="2">
        <f>AO39*AQ39</f>
        <v>0.20199759822512123</v>
      </c>
      <c r="AT39" s="2">
        <f>AN39-AL39</f>
        <v>2.7960174616949161</v>
      </c>
    </row>
    <row r="40" spans="2:46" x14ac:dyDescent="0.2">
      <c r="B40" s="33" t="s">
        <v>11</v>
      </c>
      <c r="C40" s="33"/>
      <c r="D40" s="33"/>
      <c r="Z40" s="2">
        <v>2</v>
      </c>
      <c r="AA40" s="2">
        <f>IF(AG39&gt;0,AE39,AA39)</f>
        <v>3.1415926535897934E-2</v>
      </c>
      <c r="AB40" s="2">
        <v>-1.4146435659697671</v>
      </c>
      <c r="AC40" s="2">
        <f>IF(AH39&gt;0,AE39,AC39)</f>
        <v>1.4294246573833558</v>
      </c>
      <c r="AD40" s="2">
        <v>0.96914364094302141</v>
      </c>
      <c r="AE40" s="2">
        <f t="shared" ref="AE40:AE66" si="12">(AA40+AC40)/2</f>
        <v>0.73042029195962688</v>
      </c>
      <c r="AF40" s="2">
        <v>0.69139498876440841</v>
      </c>
      <c r="AG40" s="2">
        <f t="shared" ref="AG40:AG68" si="13">AB40*AF40</f>
        <v>-0.97807747239930976</v>
      </c>
      <c r="AH40" s="2">
        <f t="shared" ref="AH40:AH68" si="14">AD40*AF40</f>
        <v>0.67006105674089811</v>
      </c>
      <c r="AI40" s="2">
        <f t="shared" ref="AI40:AI68" si="15">AC40-AA40</f>
        <v>1.3980087308474578</v>
      </c>
      <c r="AK40" s="2">
        <v>2</v>
      </c>
      <c r="AL40" s="2">
        <f>IF(AR39&gt;0,AP39,AL39)</f>
        <v>3.1415926535897934E-2</v>
      </c>
      <c r="AM40" s="2">
        <v>-1.1110512279668208</v>
      </c>
      <c r="AN40" s="2">
        <f>IF(AS39&gt;0,AP39,AN39)</f>
        <v>1.4294246573833558</v>
      </c>
      <c r="AO40" s="2">
        <v>0.97190949455447628</v>
      </c>
      <c r="AP40" s="2">
        <f t="shared" ref="AP40:AP66" si="16">(AL40+AN40)/2</f>
        <v>0.73042029195962688</v>
      </c>
      <c r="AQ40" s="2">
        <v>0.68752966668253723</v>
      </c>
      <c r="AR40" s="2">
        <f t="shared" ref="AR40:AR68" si="17">AM40*AQ40</f>
        <v>-0.76388068043125201</v>
      </c>
      <c r="AS40" s="2">
        <f t="shared" ref="AS40:AS68" si="18">AO40*AQ40</f>
        <v>0.66821661083663231</v>
      </c>
      <c r="AT40" s="2">
        <f t="shared" ref="AT40:AT68" si="19">AN40-AL40</f>
        <v>1.3980087308474578</v>
      </c>
    </row>
    <row r="41" spans="2:46" x14ac:dyDescent="0.2">
      <c r="B41" s="2" t="s">
        <v>12</v>
      </c>
      <c r="C41" s="9">
        <v>1.2250000000000001</v>
      </c>
      <c r="D41" s="3" t="s">
        <v>14</v>
      </c>
      <c r="R41" s="35" t="s">
        <v>43</v>
      </c>
      <c r="S41" s="35"/>
      <c r="T41" s="35"/>
      <c r="U41" s="2"/>
      <c r="V41" s="35" t="s">
        <v>44</v>
      </c>
      <c r="W41" s="35"/>
      <c r="X41" s="35"/>
      <c r="Z41" s="2">
        <v>3</v>
      </c>
      <c r="AA41" s="2">
        <f t="shared" ref="AA41:AA68" si="20">IF(AG40&gt;0,AE40,AA40)</f>
        <v>3.1415926535897934E-2</v>
      </c>
      <c r="AB41" s="2">
        <v>-1.4146435659697671</v>
      </c>
      <c r="AC41" s="2">
        <f t="shared" ref="AC41:AC68" si="21">IF(AH40&gt;0,AE40,AC40)</f>
        <v>0.73042029195962688</v>
      </c>
      <c r="AD41" s="2">
        <v>0.69139498876440841</v>
      </c>
      <c r="AE41" s="2">
        <f t="shared" si="12"/>
        <v>0.38091810924776243</v>
      </c>
      <c r="AF41" s="2">
        <v>0.3734361156170265</v>
      </c>
      <c r="AG41" s="2">
        <f t="shared" si="13"/>
        <v>-0.52827899825836866</v>
      </c>
      <c r="AH41" s="2">
        <f t="shared" si="14"/>
        <v>0.25819185896125835</v>
      </c>
      <c r="AI41" s="2">
        <f t="shared" si="15"/>
        <v>0.6990043654237289</v>
      </c>
      <c r="AK41" s="2">
        <v>3</v>
      </c>
      <c r="AL41" s="2">
        <f t="shared" ref="AL41:AL68" si="22">IF(AR40&gt;0,AP40,AL40)</f>
        <v>3.1415926535897934E-2</v>
      </c>
      <c r="AM41" s="2">
        <v>-1.1110512279668208</v>
      </c>
      <c r="AN41" s="2">
        <f t="shared" ref="AN41:AN68" si="23">IF(AS40&gt;0,AP40,AN40)</f>
        <v>0.73042029195962688</v>
      </c>
      <c r="AO41" s="2">
        <v>0.68752966668253723</v>
      </c>
      <c r="AP41" s="2">
        <f t="shared" si="16"/>
        <v>0.38091810924776243</v>
      </c>
      <c r="AQ41" s="2">
        <v>0.37278580602819045</v>
      </c>
      <c r="AR41" s="2">
        <f t="shared" si="17"/>
        <v>-0.41418412755622203</v>
      </c>
      <c r="AS41" s="2">
        <f t="shared" si="18"/>
        <v>0.25630130096254278</v>
      </c>
      <c r="AT41" s="2">
        <f t="shared" si="19"/>
        <v>0.6990043654237289</v>
      </c>
    </row>
    <row r="42" spans="2:46" x14ac:dyDescent="0.2">
      <c r="B42" s="2" t="s">
        <v>13</v>
      </c>
      <c r="C42" s="26">
        <v>1.8099999999999999E-5</v>
      </c>
      <c r="D42" s="3" t="s">
        <v>15</v>
      </c>
      <c r="R42" s="27" t="s">
        <v>46</v>
      </c>
      <c r="S42" s="28">
        <f>AE102</f>
        <v>0.15917621123783066</v>
      </c>
      <c r="T42" s="25" t="s">
        <v>27</v>
      </c>
      <c r="U42" s="2"/>
      <c r="V42" s="27" t="s">
        <v>46</v>
      </c>
      <c r="W42" s="28">
        <f>AP102</f>
        <v>0.14032705874228479</v>
      </c>
      <c r="X42" s="25" t="s">
        <v>27</v>
      </c>
      <c r="Z42" s="2">
        <v>4</v>
      </c>
      <c r="AA42" s="2">
        <f t="shared" si="20"/>
        <v>3.1415926535897934E-2</v>
      </c>
      <c r="AB42" s="2">
        <v>-1.4146435659697671</v>
      </c>
      <c r="AC42" s="2">
        <f t="shared" si="21"/>
        <v>0.38091810924776243</v>
      </c>
      <c r="AD42" s="2">
        <v>0.3734361156170265</v>
      </c>
      <c r="AE42" s="2">
        <f t="shared" si="12"/>
        <v>0.20616701789183017</v>
      </c>
      <c r="AF42" s="2">
        <v>5.0525333285568484E-2</v>
      </c>
      <c r="AG42" s="2">
        <f t="shared" si="13"/>
        <v>-7.1475337650907578E-2</v>
      </c>
      <c r="AH42" s="2">
        <f t="shared" si="14"/>
        <v>1.886798420241835E-2</v>
      </c>
      <c r="AI42" s="2">
        <f t="shared" si="15"/>
        <v>0.34950218271186451</v>
      </c>
      <c r="AK42" s="2">
        <v>4</v>
      </c>
      <c r="AL42" s="2">
        <f t="shared" si="22"/>
        <v>3.1415926535897934E-2</v>
      </c>
      <c r="AM42" s="2">
        <v>-1.1110512279668208</v>
      </c>
      <c r="AN42" s="2">
        <f t="shared" si="23"/>
        <v>0.38091810924776243</v>
      </c>
      <c r="AO42" s="2">
        <v>0.37278580602819045</v>
      </c>
      <c r="AP42" s="2">
        <f t="shared" si="16"/>
        <v>0.20616701789183017</v>
      </c>
      <c r="AQ42" s="2">
        <v>8.19338660828276E-2</v>
      </c>
      <c r="AR42" s="2">
        <f t="shared" si="17"/>
        <v>-9.1032722523394657E-2</v>
      </c>
      <c r="AS42" s="2">
        <f t="shared" si="18"/>
        <v>3.0543782308692702E-2</v>
      </c>
      <c r="AT42" s="2">
        <f t="shared" si="19"/>
        <v>0.34950218271186451</v>
      </c>
    </row>
    <row r="43" spans="2:46" x14ac:dyDescent="0.2">
      <c r="B43" s="2"/>
      <c r="C43" s="2"/>
      <c r="D43" s="3"/>
      <c r="R43" s="2" t="s">
        <v>30</v>
      </c>
      <c r="S43" s="2">
        <f>($C$36+$C$5)/180*PI()</f>
        <v>0.29670597283903599</v>
      </c>
      <c r="T43" s="2" t="s">
        <v>27</v>
      </c>
      <c r="U43" s="2"/>
      <c r="V43" s="2" t="s">
        <v>30</v>
      </c>
      <c r="W43" s="2">
        <f>($C$37+$C$5)/180*PI()</f>
        <v>0.29670597283903599</v>
      </c>
      <c r="X43" s="2" t="s">
        <v>27</v>
      </c>
      <c r="Z43" s="2">
        <v>5</v>
      </c>
      <c r="AA43" s="2">
        <f t="shared" si="20"/>
        <v>3.1415926535897934E-2</v>
      </c>
      <c r="AB43" s="2">
        <v>-1.4146435659697671</v>
      </c>
      <c r="AC43" s="2">
        <f t="shared" si="21"/>
        <v>0.20616701789183017</v>
      </c>
      <c r="AD43" s="2">
        <v>5.0525333285568484E-2</v>
      </c>
      <c r="AE43" s="2">
        <f t="shared" si="12"/>
        <v>0.11879147221386405</v>
      </c>
      <c r="AF43" s="2">
        <v>-0.28201879617063752</v>
      </c>
      <c r="AG43" s="2">
        <f t="shared" si="13"/>
        <v>0.39895607548533157</v>
      </c>
      <c r="AH43" s="2">
        <f t="shared" si="14"/>
        <v>-1.4249093669316266E-2</v>
      </c>
      <c r="AI43" s="2">
        <f t="shared" si="15"/>
        <v>0.17475109135593225</v>
      </c>
      <c r="AK43" s="2">
        <v>5</v>
      </c>
      <c r="AL43" s="2">
        <f t="shared" si="22"/>
        <v>3.1415926535897934E-2</v>
      </c>
      <c r="AM43" s="2">
        <v>-1.1110512279668208</v>
      </c>
      <c r="AN43" s="2">
        <f t="shared" si="23"/>
        <v>0.20616701789183017</v>
      </c>
      <c r="AO43" s="2">
        <v>8.19338660828276E-2</v>
      </c>
      <c r="AP43" s="2">
        <f t="shared" si="16"/>
        <v>0.11879147221386405</v>
      </c>
      <c r="AQ43" s="2">
        <v>-0.19835951358384654</v>
      </c>
      <c r="AR43" s="2">
        <f t="shared" si="17"/>
        <v>0.22038758114623397</v>
      </c>
      <c r="AS43" s="2">
        <f t="shared" si="18"/>
        <v>-1.6252361822233705E-2</v>
      </c>
      <c r="AT43" s="2">
        <f t="shared" si="19"/>
        <v>0.17475109135593225</v>
      </c>
    </row>
    <row r="44" spans="2:46" x14ac:dyDescent="0.2">
      <c r="R44" s="2" t="s">
        <v>47</v>
      </c>
      <c r="S44" s="2">
        <f>S43-S42</f>
        <v>0.13752976160120534</v>
      </c>
      <c r="T44" s="2" t="s">
        <v>27</v>
      </c>
      <c r="U44" s="2"/>
      <c r="V44" s="2" t="s">
        <v>47</v>
      </c>
      <c r="W44" s="2">
        <f>W43-W42</f>
        <v>0.1563789140967512</v>
      </c>
      <c r="X44" s="2" t="s">
        <v>27</v>
      </c>
      <c r="Z44" s="2">
        <v>6</v>
      </c>
      <c r="AA44" s="2">
        <f t="shared" si="20"/>
        <v>0.11879147221386405</v>
      </c>
      <c r="AB44" s="2">
        <v>-0.28201879617063752</v>
      </c>
      <c r="AC44" s="2">
        <f t="shared" si="21"/>
        <v>0.20616701789183017</v>
      </c>
      <c r="AD44" s="2">
        <v>5.0525333285568484E-2</v>
      </c>
      <c r="AE44" s="2">
        <f t="shared" si="12"/>
        <v>0.16247924505284711</v>
      </c>
      <c r="AF44" s="2">
        <v>-8.2144601767790745E-2</v>
      </c>
      <c r="AG44" s="2">
        <f t="shared" si="13"/>
        <v>2.3166321702468767E-2</v>
      </c>
      <c r="AH44" s="2">
        <f t="shared" si="14"/>
        <v>-4.1503833819279256E-3</v>
      </c>
      <c r="AI44" s="2">
        <f t="shared" si="15"/>
        <v>8.7375545677966127E-2</v>
      </c>
      <c r="AK44" s="2">
        <v>6</v>
      </c>
      <c r="AL44" s="2">
        <f t="shared" si="22"/>
        <v>0.11879147221386405</v>
      </c>
      <c r="AM44" s="2">
        <v>-0.19835951358384654</v>
      </c>
      <c r="AN44" s="2">
        <f t="shared" si="23"/>
        <v>0.20616701789183017</v>
      </c>
      <c r="AO44" s="2">
        <v>8.19338660828276E-2</v>
      </c>
      <c r="AP44" s="2">
        <f t="shared" si="16"/>
        <v>0.16247924505284711</v>
      </c>
      <c r="AQ44" s="2">
        <v>-3.1610563012815028E-2</v>
      </c>
      <c r="AR44" s="2">
        <f t="shared" si="17"/>
        <v>6.2702559033335197E-3</v>
      </c>
      <c r="AS44" s="2">
        <f t="shared" si="18"/>
        <v>-2.5899756366947698E-3</v>
      </c>
      <c r="AT44" s="2">
        <f t="shared" si="19"/>
        <v>8.7375545677966127E-2</v>
      </c>
    </row>
    <row r="45" spans="2:46" x14ac:dyDescent="0.2">
      <c r="R45" s="2" t="s">
        <v>64</v>
      </c>
      <c r="S45" s="2">
        <f>S44/PI()*180</f>
        <v>7.8798748971894366</v>
      </c>
      <c r="T45" s="2" t="s">
        <v>5</v>
      </c>
      <c r="U45" s="2"/>
      <c r="V45" s="2" t="s">
        <v>64</v>
      </c>
      <c r="W45" s="2">
        <f>W44/PI()*180</f>
        <v>8.9598517825826978</v>
      </c>
      <c r="X45" s="2" t="s">
        <v>5</v>
      </c>
      <c r="Z45" s="2">
        <v>7</v>
      </c>
      <c r="AA45" s="2">
        <f t="shared" si="20"/>
        <v>0.16247924505284711</v>
      </c>
      <c r="AB45" s="2">
        <v>-8.2144601767790745E-2</v>
      </c>
      <c r="AC45" s="2">
        <f t="shared" si="21"/>
        <v>0.20616701789183017</v>
      </c>
      <c r="AD45" s="2">
        <v>5.0525333285568484E-2</v>
      </c>
      <c r="AE45" s="2">
        <f t="shared" si="12"/>
        <v>0.18432313147233864</v>
      </c>
      <c r="AF45" s="2">
        <v>-1.0401750870720209E-2</v>
      </c>
      <c r="AG45" s="2">
        <f t="shared" si="13"/>
        <v>8.5444768296308218E-4</v>
      </c>
      <c r="AH45" s="2">
        <f t="shared" si="14"/>
        <v>-5.2555192949659078E-4</v>
      </c>
      <c r="AI45" s="2">
        <f t="shared" si="15"/>
        <v>4.3687772838983063E-2</v>
      </c>
      <c r="AK45" s="2">
        <v>7</v>
      </c>
      <c r="AL45" s="2">
        <f t="shared" si="22"/>
        <v>0.16247924505284711</v>
      </c>
      <c r="AM45" s="2">
        <v>-3.1610563012815028E-2</v>
      </c>
      <c r="AN45" s="2">
        <f t="shared" si="23"/>
        <v>0.20616701789183017</v>
      </c>
      <c r="AO45" s="2">
        <v>8.19338660828276E-2</v>
      </c>
      <c r="AP45" s="2">
        <f t="shared" si="16"/>
        <v>0.18432313147233864</v>
      </c>
      <c r="AQ45" s="2">
        <v>2.9437126522311823E-2</v>
      </c>
      <c r="AR45" s="2">
        <f t="shared" si="17"/>
        <v>-9.3052414284974642E-4</v>
      </c>
      <c r="AS45" s="2">
        <f t="shared" si="18"/>
        <v>2.4118975823423493E-3</v>
      </c>
      <c r="AT45" s="2">
        <f t="shared" si="19"/>
        <v>4.3687772838983063E-2</v>
      </c>
    </row>
    <row r="46" spans="2:46" x14ac:dyDescent="0.2">
      <c r="R46" s="2" t="s">
        <v>73</v>
      </c>
      <c r="S46" s="2">
        <f xml:space="preserve"> $C$8*$C$29 / (2*PI()*$C$22)</f>
        <v>7.9577471545947673E-2</v>
      </c>
      <c r="T46" s="2"/>
      <c r="U46" s="2"/>
      <c r="V46" s="2" t="s">
        <v>73</v>
      </c>
      <c r="W46" s="2">
        <f xml:space="preserve"> $C$8*$C$30 / (2*PI()*$C$23)</f>
        <v>5.3363716213164915E-2</v>
      </c>
      <c r="X46" s="2"/>
      <c r="Z46" s="2">
        <v>8</v>
      </c>
      <c r="AA46" s="2">
        <f t="shared" si="20"/>
        <v>0.18432313147233864</v>
      </c>
      <c r="AB46" s="2">
        <v>-1.0401750870720209E-2</v>
      </c>
      <c r="AC46" s="2">
        <f t="shared" si="21"/>
        <v>0.20616701789183017</v>
      </c>
      <c r="AD46" s="2">
        <v>5.0525333285568484E-2</v>
      </c>
      <c r="AE46" s="2">
        <f t="shared" si="12"/>
        <v>0.19524507468208441</v>
      </c>
      <c r="AF46" s="2">
        <v>2.1184887961997252E-2</v>
      </c>
      <c r="AG46" s="2">
        <f t="shared" si="13"/>
        <v>-2.2035992680481499E-4</v>
      </c>
      <c r="AH46" s="2">
        <f t="shared" si="14"/>
        <v>1.0703735248973388E-3</v>
      </c>
      <c r="AI46" s="2">
        <f t="shared" si="15"/>
        <v>2.1843886419491532E-2</v>
      </c>
      <c r="AK46" s="2">
        <v>8</v>
      </c>
      <c r="AL46" s="2">
        <f t="shared" si="22"/>
        <v>0.16247924505284711</v>
      </c>
      <c r="AM46" s="2">
        <v>-3.1610563012815028E-2</v>
      </c>
      <c r="AN46" s="2">
        <f t="shared" si="23"/>
        <v>0.18432313147233864</v>
      </c>
      <c r="AO46" s="2">
        <v>2.9437126522311823E-2</v>
      </c>
      <c r="AP46" s="2">
        <f t="shared" si="16"/>
        <v>0.17340118826259288</v>
      </c>
      <c r="AQ46" s="2">
        <v>1.8699008877460545E-4</v>
      </c>
      <c r="AR46" s="2">
        <f t="shared" si="17"/>
        <v>-5.9108619839815412E-6</v>
      </c>
      <c r="AS46" s="2">
        <f t="shared" si="18"/>
        <v>5.5044509016763804E-6</v>
      </c>
      <c r="AT46" s="2">
        <f t="shared" si="19"/>
        <v>2.1843886419491532E-2</v>
      </c>
    </row>
    <row r="47" spans="2:46" x14ac:dyDescent="0.2">
      <c r="R47" s="2" t="s">
        <v>71</v>
      </c>
      <c r="S47" s="2">
        <f>IF(-$C$8*($G$3-$C$22)/(2*$C$22*SIN(S42))&gt;500, 1, 2*ACOS(MIN(1, EXP(-$C$8*($G$3-$C$22)/(2*$C$22*SIN(S42)))))/PI() )</f>
        <v>0.97835518326401305</v>
      </c>
      <c r="T47" s="2"/>
      <c r="U47" s="2"/>
      <c r="V47" s="2" t="s">
        <v>71</v>
      </c>
      <c r="W47" s="2">
        <f>IF(-$C$8*($G$3-$C$23)/(2*$C$23*SIN(W42))&gt;500, 1, 2*ACOS(MIN(1, EXP(-$C$8*($G$3-$C$23)/(2*$C$23*SIN(W42)))))/PI() )</f>
        <v>0.92337472227762463</v>
      </c>
      <c r="X47" s="2"/>
      <c r="Z47" s="2">
        <v>9</v>
      </c>
      <c r="AA47" s="2">
        <f t="shared" si="20"/>
        <v>0.18432313147233864</v>
      </c>
      <c r="AB47" s="2">
        <v>-1.0401750870720209E-2</v>
      </c>
      <c r="AC47" s="2">
        <f t="shared" si="21"/>
        <v>0.19524507468208441</v>
      </c>
      <c r="AD47" s="2">
        <v>2.1184887961997252E-2</v>
      </c>
      <c r="AE47" s="2">
        <f t="shared" si="12"/>
        <v>0.18978410307721152</v>
      </c>
      <c r="AF47" s="2">
        <v>5.6968684062973455E-3</v>
      </c>
      <c r="AG47" s="2">
        <f t="shared" si="13"/>
        <v>-5.9257405905581863E-5</v>
      </c>
      <c r="AH47" s="2">
        <f t="shared" si="14"/>
        <v>1.2068751892165111E-4</v>
      </c>
      <c r="AI47" s="2">
        <f t="shared" si="15"/>
        <v>1.0921943209745766E-2</v>
      </c>
      <c r="AK47" s="2">
        <v>9</v>
      </c>
      <c r="AL47" s="2">
        <f t="shared" si="22"/>
        <v>0.16247924505284711</v>
      </c>
      <c r="AM47" s="2">
        <v>-3.1610563012815028E-2</v>
      </c>
      <c r="AN47" s="2">
        <f t="shared" si="23"/>
        <v>0.17340118826259288</v>
      </c>
      <c r="AO47" s="2">
        <v>1.8699008877460545E-4</v>
      </c>
      <c r="AP47" s="2">
        <f t="shared" si="16"/>
        <v>0.16794021665771999</v>
      </c>
      <c r="AQ47" s="2">
        <v>-1.5362019409451991E-2</v>
      </c>
      <c r="AR47" s="2">
        <f t="shared" si="17"/>
        <v>4.8560208254656964E-4</v>
      </c>
      <c r="AS47" s="2">
        <f t="shared" si="18"/>
        <v>-2.8725453731306398E-6</v>
      </c>
      <c r="AT47" s="2">
        <f t="shared" si="19"/>
        <v>1.0921943209745766E-2</v>
      </c>
    </row>
    <row r="48" spans="2:46" x14ac:dyDescent="0.2">
      <c r="B48" s="2"/>
      <c r="C48" s="2"/>
      <c r="D48" s="3"/>
      <c r="R48" s="2" t="s">
        <v>72</v>
      </c>
      <c r="S48" s="2">
        <f>IF(-$C$8*($C$22-$C$10)/(2*$C$22*SIN(S42))&gt;500, 1, 2*ACOS(MIN(1, EXP(-$C$8*($C$22-$C$10)/(2*$C$22*SIN(S42)))))/PI() )</f>
        <v>0.99884139193582311</v>
      </c>
      <c r="T48" s="2"/>
      <c r="U48" s="2"/>
      <c r="V48" s="2" t="s">
        <v>72</v>
      </c>
      <c r="W48" s="2">
        <f>IF(-$C$8*($C$23-$C$10)/(2*$C$23*SIN(W42))&gt;500, 1, 2*ACOS(MIN(1, EXP(-$C$8*($C$23-$C$10)/(2*$C$23*SIN(W42)))))/PI() )</f>
        <v>0.99967177178655009</v>
      </c>
      <c r="X48" s="2"/>
      <c r="Z48" s="2">
        <v>10</v>
      </c>
      <c r="AA48" s="2">
        <f t="shared" si="20"/>
        <v>0.18432313147233864</v>
      </c>
      <c r="AB48" s="2">
        <v>-1.0401750870720209E-2</v>
      </c>
      <c r="AC48" s="2">
        <f t="shared" si="21"/>
        <v>0.18978410307721152</v>
      </c>
      <c r="AD48" s="2">
        <v>5.6968684062973455E-3</v>
      </c>
      <c r="AE48" s="2">
        <f t="shared" si="12"/>
        <v>0.1870536172747751</v>
      </c>
      <c r="AF48" s="2">
        <v>-2.2727394440542354E-3</v>
      </c>
      <c r="AG48" s="2">
        <f t="shared" si="13"/>
        <v>2.3640469491111306E-5</v>
      </c>
      <c r="AH48" s="2">
        <f t="shared" si="14"/>
        <v>-1.2947497534578368E-5</v>
      </c>
      <c r="AI48" s="2">
        <f t="shared" si="15"/>
        <v>5.4609716048728829E-3</v>
      </c>
      <c r="AK48" s="2">
        <v>10</v>
      </c>
      <c r="AL48" s="2">
        <f t="shared" si="22"/>
        <v>0.16794021665771999</v>
      </c>
      <c r="AM48" s="2">
        <v>-1.5362019409451991E-2</v>
      </c>
      <c r="AN48" s="2">
        <f t="shared" si="23"/>
        <v>0.17340118826259288</v>
      </c>
      <c r="AO48" s="2">
        <v>1.8699008877460545E-4</v>
      </c>
      <c r="AP48" s="2">
        <f t="shared" si="16"/>
        <v>0.17067070246015642</v>
      </c>
      <c r="AQ48" s="2">
        <v>-7.5042984348432581E-3</v>
      </c>
      <c r="AR48" s="2">
        <f t="shared" si="17"/>
        <v>1.1528117821038233E-4</v>
      </c>
      <c r="AS48" s="2">
        <f t="shared" si="18"/>
        <v>-1.4032294305224736E-6</v>
      </c>
      <c r="AT48" s="2">
        <f t="shared" si="19"/>
        <v>5.4609716048728829E-3</v>
      </c>
    </row>
    <row r="49" spans="2:46" x14ac:dyDescent="0.2">
      <c r="B49" s="2"/>
      <c r="C49" s="2"/>
      <c r="D49" s="3"/>
      <c r="R49" s="2" t="s">
        <v>70</v>
      </c>
      <c r="S49" s="2">
        <f>IF(S42=0,1,S47*S48)</f>
        <v>0.97722165305905406</v>
      </c>
      <c r="T49" s="2"/>
      <c r="U49" s="2"/>
      <c r="V49" s="2" t="s">
        <v>70</v>
      </c>
      <c r="W49" s="2">
        <f>IF(W42=0,1,W47*W48)</f>
        <v>0.92307164464218661</v>
      </c>
      <c r="X49" s="2"/>
      <c r="Z49" s="2">
        <v>11</v>
      </c>
      <c r="AA49" s="2">
        <f t="shared" si="20"/>
        <v>0.1870536172747751</v>
      </c>
      <c r="AB49" s="2">
        <v>-2.2727394440542354E-3</v>
      </c>
      <c r="AC49" s="2">
        <f t="shared" si="21"/>
        <v>0.18978410307721152</v>
      </c>
      <c r="AD49" s="2">
        <v>5.6968684062973455E-3</v>
      </c>
      <c r="AE49" s="2">
        <f t="shared" si="12"/>
        <v>0.1884188601759933</v>
      </c>
      <c r="AF49" s="2">
        <v>1.7315526504773932E-3</v>
      </c>
      <c r="AG49" s="2">
        <f t="shared" si="13"/>
        <v>-3.9353680081966282E-6</v>
      </c>
      <c r="AH49" s="2">
        <f t="shared" si="14"/>
        <v>9.864427588345091E-6</v>
      </c>
      <c r="AI49" s="2">
        <f t="shared" si="15"/>
        <v>2.7304858024364276E-3</v>
      </c>
      <c r="AK49" s="2">
        <v>11</v>
      </c>
      <c r="AL49" s="2">
        <f t="shared" si="22"/>
        <v>0.17067070246015642</v>
      </c>
      <c r="AM49" s="2">
        <v>-7.5042984348432581E-3</v>
      </c>
      <c r="AN49" s="2">
        <f t="shared" si="23"/>
        <v>0.17340118826259288</v>
      </c>
      <c r="AO49" s="2">
        <v>1.8699008877460545E-4</v>
      </c>
      <c r="AP49" s="2">
        <f t="shared" si="16"/>
        <v>0.17203594536137465</v>
      </c>
      <c r="AQ49" s="2">
        <v>-3.6383494685670557E-3</v>
      </c>
      <c r="AR49" s="2">
        <f t="shared" si="17"/>
        <v>2.7303260222380556E-5</v>
      </c>
      <c r="AS49" s="2">
        <f t="shared" si="18"/>
        <v>-6.8033529012039226E-7</v>
      </c>
      <c r="AT49" s="2">
        <f t="shared" si="19"/>
        <v>2.7304858024364553E-3</v>
      </c>
    </row>
    <row r="50" spans="2:46" x14ac:dyDescent="0.2">
      <c r="B50" s="2"/>
      <c r="C50" s="2"/>
      <c r="D50" s="3"/>
      <c r="R50" s="2" t="s">
        <v>48</v>
      </c>
      <c r="S50" s="2">
        <f>IF(S45&lt;$BA$4, $AW$5*S45^2 + $AX$5*S45 + $AY$5, IF(S45&gt;$BB$4, $BC$5*S45^2 + $BD$5*S45 + $BE$5, $AZ$5*S45^2 + $BA$5*S45 + $BB$5))</f>
        <v>1.1903634009685611</v>
      </c>
      <c r="T50" s="2"/>
      <c r="U50" s="2"/>
      <c r="V50" s="2" t="s">
        <v>48</v>
      </c>
      <c r="W50" s="2">
        <f>IF(W45&lt;$BA$4, $AW$5*W45^2 + $AX$5*W45 + $AY$5, IF(W45&gt;$BB$4, $BC$5*W45^2 + $BD$5*W45 + $BE$5, $AZ$5*W45^2 + $BA$5*W45 + $BB$5))</f>
        <v>1.3019760421375197</v>
      </c>
      <c r="X50" s="2"/>
      <c r="Z50" s="2">
        <v>12</v>
      </c>
      <c r="AA50" s="2">
        <f t="shared" si="20"/>
        <v>0.1870536172747751</v>
      </c>
      <c r="AB50" s="2">
        <v>-2.2727394440542354E-3</v>
      </c>
      <c r="AC50" s="2">
        <f t="shared" si="21"/>
        <v>0.1884188601759933</v>
      </c>
      <c r="AD50" s="2">
        <v>1.7315526504773932E-3</v>
      </c>
      <c r="AE50" s="2">
        <f t="shared" si="12"/>
        <v>0.1877362387253842</v>
      </c>
      <c r="AF50" s="2">
        <v>-2.6566768047582394E-4</v>
      </c>
      <c r="AG50" s="2">
        <f t="shared" si="13"/>
        <v>6.0379341642780234E-7</v>
      </c>
      <c r="AH50" s="2">
        <f t="shared" si="14"/>
        <v>-4.6001757627409415E-7</v>
      </c>
      <c r="AI50" s="2">
        <f t="shared" si="15"/>
        <v>1.3652429012181999E-3</v>
      </c>
      <c r="AK50" s="2">
        <v>12</v>
      </c>
      <c r="AL50" s="2">
        <f t="shared" si="22"/>
        <v>0.17203594536137465</v>
      </c>
      <c r="AM50" s="2">
        <v>-3.6383494685670557E-3</v>
      </c>
      <c r="AN50" s="2">
        <f t="shared" si="23"/>
        <v>0.17340118826259288</v>
      </c>
      <c r="AO50" s="2">
        <v>1.8699008877460545E-4</v>
      </c>
      <c r="AP50" s="2">
        <f t="shared" si="16"/>
        <v>0.17271856681198378</v>
      </c>
      <c r="AQ50" s="2">
        <v>-1.7206642351059861E-3</v>
      </c>
      <c r="AR50" s="2">
        <f t="shared" si="17"/>
        <v>6.2603778053802044E-6</v>
      </c>
      <c r="AS50" s="2">
        <f t="shared" si="18"/>
        <v>-3.2174715807375692E-7</v>
      </c>
      <c r="AT50" s="2">
        <f t="shared" si="19"/>
        <v>1.3652429012182277E-3</v>
      </c>
    </row>
    <row r="51" spans="2:46" x14ac:dyDescent="0.2">
      <c r="B51" s="2"/>
      <c r="C51" s="2"/>
      <c r="D51" s="3"/>
      <c r="R51" s="2" t="s">
        <v>49</v>
      </c>
      <c r="S51" s="2">
        <f>IF(S45&lt;$BA$4, $AW$6*S45^2 + $AX$6*S45 + $AY$6, IF(S45&gt;$BB$4, $BC$6*S45^2 + $BD$6*S45 + $BE$6, $AZ$6*S45^2 + $BA$6*S45 + $BB$6))</f>
        <v>1.3240183982495029E-2</v>
      </c>
      <c r="T51" s="2"/>
      <c r="U51" s="2"/>
      <c r="V51" s="2" t="s">
        <v>49</v>
      </c>
      <c r="W51" s="2">
        <f>IF(W45&lt;$BA$4, $AW$6*W45^2 + $AX$6*W45 + $AY$6, IF(W45&gt;$BB$4, $BC$6*W45^2 + $BD$6*W45 + $BE$6, $AZ$6*W45^2 + $BA$6*W45 + $BB$6))</f>
        <v>1.5741767873759804E-2</v>
      </c>
      <c r="X51" s="2"/>
      <c r="Z51" s="2">
        <v>13</v>
      </c>
      <c r="AA51" s="2">
        <f t="shared" si="20"/>
        <v>0.1877362387253842</v>
      </c>
      <c r="AB51" s="2">
        <v>-2.6566768047582394E-4</v>
      </c>
      <c r="AC51" s="2">
        <f t="shared" si="21"/>
        <v>0.1884188601759933</v>
      </c>
      <c r="AD51" s="2">
        <v>1.7315526504773932E-3</v>
      </c>
      <c r="AE51" s="2">
        <f t="shared" si="12"/>
        <v>0.18807754945068875</v>
      </c>
      <c r="AF51" s="2">
        <v>7.3416714443373318E-4</v>
      </c>
      <c r="AG51" s="2">
        <f t="shared" si="13"/>
        <v>-1.9504448234326911E-7</v>
      </c>
      <c r="AH51" s="2">
        <f t="shared" si="14"/>
        <v>1.2712490648376498E-6</v>
      </c>
      <c r="AI51" s="2">
        <f t="shared" si="15"/>
        <v>6.8262145060909996E-4</v>
      </c>
      <c r="AK51" s="2">
        <v>13</v>
      </c>
      <c r="AL51" s="2">
        <f t="shared" si="22"/>
        <v>0.17271856681198378</v>
      </c>
      <c r="AM51" s="2">
        <v>-1.7206642351059861E-3</v>
      </c>
      <c r="AN51" s="2">
        <f t="shared" si="23"/>
        <v>0.17340118826259288</v>
      </c>
      <c r="AO51" s="2">
        <v>1.8699008877460545E-4</v>
      </c>
      <c r="AP51" s="2">
        <f t="shared" si="16"/>
        <v>0.17305987753728833</v>
      </c>
      <c r="AQ51" s="2">
        <v>-7.6559069660676014E-4</v>
      </c>
      <c r="AR51" s="2">
        <f t="shared" si="17"/>
        <v>1.31732453038113E-6</v>
      </c>
      <c r="AS51" s="2">
        <f t="shared" si="18"/>
        <v>-1.431578723235101E-7</v>
      </c>
      <c r="AT51" s="2">
        <f t="shared" si="19"/>
        <v>6.8262145060909996E-4</v>
      </c>
    </row>
    <row r="52" spans="2:46" x14ac:dyDescent="0.2">
      <c r="B52" s="2"/>
      <c r="C52" s="2"/>
      <c r="D52" s="3"/>
      <c r="R52" s="2" t="s">
        <v>66</v>
      </c>
      <c r="S52" s="2">
        <f xml:space="preserve"> S50*COS(S42) - S51*SIN(S42)</f>
        <v>1.1732164226576443</v>
      </c>
      <c r="T52" s="2"/>
      <c r="U52" s="2"/>
      <c r="V52" s="2" t="s">
        <v>66</v>
      </c>
      <c r="W52" s="2">
        <f xml:space="preserve"> W50*COS(W42) - W51*SIN(W42)</f>
        <v>1.2869762607280593</v>
      </c>
      <c r="X52" s="2"/>
      <c r="Z52" s="2">
        <v>14</v>
      </c>
      <c r="AA52" s="2">
        <f t="shared" si="20"/>
        <v>0.1877362387253842</v>
      </c>
      <c r="AB52" s="2">
        <v>-2.6566768047582394E-4</v>
      </c>
      <c r="AC52" s="2">
        <f t="shared" si="21"/>
        <v>0.18807754945068875</v>
      </c>
      <c r="AD52" s="2">
        <v>7.3416714443373318E-4</v>
      </c>
      <c r="AE52" s="2">
        <f t="shared" si="12"/>
        <v>0.18790689408803646</v>
      </c>
      <c r="AF52" s="2">
        <v>2.34556739230821E-4</v>
      </c>
      <c r="AG52" s="2">
        <f t="shared" si="13"/>
        <v>-6.231414485142491E-8</v>
      </c>
      <c r="AH52" s="2">
        <f t="shared" si="14"/>
        <v>1.7220385144877964E-7</v>
      </c>
      <c r="AI52" s="2">
        <f t="shared" si="15"/>
        <v>3.4131072530454998E-4</v>
      </c>
      <c r="AK52" s="2">
        <v>14</v>
      </c>
      <c r="AL52" s="2">
        <f t="shared" si="22"/>
        <v>0.17305987753728833</v>
      </c>
      <c r="AM52" s="2">
        <v>-7.6559069660676014E-4</v>
      </c>
      <c r="AN52" s="2">
        <f t="shared" si="23"/>
        <v>0.17340118826259288</v>
      </c>
      <c r="AO52" s="2">
        <v>1.8699008877460545E-4</v>
      </c>
      <c r="AP52" s="2">
        <f t="shared" si="16"/>
        <v>0.17323053289994061</v>
      </c>
      <c r="AQ52" s="2">
        <v>-2.889896393225809E-4</v>
      </c>
      <c r="AR52" s="2">
        <f t="shared" si="17"/>
        <v>2.2124777928111109E-7</v>
      </c>
      <c r="AS52" s="2">
        <f t="shared" si="18"/>
        <v>-5.403819831187061E-8</v>
      </c>
      <c r="AT52" s="2">
        <f t="shared" si="19"/>
        <v>3.4131072530454998E-4</v>
      </c>
    </row>
    <row r="53" spans="2:46" x14ac:dyDescent="0.2">
      <c r="B53" s="2"/>
      <c r="C53" s="2"/>
      <c r="D53" s="3"/>
      <c r="R53" s="2" t="s">
        <v>67</v>
      </c>
      <c r="S53" s="2">
        <f xml:space="preserve"> S50*SIN(S42) + S51*COS(S42)</f>
        <v>0.20175121918771527</v>
      </c>
      <c r="T53" s="2"/>
      <c r="U53" s="2"/>
      <c r="V53" s="2" t="s">
        <v>67</v>
      </c>
      <c r="W53" s="2">
        <f xml:space="preserve"> W50*SIN(W42) + W51*COS(W42)</f>
        <v>0.19769046987220815</v>
      </c>
      <c r="X53" s="2"/>
      <c r="Z53" s="2">
        <v>15</v>
      </c>
      <c r="AA53" s="2">
        <f t="shared" si="20"/>
        <v>0.1877362387253842</v>
      </c>
      <c r="AB53" s="2">
        <v>-2.6566768047582394E-4</v>
      </c>
      <c r="AC53" s="2">
        <f t="shared" si="21"/>
        <v>0.18790689408803646</v>
      </c>
      <c r="AD53" s="2">
        <v>2.34556739230821E-4</v>
      </c>
      <c r="AE53" s="2">
        <f t="shared" si="12"/>
        <v>0.18782156640671033</v>
      </c>
      <c r="AF53" s="2">
        <v>-1.5478613178172493E-5</v>
      </c>
      <c r="AG53" s="2">
        <f t="shared" si="13"/>
        <v>4.1121672600276072E-9</v>
      </c>
      <c r="AH53" s="2">
        <f t="shared" si="14"/>
        <v>-3.6306130348873551E-9</v>
      </c>
      <c r="AI53" s="2">
        <f t="shared" si="15"/>
        <v>1.7065536265226111E-4</v>
      </c>
      <c r="AK53" s="2">
        <v>15</v>
      </c>
      <c r="AL53" s="2">
        <f t="shared" si="22"/>
        <v>0.17323053289994061</v>
      </c>
      <c r="AM53" s="2">
        <v>-2.889896393225809E-4</v>
      </c>
      <c r="AN53" s="2">
        <f t="shared" si="23"/>
        <v>0.17340118826259288</v>
      </c>
      <c r="AO53" s="2">
        <v>1.8699008877460545E-4</v>
      </c>
      <c r="AP53" s="2">
        <f t="shared" si="16"/>
        <v>0.17331586058126675</v>
      </c>
      <c r="AQ53" s="2">
        <v>-5.0922224925222664E-5</v>
      </c>
      <c r="AR53" s="2">
        <f t="shared" si="17"/>
        <v>1.4715995414643437E-8</v>
      </c>
      <c r="AS53" s="2">
        <f t="shared" si="18"/>
        <v>-9.5219513593678115E-9</v>
      </c>
      <c r="AT53" s="2">
        <f t="shared" si="19"/>
        <v>1.7065536265226111E-4</v>
      </c>
    </row>
    <row r="54" spans="2:46" x14ac:dyDescent="0.2">
      <c r="B54" s="2"/>
      <c r="C54" s="2"/>
      <c r="D54" s="3"/>
      <c r="R54" s="2" t="s">
        <v>68</v>
      </c>
      <c r="S54" s="2">
        <f xml:space="preserve"> 4*S49*SIN(S42)*SIN(S42) / (S46*S52)</f>
        <v>1.0518894779792061</v>
      </c>
      <c r="T54" s="2"/>
      <c r="U54" s="2"/>
      <c r="V54" s="2" t="s">
        <v>68</v>
      </c>
      <c r="W54" s="2">
        <f xml:space="preserve"> 4*W49*SIN(W42)*SIN(W42) / (W46*W52)</f>
        <v>1.0517417352528831</v>
      </c>
      <c r="X54" s="2"/>
      <c r="Z54" s="2">
        <v>16</v>
      </c>
      <c r="AA54" s="2">
        <f t="shared" si="20"/>
        <v>0.18782156640671033</v>
      </c>
      <c r="AB54" s="2">
        <v>-1.5478613178172493E-5</v>
      </c>
      <c r="AC54" s="2">
        <f t="shared" si="21"/>
        <v>0.18790689408803646</v>
      </c>
      <c r="AD54" s="2">
        <v>2.34556739230821E-4</v>
      </c>
      <c r="AE54" s="2">
        <f t="shared" si="12"/>
        <v>0.18786423024737339</v>
      </c>
      <c r="AF54" s="2">
        <v>1.0955826416856294E-4</v>
      </c>
      <c r="AG54" s="2">
        <f t="shared" si="13"/>
        <v>-1.6958099915372216E-9</v>
      </c>
      <c r="AH54" s="2">
        <f t="shared" si="14"/>
        <v>2.569762919916702E-8</v>
      </c>
      <c r="AI54" s="2">
        <f t="shared" si="15"/>
        <v>8.5327681326130556E-5</v>
      </c>
      <c r="AK54" s="2">
        <v>16</v>
      </c>
      <c r="AL54" s="2">
        <f t="shared" si="22"/>
        <v>0.17331586058126675</v>
      </c>
      <c r="AM54" s="2">
        <v>-5.0922224925222664E-5</v>
      </c>
      <c r="AN54" s="2">
        <f t="shared" si="23"/>
        <v>0.17340118826259288</v>
      </c>
      <c r="AO54" s="2">
        <v>1.8699008877460545E-4</v>
      </c>
      <c r="AP54" s="2">
        <f t="shared" si="16"/>
        <v>0.17335852442192981</v>
      </c>
      <c r="AQ54" s="2">
        <v>6.805330506141731E-5</v>
      </c>
      <c r="AR54" s="2">
        <f t="shared" si="17"/>
        <v>-3.4654257072422864E-9</v>
      </c>
      <c r="AS54" s="2">
        <f t="shared" si="18"/>
        <v>1.2725293554839729E-8</v>
      </c>
      <c r="AT54" s="2">
        <f t="shared" si="19"/>
        <v>8.5327681326130556E-5</v>
      </c>
    </row>
    <row r="55" spans="2:46" x14ac:dyDescent="0.2">
      <c r="B55" s="2"/>
      <c r="C55" s="2"/>
      <c r="D55" s="3"/>
      <c r="R55" s="2" t="s">
        <v>69</v>
      </c>
      <c r="S55" s="2">
        <f xml:space="preserve"> 4*S49*SIN(S42)*COS(S42) / (S46*S53)</f>
        <v>38.103437472884593</v>
      </c>
      <c r="T55" s="2"/>
      <c r="U55" s="2"/>
      <c r="V55" s="2" t="s">
        <v>69</v>
      </c>
      <c r="W55" s="2">
        <f xml:space="preserve"> 4*W49*SIN(W42)*COS(W42) / (W46*W53)</f>
        <v>48.471744889720995</v>
      </c>
      <c r="X55" s="2"/>
      <c r="Z55" s="2">
        <v>17</v>
      </c>
      <c r="AA55" s="2">
        <f t="shared" si="20"/>
        <v>0.18782156640671033</v>
      </c>
      <c r="AB55" s="2">
        <v>-1.5478613178172493E-5</v>
      </c>
      <c r="AC55" s="2">
        <f t="shared" si="21"/>
        <v>0.18786423024737339</v>
      </c>
      <c r="AD55" s="2">
        <v>1.0955826416856294E-4</v>
      </c>
      <c r="AE55" s="2">
        <f t="shared" si="12"/>
        <v>0.18784289832704187</v>
      </c>
      <c r="AF55" s="2">
        <v>4.704462743228971E-5</v>
      </c>
      <c r="AG55" s="2">
        <f t="shared" si="13"/>
        <v>-7.2818559013565467E-10</v>
      </c>
      <c r="AH55" s="2">
        <f t="shared" si="14"/>
        <v>5.1541277199384189E-9</v>
      </c>
      <c r="AI55" s="2">
        <f t="shared" si="15"/>
        <v>4.2663840663065278E-5</v>
      </c>
      <c r="AK55" s="2">
        <v>17</v>
      </c>
      <c r="AL55" s="2">
        <f t="shared" si="22"/>
        <v>0.17331586058126675</v>
      </c>
      <c r="AM55" s="2">
        <v>-5.0922224925222664E-5</v>
      </c>
      <c r="AN55" s="2">
        <f t="shared" si="23"/>
        <v>0.17335852442192981</v>
      </c>
      <c r="AO55" s="2">
        <v>6.805330506141731E-5</v>
      </c>
      <c r="AP55" s="2">
        <f t="shared" si="16"/>
        <v>0.17333719250159829</v>
      </c>
      <c r="AQ55" s="2">
        <v>8.5703851575441581E-6</v>
      </c>
      <c r="AR55" s="2">
        <f t="shared" si="17"/>
        <v>-4.3642308068825351E-10</v>
      </c>
      <c r="AS55" s="2">
        <f t="shared" si="18"/>
        <v>5.8324303562019564E-10</v>
      </c>
      <c r="AT55" s="2">
        <f t="shared" si="19"/>
        <v>4.2663840663065278E-5</v>
      </c>
    </row>
    <row r="56" spans="2:46" x14ac:dyDescent="0.2">
      <c r="B56" s="2"/>
      <c r="C56" s="2"/>
      <c r="D56" s="3"/>
      <c r="R56" s="2" t="s">
        <v>34</v>
      </c>
      <c r="S56" s="2">
        <f>1/(S54-1)</f>
        <v>19.271729817762573</v>
      </c>
      <c r="T56" s="2"/>
      <c r="U56" s="2"/>
      <c r="V56" s="2" t="s">
        <v>34</v>
      </c>
      <c r="W56" s="2">
        <f>1/(W54-1)</f>
        <v>19.326758082476172</v>
      </c>
      <c r="X56" s="2"/>
      <c r="Z56" s="2">
        <v>18</v>
      </c>
      <c r="AA56" s="2">
        <f t="shared" si="20"/>
        <v>0.18782156640671033</v>
      </c>
      <c r="AB56" s="2">
        <v>-1.5478613178172493E-5</v>
      </c>
      <c r="AC56" s="2">
        <f t="shared" si="21"/>
        <v>0.18784289832704187</v>
      </c>
      <c r="AD56" s="2">
        <v>4.704462743228971E-5</v>
      </c>
      <c r="AE56" s="2">
        <f t="shared" si="12"/>
        <v>0.1878322323668761</v>
      </c>
      <c r="AF56" s="2">
        <v>1.5784207817800752E-5</v>
      </c>
      <c r="AG56" s="2">
        <f t="shared" si="13"/>
        <v>-2.44317647135624E-10</v>
      </c>
      <c r="AH56" s="2">
        <f t="shared" si="14"/>
        <v>7.4256217610227094E-10</v>
      </c>
      <c r="AI56" s="2">
        <f t="shared" si="15"/>
        <v>2.1331920331546517E-5</v>
      </c>
      <c r="AK56" s="2">
        <v>18</v>
      </c>
      <c r="AL56" s="2">
        <f t="shared" si="22"/>
        <v>0.17331586058126675</v>
      </c>
      <c r="AM56" s="2">
        <v>-5.0922224925222664E-5</v>
      </c>
      <c r="AN56" s="2">
        <f t="shared" si="23"/>
        <v>0.17333719250159829</v>
      </c>
      <c r="AO56" s="2">
        <v>8.5703851575441581E-6</v>
      </c>
      <c r="AP56" s="2">
        <f t="shared" si="16"/>
        <v>0.17332652654143252</v>
      </c>
      <c r="AQ56" s="2">
        <v>-2.117470838565276E-5</v>
      </c>
      <c r="AR56" s="2">
        <f t="shared" si="17"/>
        <v>1.0782632631402084E-9</v>
      </c>
      <c r="AS56" s="2">
        <f t="shared" si="18"/>
        <v>-1.8147540646372422E-10</v>
      </c>
      <c r="AT56" s="2">
        <f t="shared" si="19"/>
        <v>2.1331920331546517E-5</v>
      </c>
    </row>
    <row r="57" spans="2:46" x14ac:dyDescent="0.2">
      <c r="B57" s="2"/>
      <c r="C57" s="2"/>
      <c r="D57" s="3"/>
      <c r="R57" s="2" t="s">
        <v>74</v>
      </c>
      <c r="S57" s="2">
        <f>1/(S55+1)</f>
        <v>2.5573199304880233E-2</v>
      </c>
      <c r="T57" s="2"/>
      <c r="U57" s="2"/>
      <c r="V57" s="2" t="s">
        <v>74</v>
      </c>
      <c r="W57" s="2">
        <f>1/(W55+1)</f>
        <v>2.0213558309478089E-2</v>
      </c>
      <c r="X57" s="2"/>
      <c r="Z57" s="2">
        <v>19</v>
      </c>
      <c r="AA57" s="2">
        <f t="shared" si="20"/>
        <v>0.18782156640671033</v>
      </c>
      <c r="AB57" s="2">
        <v>-1.5478613178172493E-5</v>
      </c>
      <c r="AC57" s="2">
        <f t="shared" si="21"/>
        <v>0.1878322323668761</v>
      </c>
      <c r="AD57" s="2">
        <v>1.5784207817800752E-5</v>
      </c>
      <c r="AE57" s="2">
        <f t="shared" si="12"/>
        <v>0.1878268993867932</v>
      </c>
      <c r="AF57" s="2">
        <v>1.5309751829305218E-7</v>
      </c>
      <c r="AG57" s="2">
        <f t="shared" si="13"/>
        <v>-2.3697372641963418E-12</v>
      </c>
      <c r="AH57" s="2">
        <f t="shared" si="14"/>
        <v>2.4165230451270879E-12</v>
      </c>
      <c r="AI57" s="2">
        <f t="shared" si="15"/>
        <v>1.0665960165773258E-5</v>
      </c>
      <c r="AK57" s="2">
        <v>19</v>
      </c>
      <c r="AL57" s="2">
        <f t="shared" si="22"/>
        <v>0.17332652654143252</v>
      </c>
      <c r="AM57" s="2">
        <v>-2.117470838565276E-5</v>
      </c>
      <c r="AN57" s="2">
        <f t="shared" si="23"/>
        <v>0.17333719250159829</v>
      </c>
      <c r="AO57" s="2">
        <v>8.5703851575441581E-6</v>
      </c>
      <c r="AP57" s="2">
        <f t="shared" si="16"/>
        <v>0.17333185952151542</v>
      </c>
      <c r="AQ57" s="2">
        <v>-6.3018587677429044E-6</v>
      </c>
      <c r="AR57" s="2">
        <f t="shared" si="17"/>
        <v>1.3344002169452505E-10</v>
      </c>
      <c r="AS57" s="2">
        <f t="shared" si="18"/>
        <v>-5.4009356848003307E-11</v>
      </c>
      <c r="AT57" s="2">
        <f t="shared" si="19"/>
        <v>1.0665960165773258E-5</v>
      </c>
    </row>
    <row r="58" spans="2:46" x14ac:dyDescent="0.2">
      <c r="B58" s="2"/>
      <c r="C58" s="2"/>
      <c r="D58" s="3"/>
      <c r="R58" s="8" t="s">
        <v>75</v>
      </c>
      <c r="S58" s="29">
        <f>SIN(S42)/(1+S56) - $C$3*COS(S42)/($G$5*$C$22*(1-S57))</f>
        <v>2.8131671818421022E-9</v>
      </c>
      <c r="T58" s="29"/>
      <c r="U58" s="2"/>
      <c r="V58" s="8" t="s">
        <v>75</v>
      </c>
      <c r="W58" s="29">
        <f>SIN(W42)/(1+W56) - $C$3*COS(W42)/($G$5*$C$23*(1-W57))</f>
        <v>8.1482677983385488E-10</v>
      </c>
      <c r="X58" s="29"/>
      <c r="Z58" s="2">
        <v>20</v>
      </c>
      <c r="AA58" s="2">
        <f t="shared" si="20"/>
        <v>0.18782156640671033</v>
      </c>
      <c r="AB58" s="2">
        <v>-1.5478613178172493E-5</v>
      </c>
      <c r="AC58" s="2">
        <f t="shared" si="21"/>
        <v>0.1878268993867932</v>
      </c>
      <c r="AD58" s="2">
        <v>1.5309751829305218E-7</v>
      </c>
      <c r="AE58" s="2">
        <f t="shared" si="12"/>
        <v>0.18782423289675176</v>
      </c>
      <c r="AF58" s="2">
        <v>-7.6626827770522044E-6</v>
      </c>
      <c r="AG58" s="2">
        <f t="shared" si="13"/>
        <v>1.1860770261303565E-10</v>
      </c>
      <c r="AH58" s="2">
        <f t="shared" si="14"/>
        <v>-1.1731377166336058E-12</v>
      </c>
      <c r="AI58" s="2">
        <f t="shared" si="15"/>
        <v>5.3329800828727514E-6</v>
      </c>
      <c r="AK58" s="2">
        <v>20</v>
      </c>
      <c r="AL58" s="2">
        <f t="shared" si="22"/>
        <v>0.17333185952151542</v>
      </c>
      <c r="AM58" s="2">
        <v>-6.3018587677429044E-6</v>
      </c>
      <c r="AN58" s="2">
        <f t="shared" si="23"/>
        <v>0.17333719250159829</v>
      </c>
      <c r="AO58" s="2">
        <v>8.5703851575441581E-6</v>
      </c>
      <c r="AP58" s="2">
        <f t="shared" si="16"/>
        <v>0.17333452601155686</v>
      </c>
      <c r="AQ58" s="2">
        <v>1.1343389029905976E-6</v>
      </c>
      <c r="AR58" s="2">
        <f t="shared" si="17"/>
        <v>-7.1484435614031652E-12</v>
      </c>
      <c r="AS58" s="2">
        <f t="shared" si="18"/>
        <v>9.7217212978155402E-12</v>
      </c>
      <c r="AT58" s="2">
        <f t="shared" si="19"/>
        <v>5.3329800828727514E-6</v>
      </c>
    </row>
    <row r="59" spans="2:46" x14ac:dyDescent="0.2">
      <c r="B59" s="2"/>
      <c r="C59" s="2"/>
      <c r="D59" s="3"/>
      <c r="R59" s="2"/>
      <c r="S59" s="2"/>
      <c r="T59" s="2"/>
      <c r="U59" s="2"/>
      <c r="V59" s="2"/>
      <c r="W59" s="2"/>
      <c r="X59" s="2"/>
      <c r="Z59" s="2">
        <v>21</v>
      </c>
      <c r="AA59" s="2">
        <f t="shared" si="20"/>
        <v>0.18782423289675176</v>
      </c>
      <c r="AB59" s="2">
        <v>-7.6626827770522044E-6</v>
      </c>
      <c r="AC59" s="2">
        <f t="shared" si="21"/>
        <v>0.1878268993867932</v>
      </c>
      <c r="AD59" s="2">
        <v>1.5309751829305218E-7</v>
      </c>
      <c r="AE59" s="2">
        <f t="shared" si="12"/>
        <v>0.18782556614177248</v>
      </c>
      <c r="AF59" s="2">
        <v>-3.7547738666043884E-6</v>
      </c>
      <c r="AG59" s="2">
        <f t="shared" si="13"/>
        <v>2.8771641039355158E-11</v>
      </c>
      <c r="AH59" s="2">
        <f t="shared" si="14"/>
        <v>-5.7484656072873959E-13</v>
      </c>
      <c r="AI59" s="2">
        <f t="shared" si="15"/>
        <v>2.6664900414363757E-6</v>
      </c>
      <c r="AK59" s="2">
        <v>21</v>
      </c>
      <c r="AL59" s="2">
        <f t="shared" si="22"/>
        <v>0.17333185952151542</v>
      </c>
      <c r="AM59" s="2">
        <v>-6.3018587677429044E-6</v>
      </c>
      <c r="AN59" s="2">
        <f t="shared" si="23"/>
        <v>0.17333452601155686</v>
      </c>
      <c r="AO59" s="2">
        <v>1.1343389029905976E-6</v>
      </c>
      <c r="AP59" s="2">
        <f t="shared" si="16"/>
        <v>0.17333319276653614</v>
      </c>
      <c r="AQ59" s="2">
        <v>-2.5837410048551446E-6</v>
      </c>
      <c r="AR59" s="2">
        <f t="shared" si="17"/>
        <v>1.6282370905023254E-11</v>
      </c>
      <c r="AS59" s="2">
        <f t="shared" si="18"/>
        <v>-2.9308379370592089E-12</v>
      </c>
      <c r="AT59" s="2">
        <f t="shared" si="19"/>
        <v>2.6664900414363757E-6</v>
      </c>
    </row>
    <row r="60" spans="2:46" x14ac:dyDescent="0.2">
      <c r="B60" s="1"/>
      <c r="C60" s="1"/>
      <c r="D60" s="3"/>
      <c r="R60" s="35" t="s">
        <v>45</v>
      </c>
      <c r="S60" s="35"/>
      <c r="T60" s="35"/>
      <c r="U60" s="2"/>
      <c r="V60" s="2"/>
      <c r="W60" s="2"/>
      <c r="X60" s="2"/>
      <c r="Z60" s="2">
        <v>22</v>
      </c>
      <c r="AA60" s="2">
        <f t="shared" si="20"/>
        <v>0.18782556614177248</v>
      </c>
      <c r="AB60" s="2">
        <v>-3.7547738666043884E-6</v>
      </c>
      <c r="AC60" s="2">
        <f t="shared" si="21"/>
        <v>0.1878268993867932</v>
      </c>
      <c r="AD60" s="2">
        <v>1.5309751829305218E-7</v>
      </c>
      <c r="AE60" s="2">
        <f t="shared" si="12"/>
        <v>0.18782623276428284</v>
      </c>
      <c r="AF60" s="2">
        <v>-1.8008334835336454E-6</v>
      </c>
      <c r="AG60" s="2">
        <f t="shared" si="13"/>
        <v>6.7617225020782762E-12</v>
      </c>
      <c r="AH60" s="2">
        <f t="shared" si="14"/>
        <v>-2.7570313718803317E-13</v>
      </c>
      <c r="AI60" s="2">
        <f t="shared" si="15"/>
        <v>1.3332450207181878E-6</v>
      </c>
      <c r="AK60" s="2">
        <v>22</v>
      </c>
      <c r="AL60" s="2">
        <f t="shared" si="22"/>
        <v>0.17333319276653614</v>
      </c>
      <c r="AM60" s="2">
        <v>-2.5837410048551446E-6</v>
      </c>
      <c r="AN60" s="2">
        <f t="shared" si="23"/>
        <v>0.17333452601155686</v>
      </c>
      <c r="AO60" s="2">
        <v>1.1343389029905976E-6</v>
      </c>
      <c r="AP60" s="2">
        <f t="shared" si="16"/>
        <v>0.1733338593890465</v>
      </c>
      <c r="AQ60" s="2">
        <v>-7.2469631912444599E-7</v>
      </c>
      <c r="AR60" s="2">
        <f t="shared" si="17"/>
        <v>1.8724275957894206E-12</v>
      </c>
      <c r="AS60" s="2">
        <f t="shared" si="18"/>
        <v>-8.2205122763694811E-13</v>
      </c>
      <c r="AT60" s="2">
        <f t="shared" si="19"/>
        <v>1.3332450207181878E-6</v>
      </c>
    </row>
    <row r="61" spans="2:46" x14ac:dyDescent="0.2">
      <c r="B61" s="1"/>
      <c r="C61" s="1"/>
      <c r="D61" s="3"/>
      <c r="R61" s="27" t="s">
        <v>46</v>
      </c>
      <c r="S61" s="28">
        <f>AE136</f>
        <v>0.14025250638888004</v>
      </c>
      <c r="T61" s="25" t="s">
        <v>27</v>
      </c>
      <c r="U61" s="2"/>
      <c r="V61" s="2"/>
      <c r="W61" s="2"/>
      <c r="X61" s="2"/>
      <c r="Z61" s="2">
        <v>23</v>
      </c>
      <c r="AA61" s="2">
        <f t="shared" si="20"/>
        <v>0.18782623276428284</v>
      </c>
      <c r="AB61" s="2">
        <v>-1.8008334835336454E-6</v>
      </c>
      <c r="AC61" s="2">
        <f t="shared" si="21"/>
        <v>0.1878268993867932</v>
      </c>
      <c r="AD61" s="2">
        <v>1.5309751829305218E-7</v>
      </c>
      <c r="AE61" s="2">
        <f t="shared" si="12"/>
        <v>0.18782656607553802</v>
      </c>
      <c r="AF61" s="2">
        <v>-8.2386680993855321E-7</v>
      </c>
      <c r="AG61" s="2">
        <f t="shared" si="13"/>
        <v>1.4836469373093966E-12</v>
      </c>
      <c r="AH61" s="2">
        <f t="shared" si="14"/>
        <v>-1.261319640056062E-13</v>
      </c>
      <c r="AI61" s="2">
        <f t="shared" si="15"/>
        <v>6.6662251035909392E-7</v>
      </c>
      <c r="AK61" s="2">
        <v>23</v>
      </c>
      <c r="AL61" s="2">
        <f t="shared" si="22"/>
        <v>0.1733338593890465</v>
      </c>
      <c r="AM61" s="2">
        <v>-7.2469631912444599E-7</v>
      </c>
      <c r="AN61" s="2">
        <f t="shared" si="23"/>
        <v>0.17333452601155686</v>
      </c>
      <c r="AO61" s="2">
        <v>1.1343389029905976E-6</v>
      </c>
      <c r="AP61" s="2">
        <f t="shared" si="16"/>
        <v>0.17333419270030168</v>
      </c>
      <c r="AQ61" s="2">
        <v>2.0482247490086203E-7</v>
      </c>
      <c r="AR61" s="2">
        <f t="shared" si="17"/>
        <v>-1.4843409363461393E-13</v>
      </c>
      <c r="AS61" s="2">
        <f t="shared" si="18"/>
        <v>2.3233810148686302E-13</v>
      </c>
      <c r="AT61" s="2">
        <f t="shared" si="19"/>
        <v>6.6662251035909392E-7</v>
      </c>
    </row>
    <row r="62" spans="2:46" x14ac:dyDescent="0.2">
      <c r="D62" s="4"/>
      <c r="R62" s="2" t="s">
        <v>30</v>
      </c>
      <c r="S62" s="2">
        <f>($C$38+$C$5)/180*PI()</f>
        <v>0.29670597283903599</v>
      </c>
      <c r="T62" s="2" t="s">
        <v>27</v>
      </c>
      <c r="U62" s="2"/>
      <c r="V62" s="2"/>
      <c r="W62" s="2"/>
      <c r="X62" s="2"/>
      <c r="Z62" s="2">
        <v>24</v>
      </c>
      <c r="AA62" s="2">
        <f t="shared" si="20"/>
        <v>0.18782656607553802</v>
      </c>
      <c r="AB62" s="2">
        <v>-8.2386680993855321E-7</v>
      </c>
      <c r="AC62" s="2">
        <f t="shared" si="21"/>
        <v>0.1878268993867932</v>
      </c>
      <c r="AD62" s="2">
        <v>1.5309751829305218E-7</v>
      </c>
      <c r="AE62" s="2">
        <f t="shared" si="12"/>
        <v>0.18782673273116562</v>
      </c>
      <c r="AF62" s="2">
        <v>-3.3538435260417609E-7</v>
      </c>
      <c r="AG62" s="2">
        <f t="shared" si="13"/>
        <v>2.7631203668330947E-13</v>
      </c>
      <c r="AH62" s="2">
        <f t="shared" si="14"/>
        <v>-5.1346512058021313E-14</v>
      </c>
      <c r="AI62" s="2">
        <f t="shared" si="15"/>
        <v>3.3331125517954696E-7</v>
      </c>
      <c r="AK62" s="2">
        <v>24</v>
      </c>
      <c r="AL62" s="2">
        <f t="shared" si="22"/>
        <v>0.1733338593890465</v>
      </c>
      <c r="AM62" s="2">
        <v>-7.2469631912444599E-7</v>
      </c>
      <c r="AN62" s="2">
        <f t="shared" si="23"/>
        <v>0.17333419270030168</v>
      </c>
      <c r="AO62" s="2">
        <v>2.0482247490086203E-7</v>
      </c>
      <c r="AP62" s="2">
        <f t="shared" si="16"/>
        <v>0.17333402604467407</v>
      </c>
      <c r="AQ62" s="2">
        <v>-2.5993662644378801E-7</v>
      </c>
      <c r="AR62" s="2">
        <f t="shared" si="17"/>
        <v>1.8837511638943929E-13</v>
      </c>
      <c r="AS62" s="2">
        <f t="shared" si="18"/>
        <v>-5.3240863145597518E-14</v>
      </c>
      <c r="AT62" s="2">
        <f t="shared" si="19"/>
        <v>3.3331125517954696E-7</v>
      </c>
    </row>
    <row r="63" spans="2:46" x14ac:dyDescent="0.2">
      <c r="D63" s="4"/>
      <c r="R63" s="2" t="s">
        <v>47</v>
      </c>
      <c r="S63" s="2">
        <f>S62-S61</f>
        <v>0.15645346645015595</v>
      </c>
      <c r="T63" s="2" t="s">
        <v>27</v>
      </c>
      <c r="U63" s="2"/>
      <c r="V63" s="2"/>
      <c r="W63" s="2"/>
      <c r="X63" s="2"/>
      <c r="Z63" s="2">
        <v>25</v>
      </c>
      <c r="AA63" s="2">
        <f t="shared" si="20"/>
        <v>0.18782673273116562</v>
      </c>
      <c r="AB63" s="2">
        <v>-3.3538435260417609E-7</v>
      </c>
      <c r="AC63" s="2">
        <f t="shared" si="21"/>
        <v>0.1878268993867932</v>
      </c>
      <c r="AD63" s="2">
        <v>1.5309751829305218E-7</v>
      </c>
      <c r="AE63" s="2">
        <f t="shared" si="12"/>
        <v>0.18782681605897941</v>
      </c>
      <c r="AF63" s="2">
        <v>-9.1143343873903437E-8</v>
      </c>
      <c r="AG63" s="2">
        <f t="shared" si="13"/>
        <v>3.0568051379328903E-14</v>
      </c>
      <c r="AH63" s="2">
        <f t="shared" si="14"/>
        <v>-1.3953819756024876E-14</v>
      </c>
      <c r="AI63" s="2">
        <f t="shared" si="15"/>
        <v>1.6665562757589569E-7</v>
      </c>
      <c r="AK63" s="2">
        <v>25</v>
      </c>
      <c r="AL63" s="2">
        <f t="shared" si="22"/>
        <v>0.17333402604467407</v>
      </c>
      <c r="AM63" s="2">
        <v>-2.5993662644378801E-7</v>
      </c>
      <c r="AN63" s="2">
        <f t="shared" si="23"/>
        <v>0.17333419270030168</v>
      </c>
      <c r="AO63" s="2">
        <v>2.0482247490086203E-7</v>
      </c>
      <c r="AP63" s="2">
        <f t="shared" si="16"/>
        <v>0.17333410937248789</v>
      </c>
      <c r="AQ63" s="2">
        <v>-2.7557001741271292E-8</v>
      </c>
      <c r="AR63" s="2">
        <f t="shared" si="17"/>
        <v>7.163074067531651E-15</v>
      </c>
      <c r="AS63" s="2">
        <f t="shared" si="18"/>
        <v>-5.6442932974945504E-15</v>
      </c>
      <c r="AT63" s="2">
        <f t="shared" si="19"/>
        <v>1.6665562760365127E-7</v>
      </c>
    </row>
    <row r="64" spans="2:46" x14ac:dyDescent="0.2">
      <c r="D64" s="4"/>
      <c r="R64" s="2" t="s">
        <v>64</v>
      </c>
      <c r="S64" s="2">
        <f>S63/PI()*180</f>
        <v>8.9641233177855568</v>
      </c>
      <c r="T64" s="2" t="s">
        <v>5</v>
      </c>
      <c r="U64" s="2"/>
      <c r="V64" s="2"/>
      <c r="W64" s="2"/>
      <c r="X64" s="2"/>
      <c r="Z64" s="2">
        <v>26</v>
      </c>
      <c r="AA64" s="2">
        <f t="shared" si="20"/>
        <v>0.18782681605897941</v>
      </c>
      <c r="AB64" s="2">
        <v>-9.1143343873903437E-8</v>
      </c>
      <c r="AC64" s="2">
        <f t="shared" si="21"/>
        <v>0.1878268993867932</v>
      </c>
      <c r="AD64" s="2">
        <v>1.5309751829305218E-7</v>
      </c>
      <c r="AE64" s="2">
        <f t="shared" si="12"/>
        <v>0.18782685772288632</v>
      </c>
      <c r="AF64" s="2">
        <v>3.0977105455395892E-8</v>
      </c>
      <c r="AG64" s="2">
        <f t="shared" si="13"/>
        <v>-2.8233569747393181E-15</v>
      </c>
      <c r="AH64" s="2">
        <f t="shared" si="14"/>
        <v>4.7425179691232789E-15</v>
      </c>
      <c r="AI64" s="2">
        <f t="shared" si="15"/>
        <v>8.3327813787947846E-8</v>
      </c>
      <c r="AK64" s="2">
        <v>26</v>
      </c>
      <c r="AL64" s="2">
        <f t="shared" si="22"/>
        <v>0.17333410937248789</v>
      </c>
      <c r="AM64" s="2">
        <v>-2.7557001741271292E-8</v>
      </c>
      <c r="AN64" s="2">
        <f t="shared" si="23"/>
        <v>0.17333419270030168</v>
      </c>
      <c r="AO64" s="2">
        <v>2.0482247490086203E-7</v>
      </c>
      <c r="AP64" s="2">
        <f t="shared" si="16"/>
        <v>0.17333415103639477</v>
      </c>
      <c r="AQ64" s="2">
        <v>8.8632754987813533E-8</v>
      </c>
      <c r="AR64" s="2">
        <f t="shared" si="17"/>
        <v>-2.4424529835328492E-15</v>
      </c>
      <c r="AS64" s="2">
        <f t="shared" si="18"/>
        <v>1.8153980233885691E-14</v>
      </c>
      <c r="AT64" s="2">
        <f t="shared" si="19"/>
        <v>8.3327813787947846E-8</v>
      </c>
    </row>
    <row r="65" spans="4:46" x14ac:dyDescent="0.2">
      <c r="D65" s="4"/>
      <c r="R65" s="2" t="s">
        <v>73</v>
      </c>
      <c r="S65" s="2">
        <f xml:space="preserve"> $C$8*$C$31 / (2*PI()*$C$24)</f>
        <v>4.0207564570584081E-2</v>
      </c>
      <c r="T65" s="2"/>
      <c r="U65" s="2"/>
      <c r="V65" s="2"/>
      <c r="W65" s="2"/>
      <c r="X65" s="2"/>
      <c r="Z65" s="2">
        <v>27</v>
      </c>
      <c r="AA65" s="2">
        <f t="shared" si="20"/>
        <v>0.18782681605897941</v>
      </c>
      <c r="AB65" s="2">
        <v>-9.1143343873903437E-8</v>
      </c>
      <c r="AC65" s="2">
        <f t="shared" si="21"/>
        <v>0.18782685772288632</v>
      </c>
      <c r="AD65" s="2">
        <v>3.0977105455395892E-8</v>
      </c>
      <c r="AE65" s="2">
        <f t="shared" si="12"/>
        <v>0.18782683689093288</v>
      </c>
      <c r="AF65" s="2">
        <v>-3.0083114527235111E-8</v>
      </c>
      <c r="AG65" s="2">
        <f t="shared" si="13"/>
        <v>2.7418756521538099E-15</v>
      </c>
      <c r="AH65" s="2">
        <f t="shared" si="14"/>
        <v>-9.3188781113691427E-16</v>
      </c>
      <c r="AI65" s="2">
        <f t="shared" si="15"/>
        <v>4.1663906907851711E-8</v>
      </c>
      <c r="AK65" s="2">
        <v>27</v>
      </c>
      <c r="AL65" s="2">
        <f t="shared" si="22"/>
        <v>0.17333410937248789</v>
      </c>
      <c r="AM65" s="2">
        <v>-2.7557001741271292E-8</v>
      </c>
      <c r="AN65" s="2">
        <f t="shared" si="23"/>
        <v>0.17333415103639477</v>
      </c>
      <c r="AO65" s="2">
        <v>8.8632754987813533E-8</v>
      </c>
      <c r="AP65" s="2">
        <f t="shared" si="16"/>
        <v>0.17333413020444133</v>
      </c>
      <c r="AQ65" s="2">
        <v>3.0537881150899393E-8</v>
      </c>
      <c r="AR65" s="2">
        <f t="shared" si="17"/>
        <v>-8.4153244405007031E-16</v>
      </c>
      <c r="AS65" s="2">
        <f t="shared" si="18"/>
        <v>2.7066565378946351E-15</v>
      </c>
      <c r="AT65" s="2">
        <f t="shared" si="19"/>
        <v>4.1663906880096135E-8</v>
      </c>
    </row>
    <row r="66" spans="4:46" x14ac:dyDescent="0.2">
      <c r="R66" s="2" t="s">
        <v>71</v>
      </c>
      <c r="S66" s="2">
        <f>IF(-$C$8*($G$3-$C$24)/(2*$C$24*SIN(S61))&gt;500, 1, 2*ACOS(MIN(1, EXP(-$C$8*($G$3-$C$24)/(2*$C$24*SIN(S61)))))/PI() )</f>
        <v>0.69288800068466716</v>
      </c>
      <c r="T66" s="2"/>
      <c r="U66" s="2"/>
      <c r="V66" s="2"/>
      <c r="W66" s="2"/>
      <c r="X66" s="2"/>
      <c r="Z66" s="2">
        <v>28</v>
      </c>
      <c r="AA66" s="2">
        <f t="shared" si="20"/>
        <v>0.18782683689093288</v>
      </c>
      <c r="AB66" s="2">
        <v>-3.0083114527235111E-8</v>
      </c>
      <c r="AC66" s="2">
        <f t="shared" si="21"/>
        <v>0.18782685772288632</v>
      </c>
      <c r="AD66" s="2">
        <v>3.0977105455395892E-8</v>
      </c>
      <c r="AE66" s="2">
        <f t="shared" si="12"/>
        <v>0.1878268473069096</v>
      </c>
      <c r="AF66" s="2">
        <v>4.4699665670278055E-10</v>
      </c>
      <c r="AG66" s="2">
        <f t="shared" si="13"/>
        <v>-1.3447051616880942E-17</v>
      </c>
      <c r="AH66" s="2">
        <f t="shared" si="14"/>
        <v>1.3846662572891428E-17</v>
      </c>
      <c r="AI66" s="2">
        <f t="shared" si="15"/>
        <v>2.0831953440048068E-8</v>
      </c>
      <c r="AK66" s="2">
        <v>28</v>
      </c>
      <c r="AL66" s="2">
        <f t="shared" si="22"/>
        <v>0.17333410937248789</v>
      </c>
      <c r="AM66" s="2">
        <v>-2.7557001741271292E-8</v>
      </c>
      <c r="AN66" s="2">
        <f t="shared" si="23"/>
        <v>0.17333413020444133</v>
      </c>
      <c r="AO66" s="2">
        <v>3.0537881150899393E-8</v>
      </c>
      <c r="AP66" s="2">
        <f t="shared" si="16"/>
        <v>0.17333411978846461</v>
      </c>
      <c r="AQ66" s="2">
        <v>1.4904408610072473E-9</v>
      </c>
      <c r="AR66" s="2">
        <f t="shared" si="17"/>
        <v>-4.1072081402038594E-17</v>
      </c>
      <c r="AS66" s="2">
        <f t="shared" si="18"/>
        <v>4.5514905875883477E-17</v>
      </c>
      <c r="AT66" s="2">
        <f t="shared" si="19"/>
        <v>2.0831953440048068E-8</v>
      </c>
    </row>
    <row r="67" spans="4:46" x14ac:dyDescent="0.2">
      <c r="R67" s="2" t="s">
        <v>72</v>
      </c>
      <c r="S67" s="2">
        <f>IF(-$C$8*($C$24-$C$10)/(2*$C$24*SIN(S61))&gt;500, 1, 2*ACOS(MIN(1, EXP(-$C$8*($C$24-$C$10)/(2*$C$24*SIN(S61)))))/PI() )</f>
        <v>0.99976548745651161</v>
      </c>
      <c r="T67" s="2"/>
      <c r="U67" s="2"/>
      <c r="V67" s="2"/>
      <c r="W67" s="2"/>
      <c r="X67" s="2"/>
      <c r="Z67" s="2">
        <v>29</v>
      </c>
      <c r="AA67" s="2">
        <f t="shared" si="20"/>
        <v>0.18782683689093288</v>
      </c>
      <c r="AB67" s="2">
        <v>-3.0083114527235111E-8</v>
      </c>
      <c r="AC67" s="2">
        <f t="shared" si="21"/>
        <v>0.1878268473069096</v>
      </c>
      <c r="AD67" s="2">
        <v>4.4699665670278055E-10</v>
      </c>
      <c r="AE67" s="2">
        <f>(AA67+AC67)/2</f>
        <v>0.18782684209892125</v>
      </c>
      <c r="AF67" s="2">
        <v>-1.4818058590923555E-8</v>
      </c>
      <c r="AG67" s="2">
        <f t="shared" si="13"/>
        <v>4.4577335366203346E-16</v>
      </c>
      <c r="AH67" s="2">
        <f t="shared" si="14"/>
        <v>-6.6236226489687442E-18</v>
      </c>
      <c r="AI67" s="2">
        <f t="shared" si="15"/>
        <v>1.0415976720024034E-8</v>
      </c>
      <c r="AK67" s="2">
        <v>29</v>
      </c>
      <c r="AL67" s="2">
        <f t="shared" si="22"/>
        <v>0.17333410937248789</v>
      </c>
      <c r="AM67" s="2">
        <v>-2.7557001741271292E-8</v>
      </c>
      <c r="AN67" s="2">
        <f t="shared" si="23"/>
        <v>0.17333411978846461</v>
      </c>
      <c r="AO67" s="2">
        <v>1.4904408610072473E-9</v>
      </c>
      <c r="AP67" s="2">
        <f>(AL67+AN67)/2</f>
        <v>0.17333411458047626</v>
      </c>
      <c r="AQ67" s="2">
        <v>-1.3033280191199204E-8</v>
      </c>
      <c r="AR67" s="2">
        <f t="shared" si="17"/>
        <v>3.5915812492335309E-16</v>
      </c>
      <c r="AS67" s="2">
        <f t="shared" si="18"/>
        <v>-1.942533334991964E-17</v>
      </c>
      <c r="AT67" s="2">
        <f t="shared" si="19"/>
        <v>1.0415976720024034E-8</v>
      </c>
    </row>
    <row r="68" spans="4:46" x14ac:dyDescent="0.2">
      <c r="R68" s="2" t="s">
        <v>70</v>
      </c>
      <c r="S68" s="2">
        <f>IF(S61=0,1,S66*S67)</f>
        <v>0.69272550975727398</v>
      </c>
      <c r="T68" s="2"/>
      <c r="U68" s="2"/>
      <c r="V68" s="2"/>
      <c r="W68" s="2"/>
      <c r="X68" s="2"/>
      <c r="Z68" s="2">
        <v>30</v>
      </c>
      <c r="AA68" s="2">
        <f t="shared" si="20"/>
        <v>0.18782684209892125</v>
      </c>
      <c r="AB68" s="2">
        <v>-1.4818058590923555E-8</v>
      </c>
      <c r="AC68" s="2">
        <f t="shared" si="21"/>
        <v>0.1878268473069096</v>
      </c>
      <c r="AD68" s="2">
        <v>4.4699665670278055E-10</v>
      </c>
      <c r="AE68" s="25">
        <f>(AA68+AC68)/2</f>
        <v>0.18782684470291544</v>
      </c>
      <c r="AF68" s="2">
        <v>-7.1855308803742135E-9</v>
      </c>
      <c r="AG68" s="2">
        <f t="shared" si="13"/>
        <v>1.0647561759227561E-16</v>
      </c>
      <c r="AH68" s="2">
        <f t="shared" si="14"/>
        <v>-3.2119082801618606E-18</v>
      </c>
      <c r="AI68" s="2">
        <f t="shared" si="15"/>
        <v>5.2079883461342291E-9</v>
      </c>
      <c r="AK68" s="2">
        <v>30</v>
      </c>
      <c r="AL68" s="2">
        <f t="shared" si="22"/>
        <v>0.17333411458047626</v>
      </c>
      <c r="AM68" s="2">
        <v>-1.3033280191199204E-8</v>
      </c>
      <c r="AN68" s="2">
        <f t="shared" si="23"/>
        <v>0.17333411978846461</v>
      </c>
      <c r="AO68" s="2">
        <v>1.4904408610072473E-9</v>
      </c>
      <c r="AP68" s="25">
        <f>(AL68+AN68)/2</f>
        <v>0.17333411718447045</v>
      </c>
      <c r="AQ68" s="2">
        <v>-5.7714195835639748E-9</v>
      </c>
      <c r="AR68" s="2">
        <f t="shared" si="17"/>
        <v>7.5220528533563508E-17</v>
      </c>
      <c r="AS68" s="2">
        <f t="shared" si="18"/>
        <v>-8.6019595733611783E-18</v>
      </c>
      <c r="AT68" s="2">
        <f t="shared" si="19"/>
        <v>5.2079883461342291E-9</v>
      </c>
    </row>
    <row r="69" spans="4:46" x14ac:dyDescent="0.2">
      <c r="R69" s="2" t="s">
        <v>48</v>
      </c>
      <c r="S69" s="2">
        <f>IF(S64&lt;$BA$4, $AW$5*S64^2 + $AX$5*S64 + $AY$5, IF(S64&gt;$BB$4, $BC$5*S64^2 + $BD$5*S64 + $BE$5, $AZ$5*S64^2 + $BA$5*S64 + $BB$5))</f>
        <v>1.3024174935540134</v>
      </c>
      <c r="T69" s="2"/>
      <c r="U69" s="2"/>
      <c r="V69" s="2"/>
      <c r="W69" s="2"/>
      <c r="X69" s="2"/>
    </row>
    <row r="70" spans="4:46" x14ac:dyDescent="0.2">
      <c r="R70" s="2" t="s">
        <v>49</v>
      </c>
      <c r="S70" s="2">
        <f>IF(S64&lt;$BA$4, $AW$6*S64^2 + $AX$6*S64 + $AY$6, IF(S64&gt;$BB$4, $BC$6*S64^2 + $BD$6*S64 + $BE$6, $AZ$6*S64^2 + $BA$6*S64 + $BB$6))</f>
        <v>1.5752418656720543E-2</v>
      </c>
      <c r="T70" s="2"/>
      <c r="U70" s="2"/>
      <c r="V70" s="2"/>
      <c r="W70" s="2"/>
      <c r="X70" s="3"/>
      <c r="Z70" s="33" t="s">
        <v>81</v>
      </c>
      <c r="AA70" s="33"/>
      <c r="AB70" s="33"/>
      <c r="AC70" s="33"/>
      <c r="AD70" s="33"/>
      <c r="AE70" s="33"/>
      <c r="AF70" s="33"/>
      <c r="AG70" s="33"/>
      <c r="AH70" s="33"/>
      <c r="AI70" s="33"/>
      <c r="AK70" s="33" t="s">
        <v>82</v>
      </c>
      <c r="AL70" s="33"/>
      <c r="AM70" s="33"/>
      <c r="AN70" s="33"/>
      <c r="AO70" s="33"/>
      <c r="AP70" s="33"/>
      <c r="AQ70" s="33"/>
      <c r="AR70" s="33"/>
      <c r="AS70" s="33"/>
      <c r="AT70" s="33"/>
    </row>
    <row r="71" spans="4:46" x14ac:dyDescent="0.2">
      <c r="R71" s="2" t="s">
        <v>66</v>
      </c>
      <c r="S71" s="2">
        <f xml:space="preserve"> S69*COS(S61) - S70*SIN(S61)</f>
        <v>1.2874266232202742</v>
      </c>
      <c r="T71" s="2"/>
      <c r="U71" s="2"/>
      <c r="V71" s="2"/>
      <c r="W71" s="2"/>
      <c r="X71" s="3"/>
      <c r="Z71" s="8" t="s">
        <v>33</v>
      </c>
      <c r="AA71" s="8" t="s">
        <v>34</v>
      </c>
      <c r="AB71" s="8" t="s">
        <v>35</v>
      </c>
      <c r="AC71" s="8" t="s">
        <v>36</v>
      </c>
      <c r="AD71" s="8" t="s">
        <v>37</v>
      </c>
      <c r="AE71" s="8" t="s">
        <v>38</v>
      </c>
      <c r="AF71" s="8" t="s">
        <v>39</v>
      </c>
      <c r="AG71" s="8" t="s">
        <v>40</v>
      </c>
      <c r="AH71" s="8" t="s">
        <v>41</v>
      </c>
      <c r="AI71" s="8" t="s">
        <v>42</v>
      </c>
      <c r="AK71" s="8" t="s">
        <v>33</v>
      </c>
      <c r="AL71" s="8" t="s">
        <v>34</v>
      </c>
      <c r="AM71" s="8" t="s">
        <v>35</v>
      </c>
      <c r="AN71" s="8" t="s">
        <v>36</v>
      </c>
      <c r="AO71" s="8" t="s">
        <v>37</v>
      </c>
      <c r="AP71" s="8" t="s">
        <v>38</v>
      </c>
      <c r="AQ71" s="8" t="s">
        <v>39</v>
      </c>
      <c r="AR71" s="8" t="s">
        <v>40</v>
      </c>
      <c r="AS71" s="8" t="s">
        <v>41</v>
      </c>
      <c r="AT71" s="8" t="s">
        <v>42</v>
      </c>
    </row>
    <row r="72" spans="4:46" x14ac:dyDescent="0.2">
      <c r="R72" s="2" t="s">
        <v>67</v>
      </c>
      <c r="S72" s="2">
        <f xml:space="preserve"> S69*SIN(S61) + S70*COS(S61)</f>
        <v>0.19766678029627788</v>
      </c>
      <c r="T72" s="2"/>
      <c r="U72" s="2"/>
      <c r="V72" s="2"/>
      <c r="W72" s="2"/>
      <c r="X72" s="3"/>
      <c r="Z72" s="15">
        <v>0</v>
      </c>
      <c r="AA72" s="15"/>
      <c r="AB72" s="15">
        <f>$S$58</f>
        <v>2.8131671818421022E-9</v>
      </c>
      <c r="AC72" s="15"/>
      <c r="AD72" s="15">
        <f>$S$58</f>
        <v>2.8131671818421022E-9</v>
      </c>
      <c r="AE72" s="15"/>
      <c r="AF72" s="15">
        <f>$S$58</f>
        <v>2.8131671818421022E-9</v>
      </c>
      <c r="AG72" s="15"/>
      <c r="AH72" s="15"/>
      <c r="AI72" s="15"/>
      <c r="AK72" s="15">
        <v>0</v>
      </c>
      <c r="AL72" s="15"/>
      <c r="AM72" s="15">
        <f>$W$58</f>
        <v>8.1482677983385488E-10</v>
      </c>
      <c r="AN72" s="15"/>
      <c r="AO72" s="15">
        <f>$W$58</f>
        <v>8.1482677983385488E-10</v>
      </c>
      <c r="AP72" s="15"/>
      <c r="AQ72" s="15">
        <f>$W$58</f>
        <v>8.1482677983385488E-10</v>
      </c>
      <c r="AR72" s="15"/>
      <c r="AS72" s="15"/>
      <c r="AT72" s="15"/>
    </row>
    <row r="73" spans="4:46" x14ac:dyDescent="0.2">
      <c r="R73" s="2" t="s">
        <v>68</v>
      </c>
      <c r="S73" s="2">
        <f xml:space="preserve"> 4*S68*SIN(S61)*SIN(S61) / (S65*S71)</f>
        <v>1.0460746457585164</v>
      </c>
      <c r="T73" s="2"/>
      <c r="U73" s="2"/>
      <c r="V73" s="2"/>
      <c r="W73" s="2"/>
      <c r="X73" s="3"/>
      <c r="Z73" s="2">
        <v>1</v>
      </c>
      <c r="AA73" s="9">
        <f>0.01*PI()</f>
        <v>3.1415926535897934E-2</v>
      </c>
      <c r="AB73" s="2">
        <f t="dataTable" ref="AB73:AB102" dt2D="0" dtr="0" r1="S42" ca="1"/>
        <v>-0.8533822040384037</v>
      </c>
      <c r="AC73" s="9">
        <f>0.9*PI()</f>
        <v>2.8274333882308138</v>
      </c>
      <c r="AD73" s="2">
        <f t="dataTable" ref="AD73:AD102" dt2D="0" dtr="0" r1="S42" ca="1"/>
        <v>0.2252761116937701</v>
      </c>
      <c r="AE73" s="2">
        <f>(AA73+AC73)/2</f>
        <v>1.4294246573833558</v>
      </c>
      <c r="AF73" s="2">
        <f t="dataTable" ref="AF73:AF102" dt2D="0" dtr="0" r1="S42"/>
        <v>0.97371053655894602</v>
      </c>
      <c r="AG73" s="2">
        <f>AB73*AF73</f>
        <v>-0.83094724378409002</v>
      </c>
      <c r="AH73" s="2">
        <f>AD73*AF73</f>
        <v>0.21935372359125394</v>
      </c>
      <c r="AI73" s="2">
        <f>AC73-AA73</f>
        <v>2.7960174616949161</v>
      </c>
      <c r="AK73" s="2">
        <v>1</v>
      </c>
      <c r="AL73" s="9">
        <f>0.01*PI()</f>
        <v>3.1415926535897934E-2</v>
      </c>
      <c r="AM73" s="2">
        <f t="dataTable" ref="AM73:AM102" dt2D="0" dtr="0" r1="W42" ca="1"/>
        <v>-0.56354234019375971</v>
      </c>
      <c r="AN73" s="9">
        <f>0.9*PI()</f>
        <v>2.8274333882308138</v>
      </c>
      <c r="AO73" s="2">
        <f t="dataTable" ref="AO73:AO102" dt2D="0" dtr="0" r1="W42" ca="1"/>
        <v>0.24354650109782877</v>
      </c>
      <c r="AP73" s="2">
        <f>(AL73+AN73)/2</f>
        <v>1.4294246573833558</v>
      </c>
      <c r="AQ73" s="2">
        <f t="dataTable" ref="AQ73:AQ102" dt2D="0" dtr="0" r1="W42"/>
        <v>0.97608040491649806</v>
      </c>
      <c r="AR73" s="2">
        <f>AM73*AQ73</f>
        <v>-0.55006263560391588</v>
      </c>
      <c r="AS73" s="2">
        <f>AO73*AQ73</f>
        <v>0.23772096740756504</v>
      </c>
      <c r="AT73" s="2">
        <f>AN73-AL73</f>
        <v>2.7960174616949161</v>
      </c>
    </row>
    <row r="74" spans="4:46" x14ac:dyDescent="0.2">
      <c r="R74" s="2" t="s">
        <v>69</v>
      </c>
      <c r="S74" s="2">
        <f xml:space="preserve"> 4*S68*SIN(S61)*COS(S61) / (S65*S72)</f>
        <v>48.259194031483446</v>
      </c>
      <c r="T74" s="2"/>
      <c r="U74" s="2"/>
      <c r="V74" s="2"/>
      <c r="W74" s="2"/>
      <c r="X74" s="3"/>
      <c r="Z74" s="2">
        <v>2</v>
      </c>
      <c r="AA74" s="2">
        <f>IF(AG73&gt;0,AE73,AA73)</f>
        <v>3.1415926535897934E-2</v>
      </c>
      <c r="AB74" s="2">
        <v>-0.8533822040384037</v>
      </c>
      <c r="AC74" s="2">
        <f>IF(AH73&gt;0,AE73,AC73)</f>
        <v>1.4294246573833558</v>
      </c>
      <c r="AD74" s="2">
        <v>0.97371053655894602</v>
      </c>
      <c r="AE74" s="2">
        <f t="shared" ref="AE74:AE100" si="24">(AA74+AC74)/2</f>
        <v>0.73042029195962688</v>
      </c>
      <c r="AF74" s="2">
        <v>0.68517222213424034</v>
      </c>
      <c r="AG74" s="2">
        <f t="shared" ref="AG74:AG102" si="25">AB74*AF74</f>
        <v>-0.58471378107080874</v>
      </c>
      <c r="AH74" s="2">
        <f t="shared" ref="AH74:AH102" si="26">AD74*AF74</f>
        <v>0.66715941204961648</v>
      </c>
      <c r="AI74" s="2">
        <f t="shared" ref="AI74:AI102" si="27">AC74-AA74</f>
        <v>1.3980087308474578</v>
      </c>
      <c r="AK74" s="2">
        <v>2</v>
      </c>
      <c r="AL74" s="2">
        <f>IF(AR73&gt;0,AP73,AL73)</f>
        <v>3.1415926535897934E-2</v>
      </c>
      <c r="AM74" s="2">
        <v>-0.56354234019375971</v>
      </c>
      <c r="AN74" s="2">
        <f>IF(AS73&gt;0,AP73,AN73)</f>
        <v>1.4294246573833558</v>
      </c>
      <c r="AO74" s="2">
        <v>0.97608040491649806</v>
      </c>
      <c r="AP74" s="2">
        <f t="shared" ref="AP74:AP100" si="28">(AL74+AN74)/2</f>
        <v>0.73042029195962688</v>
      </c>
      <c r="AQ74" s="2">
        <v>0.68193835941133907</v>
      </c>
      <c r="AR74" s="2">
        <f t="shared" ref="AR74:AR102" si="29">AM74*AQ74</f>
        <v>-0.38430113893055923</v>
      </c>
      <c r="AS74" s="2">
        <f t="shared" ref="AS74:AS102" si="30">AO74*AQ74</f>
        <v>0.66562666998231224</v>
      </c>
      <c r="AT74" s="2">
        <f t="shared" ref="AT74:AT102" si="31">AN74-AL74</f>
        <v>1.3980087308474578</v>
      </c>
    </row>
    <row r="75" spans="4:46" x14ac:dyDescent="0.2">
      <c r="R75" s="2" t="s">
        <v>34</v>
      </c>
      <c r="S75" s="2">
        <f>1/(S73-1)</f>
        <v>21.703910763441108</v>
      </c>
      <c r="T75" s="2"/>
      <c r="U75" s="2"/>
      <c r="V75" s="2"/>
      <c r="W75" s="2"/>
      <c r="X75" s="3"/>
      <c r="Z75" s="2">
        <v>3</v>
      </c>
      <c r="AA75" s="2">
        <f t="shared" ref="AA75:AA102" si="32">IF(AG74&gt;0,AE74,AA74)</f>
        <v>3.1415926535897934E-2</v>
      </c>
      <c r="AB75" s="2">
        <v>-0.8533822040384037</v>
      </c>
      <c r="AC75" s="2">
        <f t="shared" ref="AC75:AC102" si="33">IF(AH74&gt;0,AE74,AC74)</f>
        <v>0.73042029195962688</v>
      </c>
      <c r="AD75" s="2">
        <v>0.68517222213424034</v>
      </c>
      <c r="AE75" s="2">
        <f t="shared" si="24"/>
        <v>0.38091810924776243</v>
      </c>
      <c r="AF75" s="2">
        <v>0.37244118367331214</v>
      </c>
      <c r="AG75" s="2">
        <f t="shared" si="25"/>
        <v>-0.31783467819780303</v>
      </c>
      <c r="AH75" s="2">
        <f t="shared" si="26"/>
        <v>0.25518635343175006</v>
      </c>
      <c r="AI75" s="2">
        <f t="shared" si="27"/>
        <v>0.6990043654237289</v>
      </c>
      <c r="AK75" s="2">
        <v>3</v>
      </c>
      <c r="AL75" s="2">
        <f t="shared" ref="AL75:AL102" si="34">IF(AR74&gt;0,AP74,AL74)</f>
        <v>3.1415926535897934E-2</v>
      </c>
      <c r="AM75" s="2">
        <v>-0.56354234019375971</v>
      </c>
      <c r="AN75" s="2">
        <f t="shared" ref="AN75:AN102" si="35">IF(AS74&gt;0,AP74,AN74)</f>
        <v>0.73042029195962688</v>
      </c>
      <c r="AO75" s="2">
        <v>0.68193835941133907</v>
      </c>
      <c r="AP75" s="2">
        <f t="shared" si="28"/>
        <v>0.38091810924776243</v>
      </c>
      <c r="AQ75" s="2">
        <v>0.37174831255680213</v>
      </c>
      <c r="AR75" s="2">
        <f t="shared" si="29"/>
        <v>-0.20949591402134149</v>
      </c>
      <c r="AS75" s="2">
        <f t="shared" si="30"/>
        <v>0.25350943437891932</v>
      </c>
      <c r="AT75" s="2">
        <f t="shared" si="31"/>
        <v>0.6990043654237289</v>
      </c>
    </row>
    <row r="76" spans="4:46" x14ac:dyDescent="0.2">
      <c r="R76" s="2" t="s">
        <v>74</v>
      </c>
      <c r="S76" s="2">
        <f>1/(S74+1)</f>
        <v>2.030077876144018E-2</v>
      </c>
      <c r="T76" s="2"/>
      <c r="Z76" s="2">
        <v>4</v>
      </c>
      <c r="AA76" s="2">
        <f t="shared" si="32"/>
        <v>3.1415926535897934E-2</v>
      </c>
      <c r="AB76" s="2">
        <v>-0.8533822040384037</v>
      </c>
      <c r="AC76" s="2">
        <f t="shared" si="33"/>
        <v>0.38091810924776243</v>
      </c>
      <c r="AD76" s="2">
        <v>0.37244118367331214</v>
      </c>
      <c r="AE76" s="2">
        <f t="shared" si="24"/>
        <v>0.20616701789183017</v>
      </c>
      <c r="AF76" s="2">
        <v>0.10575057987863051</v>
      </c>
      <c r="AG76" s="2">
        <f t="shared" si="25"/>
        <v>-9.0245662935164978E-2</v>
      </c>
      <c r="AH76" s="2">
        <f t="shared" si="26"/>
        <v>3.9385871144136296E-2</v>
      </c>
      <c r="AI76" s="2">
        <f t="shared" si="27"/>
        <v>0.34950218271186451</v>
      </c>
      <c r="AK76" s="2">
        <v>4</v>
      </c>
      <c r="AL76" s="2">
        <f t="shared" si="34"/>
        <v>3.1415926535897934E-2</v>
      </c>
      <c r="AM76" s="2">
        <v>-0.56354234019375971</v>
      </c>
      <c r="AN76" s="2">
        <f t="shared" si="35"/>
        <v>0.38091810924776243</v>
      </c>
      <c r="AO76" s="2">
        <v>0.37174831255680213</v>
      </c>
      <c r="AP76" s="2">
        <f t="shared" si="28"/>
        <v>0.20616701789183017</v>
      </c>
      <c r="AQ76" s="2">
        <v>0.12929847356679058</v>
      </c>
      <c r="AR76" s="2">
        <f t="shared" si="29"/>
        <v>-7.2865164377310152E-2</v>
      </c>
      <c r="AS76" s="2">
        <f t="shared" si="30"/>
        <v>4.8066489364624682E-2</v>
      </c>
      <c r="AT76" s="2">
        <f t="shared" si="31"/>
        <v>0.34950218271186451</v>
      </c>
    </row>
    <row r="77" spans="4:46" x14ac:dyDescent="0.2">
      <c r="R77" s="8" t="s">
        <v>75</v>
      </c>
      <c r="S77" s="29">
        <f>SIN(S61)/(1+S75) - $C$3*COS(S61)/($G$5*$C$24*(1-S76))</f>
        <v>-4.7047981378833814E-9</v>
      </c>
      <c r="T77" s="29"/>
      <c r="Z77" s="2">
        <v>5</v>
      </c>
      <c r="AA77" s="2">
        <f t="shared" si="32"/>
        <v>3.1415926535897934E-2</v>
      </c>
      <c r="AB77" s="2">
        <v>-0.8533822040384037</v>
      </c>
      <c r="AC77" s="2">
        <f t="shared" si="33"/>
        <v>0.20616701789183017</v>
      </c>
      <c r="AD77" s="2">
        <v>0.10575057987863051</v>
      </c>
      <c r="AE77" s="2">
        <f t="shared" si="24"/>
        <v>0.11879147221386405</v>
      </c>
      <c r="AF77" s="2">
        <v>-0.12898033167295225</v>
      </c>
      <c r="AG77" s="2">
        <f t="shared" si="25"/>
        <v>0.11006951972066832</v>
      </c>
      <c r="AH77" s="2">
        <f t="shared" si="26"/>
        <v>-1.3639744867352794E-2</v>
      </c>
      <c r="AI77" s="2">
        <f t="shared" si="27"/>
        <v>0.17475109135593225</v>
      </c>
      <c r="AK77" s="2">
        <v>5</v>
      </c>
      <c r="AL77" s="2">
        <f t="shared" si="34"/>
        <v>3.1415926535897934E-2</v>
      </c>
      <c r="AM77" s="2">
        <v>-0.56354234019375971</v>
      </c>
      <c r="AN77" s="2">
        <f t="shared" si="35"/>
        <v>0.20616701789183017</v>
      </c>
      <c r="AO77" s="2">
        <v>0.12929847356679058</v>
      </c>
      <c r="AP77" s="2">
        <f t="shared" si="28"/>
        <v>0.11879147221386405</v>
      </c>
      <c r="AQ77" s="2">
        <v>-5.6736671106225336E-2</v>
      </c>
      <c r="AR77" s="2">
        <f t="shared" si="29"/>
        <v>3.1973516410005898E-2</v>
      </c>
      <c r="AS77" s="2">
        <f t="shared" si="30"/>
        <v>-7.3359649692959676E-3</v>
      </c>
      <c r="AT77" s="2">
        <f t="shared" si="31"/>
        <v>0.17475109135593225</v>
      </c>
    </row>
    <row r="78" spans="4:46" x14ac:dyDescent="0.2">
      <c r="Z78" s="2">
        <v>6</v>
      </c>
      <c r="AA78" s="2">
        <f t="shared" si="32"/>
        <v>0.11879147221386405</v>
      </c>
      <c r="AB78" s="2">
        <v>-0.12898033167295225</v>
      </c>
      <c r="AC78" s="2">
        <f t="shared" si="33"/>
        <v>0.20616701789183017</v>
      </c>
      <c r="AD78" s="2">
        <v>0.10575057987863051</v>
      </c>
      <c r="AE78" s="2">
        <f t="shared" si="24"/>
        <v>0.16247924505284711</v>
      </c>
      <c r="AF78" s="2">
        <v>8.5607169823940128E-3</v>
      </c>
      <c r="AG78" s="2">
        <f t="shared" si="25"/>
        <v>-1.1041641157474547E-3</v>
      </c>
      <c r="AH78" s="2">
        <f t="shared" si="26"/>
        <v>9.0530078506500687E-4</v>
      </c>
      <c r="AI78" s="2">
        <f t="shared" si="27"/>
        <v>8.7375545677966127E-2</v>
      </c>
      <c r="AK78" s="2">
        <v>6</v>
      </c>
      <c r="AL78" s="2">
        <f t="shared" si="34"/>
        <v>0.11879147221386405</v>
      </c>
      <c r="AM78" s="2">
        <v>-5.6736671106225336E-2</v>
      </c>
      <c r="AN78" s="2">
        <f t="shared" si="35"/>
        <v>0.20616701789183017</v>
      </c>
      <c r="AO78" s="2">
        <v>0.12929847356679058</v>
      </c>
      <c r="AP78" s="2">
        <f t="shared" si="28"/>
        <v>0.16247924505284711</v>
      </c>
      <c r="AQ78" s="2">
        <v>4.8871212569932446E-2</v>
      </c>
      <c r="AR78" s="2">
        <f t="shared" si="29"/>
        <v>-2.7727899141426825E-3</v>
      </c>
      <c r="AS78" s="2">
        <f t="shared" si="30"/>
        <v>6.3189731866504142E-3</v>
      </c>
      <c r="AT78" s="2">
        <f t="shared" si="31"/>
        <v>8.7375545677966127E-2</v>
      </c>
    </row>
    <row r="79" spans="4:46" x14ac:dyDescent="0.2">
      <c r="Z79" s="2">
        <v>7</v>
      </c>
      <c r="AA79" s="2">
        <f t="shared" si="32"/>
        <v>0.11879147221386405</v>
      </c>
      <c r="AB79" s="2">
        <v>-0.12898033167295225</v>
      </c>
      <c r="AC79" s="2">
        <f t="shared" si="33"/>
        <v>0.16247924505284711</v>
      </c>
      <c r="AD79" s="2">
        <v>8.5607169823940128E-3</v>
      </c>
      <c r="AE79" s="2">
        <f t="shared" si="24"/>
        <v>0.14063535863335558</v>
      </c>
      <c r="AF79" s="2">
        <v>-5.2747905663932462E-2</v>
      </c>
      <c r="AG79" s="2">
        <f t="shared" si="25"/>
        <v>6.803442367587606E-3</v>
      </c>
      <c r="AH79" s="2">
        <f t="shared" si="26"/>
        <v>-4.5155989180294397E-4</v>
      </c>
      <c r="AI79" s="2">
        <f t="shared" si="27"/>
        <v>4.3687772838983063E-2</v>
      </c>
      <c r="AK79" s="2">
        <v>7</v>
      </c>
      <c r="AL79" s="2">
        <f t="shared" si="34"/>
        <v>0.11879147221386405</v>
      </c>
      <c r="AM79" s="2">
        <v>-5.6736671106225336E-2</v>
      </c>
      <c r="AN79" s="2">
        <f t="shared" si="35"/>
        <v>0.16247924505284711</v>
      </c>
      <c r="AO79" s="2">
        <v>4.8871212569932446E-2</v>
      </c>
      <c r="AP79" s="2">
        <f t="shared" si="28"/>
        <v>0.14063535863335558</v>
      </c>
      <c r="AQ79" s="2">
        <v>7.3550762284268784E-4</v>
      </c>
      <c r="AR79" s="2">
        <f t="shared" si="29"/>
        <v>-4.1730254093347208E-5</v>
      </c>
      <c r="AS79" s="2">
        <f t="shared" si="30"/>
        <v>3.5945149382750699E-5</v>
      </c>
      <c r="AT79" s="2">
        <f t="shared" si="31"/>
        <v>4.3687772838983063E-2</v>
      </c>
    </row>
    <row r="80" spans="4:46" x14ac:dyDescent="0.2">
      <c r="Z80" s="2">
        <v>8</v>
      </c>
      <c r="AA80" s="2">
        <f t="shared" si="32"/>
        <v>0.14063535863335558</v>
      </c>
      <c r="AB80" s="2">
        <v>-5.2747905663932462E-2</v>
      </c>
      <c r="AC80" s="2">
        <f t="shared" si="33"/>
        <v>0.16247924505284711</v>
      </c>
      <c r="AD80" s="2">
        <v>8.5607169823940128E-3</v>
      </c>
      <c r="AE80" s="2">
        <f t="shared" si="24"/>
        <v>0.15155730184310134</v>
      </c>
      <c r="AF80" s="2">
        <v>-2.0639545874620677E-2</v>
      </c>
      <c r="AG80" s="2">
        <f t="shared" si="25"/>
        <v>1.0886928187408978E-3</v>
      </c>
      <c r="AH80" s="2">
        <f t="shared" si="26"/>
        <v>-1.7668931087776551E-4</v>
      </c>
      <c r="AI80" s="2">
        <f t="shared" si="27"/>
        <v>2.1843886419491532E-2</v>
      </c>
      <c r="AK80" s="2">
        <v>8</v>
      </c>
      <c r="AL80" s="2">
        <f t="shared" si="34"/>
        <v>0.11879147221386405</v>
      </c>
      <c r="AM80" s="2">
        <v>-5.6736671106225336E-2</v>
      </c>
      <c r="AN80" s="2">
        <f t="shared" si="35"/>
        <v>0.14063535863335558</v>
      </c>
      <c r="AO80" s="2">
        <v>7.3550762284268784E-4</v>
      </c>
      <c r="AP80" s="2">
        <f t="shared" si="28"/>
        <v>0.12971341542360981</v>
      </c>
      <c r="AQ80" s="2">
        <v>-2.6525138845135292E-2</v>
      </c>
      <c r="AR80" s="2">
        <f t="shared" si="29"/>
        <v>1.5049480787034028E-3</v>
      </c>
      <c r="AS80" s="2">
        <f t="shared" si="30"/>
        <v>-1.9509441817557697E-5</v>
      </c>
      <c r="AT80" s="2">
        <f t="shared" si="31"/>
        <v>2.1843886419491532E-2</v>
      </c>
    </row>
    <row r="81" spans="26:46" x14ac:dyDescent="0.2">
      <c r="Z81" s="2">
        <v>9</v>
      </c>
      <c r="AA81" s="2">
        <f t="shared" si="32"/>
        <v>0.15155730184310134</v>
      </c>
      <c r="AB81" s="2">
        <v>-2.0639545874620677E-2</v>
      </c>
      <c r="AC81" s="2">
        <f t="shared" si="33"/>
        <v>0.16247924505284711</v>
      </c>
      <c r="AD81" s="2">
        <v>8.5607169823940128E-3</v>
      </c>
      <c r="AE81" s="2">
        <f t="shared" si="24"/>
        <v>0.15701827344797423</v>
      </c>
      <c r="AF81" s="2">
        <v>-5.7148272961222105E-3</v>
      </c>
      <c r="AG81" s="2">
        <f t="shared" si="25"/>
        <v>1.1795144014384881E-4</v>
      </c>
      <c r="AH81" s="2">
        <f t="shared" si="26"/>
        <v>-4.8923019085362264E-5</v>
      </c>
      <c r="AI81" s="2">
        <f t="shared" si="27"/>
        <v>1.0921943209745766E-2</v>
      </c>
      <c r="AK81" s="2">
        <v>9</v>
      </c>
      <c r="AL81" s="2">
        <f t="shared" si="34"/>
        <v>0.12971341542360981</v>
      </c>
      <c r="AM81" s="2">
        <v>-2.6525138845135292E-2</v>
      </c>
      <c r="AN81" s="2">
        <f t="shared" si="35"/>
        <v>0.14063535863335558</v>
      </c>
      <c r="AO81" s="2">
        <v>7.3550762284268784E-4</v>
      </c>
      <c r="AP81" s="2">
        <f t="shared" si="28"/>
        <v>0.1351743870284827</v>
      </c>
      <c r="AQ81" s="2">
        <v>-1.2572652832949754E-2</v>
      </c>
      <c r="AR81" s="2">
        <f t="shared" si="29"/>
        <v>3.3349136204567582E-4</v>
      </c>
      <c r="AS81" s="2">
        <f t="shared" si="30"/>
        <v>-9.2472819979892584E-6</v>
      </c>
      <c r="AT81" s="2">
        <f t="shared" si="31"/>
        <v>1.0921943209745766E-2</v>
      </c>
    </row>
    <row r="82" spans="26:46" x14ac:dyDescent="0.2">
      <c r="Z82" s="2">
        <v>10</v>
      </c>
      <c r="AA82" s="2">
        <f t="shared" si="32"/>
        <v>0.15701827344797423</v>
      </c>
      <c r="AB82" s="2">
        <v>-5.7148272961222105E-3</v>
      </c>
      <c r="AC82" s="2">
        <f t="shared" si="33"/>
        <v>0.16247924505284711</v>
      </c>
      <c r="AD82" s="2">
        <v>8.5607169823940128E-3</v>
      </c>
      <c r="AE82" s="2">
        <f t="shared" si="24"/>
        <v>0.15974875925041065</v>
      </c>
      <c r="AF82" s="2">
        <v>1.4998097976116499E-3</v>
      </c>
      <c r="AG82" s="2">
        <f t="shared" si="25"/>
        <v>-8.5711539703825843E-6</v>
      </c>
      <c r="AH82" s="2">
        <f t="shared" si="26"/>
        <v>1.2839447204774978E-5</v>
      </c>
      <c r="AI82" s="2">
        <f t="shared" si="27"/>
        <v>5.4609716048728829E-3</v>
      </c>
      <c r="AK82" s="2">
        <v>10</v>
      </c>
      <c r="AL82" s="2">
        <f t="shared" si="34"/>
        <v>0.1351743870284827</v>
      </c>
      <c r="AM82" s="2">
        <v>-1.2572652832949754E-2</v>
      </c>
      <c r="AN82" s="2">
        <f t="shared" si="35"/>
        <v>0.14063535863335558</v>
      </c>
      <c r="AO82" s="2">
        <v>7.3550762284268784E-4</v>
      </c>
      <c r="AP82" s="2">
        <f t="shared" si="28"/>
        <v>0.13790487283091912</v>
      </c>
      <c r="AQ82" s="2">
        <v>-5.8430255961045528E-3</v>
      </c>
      <c r="AR82" s="2">
        <f t="shared" si="29"/>
        <v>7.3462332313861835E-5</v>
      </c>
      <c r="AS82" s="2">
        <f t="shared" si="30"/>
        <v>-4.297589866399839E-6</v>
      </c>
      <c r="AT82" s="2">
        <f t="shared" si="31"/>
        <v>5.4609716048728829E-3</v>
      </c>
    </row>
    <row r="83" spans="26:46" x14ac:dyDescent="0.2">
      <c r="Z83" s="2">
        <v>11</v>
      </c>
      <c r="AA83" s="2">
        <f t="shared" si="32"/>
        <v>0.15701827344797423</v>
      </c>
      <c r="AB83" s="2">
        <v>-5.7148272961222105E-3</v>
      </c>
      <c r="AC83" s="2">
        <f t="shared" si="33"/>
        <v>0.15974875925041065</v>
      </c>
      <c r="AD83" s="2">
        <v>1.4998097976116499E-3</v>
      </c>
      <c r="AE83" s="2">
        <f t="shared" si="24"/>
        <v>0.15838351634919245</v>
      </c>
      <c r="AF83" s="2">
        <v>-2.0877804621997108E-3</v>
      </c>
      <c r="AG83" s="2">
        <f t="shared" si="25"/>
        <v>1.1931304773689552E-5</v>
      </c>
      <c r="AH83" s="2">
        <f t="shared" si="26"/>
        <v>-3.1312735924693049E-6</v>
      </c>
      <c r="AI83" s="2">
        <f t="shared" si="27"/>
        <v>2.7304858024364276E-3</v>
      </c>
      <c r="AK83" s="2">
        <v>11</v>
      </c>
      <c r="AL83" s="2">
        <f t="shared" si="34"/>
        <v>0.13790487283091912</v>
      </c>
      <c r="AM83" s="2">
        <v>-5.8430255961045528E-3</v>
      </c>
      <c r="AN83" s="2">
        <f t="shared" si="35"/>
        <v>0.14063535863335558</v>
      </c>
      <c r="AO83" s="2">
        <v>7.3550762284268784E-4</v>
      </c>
      <c r="AP83" s="2">
        <f t="shared" si="28"/>
        <v>0.13927011573213735</v>
      </c>
      <c r="AQ83" s="2">
        <v>-2.5354516549923323E-3</v>
      </c>
      <c r="AR83" s="2">
        <f t="shared" si="29"/>
        <v>1.4814708917805848E-5</v>
      </c>
      <c r="AS83" s="2">
        <f t="shared" si="30"/>
        <v>-1.864844019595969E-6</v>
      </c>
      <c r="AT83" s="2">
        <f t="shared" si="31"/>
        <v>2.7304858024364553E-3</v>
      </c>
    </row>
    <row r="84" spans="26:46" x14ac:dyDescent="0.2">
      <c r="Z84" s="2">
        <v>12</v>
      </c>
      <c r="AA84" s="2">
        <f t="shared" si="32"/>
        <v>0.15838351634919245</v>
      </c>
      <c r="AB84" s="2">
        <v>-2.0877804621997108E-3</v>
      </c>
      <c r="AC84" s="2">
        <f t="shared" si="33"/>
        <v>0.15974875925041065</v>
      </c>
      <c r="AD84" s="2">
        <v>1.4998097976116499E-3</v>
      </c>
      <c r="AE84" s="2">
        <f t="shared" si="24"/>
        <v>0.15906613779980155</v>
      </c>
      <c r="AF84" s="2">
        <v>-2.891186478848019E-4</v>
      </c>
      <c r="AG84" s="2">
        <f t="shared" si="25"/>
        <v>6.036162643114871E-7</v>
      </c>
      <c r="AH84" s="2">
        <f t="shared" si="26"/>
        <v>-4.3362298076985861E-7</v>
      </c>
      <c r="AI84" s="2">
        <f t="shared" si="27"/>
        <v>1.3652429012181999E-3</v>
      </c>
      <c r="AK84" s="2">
        <v>12</v>
      </c>
      <c r="AL84" s="2">
        <f t="shared" si="34"/>
        <v>0.13927011573213735</v>
      </c>
      <c r="AM84" s="2">
        <v>-2.5354516549923323E-3</v>
      </c>
      <c r="AN84" s="2">
        <f t="shared" si="35"/>
        <v>0.14063535863335558</v>
      </c>
      <c r="AO84" s="2">
        <v>7.3550762284268784E-4</v>
      </c>
      <c r="AP84" s="2">
        <f t="shared" si="28"/>
        <v>0.13995273718274648</v>
      </c>
      <c r="AQ84" s="2">
        <v>-8.9546502162987044E-4</v>
      </c>
      <c r="AR84" s="2">
        <f t="shared" si="29"/>
        <v>2.2704082710791996E-6</v>
      </c>
      <c r="AS84" s="2">
        <f t="shared" si="30"/>
        <v>-6.5862134939776209E-7</v>
      </c>
      <c r="AT84" s="2">
        <f t="shared" si="31"/>
        <v>1.3652429012182277E-3</v>
      </c>
    </row>
    <row r="85" spans="26:46" x14ac:dyDescent="0.2">
      <c r="Z85" s="2">
        <v>13</v>
      </c>
      <c r="AA85" s="2">
        <f t="shared" si="32"/>
        <v>0.15906613779980155</v>
      </c>
      <c r="AB85" s="2">
        <v>-2.891186478848019E-4</v>
      </c>
      <c r="AC85" s="2">
        <f t="shared" si="33"/>
        <v>0.15974875925041065</v>
      </c>
      <c r="AD85" s="2">
        <v>1.4998097976116499E-3</v>
      </c>
      <c r="AE85" s="2">
        <f t="shared" si="24"/>
        <v>0.1594074485251061</v>
      </c>
      <c r="AF85" s="2">
        <v>6.0655419570894431E-4</v>
      </c>
      <c r="AG85" s="2">
        <f t="shared" si="25"/>
        <v>-1.753661289322235E-7</v>
      </c>
      <c r="AH85" s="2">
        <f t="shared" si="26"/>
        <v>9.0971592550672879E-7</v>
      </c>
      <c r="AI85" s="2">
        <f t="shared" si="27"/>
        <v>6.8262145060909996E-4</v>
      </c>
      <c r="AK85" s="2">
        <v>13</v>
      </c>
      <c r="AL85" s="2">
        <f t="shared" si="34"/>
        <v>0.13995273718274648</v>
      </c>
      <c r="AM85" s="2">
        <v>-8.9546502162987044E-4</v>
      </c>
      <c r="AN85" s="2">
        <f t="shared" si="35"/>
        <v>0.14063535863335558</v>
      </c>
      <c r="AO85" s="2">
        <v>7.3550762284268784E-4</v>
      </c>
      <c r="AP85" s="2">
        <f t="shared" si="28"/>
        <v>0.14029404790805103</v>
      </c>
      <c r="AQ85" s="2">
        <v>-7.8860524843331163E-5</v>
      </c>
      <c r="AR85" s="2">
        <f t="shared" si="29"/>
        <v>7.0616841584576475E-8</v>
      </c>
      <c r="AS85" s="2">
        <f t="shared" si="30"/>
        <v>-5.8002517163645232E-8</v>
      </c>
      <c r="AT85" s="2">
        <f t="shared" si="31"/>
        <v>6.8262145060909996E-4</v>
      </c>
    </row>
    <row r="86" spans="26:46" x14ac:dyDescent="0.2">
      <c r="Z86" s="2">
        <v>14</v>
      </c>
      <c r="AA86" s="2">
        <f t="shared" si="32"/>
        <v>0.15906613779980155</v>
      </c>
      <c r="AB86" s="2">
        <v>-2.891186478848019E-4</v>
      </c>
      <c r="AC86" s="2">
        <f t="shared" si="33"/>
        <v>0.1594074485251061</v>
      </c>
      <c r="AD86" s="2">
        <v>6.0655419570894431E-4</v>
      </c>
      <c r="AE86" s="2">
        <f t="shared" si="24"/>
        <v>0.15923679316245382</v>
      </c>
      <c r="AF86" s="2">
        <v>1.5902092998275157E-4</v>
      </c>
      <c r="AG86" s="2">
        <f t="shared" si="25"/>
        <v>-4.5975916261996886E-8</v>
      </c>
      <c r="AH86" s="2">
        <f t="shared" si="26"/>
        <v>9.6454812286576226E-8</v>
      </c>
      <c r="AI86" s="2">
        <f t="shared" si="27"/>
        <v>3.4131072530454998E-4</v>
      </c>
      <c r="AK86" s="2">
        <v>14</v>
      </c>
      <c r="AL86" s="2">
        <f t="shared" si="34"/>
        <v>0.14029404790805103</v>
      </c>
      <c r="AM86" s="2">
        <v>-7.8860524843331163E-5</v>
      </c>
      <c r="AN86" s="2">
        <f t="shared" si="35"/>
        <v>0.14063535863335558</v>
      </c>
      <c r="AO86" s="2">
        <v>7.3550762284268784E-4</v>
      </c>
      <c r="AP86" s="2">
        <f t="shared" si="28"/>
        <v>0.14046470327070332</v>
      </c>
      <c r="AQ86" s="2">
        <v>3.2860203043132835E-4</v>
      </c>
      <c r="AR86" s="2">
        <f t="shared" si="29"/>
        <v>-2.5913728584398833E-8</v>
      </c>
      <c r="AS86" s="2">
        <f t="shared" si="30"/>
        <v>2.4168929826382687E-7</v>
      </c>
      <c r="AT86" s="2">
        <f t="shared" si="31"/>
        <v>3.4131072530454998E-4</v>
      </c>
    </row>
    <row r="87" spans="26:46" x14ac:dyDescent="0.2">
      <c r="Z87" s="2">
        <v>15</v>
      </c>
      <c r="AA87" s="2">
        <f t="shared" si="32"/>
        <v>0.15906613779980155</v>
      </c>
      <c r="AB87" s="2">
        <v>-2.891186478848019E-4</v>
      </c>
      <c r="AC87" s="2">
        <f t="shared" si="33"/>
        <v>0.15923679316245382</v>
      </c>
      <c r="AD87" s="2">
        <v>1.5902092998275157E-4</v>
      </c>
      <c r="AE87" s="2">
        <f t="shared" si="24"/>
        <v>0.15915146548112769</v>
      </c>
      <c r="AF87" s="2">
        <v>-6.4972944353643841E-5</v>
      </c>
      <c r="AG87" s="2">
        <f t="shared" si="25"/>
        <v>1.8784889820619982E-8</v>
      </c>
      <c r="AH87" s="2">
        <f t="shared" si="26"/>
        <v>-1.0332058034834011E-8</v>
      </c>
      <c r="AI87" s="2">
        <f t="shared" si="27"/>
        <v>1.7065536265226111E-4</v>
      </c>
      <c r="AK87" s="2">
        <v>15</v>
      </c>
      <c r="AL87" s="2">
        <f t="shared" si="34"/>
        <v>0.14029404790805103</v>
      </c>
      <c r="AM87" s="2">
        <v>-7.8860524843331163E-5</v>
      </c>
      <c r="AN87" s="2">
        <f t="shared" si="35"/>
        <v>0.14046470327070332</v>
      </c>
      <c r="AO87" s="2">
        <v>3.2860203043132835E-4</v>
      </c>
      <c r="AP87" s="2">
        <f t="shared" si="28"/>
        <v>0.14037937558937719</v>
      </c>
      <c r="AQ87" s="2">
        <v>1.2494050550472015E-4</v>
      </c>
      <c r="AR87" s="2">
        <f t="shared" si="29"/>
        <v>-9.8528738382933372E-9</v>
      </c>
      <c r="AS87" s="2">
        <f t="shared" si="30"/>
        <v>4.1055703791967595E-8</v>
      </c>
      <c r="AT87" s="2">
        <f t="shared" si="31"/>
        <v>1.7065536265228887E-4</v>
      </c>
    </row>
    <row r="88" spans="26:46" x14ac:dyDescent="0.2">
      <c r="Z88" s="2">
        <v>16</v>
      </c>
      <c r="AA88" s="2">
        <f t="shared" si="32"/>
        <v>0.15915146548112769</v>
      </c>
      <c r="AB88" s="2">
        <v>-6.4972944353643841E-5</v>
      </c>
      <c r="AC88" s="2">
        <f t="shared" si="33"/>
        <v>0.15923679316245382</v>
      </c>
      <c r="AD88" s="2">
        <v>1.5902092998275157E-4</v>
      </c>
      <c r="AE88" s="2">
        <f t="shared" si="24"/>
        <v>0.15919412932179075</v>
      </c>
      <c r="AF88" s="2">
        <v>4.7042955745327242E-5</v>
      </c>
      <c r="AG88" s="2">
        <f t="shared" si="25"/>
        <v>-3.0565193458720767E-9</v>
      </c>
      <c r="AH88" s="2">
        <f t="shared" si="26"/>
        <v>7.4808145717593638E-9</v>
      </c>
      <c r="AI88" s="2">
        <f t="shared" si="27"/>
        <v>8.5327681326130556E-5</v>
      </c>
      <c r="AK88" s="2">
        <v>16</v>
      </c>
      <c r="AL88" s="2">
        <f t="shared" si="34"/>
        <v>0.14029404790805103</v>
      </c>
      <c r="AM88" s="2">
        <v>-7.8860524843331163E-5</v>
      </c>
      <c r="AN88" s="2">
        <f t="shared" si="35"/>
        <v>0.14037937558937719</v>
      </c>
      <c r="AO88" s="2">
        <v>1.2494050550472015E-4</v>
      </c>
      <c r="AP88" s="2">
        <f t="shared" si="28"/>
        <v>0.14033671174871409</v>
      </c>
      <c r="AQ88" s="2">
        <v>2.3057445089367211E-5</v>
      </c>
      <c r="AR88" s="2">
        <f t="shared" si="29"/>
        <v>-1.8183222212937871E-9</v>
      </c>
      <c r="AS88" s="2">
        <f t="shared" si="30"/>
        <v>2.8808088451128665E-9</v>
      </c>
      <c r="AT88" s="2">
        <f t="shared" si="31"/>
        <v>8.5327681326158311E-5</v>
      </c>
    </row>
    <row r="89" spans="26:46" x14ac:dyDescent="0.2">
      <c r="Z89" s="2">
        <v>17</v>
      </c>
      <c r="AA89" s="2">
        <f t="shared" si="32"/>
        <v>0.15915146548112769</v>
      </c>
      <c r="AB89" s="2">
        <v>-6.4972944353643841E-5</v>
      </c>
      <c r="AC89" s="2">
        <f t="shared" si="33"/>
        <v>0.15919412932179075</v>
      </c>
      <c r="AD89" s="2">
        <v>4.7042955745327242E-5</v>
      </c>
      <c r="AE89" s="2">
        <f t="shared" si="24"/>
        <v>0.15917279740145923</v>
      </c>
      <c r="AF89" s="2">
        <v>-8.9602516079485828E-6</v>
      </c>
      <c r="AG89" s="2">
        <f t="shared" si="25"/>
        <v>5.8217392911789097E-10</v>
      </c>
      <c r="AH89" s="2">
        <f t="shared" si="26"/>
        <v>-4.2151671985972245E-10</v>
      </c>
      <c r="AI89" s="2">
        <f t="shared" si="27"/>
        <v>4.2663840663065278E-5</v>
      </c>
      <c r="AK89" s="2">
        <v>17</v>
      </c>
      <c r="AL89" s="2">
        <f t="shared" si="34"/>
        <v>0.14029404790805103</v>
      </c>
      <c r="AM89" s="2">
        <v>-7.8860524843331163E-5</v>
      </c>
      <c r="AN89" s="2">
        <f t="shared" si="35"/>
        <v>0.14033671174871409</v>
      </c>
      <c r="AO89" s="2">
        <v>2.3057445089367211E-5</v>
      </c>
      <c r="AP89" s="2">
        <f t="shared" si="28"/>
        <v>0.14031537982838255</v>
      </c>
      <c r="AQ89" s="2">
        <v>-2.7897174112380581E-5</v>
      </c>
      <c r="AR89" s="2">
        <f t="shared" si="29"/>
        <v>2.199985792148124E-9</v>
      </c>
      <c r="AS89" s="2">
        <f t="shared" si="30"/>
        <v>-6.4323756024473165E-10</v>
      </c>
      <c r="AT89" s="2">
        <f t="shared" si="31"/>
        <v>4.2663840663065278E-5</v>
      </c>
    </row>
    <row r="90" spans="26:46" x14ac:dyDescent="0.2">
      <c r="Z90" s="2">
        <v>18</v>
      </c>
      <c r="AA90" s="2">
        <f t="shared" si="32"/>
        <v>0.15917279740145923</v>
      </c>
      <c r="AB90" s="2">
        <v>-8.9602516079485828E-6</v>
      </c>
      <c r="AC90" s="2">
        <f t="shared" si="33"/>
        <v>0.15919412932179075</v>
      </c>
      <c r="AD90" s="2">
        <v>4.7042955745327242E-5</v>
      </c>
      <c r="AE90" s="2">
        <f t="shared" si="24"/>
        <v>0.15918346336162498</v>
      </c>
      <c r="AF90" s="2">
        <v>1.9042537497147849E-5</v>
      </c>
      <c r="AG90" s="2">
        <f t="shared" si="25"/>
        <v>-1.7062592722824019E-10</v>
      </c>
      <c r="AH90" s="2">
        <f t="shared" si="26"/>
        <v>8.958172487570608E-10</v>
      </c>
      <c r="AI90" s="2">
        <f t="shared" si="27"/>
        <v>2.1331920331518761E-5</v>
      </c>
      <c r="AK90" s="2">
        <v>18</v>
      </c>
      <c r="AL90" s="2">
        <f t="shared" si="34"/>
        <v>0.14031537982838255</v>
      </c>
      <c r="AM90" s="2">
        <v>-2.7897174112380581E-5</v>
      </c>
      <c r="AN90" s="2">
        <f t="shared" si="35"/>
        <v>0.14033671174871409</v>
      </c>
      <c r="AO90" s="2">
        <v>2.3057445089367211E-5</v>
      </c>
      <c r="AP90" s="2">
        <f t="shared" si="28"/>
        <v>0.14032604578854832</v>
      </c>
      <c r="AQ90" s="2">
        <v>-2.4187733298148065E-6</v>
      </c>
      <c r="AR90" s="2">
        <f t="shared" si="29"/>
        <v>6.7476940720226198E-11</v>
      </c>
      <c r="AS90" s="2">
        <f t="shared" si="30"/>
        <v>-5.5770733235830784E-11</v>
      </c>
      <c r="AT90" s="2">
        <f t="shared" si="31"/>
        <v>2.1331920331546517E-5</v>
      </c>
    </row>
    <row r="91" spans="26:46" x14ac:dyDescent="0.2">
      <c r="Z91" s="2">
        <v>19</v>
      </c>
      <c r="AA91" s="2">
        <f t="shared" si="32"/>
        <v>0.15917279740145923</v>
      </c>
      <c r="AB91" s="2">
        <v>-8.9602516079485828E-6</v>
      </c>
      <c r="AC91" s="2">
        <f t="shared" si="33"/>
        <v>0.15918346336162498</v>
      </c>
      <c r="AD91" s="2">
        <v>1.9042537497147849E-5</v>
      </c>
      <c r="AE91" s="2">
        <f t="shared" si="24"/>
        <v>0.1591781303815421</v>
      </c>
      <c r="AF91" s="2">
        <v>5.041439332373332E-6</v>
      </c>
      <c r="AG91" s="2">
        <f t="shared" si="25"/>
        <v>-4.5172564884273379E-11</v>
      </c>
      <c r="AH91" s="2">
        <f t="shared" si="26"/>
        <v>9.6001797526315186E-11</v>
      </c>
      <c r="AI91" s="2">
        <f t="shared" si="27"/>
        <v>1.0665960165745503E-5</v>
      </c>
      <c r="AK91" s="2">
        <v>19</v>
      </c>
      <c r="AL91" s="2">
        <f t="shared" si="34"/>
        <v>0.14032604578854832</v>
      </c>
      <c r="AM91" s="2">
        <v>-2.4187733298148065E-6</v>
      </c>
      <c r="AN91" s="2">
        <f t="shared" si="35"/>
        <v>0.14033671174871409</v>
      </c>
      <c r="AO91" s="2">
        <v>2.3057445089367211E-5</v>
      </c>
      <c r="AP91" s="2">
        <f t="shared" si="28"/>
        <v>0.14033137876863122</v>
      </c>
      <c r="AQ91" s="2">
        <v>1.0319608642794971E-5</v>
      </c>
      <c r="AR91" s="2">
        <f t="shared" si="29"/>
        <v>-2.4960794159318847E-11</v>
      </c>
      <c r="AS91" s="2">
        <f t="shared" si="30"/>
        <v>2.3794380962500431E-10</v>
      </c>
      <c r="AT91" s="2">
        <f t="shared" si="31"/>
        <v>1.0665960165773258E-5</v>
      </c>
    </row>
    <row r="92" spans="26:46" x14ac:dyDescent="0.2">
      <c r="Z92" s="2">
        <v>20</v>
      </c>
      <c r="AA92" s="2">
        <f t="shared" si="32"/>
        <v>0.15917279740145923</v>
      </c>
      <c r="AB92" s="2">
        <v>-8.9602516079485828E-6</v>
      </c>
      <c r="AC92" s="2">
        <f t="shared" si="33"/>
        <v>0.1591781303815421</v>
      </c>
      <c r="AD92" s="2">
        <v>5.041439332373332E-6</v>
      </c>
      <c r="AE92" s="2">
        <f t="shared" si="24"/>
        <v>0.15917546389150067</v>
      </c>
      <c r="AF92" s="2">
        <v>-1.9593320370030892E-6</v>
      </c>
      <c r="AG92" s="2">
        <f t="shared" si="25"/>
        <v>1.7556108035062103E-11</v>
      </c>
      <c r="AH92" s="2">
        <f t="shared" si="26"/>
        <v>-9.8778535965265353E-12</v>
      </c>
      <c r="AI92" s="2">
        <f t="shared" si="27"/>
        <v>5.3329800828727514E-6</v>
      </c>
      <c r="AK92" s="2">
        <v>20</v>
      </c>
      <c r="AL92" s="2">
        <f t="shared" si="34"/>
        <v>0.14032604578854832</v>
      </c>
      <c r="AM92" s="2">
        <v>-2.4187733298148065E-6</v>
      </c>
      <c r="AN92" s="2">
        <f t="shared" si="35"/>
        <v>0.14033137876863122</v>
      </c>
      <c r="AO92" s="2">
        <v>1.0319608642794971E-5</v>
      </c>
      <c r="AP92" s="2">
        <f t="shared" si="28"/>
        <v>0.14032871227858978</v>
      </c>
      <c r="AQ92" s="2">
        <v>3.9504858513270125E-6</v>
      </c>
      <c r="AR92" s="2">
        <f t="shared" si="29"/>
        <v>-9.555329817000519E-12</v>
      </c>
      <c r="AS92" s="2">
        <f t="shared" si="30"/>
        <v>4.0767467934593489E-11</v>
      </c>
      <c r="AT92" s="2">
        <f t="shared" si="31"/>
        <v>5.332980082900507E-6</v>
      </c>
    </row>
    <row r="93" spans="26:46" x14ac:dyDescent="0.2">
      <c r="Z93" s="2">
        <v>21</v>
      </c>
      <c r="AA93" s="2">
        <f t="shared" si="32"/>
        <v>0.15917546389150067</v>
      </c>
      <c r="AB93" s="2">
        <v>-1.9593320370030892E-6</v>
      </c>
      <c r="AC93" s="2">
        <f t="shared" si="33"/>
        <v>0.1591781303815421</v>
      </c>
      <c r="AD93" s="2">
        <v>5.041439332373332E-6</v>
      </c>
      <c r="AE93" s="2">
        <f t="shared" si="24"/>
        <v>0.15917679713652139</v>
      </c>
      <c r="AF93" s="2">
        <v>1.5410721724111454E-6</v>
      </c>
      <c r="AG93" s="2">
        <f t="shared" si="25"/>
        <v>-3.0194720787391054E-12</v>
      </c>
      <c r="AH93" s="2">
        <f t="shared" si="26"/>
        <v>7.7692218640195653E-12</v>
      </c>
      <c r="AI93" s="2">
        <f t="shared" si="27"/>
        <v>2.6664900414363757E-6</v>
      </c>
      <c r="AK93" s="2">
        <v>21</v>
      </c>
      <c r="AL93" s="2">
        <f t="shared" si="34"/>
        <v>0.14032604578854832</v>
      </c>
      <c r="AM93" s="2">
        <v>-2.4187733298148065E-6</v>
      </c>
      <c r="AN93" s="2">
        <f t="shared" si="35"/>
        <v>0.14032871227858978</v>
      </c>
      <c r="AO93" s="2">
        <v>3.9504858513270125E-6</v>
      </c>
      <c r="AP93" s="2">
        <f t="shared" si="28"/>
        <v>0.14032737903356907</v>
      </c>
      <c r="AQ93" s="2">
        <v>7.6587331000917136E-7</v>
      </c>
      <c r="AR93" s="2">
        <f t="shared" si="29"/>
        <v>-1.8524739362671708E-12</v>
      </c>
      <c r="AS93" s="2">
        <f t="shared" si="30"/>
        <v>3.0255716751002183E-12</v>
      </c>
      <c r="AT93" s="2">
        <f t="shared" si="31"/>
        <v>2.6664900414641313E-6</v>
      </c>
    </row>
    <row r="94" spans="26:46" x14ac:dyDescent="0.2">
      <c r="Z94" s="2">
        <v>22</v>
      </c>
      <c r="AA94" s="2">
        <f t="shared" si="32"/>
        <v>0.15917546389150067</v>
      </c>
      <c r="AB94" s="2">
        <v>-1.9593320370030892E-6</v>
      </c>
      <c r="AC94" s="2">
        <f t="shared" si="33"/>
        <v>0.15917679713652139</v>
      </c>
      <c r="AD94" s="2">
        <v>1.5410721724111454E-6</v>
      </c>
      <c r="AE94" s="2">
        <f t="shared" si="24"/>
        <v>0.15917613051401103</v>
      </c>
      <c r="AF94" s="2">
        <v>-2.0912530102924765E-7</v>
      </c>
      <c r="AG94" s="2">
        <f t="shared" si="25"/>
        <v>4.0974590205452E-13</v>
      </c>
      <c r="AH94" s="2">
        <f t="shared" si="26"/>
        <v>-3.2227718196327738E-13</v>
      </c>
      <c r="AI94" s="2">
        <f t="shared" si="27"/>
        <v>1.3332450207181878E-6</v>
      </c>
      <c r="AK94" s="2">
        <v>22</v>
      </c>
      <c r="AL94" s="2">
        <f t="shared" si="34"/>
        <v>0.14032604578854832</v>
      </c>
      <c r="AM94" s="2">
        <v>-2.4187733298148065E-6</v>
      </c>
      <c r="AN94" s="2">
        <f t="shared" si="35"/>
        <v>0.14032737903356907</v>
      </c>
      <c r="AO94" s="2">
        <v>7.6587331000917136E-7</v>
      </c>
      <c r="AP94" s="2">
        <f t="shared" si="28"/>
        <v>0.14032671241105871</v>
      </c>
      <c r="AQ94" s="2">
        <v>-8.2644574756016859E-7</v>
      </c>
      <c r="AR94" s="2">
        <f t="shared" si="29"/>
        <v>1.9989849327373958E-12</v>
      </c>
      <c r="AS94" s="2">
        <f t="shared" si="30"/>
        <v>-6.3295274022691035E-13</v>
      </c>
      <c r="AT94" s="2">
        <f t="shared" si="31"/>
        <v>1.3332450207459434E-6</v>
      </c>
    </row>
    <row r="95" spans="26:46" x14ac:dyDescent="0.2">
      <c r="Z95" s="2">
        <v>23</v>
      </c>
      <c r="AA95" s="2">
        <f t="shared" si="32"/>
        <v>0.15917613051401103</v>
      </c>
      <c r="AB95" s="2">
        <v>-2.0912530102924765E-7</v>
      </c>
      <c r="AC95" s="2">
        <f t="shared" si="33"/>
        <v>0.15917679713652139</v>
      </c>
      <c r="AD95" s="2">
        <v>1.5410721724111454E-6</v>
      </c>
      <c r="AE95" s="2">
        <f t="shared" si="24"/>
        <v>0.15917646382526621</v>
      </c>
      <c r="AF95" s="2">
        <v>6.6597459348963217E-7</v>
      </c>
      <c r="AG95" s="2">
        <f t="shared" si="25"/>
        <v>-1.3927213734135017E-13</v>
      </c>
      <c r="AH95" s="2">
        <f t="shared" si="26"/>
        <v>1.0263149135596968E-12</v>
      </c>
      <c r="AI95" s="2">
        <f t="shared" si="27"/>
        <v>6.6662251035909392E-7</v>
      </c>
      <c r="AK95" s="2">
        <v>23</v>
      </c>
      <c r="AL95" s="2">
        <f t="shared" si="34"/>
        <v>0.14032671241105871</v>
      </c>
      <c r="AM95" s="2">
        <v>-8.2644574756016859E-7</v>
      </c>
      <c r="AN95" s="2">
        <f t="shared" si="35"/>
        <v>0.14032737903356907</v>
      </c>
      <c r="AO95" s="2">
        <v>7.6587331000917136E-7</v>
      </c>
      <c r="AP95" s="2">
        <f t="shared" si="28"/>
        <v>0.14032704572231389</v>
      </c>
      <c r="AQ95" s="2">
        <v>-3.0285153240251772E-8</v>
      </c>
      <c r="AR95" s="2">
        <f t="shared" si="29"/>
        <v>2.5029036109614137E-14</v>
      </c>
      <c r="AS95" s="2">
        <f t="shared" si="30"/>
        <v>-2.3194590556246607E-14</v>
      </c>
      <c r="AT95" s="2">
        <f t="shared" si="31"/>
        <v>6.6662251035909392E-7</v>
      </c>
    </row>
    <row r="96" spans="26:46" x14ac:dyDescent="0.2">
      <c r="Z96" s="2">
        <v>24</v>
      </c>
      <c r="AA96" s="2">
        <f t="shared" si="32"/>
        <v>0.15917613051401103</v>
      </c>
      <c r="AB96" s="2">
        <v>-2.0912530102924765E-7</v>
      </c>
      <c r="AC96" s="2">
        <f t="shared" si="33"/>
        <v>0.15917646382526621</v>
      </c>
      <c r="AD96" s="2">
        <v>6.6597459348963217E-7</v>
      </c>
      <c r="AE96" s="2">
        <f t="shared" si="24"/>
        <v>0.1591762971696386</v>
      </c>
      <c r="AF96" s="2">
        <v>2.2842493558987431E-7</v>
      </c>
      <c r="AG96" s="2">
        <f t="shared" si="25"/>
        <v>-4.7769433417818969E-14</v>
      </c>
      <c r="AH96" s="2">
        <f t="shared" si="26"/>
        <v>1.5212520362236197E-13</v>
      </c>
      <c r="AI96" s="2">
        <f t="shared" si="27"/>
        <v>3.3331125517954696E-7</v>
      </c>
      <c r="AK96" s="2">
        <v>24</v>
      </c>
      <c r="AL96" s="2">
        <f t="shared" si="34"/>
        <v>0.14032704572231389</v>
      </c>
      <c r="AM96" s="2">
        <v>-3.0285153240251772E-8</v>
      </c>
      <c r="AN96" s="2">
        <f t="shared" si="35"/>
        <v>0.14032737903356907</v>
      </c>
      <c r="AO96" s="2">
        <v>7.6587331000917136E-7</v>
      </c>
      <c r="AP96" s="2">
        <f t="shared" si="28"/>
        <v>0.14032721237794149</v>
      </c>
      <c r="AQ96" s="2">
        <v>3.6779434485576662E-7</v>
      </c>
      <c r="AR96" s="2">
        <f t="shared" si="29"/>
        <v>-1.1138708094854899E-14</v>
      </c>
      <c r="AS96" s="2">
        <f t="shared" si="30"/>
        <v>2.8168387229734061E-13</v>
      </c>
      <c r="AT96" s="2">
        <f t="shared" si="31"/>
        <v>3.3331125517954696E-7</v>
      </c>
    </row>
    <row r="97" spans="26:46" x14ac:dyDescent="0.2">
      <c r="Z97" s="2">
        <v>25</v>
      </c>
      <c r="AA97" s="2">
        <f t="shared" si="32"/>
        <v>0.15917613051401103</v>
      </c>
      <c r="AB97" s="2">
        <v>-2.0912530102924765E-7</v>
      </c>
      <c r="AC97" s="2">
        <f t="shared" si="33"/>
        <v>0.1591762971696386</v>
      </c>
      <c r="AD97" s="2">
        <v>2.2842493558987431E-7</v>
      </c>
      <c r="AE97" s="2">
        <f t="shared" si="24"/>
        <v>0.15917621384182482</v>
      </c>
      <c r="AF97" s="2">
        <v>9.6498896616503682E-9</v>
      </c>
      <c r="AG97" s="2">
        <f t="shared" si="25"/>
        <v>-2.0180360803916579E-15</v>
      </c>
      <c r="AH97" s="2">
        <f t="shared" si="26"/>
        <v>2.2042754244118794E-15</v>
      </c>
      <c r="AI97" s="2">
        <f t="shared" si="27"/>
        <v>1.6665562757589569E-7</v>
      </c>
      <c r="AK97" s="2">
        <v>25</v>
      </c>
      <c r="AL97" s="2">
        <f t="shared" si="34"/>
        <v>0.14032704572231389</v>
      </c>
      <c r="AM97" s="2">
        <v>-3.0285153240251772E-8</v>
      </c>
      <c r="AN97" s="2">
        <f t="shared" si="35"/>
        <v>0.14032721237794149</v>
      </c>
      <c r="AO97" s="2">
        <v>3.6779434485576662E-7</v>
      </c>
      <c r="AP97" s="2">
        <f t="shared" si="28"/>
        <v>0.14032712905012767</v>
      </c>
      <c r="AQ97" s="2">
        <v>1.6875466241853682E-7</v>
      </c>
      <c r="AR97" s="2">
        <f t="shared" si="29"/>
        <v>-5.1107608113523443E-15</v>
      </c>
      <c r="AS97" s="2">
        <f t="shared" si="30"/>
        <v>6.2067010505581803E-14</v>
      </c>
      <c r="AT97" s="2">
        <f t="shared" si="31"/>
        <v>1.6665562760365127E-7</v>
      </c>
    </row>
    <row r="98" spans="26:46" x14ac:dyDescent="0.2">
      <c r="Z98" s="2">
        <v>26</v>
      </c>
      <c r="AA98" s="2">
        <f t="shared" si="32"/>
        <v>0.15917613051401103</v>
      </c>
      <c r="AB98" s="2">
        <v>-2.0912530102924765E-7</v>
      </c>
      <c r="AC98" s="2">
        <f t="shared" si="33"/>
        <v>0.15917621384182482</v>
      </c>
      <c r="AD98" s="2">
        <v>9.6498896616503682E-9</v>
      </c>
      <c r="AE98" s="2">
        <f t="shared" si="24"/>
        <v>0.15917617217791791</v>
      </c>
      <c r="AF98" s="2">
        <v>-9.9737687636602956E-8</v>
      </c>
      <c r="AG98" s="2">
        <f t="shared" si="25"/>
        <v>2.0857673950965663E-14</v>
      </c>
      <c r="AH98" s="2">
        <f t="shared" si="26"/>
        <v>-9.6245768080136858E-16</v>
      </c>
      <c r="AI98" s="2">
        <f t="shared" si="27"/>
        <v>8.3327813787947846E-8</v>
      </c>
      <c r="AK98" s="2">
        <v>26</v>
      </c>
      <c r="AL98" s="2">
        <f t="shared" si="34"/>
        <v>0.14032704572231389</v>
      </c>
      <c r="AM98" s="2">
        <v>-3.0285153240251772E-8</v>
      </c>
      <c r="AN98" s="2">
        <f t="shared" si="35"/>
        <v>0.14032712905012767</v>
      </c>
      <c r="AO98" s="2">
        <v>1.6875466241853682E-7</v>
      </c>
      <c r="AP98" s="2">
        <f t="shared" si="28"/>
        <v>0.14032708738622079</v>
      </c>
      <c r="AQ98" s="2">
        <v>6.9234771258967764E-8</v>
      </c>
      <c r="AR98" s="2">
        <f t="shared" si="29"/>
        <v>-2.096785657131618E-15</v>
      </c>
      <c r="AS98" s="2">
        <f t="shared" si="30"/>
        <v>1.168369045143172E-14</v>
      </c>
      <c r="AT98" s="2">
        <f t="shared" si="31"/>
        <v>8.3327813787947846E-8</v>
      </c>
    </row>
    <row r="99" spans="26:46" x14ac:dyDescent="0.2">
      <c r="Z99" s="2">
        <v>27</v>
      </c>
      <c r="AA99" s="2">
        <f t="shared" si="32"/>
        <v>0.15917617217791791</v>
      </c>
      <c r="AB99" s="2">
        <v>-9.9737687636602956E-8</v>
      </c>
      <c r="AC99" s="2">
        <f t="shared" si="33"/>
        <v>0.15917621384182482</v>
      </c>
      <c r="AD99" s="2">
        <v>9.6498896616503682E-9</v>
      </c>
      <c r="AE99" s="2">
        <f t="shared" si="24"/>
        <v>0.15917619300987135</v>
      </c>
      <c r="AF99" s="2">
        <v>-4.5043894510155003E-8</v>
      </c>
      <c r="AG99" s="2">
        <f t="shared" si="25"/>
        <v>4.4925738805899343E-15</v>
      </c>
      <c r="AH99" s="2">
        <f t="shared" si="26"/>
        <v>-4.3466861195401455E-16</v>
      </c>
      <c r="AI99" s="2">
        <f t="shared" si="27"/>
        <v>4.1663906907851711E-8</v>
      </c>
      <c r="AK99" s="2">
        <v>27</v>
      </c>
      <c r="AL99" s="2">
        <f t="shared" si="34"/>
        <v>0.14032704572231389</v>
      </c>
      <c r="AM99" s="2">
        <v>-3.0285153240251772E-8</v>
      </c>
      <c r="AN99" s="2">
        <f t="shared" si="35"/>
        <v>0.14032708738622079</v>
      </c>
      <c r="AO99" s="2">
        <v>6.9234771258967764E-8</v>
      </c>
      <c r="AP99" s="2">
        <f t="shared" si="28"/>
        <v>0.14032706655426735</v>
      </c>
      <c r="AQ99" s="2">
        <v>1.9474813299329152E-8</v>
      </c>
      <c r="AR99" s="2">
        <f t="shared" si="29"/>
        <v>-5.8979770509547658E-16</v>
      </c>
      <c r="AS99" s="2">
        <f t="shared" si="30"/>
        <v>1.3483342440901572E-15</v>
      </c>
      <c r="AT99" s="2">
        <f t="shared" si="31"/>
        <v>4.1663906907851711E-8</v>
      </c>
    </row>
    <row r="100" spans="26:46" x14ac:dyDescent="0.2">
      <c r="Z100" s="2">
        <v>28</v>
      </c>
      <c r="AA100" s="2">
        <f t="shared" si="32"/>
        <v>0.15917619300987135</v>
      </c>
      <c r="AB100" s="2">
        <v>-4.5043894510155003E-8</v>
      </c>
      <c r="AC100" s="2">
        <f t="shared" si="33"/>
        <v>0.15917621384182482</v>
      </c>
      <c r="AD100" s="2">
        <v>9.6498896616503682E-9</v>
      </c>
      <c r="AE100" s="2">
        <f t="shared" si="24"/>
        <v>0.1591762034258481</v>
      </c>
      <c r="AF100" s="2">
        <v>-1.7697001234232013E-8</v>
      </c>
      <c r="AG100" s="2">
        <f t="shared" si="25"/>
        <v>7.9714185674082968E-16</v>
      </c>
      <c r="AH100" s="2">
        <f t="shared" si="26"/>
        <v>-1.7077410925242929E-16</v>
      </c>
      <c r="AI100" s="2">
        <f t="shared" si="27"/>
        <v>2.0831953467803643E-8</v>
      </c>
      <c r="AK100" s="2">
        <v>28</v>
      </c>
      <c r="AL100" s="2">
        <f t="shared" si="34"/>
        <v>0.14032704572231389</v>
      </c>
      <c r="AM100" s="2">
        <v>-3.0285153240251772E-8</v>
      </c>
      <c r="AN100" s="2">
        <f t="shared" si="35"/>
        <v>0.14032706655426735</v>
      </c>
      <c r="AO100" s="2">
        <v>1.9474813299329152E-8</v>
      </c>
      <c r="AP100" s="2">
        <f t="shared" si="28"/>
        <v>0.14032705613829061</v>
      </c>
      <c r="AQ100" s="2">
        <v>-5.4051689348313947E-9</v>
      </c>
      <c r="AR100" s="2">
        <f t="shared" si="29"/>
        <v>1.6369636948081723E-16</v>
      </c>
      <c r="AS100" s="2">
        <f t="shared" si="30"/>
        <v>-1.0526465585717523E-16</v>
      </c>
      <c r="AT100" s="2">
        <f t="shared" si="31"/>
        <v>2.0831953467803643E-8</v>
      </c>
    </row>
    <row r="101" spans="26:46" x14ac:dyDescent="0.2">
      <c r="Z101" s="2">
        <v>29</v>
      </c>
      <c r="AA101" s="2">
        <f t="shared" si="32"/>
        <v>0.1591762034258481</v>
      </c>
      <c r="AB101" s="2">
        <v>-1.7697001234232013E-8</v>
      </c>
      <c r="AC101" s="2">
        <f t="shared" si="33"/>
        <v>0.15917621384182482</v>
      </c>
      <c r="AD101" s="2">
        <v>9.6498896616503682E-9</v>
      </c>
      <c r="AE101" s="2">
        <f>(AA101+AC101)/2</f>
        <v>0.15917620863383647</v>
      </c>
      <c r="AF101" s="2">
        <v>-4.023555455826E-9</v>
      </c>
      <c r="AG101" s="2">
        <f t="shared" si="25"/>
        <v>7.1204865867753667E-17</v>
      </c>
      <c r="AH101" s="2">
        <f t="shared" si="26"/>
        <v>-3.8826866196252254E-17</v>
      </c>
      <c r="AI101" s="2">
        <f t="shared" si="27"/>
        <v>1.0415976720024034E-8</v>
      </c>
      <c r="AK101" s="2">
        <v>29</v>
      </c>
      <c r="AL101" s="2">
        <f t="shared" si="34"/>
        <v>0.14032705613829061</v>
      </c>
      <c r="AM101" s="2">
        <v>-5.4051689348313947E-9</v>
      </c>
      <c r="AN101" s="2">
        <f t="shared" si="35"/>
        <v>0.14032706655426735</v>
      </c>
      <c r="AO101" s="2">
        <v>1.9474813299329152E-8</v>
      </c>
      <c r="AP101" s="2">
        <f>(AL101+AN101)/2</f>
        <v>0.14032706134627898</v>
      </c>
      <c r="AQ101" s="2">
        <v>7.0348223843441637E-9</v>
      </c>
      <c r="AR101" s="2">
        <f t="shared" si="29"/>
        <v>-3.8024403413913597E-17</v>
      </c>
      <c r="AS101" s="2">
        <f t="shared" si="30"/>
        <v>1.3700185252904413E-16</v>
      </c>
      <c r="AT101" s="2">
        <f t="shared" si="31"/>
        <v>1.0415976747779609E-8</v>
      </c>
    </row>
    <row r="102" spans="26:46" x14ac:dyDescent="0.2">
      <c r="Z102" s="2">
        <v>30</v>
      </c>
      <c r="AA102" s="2">
        <f t="shared" si="32"/>
        <v>0.15917620863383647</v>
      </c>
      <c r="AB102" s="2">
        <v>-4.023555455826E-9</v>
      </c>
      <c r="AC102" s="2">
        <f t="shared" si="33"/>
        <v>0.15917621384182482</v>
      </c>
      <c r="AD102" s="2">
        <v>9.6498896616503682E-9</v>
      </c>
      <c r="AE102" s="25">
        <f>(AA102+AC102)/2</f>
        <v>0.15917621123783066</v>
      </c>
      <c r="AF102" s="2">
        <v>2.8131671818421022E-9</v>
      </c>
      <c r="AG102" s="2">
        <f t="shared" si="25"/>
        <v>-1.1318934162651444E-17</v>
      </c>
      <c r="AH102" s="2">
        <f t="shared" si="26"/>
        <v>2.7146752904552204E-17</v>
      </c>
      <c r="AI102" s="2">
        <f t="shared" si="27"/>
        <v>5.2079883461342291E-9</v>
      </c>
      <c r="AK102" s="2">
        <v>30</v>
      </c>
      <c r="AL102" s="2">
        <f t="shared" si="34"/>
        <v>0.14032705613829061</v>
      </c>
      <c r="AM102" s="2">
        <v>-5.4051689348313947E-9</v>
      </c>
      <c r="AN102" s="2">
        <f t="shared" si="35"/>
        <v>0.14032706134627898</v>
      </c>
      <c r="AO102" s="2">
        <v>7.0348223843441637E-9</v>
      </c>
      <c r="AP102" s="25">
        <f>(AL102+AN102)/2</f>
        <v>0.14032705874228479</v>
      </c>
      <c r="AQ102" s="2">
        <v>8.1482677983385488E-10</v>
      </c>
      <c r="AR102" s="2">
        <f t="shared" si="29"/>
        <v>-4.4042763976266527E-18</v>
      </c>
      <c r="AS102" s="2">
        <f t="shared" si="30"/>
        <v>5.7321616701382757E-18</v>
      </c>
      <c r="AT102" s="2">
        <f t="shared" si="31"/>
        <v>5.2079883738898047E-9</v>
      </c>
    </row>
    <row r="104" spans="26:46" x14ac:dyDescent="0.2">
      <c r="Z104" s="33" t="s">
        <v>83</v>
      </c>
      <c r="AA104" s="33"/>
      <c r="AB104" s="33"/>
      <c r="AC104" s="33"/>
      <c r="AD104" s="33"/>
      <c r="AE104" s="33"/>
      <c r="AF104" s="33"/>
      <c r="AG104" s="33"/>
      <c r="AH104" s="33"/>
      <c r="AI104" s="33"/>
    </row>
    <row r="105" spans="26:46" x14ac:dyDescent="0.2">
      <c r="Z105" s="8" t="s">
        <v>33</v>
      </c>
      <c r="AA105" s="8" t="s">
        <v>34</v>
      </c>
      <c r="AB105" s="8" t="s">
        <v>35</v>
      </c>
      <c r="AC105" s="8" t="s">
        <v>36</v>
      </c>
      <c r="AD105" s="8" t="s">
        <v>37</v>
      </c>
      <c r="AE105" s="8" t="s">
        <v>38</v>
      </c>
      <c r="AF105" s="8" t="s">
        <v>39</v>
      </c>
      <c r="AG105" s="8" t="s">
        <v>40</v>
      </c>
      <c r="AH105" s="8" t="s">
        <v>41</v>
      </c>
      <c r="AI105" s="8" t="s">
        <v>42</v>
      </c>
    </row>
    <row r="106" spans="26:46" x14ac:dyDescent="0.2">
      <c r="Z106" s="15">
        <v>0</v>
      </c>
      <c r="AA106" s="15"/>
      <c r="AB106" s="15">
        <f>$S$77</f>
        <v>-4.7047981378833814E-9</v>
      </c>
      <c r="AC106" s="15"/>
      <c r="AD106" s="15">
        <f>$S$77</f>
        <v>-4.7047981378833814E-9</v>
      </c>
      <c r="AE106" s="15"/>
      <c r="AF106" s="15">
        <f>$S$77</f>
        <v>-4.7047981378833814E-9</v>
      </c>
      <c r="AG106" s="15"/>
      <c r="AH106" s="15"/>
      <c r="AI106" s="15"/>
    </row>
    <row r="107" spans="26:46" x14ac:dyDescent="0.2">
      <c r="Z107" s="2">
        <v>1</v>
      </c>
      <c r="AA107" s="9">
        <f>0.01*PI()</f>
        <v>3.1415926535897934E-2</v>
      </c>
      <c r="AB107" s="2">
        <f t="dataTable" ref="AB107:AB136" dt2D="0" dtr="0" r1="S61" ca="1"/>
        <v>-0.42722129819272536</v>
      </c>
      <c r="AC107" s="9">
        <f>0.9*PI()</f>
        <v>2.8274333882308138</v>
      </c>
      <c r="AD107" s="2">
        <f t="dataTable" ref="AD107:AD136" dt2D="0" dtr="0" r1="S61" ca="1"/>
        <v>0.23386125212353859</v>
      </c>
      <c r="AE107" s="2">
        <f>(AA107+AC107)/2</f>
        <v>1.4294246573833558</v>
      </c>
      <c r="AF107" s="2">
        <f t="dataTable" ref="AF107:AF136" dt2D="0" dtr="0" r1="S61"/>
        <v>0.97358925215015468</v>
      </c>
      <c r="AG107" s="2">
        <f>AB107*AF107</f>
        <v>-0.41593806421007373</v>
      </c>
      <c r="AH107" s="2">
        <f>AD107*AF107</f>
        <v>0.22768480156185469</v>
      </c>
      <c r="AI107" s="2">
        <f>AC107-AA107</f>
        <v>2.7960174616949161</v>
      </c>
    </row>
    <row r="108" spans="26:46" x14ac:dyDescent="0.2">
      <c r="Z108" s="2">
        <v>2</v>
      </c>
      <c r="AA108" s="2">
        <f>IF(AG107&gt;0,AE107,AA107)</f>
        <v>3.1415926535897934E-2</v>
      </c>
      <c r="AB108" s="2">
        <v>-0.42722129819272536</v>
      </c>
      <c r="AC108" s="2">
        <f>IF(AH107&gt;0,AE107,AC107)</f>
        <v>1.4294246573833558</v>
      </c>
      <c r="AD108" s="2">
        <v>0.97358925215015468</v>
      </c>
      <c r="AE108" s="2">
        <f t="shared" ref="AE108:AE134" si="36">(AA108+AC108)/2</f>
        <v>0.73042029195962688</v>
      </c>
      <c r="AF108" s="2">
        <v>0.68604391288415401</v>
      </c>
      <c r="AG108" s="2">
        <f t="shared" ref="AG108:AG136" si="37">AB108*AF108</f>
        <v>-0.29309257107958525</v>
      </c>
      <c r="AH108" s="2">
        <f t="shared" ref="AH108:AH136" si="38">AD108*AF108</f>
        <v>0.66792498008704937</v>
      </c>
      <c r="AI108" s="2">
        <f t="shared" ref="AI108:AI136" si="39">AC108-AA108</f>
        <v>1.3980087308474578</v>
      </c>
    </row>
    <row r="109" spans="26:46" x14ac:dyDescent="0.2">
      <c r="Z109" s="2">
        <v>3</v>
      </c>
      <c r="AA109" s="2">
        <f t="shared" ref="AA109:AA136" si="40">IF(AG108&gt;0,AE108,AA108)</f>
        <v>3.1415926535897934E-2</v>
      </c>
      <c r="AB109" s="2">
        <v>-0.42722129819272536</v>
      </c>
      <c r="AC109" s="2">
        <f t="shared" ref="AC109:AC136" si="41">IF(AH108&gt;0,AE108,AC108)</f>
        <v>0.73042029195962688</v>
      </c>
      <c r="AD109" s="2">
        <v>0.68604391288415401</v>
      </c>
      <c r="AE109" s="2">
        <f t="shared" si="36"/>
        <v>0.38091810924776243</v>
      </c>
      <c r="AF109" s="2">
        <v>0.37331409738969468</v>
      </c>
      <c r="AG109" s="2">
        <f t="shared" si="37"/>
        <v>-0.15948773332047086</v>
      </c>
      <c r="AH109" s="2">
        <f t="shared" si="38"/>
        <v>0.25610986410804226</v>
      </c>
      <c r="AI109" s="2">
        <f t="shared" si="39"/>
        <v>0.6990043654237289</v>
      </c>
    </row>
    <row r="110" spans="26:46" x14ac:dyDescent="0.2">
      <c r="Z110" s="2">
        <v>4</v>
      </c>
      <c r="AA110" s="2">
        <f t="shared" si="40"/>
        <v>3.1415926535897934E-2</v>
      </c>
      <c r="AB110" s="2">
        <v>-0.42722129819272536</v>
      </c>
      <c r="AC110" s="2">
        <f t="shared" si="41"/>
        <v>0.38091810924776243</v>
      </c>
      <c r="AD110" s="2">
        <v>0.37331409738969468</v>
      </c>
      <c r="AE110" s="2">
        <f t="shared" si="36"/>
        <v>0.20616701789183017</v>
      </c>
      <c r="AF110" s="2">
        <v>0.12512448792195349</v>
      </c>
      <c r="AG110" s="2">
        <f t="shared" si="37"/>
        <v>-5.3455846165716955E-2</v>
      </c>
      <c r="AH110" s="2">
        <f t="shared" si="38"/>
        <v>4.6710735269931823E-2</v>
      </c>
      <c r="AI110" s="2">
        <f t="shared" si="39"/>
        <v>0.34950218271186451</v>
      </c>
    </row>
    <row r="111" spans="26:46" x14ac:dyDescent="0.2">
      <c r="Z111" s="2">
        <v>5</v>
      </c>
      <c r="AA111" s="2">
        <f t="shared" si="40"/>
        <v>3.1415926535897934E-2</v>
      </c>
      <c r="AB111" s="2">
        <v>-0.42722129819272536</v>
      </c>
      <c r="AC111" s="2">
        <f t="shared" si="41"/>
        <v>0.20616701789183017</v>
      </c>
      <c r="AD111" s="2">
        <v>0.12512448792195349</v>
      </c>
      <c r="AE111" s="2">
        <f t="shared" si="36"/>
        <v>0.11879147221386405</v>
      </c>
      <c r="AF111" s="2">
        <v>-5.1185782475059519E-2</v>
      </c>
      <c r="AG111" s="2">
        <f t="shared" si="37"/>
        <v>2.1867656438005378E-2</v>
      </c>
      <c r="AH111" s="2">
        <f t="shared" si="38"/>
        <v>-6.4045948210763237E-3</v>
      </c>
      <c r="AI111" s="2">
        <f t="shared" si="39"/>
        <v>0.17475109135593225</v>
      </c>
    </row>
    <row r="112" spans="26:46" x14ac:dyDescent="0.2">
      <c r="Z112" s="2">
        <v>6</v>
      </c>
      <c r="AA112" s="2">
        <f t="shared" si="40"/>
        <v>0.11879147221386405</v>
      </c>
      <c r="AB112" s="2">
        <v>-5.1185782475059519E-2</v>
      </c>
      <c r="AC112" s="2">
        <f t="shared" si="41"/>
        <v>0.20616701789183017</v>
      </c>
      <c r="AD112" s="2">
        <v>0.12512448792195349</v>
      </c>
      <c r="AE112" s="2">
        <f t="shared" si="36"/>
        <v>0.16247924505284711</v>
      </c>
      <c r="AF112" s="2">
        <v>4.6255785059535356E-2</v>
      </c>
      <c r="AG112" s="2">
        <f t="shared" si="37"/>
        <v>-2.3676385522704846E-3</v>
      </c>
      <c r="AH112" s="2">
        <f t="shared" si="38"/>
        <v>5.7877314190023085E-3</v>
      </c>
      <c r="AI112" s="2">
        <f t="shared" si="39"/>
        <v>8.7375545677966127E-2</v>
      </c>
    </row>
    <row r="113" spans="26:35" x14ac:dyDescent="0.2">
      <c r="Z113" s="2">
        <v>7</v>
      </c>
      <c r="AA113" s="2">
        <f t="shared" si="40"/>
        <v>0.11879147221386405</v>
      </c>
      <c r="AB113" s="2">
        <v>-5.1185782475059519E-2</v>
      </c>
      <c r="AC113" s="2">
        <f t="shared" si="41"/>
        <v>0.16247924505284711</v>
      </c>
      <c r="AD113" s="2">
        <v>4.6255785059535356E-2</v>
      </c>
      <c r="AE113" s="2">
        <f t="shared" si="36"/>
        <v>0.14063535863335558</v>
      </c>
      <c r="AF113" s="2">
        <v>8.4641979372445872E-4</v>
      </c>
      <c r="AG113" s="2">
        <f t="shared" si="37"/>
        <v>-4.332465944416489E-5</v>
      </c>
      <c r="AH113" s="2">
        <f t="shared" si="38"/>
        <v>3.9151812048654819E-5</v>
      </c>
      <c r="AI113" s="2">
        <f t="shared" si="39"/>
        <v>4.3687772838983063E-2</v>
      </c>
    </row>
    <row r="114" spans="26:35" x14ac:dyDescent="0.2">
      <c r="Z114" s="2">
        <v>8</v>
      </c>
      <c r="AA114" s="2">
        <f t="shared" si="40"/>
        <v>0.11879147221386405</v>
      </c>
      <c r="AB114" s="2">
        <v>-5.1185782475059519E-2</v>
      </c>
      <c r="AC114" s="2">
        <f t="shared" si="41"/>
        <v>0.14063535863335558</v>
      </c>
      <c r="AD114" s="2">
        <v>8.4641979372445872E-4</v>
      </c>
      <c r="AE114" s="2">
        <f t="shared" si="36"/>
        <v>0.12971341542360981</v>
      </c>
      <c r="AF114" s="2">
        <v>-2.4144661173350061E-2</v>
      </c>
      <c r="AG114" s="2">
        <f t="shared" si="37"/>
        <v>1.2358633747531116E-3</v>
      </c>
      <c r="AH114" s="2">
        <f t="shared" si="38"/>
        <v>-2.0436519129893907E-5</v>
      </c>
      <c r="AI114" s="2">
        <f t="shared" si="39"/>
        <v>2.1843886419491532E-2</v>
      </c>
    </row>
    <row r="115" spans="26:35" x14ac:dyDescent="0.2">
      <c r="Z115" s="2">
        <v>9</v>
      </c>
      <c r="AA115" s="2">
        <f t="shared" si="40"/>
        <v>0.12971341542360981</v>
      </c>
      <c r="AB115" s="2">
        <v>-2.4144661173350061E-2</v>
      </c>
      <c r="AC115" s="2">
        <f t="shared" si="41"/>
        <v>0.14063535863335558</v>
      </c>
      <c r="AD115" s="2">
        <v>8.4641979372445872E-4</v>
      </c>
      <c r="AE115" s="2">
        <f t="shared" si="36"/>
        <v>0.1351743870284827</v>
      </c>
      <c r="AF115" s="2">
        <v>-1.1422572152032406E-2</v>
      </c>
      <c r="AG115" s="2">
        <f t="shared" si="37"/>
        <v>2.7579413433896649E-4</v>
      </c>
      <c r="AH115" s="2">
        <f t="shared" si="38"/>
        <v>-9.6682911647260165E-6</v>
      </c>
      <c r="AI115" s="2">
        <f t="shared" si="39"/>
        <v>1.0921943209745766E-2</v>
      </c>
    </row>
    <row r="116" spans="26:35" x14ac:dyDescent="0.2">
      <c r="Z116" s="2">
        <v>10</v>
      </c>
      <c r="AA116" s="2">
        <f t="shared" si="40"/>
        <v>0.1351743870284827</v>
      </c>
      <c r="AB116" s="2">
        <v>-1.1422572152032406E-2</v>
      </c>
      <c r="AC116" s="2">
        <f t="shared" si="41"/>
        <v>0.14063535863335558</v>
      </c>
      <c r="AD116" s="2">
        <v>8.4641979372445872E-4</v>
      </c>
      <c r="AE116" s="2">
        <f t="shared" si="36"/>
        <v>0.13790487283091912</v>
      </c>
      <c r="AF116" s="2">
        <v>-5.2346277764650593E-3</v>
      </c>
      <c r="AG116" s="2">
        <f t="shared" si="37"/>
        <v>5.9792913465705101E-5</v>
      </c>
      <c r="AH116" s="2">
        <f t="shared" si="38"/>
        <v>-4.4306925627798773E-6</v>
      </c>
      <c r="AI116" s="2">
        <f t="shared" si="39"/>
        <v>5.4609716048728829E-3</v>
      </c>
    </row>
    <row r="117" spans="26:35" x14ac:dyDescent="0.2">
      <c r="Z117" s="2">
        <v>11</v>
      </c>
      <c r="AA117" s="2">
        <f t="shared" si="40"/>
        <v>0.13790487283091912</v>
      </c>
      <c r="AB117" s="2">
        <v>-5.2346277764650593E-3</v>
      </c>
      <c r="AC117" s="2">
        <f t="shared" si="41"/>
        <v>0.14063535863335558</v>
      </c>
      <c r="AD117" s="2">
        <v>8.4641979372445872E-4</v>
      </c>
      <c r="AE117" s="2">
        <f t="shared" si="36"/>
        <v>0.13927011573213735</v>
      </c>
      <c r="AF117" s="2">
        <v>-2.1811126904845435E-3</v>
      </c>
      <c r="AG117" s="2">
        <f t="shared" si="37"/>
        <v>1.1417313073210828E-5</v>
      </c>
      <c r="AH117" s="2">
        <f t="shared" si="38"/>
        <v>-1.8461369535697265E-6</v>
      </c>
      <c r="AI117" s="2">
        <f t="shared" si="39"/>
        <v>2.7304858024364553E-3</v>
      </c>
    </row>
    <row r="118" spans="26:35" x14ac:dyDescent="0.2">
      <c r="Z118" s="2">
        <v>12</v>
      </c>
      <c r="AA118" s="2">
        <f t="shared" si="40"/>
        <v>0.13927011573213735</v>
      </c>
      <c r="AB118" s="2">
        <v>-2.1811126904845435E-3</v>
      </c>
      <c r="AC118" s="2">
        <f t="shared" si="41"/>
        <v>0.14063535863335558</v>
      </c>
      <c r="AD118" s="2">
        <v>8.4641979372445872E-4</v>
      </c>
      <c r="AE118" s="2">
        <f t="shared" si="36"/>
        <v>0.13995273718274648</v>
      </c>
      <c r="AF118" s="2">
        <v>-6.641433677665419E-4</v>
      </c>
      <c r="AG118" s="2">
        <f t="shared" si="37"/>
        <v>1.4485715277367479E-6</v>
      </c>
      <c r="AH118" s="2">
        <f t="shared" si="38"/>
        <v>-5.6214409234842377E-7</v>
      </c>
      <c r="AI118" s="2">
        <f t="shared" si="39"/>
        <v>1.3652429012182277E-3</v>
      </c>
    </row>
    <row r="119" spans="26:35" x14ac:dyDescent="0.2">
      <c r="Z119" s="2">
        <v>13</v>
      </c>
      <c r="AA119" s="2">
        <f t="shared" si="40"/>
        <v>0.13995273718274648</v>
      </c>
      <c r="AB119" s="2">
        <v>-6.641433677665419E-4</v>
      </c>
      <c r="AC119" s="2">
        <f t="shared" si="41"/>
        <v>0.14063535863335558</v>
      </c>
      <c r="AD119" s="2">
        <v>8.4641979372445872E-4</v>
      </c>
      <c r="AE119" s="2">
        <f t="shared" si="36"/>
        <v>0.14029404790805103</v>
      </c>
      <c r="AF119" s="2">
        <v>9.193348660042986E-5</v>
      </c>
      <c r="AG119" s="2">
        <f t="shared" si="37"/>
        <v>-6.1057015401329746E-8</v>
      </c>
      <c r="AH119" s="2">
        <f t="shared" si="38"/>
        <v>7.7814322764706137E-8</v>
      </c>
      <c r="AI119" s="2">
        <f t="shared" si="39"/>
        <v>6.8262145060909996E-4</v>
      </c>
    </row>
    <row r="120" spans="26:35" x14ac:dyDescent="0.2">
      <c r="Z120" s="2">
        <v>14</v>
      </c>
      <c r="AA120" s="2">
        <f t="shared" si="40"/>
        <v>0.13995273718274648</v>
      </c>
      <c r="AB120" s="2">
        <v>-6.641433677665419E-4</v>
      </c>
      <c r="AC120" s="2">
        <f t="shared" si="41"/>
        <v>0.14029404790805103</v>
      </c>
      <c r="AD120" s="2">
        <v>9.193348660042986E-5</v>
      </c>
      <c r="AE120" s="2">
        <f t="shared" si="36"/>
        <v>0.14012339254539874</v>
      </c>
      <c r="AF120" s="2">
        <v>-2.8590543935061875E-4</v>
      </c>
      <c r="AG120" s="2">
        <f t="shared" si="37"/>
        <v>1.8988220135309272E-7</v>
      </c>
      <c r="AH120" s="2">
        <f t="shared" si="38"/>
        <v>-2.628428387753012E-8</v>
      </c>
      <c r="AI120" s="2">
        <f t="shared" si="39"/>
        <v>3.4131072530454998E-4</v>
      </c>
    </row>
    <row r="121" spans="26:35" x14ac:dyDescent="0.2">
      <c r="Z121" s="2">
        <v>15</v>
      </c>
      <c r="AA121" s="2">
        <f t="shared" si="40"/>
        <v>0.14012339254539874</v>
      </c>
      <c r="AB121" s="2">
        <v>-2.8590543935061875E-4</v>
      </c>
      <c r="AC121" s="2">
        <f t="shared" si="41"/>
        <v>0.14029404790805103</v>
      </c>
      <c r="AD121" s="2">
        <v>9.193348660042986E-5</v>
      </c>
      <c r="AE121" s="2">
        <f t="shared" si="36"/>
        <v>0.14020872022672487</v>
      </c>
      <c r="AF121" s="2">
        <v>-9.6936186683522531E-5</v>
      </c>
      <c r="AG121" s="2">
        <f t="shared" si="37"/>
        <v>2.7714583042726108E-8</v>
      </c>
      <c r="AH121" s="2">
        <f t="shared" si="38"/>
        <v>-8.9116816195663867E-9</v>
      </c>
      <c r="AI121" s="2">
        <f t="shared" si="39"/>
        <v>1.7065536265228887E-4</v>
      </c>
    </row>
    <row r="122" spans="26:35" x14ac:dyDescent="0.2">
      <c r="Z122" s="2">
        <v>16</v>
      </c>
      <c r="AA122" s="2">
        <f t="shared" si="40"/>
        <v>0.14020872022672487</v>
      </c>
      <c r="AB122" s="2">
        <v>-9.6936186683522531E-5</v>
      </c>
      <c r="AC122" s="2">
        <f t="shared" si="41"/>
        <v>0.14029404790805103</v>
      </c>
      <c r="AD122" s="2">
        <v>9.193348660042986E-5</v>
      </c>
      <c r="AE122" s="2">
        <f t="shared" si="36"/>
        <v>0.14025138406738796</v>
      </c>
      <c r="AF122" s="2">
        <v>-2.4889132975618525E-6</v>
      </c>
      <c r="AG122" s="2">
        <f t="shared" si="37"/>
        <v>2.4126576405155739E-10</v>
      </c>
      <c r="AH122" s="2">
        <f t="shared" si="38"/>
        <v>-2.2881447729103427E-10</v>
      </c>
      <c r="AI122" s="2">
        <f t="shared" si="39"/>
        <v>8.5327681326158311E-5</v>
      </c>
    </row>
    <row r="123" spans="26:35" x14ac:dyDescent="0.2">
      <c r="Z123" s="2">
        <v>17</v>
      </c>
      <c r="AA123" s="2">
        <f t="shared" si="40"/>
        <v>0.14025138406738796</v>
      </c>
      <c r="AB123" s="2">
        <v>-2.4889132975618525E-6</v>
      </c>
      <c r="AC123" s="2">
        <f t="shared" si="41"/>
        <v>0.14029404790805103</v>
      </c>
      <c r="AD123" s="2">
        <v>9.193348660042986E-5</v>
      </c>
      <c r="AE123" s="2">
        <f t="shared" si="36"/>
        <v>0.14027271598771951</v>
      </c>
      <c r="AF123" s="2">
        <v>4.4725394504028203E-5</v>
      </c>
      <c r="AG123" s="2">
        <f t="shared" si="37"/>
        <v>-1.1131762911977559E-10</v>
      </c>
      <c r="AH123" s="2">
        <f t="shared" si="38"/>
        <v>4.1117614563350164E-9</v>
      </c>
      <c r="AI123" s="2">
        <f t="shared" si="39"/>
        <v>4.2663840663065278E-5</v>
      </c>
    </row>
    <row r="124" spans="26:35" x14ac:dyDescent="0.2">
      <c r="Z124" s="2">
        <v>18</v>
      </c>
      <c r="AA124" s="2">
        <f t="shared" si="40"/>
        <v>0.14025138406738796</v>
      </c>
      <c r="AB124" s="2">
        <v>-2.4889132975618525E-6</v>
      </c>
      <c r="AC124" s="2">
        <f t="shared" si="41"/>
        <v>0.14027271598771951</v>
      </c>
      <c r="AD124" s="2">
        <v>4.4725394504028203E-5</v>
      </c>
      <c r="AE124" s="2">
        <f t="shared" si="36"/>
        <v>0.14026205002755374</v>
      </c>
      <c r="AF124" s="2">
        <v>2.1119017733038994E-5</v>
      </c>
      <c r="AG124" s="2">
        <f t="shared" si="37"/>
        <v>-5.2563404067205321E-11</v>
      </c>
      <c r="AH124" s="2">
        <f t="shared" si="38"/>
        <v>9.4455639964773643E-10</v>
      </c>
      <c r="AI124" s="2">
        <f t="shared" si="39"/>
        <v>2.1331920331546517E-5</v>
      </c>
    </row>
    <row r="125" spans="26:35" x14ac:dyDescent="0.2">
      <c r="Z125" s="2">
        <v>19</v>
      </c>
      <c r="AA125" s="2">
        <f t="shared" si="40"/>
        <v>0.14025138406738796</v>
      </c>
      <c r="AB125" s="2">
        <v>-2.4889132975618525E-6</v>
      </c>
      <c r="AC125" s="2">
        <f t="shared" si="41"/>
        <v>0.14026205002755374</v>
      </c>
      <c r="AD125" s="2">
        <v>2.1119017733038994E-5</v>
      </c>
      <c r="AE125" s="2">
        <f t="shared" si="36"/>
        <v>0.14025671704747084</v>
      </c>
      <c r="AF125" s="2">
        <v>9.3152465209661584E-6</v>
      </c>
      <c r="AG125" s="2">
        <f t="shared" si="37"/>
        <v>-2.3184840936099455E-11</v>
      </c>
      <c r="AH125" s="2">
        <f t="shared" si="38"/>
        <v>1.967288564639141E-10</v>
      </c>
      <c r="AI125" s="2">
        <f t="shared" si="39"/>
        <v>1.0665960165773258E-5</v>
      </c>
    </row>
    <row r="126" spans="26:35" x14ac:dyDescent="0.2">
      <c r="Z126" s="2">
        <v>20</v>
      </c>
      <c r="AA126" s="2">
        <f t="shared" si="40"/>
        <v>0.14025138406738796</v>
      </c>
      <c r="AB126" s="2">
        <v>-2.4889132975618525E-6</v>
      </c>
      <c r="AC126" s="2">
        <f t="shared" si="41"/>
        <v>0.14025671704747084</v>
      </c>
      <c r="AD126" s="2">
        <v>9.3152465209661584E-6</v>
      </c>
      <c r="AE126" s="2">
        <f t="shared" si="36"/>
        <v>0.1402540505574294</v>
      </c>
      <c r="AF126" s="2">
        <v>3.4132151901112434E-6</v>
      </c>
      <c r="AG126" s="2">
        <f t="shared" si="37"/>
        <v>-8.4951966741079795E-12</v>
      </c>
      <c r="AH126" s="2">
        <f t="shared" si="38"/>
        <v>3.1794940924992603E-11</v>
      </c>
      <c r="AI126" s="2">
        <f t="shared" si="39"/>
        <v>5.3329800828727514E-6</v>
      </c>
    </row>
    <row r="127" spans="26:35" x14ac:dyDescent="0.2">
      <c r="Z127" s="2">
        <v>21</v>
      </c>
      <c r="AA127" s="2">
        <f t="shared" si="40"/>
        <v>0.14025138406738796</v>
      </c>
      <c r="AB127" s="2">
        <v>-2.4889132975618525E-6</v>
      </c>
      <c r="AC127" s="2">
        <f t="shared" si="41"/>
        <v>0.1402540505574294</v>
      </c>
      <c r="AD127" s="2">
        <v>3.4132151901112434E-6</v>
      </c>
      <c r="AE127" s="2">
        <f t="shared" si="36"/>
        <v>0.14025271731240868</v>
      </c>
      <c r="AF127" s="2">
        <v>4.6216309120602345E-7</v>
      </c>
      <c r="AG127" s="2">
        <f t="shared" si="37"/>
        <v>-1.150283863344963E-12</v>
      </c>
      <c r="AH127" s="2">
        <f t="shared" si="38"/>
        <v>1.5774620832131672E-12</v>
      </c>
      <c r="AI127" s="2">
        <f t="shared" si="39"/>
        <v>2.6664900414363757E-6</v>
      </c>
    </row>
    <row r="128" spans="26:35" x14ac:dyDescent="0.2">
      <c r="Z128" s="2">
        <v>22</v>
      </c>
      <c r="AA128" s="2">
        <f t="shared" si="40"/>
        <v>0.14025138406738796</v>
      </c>
      <c r="AB128" s="2">
        <v>-2.4889132975618525E-6</v>
      </c>
      <c r="AC128" s="2">
        <f t="shared" si="41"/>
        <v>0.14025271731240868</v>
      </c>
      <c r="AD128" s="2">
        <v>4.6216309120602345E-7</v>
      </c>
      <c r="AE128" s="2">
        <f t="shared" si="36"/>
        <v>0.14025205068989832</v>
      </c>
      <c r="AF128" s="2">
        <v>-1.0133720669000881E-6</v>
      </c>
      <c r="AG128" s="2">
        <f t="shared" si="37"/>
        <v>2.5221952126853684E-12</v>
      </c>
      <c r="AH128" s="2">
        <f t="shared" si="38"/>
        <v>-4.6834316698038189E-13</v>
      </c>
      <c r="AI128" s="2">
        <f t="shared" si="39"/>
        <v>1.3332450207181878E-6</v>
      </c>
    </row>
    <row r="129" spans="26:35" x14ac:dyDescent="0.2">
      <c r="Z129" s="2">
        <v>23</v>
      </c>
      <c r="AA129" s="2">
        <f t="shared" si="40"/>
        <v>0.14025205068989832</v>
      </c>
      <c r="AB129" s="2">
        <v>-1.0133720669000881E-6</v>
      </c>
      <c r="AC129" s="2">
        <f t="shared" si="41"/>
        <v>0.14025271731240868</v>
      </c>
      <c r="AD129" s="2">
        <v>4.6216309120602345E-7</v>
      </c>
      <c r="AE129" s="2">
        <f t="shared" si="36"/>
        <v>0.1402523840011535</v>
      </c>
      <c r="AF129" s="2">
        <v>-2.7560372881530598E-7</v>
      </c>
      <c r="AG129" s="2">
        <f t="shared" si="37"/>
        <v>2.7928912031493798E-13</v>
      </c>
      <c r="AH129" s="2">
        <f t="shared" si="38"/>
        <v>-1.273738712571884E-13</v>
      </c>
      <c r="AI129" s="2">
        <f t="shared" si="39"/>
        <v>6.6662251035909392E-7</v>
      </c>
    </row>
    <row r="130" spans="26:35" x14ac:dyDescent="0.2">
      <c r="Z130" s="2">
        <v>24</v>
      </c>
      <c r="AA130" s="2">
        <f t="shared" si="40"/>
        <v>0.1402523840011535</v>
      </c>
      <c r="AB130" s="2">
        <v>-2.7560372881530598E-7</v>
      </c>
      <c r="AC130" s="2">
        <f t="shared" si="41"/>
        <v>0.14025271731240868</v>
      </c>
      <c r="AD130" s="2">
        <v>4.6216309120602345E-7</v>
      </c>
      <c r="AE130" s="2">
        <f t="shared" si="36"/>
        <v>0.14025255065678111</v>
      </c>
      <c r="AF130" s="2">
        <v>9.3279871049567475E-8</v>
      </c>
      <c r="AG130" s="2">
        <f t="shared" si="37"/>
        <v>-2.5708280284671706E-14</v>
      </c>
      <c r="AH130" s="2">
        <f t="shared" si="38"/>
        <v>4.3110513551567362E-14</v>
      </c>
      <c r="AI130" s="2">
        <f t="shared" si="39"/>
        <v>3.3331125517954696E-7</v>
      </c>
    </row>
    <row r="131" spans="26:35" x14ac:dyDescent="0.2">
      <c r="Z131" s="2">
        <v>25</v>
      </c>
      <c r="AA131" s="2">
        <f t="shared" si="40"/>
        <v>0.1402523840011535</v>
      </c>
      <c r="AB131" s="2">
        <v>-2.7560372881530598E-7</v>
      </c>
      <c r="AC131" s="2">
        <f t="shared" si="41"/>
        <v>0.14025255065678111</v>
      </c>
      <c r="AD131" s="2">
        <v>9.3279871049567475E-8</v>
      </c>
      <c r="AE131" s="2">
        <f t="shared" si="36"/>
        <v>0.14025246732896729</v>
      </c>
      <c r="AF131" s="2">
        <v>-9.1161881434279057E-8</v>
      </c>
      <c r="AG131" s="2">
        <f t="shared" si="37"/>
        <v>2.5124554449106123E-14</v>
      </c>
      <c r="AH131" s="2">
        <f t="shared" si="38"/>
        <v>-8.5035685448255092E-15</v>
      </c>
      <c r="AI131" s="2">
        <f t="shared" si="39"/>
        <v>1.6665562760365127E-7</v>
      </c>
    </row>
    <row r="132" spans="26:35" x14ac:dyDescent="0.2">
      <c r="Z132" s="2">
        <v>26</v>
      </c>
      <c r="AA132" s="2">
        <f t="shared" si="40"/>
        <v>0.14025246732896729</v>
      </c>
      <c r="AB132" s="2">
        <v>-9.1161881434279057E-8</v>
      </c>
      <c r="AC132" s="2">
        <f t="shared" si="41"/>
        <v>0.14025255065678111</v>
      </c>
      <c r="AD132" s="2">
        <v>9.3279871049567475E-8</v>
      </c>
      <c r="AE132" s="2">
        <f t="shared" si="36"/>
        <v>0.1402525089928742</v>
      </c>
      <c r="AF132" s="2">
        <v>1.0590066514687413E-9</v>
      </c>
      <c r="AG132" s="2">
        <f t="shared" si="37"/>
        <v>-9.6541038799306281E-17</v>
      </c>
      <c r="AH132" s="2">
        <f t="shared" si="38"/>
        <v>9.8784003889638432E-17</v>
      </c>
      <c r="AI132" s="2">
        <f t="shared" si="39"/>
        <v>8.3327813815703422E-8</v>
      </c>
    </row>
    <row r="133" spans="26:35" x14ac:dyDescent="0.2">
      <c r="Z133" s="2">
        <v>27</v>
      </c>
      <c r="AA133" s="2">
        <f t="shared" si="40"/>
        <v>0.14025246732896729</v>
      </c>
      <c r="AB133" s="2">
        <v>-9.1161881434279057E-8</v>
      </c>
      <c r="AC133" s="2">
        <f t="shared" si="41"/>
        <v>0.1402525089928742</v>
      </c>
      <c r="AD133" s="2">
        <v>1.0590066514687413E-9</v>
      </c>
      <c r="AE133" s="2">
        <f t="shared" si="36"/>
        <v>0.14025248816092073</v>
      </c>
      <c r="AF133" s="2">
        <v>-4.5051434488345421E-8</v>
      </c>
      <c r="AG133" s="2">
        <f t="shared" si="37"/>
        <v>4.1069735292707359E-15</v>
      </c>
      <c r="AH133" s="2">
        <f t="shared" si="38"/>
        <v>-4.7709768781366048E-17</v>
      </c>
      <c r="AI133" s="2">
        <f t="shared" si="39"/>
        <v>4.1663906907851711E-8</v>
      </c>
    </row>
    <row r="134" spans="26:35" x14ac:dyDescent="0.2">
      <c r="Z134" s="2">
        <v>28</v>
      </c>
      <c r="AA134" s="2">
        <f t="shared" si="40"/>
        <v>0.14025248816092073</v>
      </c>
      <c r="AB134" s="2">
        <v>-4.5051434488345421E-8</v>
      </c>
      <c r="AC134" s="2">
        <f t="shared" si="41"/>
        <v>0.1402525089928742</v>
      </c>
      <c r="AD134" s="2">
        <v>1.0590066514687413E-9</v>
      </c>
      <c r="AE134" s="2">
        <f t="shared" si="36"/>
        <v>0.14025249857689748</v>
      </c>
      <c r="AF134" s="2">
        <v>-2.1996213156461053E-8</v>
      </c>
      <c r="AG134" s="2">
        <f t="shared" si="37"/>
        <v>9.9096095600998676E-16</v>
      </c>
      <c r="AH134" s="2">
        <f t="shared" si="38"/>
        <v>-2.3294136039816492E-17</v>
      </c>
      <c r="AI134" s="2">
        <f t="shared" si="39"/>
        <v>2.0831953467803643E-8</v>
      </c>
    </row>
    <row r="135" spans="26:35" x14ac:dyDescent="0.2">
      <c r="Z135" s="2">
        <v>29</v>
      </c>
      <c r="AA135" s="2">
        <f t="shared" si="40"/>
        <v>0.14025249857689748</v>
      </c>
      <c r="AB135" s="2">
        <v>-2.1996213156461053E-8</v>
      </c>
      <c r="AC135" s="2">
        <f t="shared" si="41"/>
        <v>0.1402525089928742</v>
      </c>
      <c r="AD135" s="2">
        <v>1.0590066514687413E-9</v>
      </c>
      <c r="AE135" s="2">
        <f>(AA135+AC135)/2</f>
        <v>0.14025250378488585</v>
      </c>
      <c r="AF135" s="2">
        <v>-1.0468603053002956E-8</v>
      </c>
      <c r="AG135" s="2">
        <f t="shared" si="37"/>
        <v>2.3026962420423199E-16</v>
      </c>
      <c r="AH135" s="2">
        <f t="shared" si="38"/>
        <v>-1.1086320264716102E-17</v>
      </c>
      <c r="AI135" s="2">
        <f t="shared" si="39"/>
        <v>1.0415976720024034E-8</v>
      </c>
    </row>
    <row r="136" spans="26:35" x14ac:dyDescent="0.2">
      <c r="Z136" s="2">
        <v>30</v>
      </c>
      <c r="AA136" s="2">
        <f t="shared" si="40"/>
        <v>0.14025250378488585</v>
      </c>
      <c r="AB136" s="2">
        <v>-1.0468603053002956E-8</v>
      </c>
      <c r="AC136" s="2">
        <f t="shared" si="41"/>
        <v>0.1402525089928742</v>
      </c>
      <c r="AD136" s="2">
        <v>1.0590066514687413E-9</v>
      </c>
      <c r="AE136" s="25">
        <f>(AA136+AC136)/2</f>
        <v>0.14025250638888004</v>
      </c>
      <c r="AF136" s="2">
        <v>-4.7047981378833814E-9</v>
      </c>
      <c r="AG136" s="2">
        <f t="shared" si="37"/>
        <v>4.9252664150008587E-17</v>
      </c>
      <c r="AH136" s="2">
        <f t="shared" si="38"/>
        <v>-4.982412521836249E-18</v>
      </c>
      <c r="AI136" s="2">
        <f t="shared" si="39"/>
        <v>5.2079883461342291E-9</v>
      </c>
    </row>
  </sheetData>
  <mergeCells count="46">
    <mergeCell ref="F14:H14"/>
    <mergeCell ref="Z2:AI2"/>
    <mergeCell ref="Z104:AI104"/>
    <mergeCell ref="AK2:AT2"/>
    <mergeCell ref="Z36:AI36"/>
    <mergeCell ref="AK36:AT36"/>
    <mergeCell ref="Z70:AI70"/>
    <mergeCell ref="AK70:AT70"/>
    <mergeCell ref="R3:T3"/>
    <mergeCell ref="V3:X3"/>
    <mergeCell ref="R22:T22"/>
    <mergeCell ref="V22:X22"/>
    <mergeCell ref="BC3:BE3"/>
    <mergeCell ref="AW3:AY3"/>
    <mergeCell ref="AZ3:BB3"/>
    <mergeCell ref="R41:T41"/>
    <mergeCell ref="V41:X41"/>
    <mergeCell ref="R60:T60"/>
    <mergeCell ref="B2:D2"/>
    <mergeCell ref="B7:D7"/>
    <mergeCell ref="B40:D40"/>
    <mergeCell ref="B11:B17"/>
    <mergeCell ref="B18:B24"/>
    <mergeCell ref="B25:B31"/>
    <mergeCell ref="B32:B38"/>
    <mergeCell ref="J2:P2"/>
    <mergeCell ref="F2:H2"/>
    <mergeCell ref="F9:H9"/>
    <mergeCell ref="J3:L3"/>
    <mergeCell ref="N3:P3"/>
    <mergeCell ref="R2:X2"/>
    <mergeCell ref="J12:L12"/>
    <mergeCell ref="N12:P12"/>
    <mergeCell ref="J21:L21"/>
    <mergeCell ref="N21:P21"/>
    <mergeCell ref="J30:L30"/>
    <mergeCell ref="G30:H30"/>
    <mergeCell ref="F22:H22"/>
    <mergeCell ref="F23:F29"/>
    <mergeCell ref="G23:H23"/>
    <mergeCell ref="G24:H24"/>
    <mergeCell ref="G25:H25"/>
    <mergeCell ref="G26:H26"/>
    <mergeCell ref="G27:H27"/>
    <mergeCell ref="G28:H28"/>
    <mergeCell ref="G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76D7-47B6-0F44-A1F9-CF984FF81BA6}">
  <dimension ref="B2:BS117"/>
  <sheetViews>
    <sheetView workbookViewId="0">
      <selection activeCell="R6" sqref="R6"/>
    </sheetView>
  </sheetViews>
  <sheetFormatPr baseColWidth="10" defaultRowHeight="16" x14ac:dyDescent="0.2"/>
  <cols>
    <col min="12" max="12" width="2.83203125" customWidth="1"/>
    <col min="13" max="13" width="3.1640625" customWidth="1"/>
    <col min="14" max="16" width="10.83203125" style="2"/>
    <col min="24" max="24" width="2.6640625" customWidth="1"/>
    <col min="25" max="25" width="3.1640625" customWidth="1"/>
    <col min="36" max="36" width="2.5" customWidth="1"/>
    <col min="37" max="37" width="3" customWidth="1"/>
    <col min="48" max="48" width="2.83203125" customWidth="1"/>
    <col min="49" max="49" width="3.1640625" customWidth="1"/>
    <col min="60" max="60" width="2.5" customWidth="1"/>
    <col min="61" max="61" width="3.1640625" customWidth="1"/>
  </cols>
  <sheetData>
    <row r="2" spans="2:71" x14ac:dyDescent="0.2">
      <c r="B2" s="14" t="s">
        <v>50</v>
      </c>
      <c r="C2" t="s">
        <v>51</v>
      </c>
      <c r="N2" s="14" t="s">
        <v>50</v>
      </c>
      <c r="O2" t="s">
        <v>54</v>
      </c>
      <c r="Z2" s="14" t="s">
        <v>50</v>
      </c>
      <c r="AA2" t="s">
        <v>118</v>
      </c>
      <c r="AB2" s="2"/>
      <c r="AL2" s="14" t="s">
        <v>50</v>
      </c>
      <c r="AM2" t="s">
        <v>119</v>
      </c>
      <c r="AN2" s="2"/>
      <c r="AX2" s="14" t="s">
        <v>50</v>
      </c>
      <c r="AY2" t="s">
        <v>120</v>
      </c>
      <c r="AZ2" s="2"/>
      <c r="BJ2" s="14" t="s">
        <v>50</v>
      </c>
      <c r="BK2" t="s">
        <v>121</v>
      </c>
      <c r="BL2" s="2"/>
    </row>
    <row r="3" spans="2:71" x14ac:dyDescent="0.2">
      <c r="C3" s="37" t="s">
        <v>60</v>
      </c>
      <c r="D3" s="37"/>
      <c r="E3" s="37"/>
      <c r="F3" s="37" t="s">
        <v>61</v>
      </c>
      <c r="G3" s="37"/>
      <c r="H3" s="37"/>
      <c r="I3" s="37" t="s">
        <v>62</v>
      </c>
      <c r="J3" s="37"/>
      <c r="K3" s="37"/>
      <c r="N3"/>
      <c r="O3" s="37" t="s">
        <v>60</v>
      </c>
      <c r="P3" s="37"/>
      <c r="Q3" s="37"/>
      <c r="R3" s="37" t="s">
        <v>61</v>
      </c>
      <c r="S3" s="37"/>
      <c r="T3" s="37"/>
      <c r="U3" s="37" t="s">
        <v>62</v>
      </c>
      <c r="V3" s="37"/>
      <c r="W3" s="37"/>
      <c r="AA3" s="37" t="s">
        <v>60</v>
      </c>
      <c r="AB3" s="37"/>
      <c r="AC3" s="37"/>
      <c r="AD3" s="37" t="s">
        <v>61</v>
      </c>
      <c r="AE3" s="37"/>
      <c r="AF3" s="37"/>
      <c r="AG3" s="37" t="s">
        <v>62</v>
      </c>
      <c r="AH3" s="37"/>
      <c r="AI3" s="37"/>
      <c r="AM3" s="37" t="s">
        <v>60</v>
      </c>
      <c r="AN3" s="37"/>
      <c r="AO3" s="37"/>
      <c r="AP3" s="37" t="s">
        <v>61</v>
      </c>
      <c r="AQ3" s="37"/>
      <c r="AR3" s="37"/>
      <c r="AS3" s="37" t="s">
        <v>62</v>
      </c>
      <c r="AT3" s="37"/>
      <c r="AU3" s="37"/>
      <c r="AY3" s="37" t="s">
        <v>60</v>
      </c>
      <c r="AZ3" s="37"/>
      <c r="BA3" s="37"/>
      <c r="BB3" s="37" t="s">
        <v>61</v>
      </c>
      <c r="BC3" s="37"/>
      <c r="BD3" s="37"/>
      <c r="BE3" s="37" t="s">
        <v>62</v>
      </c>
      <c r="BF3" s="37"/>
      <c r="BG3" s="37"/>
      <c r="BK3" s="37" t="s">
        <v>60</v>
      </c>
      <c r="BL3" s="37"/>
      <c r="BM3" s="37"/>
      <c r="BN3" s="37" t="s">
        <v>61</v>
      </c>
      <c r="BO3" s="37"/>
      <c r="BP3" s="37"/>
      <c r="BQ3" s="37" t="s">
        <v>62</v>
      </c>
      <c r="BR3" s="37"/>
      <c r="BS3" s="37"/>
    </row>
    <row r="4" spans="2:71" x14ac:dyDescent="0.2">
      <c r="C4" s="5" t="s">
        <v>63</v>
      </c>
      <c r="D4" s="2">
        <f>B9</f>
        <v>-180</v>
      </c>
      <c r="E4" s="2">
        <f>B56</f>
        <v>-9.0909090909090899</v>
      </c>
      <c r="F4" s="5" t="s">
        <v>63</v>
      </c>
      <c r="G4" s="2">
        <f>B56</f>
        <v>-9.0909090909090899</v>
      </c>
      <c r="H4" s="2">
        <f>B62</f>
        <v>12.7272727272727</v>
      </c>
      <c r="I4" s="5" t="s">
        <v>63</v>
      </c>
      <c r="J4" s="2">
        <f>B62</f>
        <v>12.7272727272727</v>
      </c>
      <c r="K4" s="2">
        <f>B108</f>
        <v>180</v>
      </c>
      <c r="O4" s="5" t="s">
        <v>63</v>
      </c>
      <c r="P4" s="7"/>
      <c r="Q4" s="7"/>
      <c r="R4" s="5" t="s">
        <v>63</v>
      </c>
      <c r="S4" s="2"/>
      <c r="T4" s="2"/>
      <c r="U4" s="5" t="s">
        <v>63</v>
      </c>
      <c r="V4" s="2"/>
      <c r="W4" s="2"/>
      <c r="Z4" s="2"/>
      <c r="AA4" s="5" t="s">
        <v>63</v>
      </c>
      <c r="AB4" s="7"/>
      <c r="AC4" s="7"/>
      <c r="AD4" s="5" t="s">
        <v>63</v>
      </c>
      <c r="AE4" s="2"/>
      <c r="AF4" s="2"/>
      <c r="AG4" s="5" t="s">
        <v>63</v>
      </c>
      <c r="AH4" s="2"/>
      <c r="AI4" s="2"/>
      <c r="AL4" s="2"/>
      <c r="AM4" s="5" t="s">
        <v>63</v>
      </c>
      <c r="AN4" s="7"/>
      <c r="AO4" s="7"/>
      <c r="AP4" s="5" t="s">
        <v>63</v>
      </c>
      <c r="AQ4" s="2"/>
      <c r="AR4" s="2"/>
      <c r="AS4" s="5" t="s">
        <v>63</v>
      </c>
      <c r="AT4" s="2"/>
      <c r="AU4" s="2"/>
      <c r="AX4" s="2"/>
      <c r="AY4" s="5" t="s">
        <v>63</v>
      </c>
      <c r="AZ4" s="7"/>
      <c r="BA4" s="7"/>
      <c r="BB4" s="5" t="s">
        <v>63</v>
      </c>
      <c r="BC4" s="2"/>
      <c r="BD4" s="2"/>
      <c r="BE4" s="5" t="s">
        <v>63</v>
      </c>
      <c r="BF4" s="2"/>
      <c r="BG4" s="2"/>
      <c r="BJ4" s="2"/>
      <c r="BK4" s="5" t="s">
        <v>63</v>
      </c>
      <c r="BL4" s="7"/>
      <c r="BM4" s="7"/>
      <c r="BN4" s="5" t="s">
        <v>63</v>
      </c>
      <c r="BO4" s="2"/>
      <c r="BP4" s="2"/>
      <c r="BQ4" s="5" t="s">
        <v>63</v>
      </c>
      <c r="BR4" s="2"/>
      <c r="BS4" s="2"/>
    </row>
    <row r="5" spans="2:71" x14ac:dyDescent="0.2">
      <c r="B5" s="14" t="s">
        <v>52</v>
      </c>
      <c r="C5" s="2">
        <v>1.6051999999999999E-4</v>
      </c>
      <c r="D5" s="2">
        <v>3.0378019999999999E-2</v>
      </c>
      <c r="E5" s="2">
        <v>-0.12694486999999999</v>
      </c>
      <c r="F5" s="2">
        <v>0</v>
      </c>
      <c r="G5" s="2">
        <v>0.10334725</v>
      </c>
      <c r="H5" s="2">
        <v>0.376</v>
      </c>
      <c r="I5" s="2">
        <v>1.3292999999999999E-4</v>
      </c>
      <c r="J5" s="2">
        <v>-2.6172910000000001E-2</v>
      </c>
      <c r="K5" s="2">
        <v>1.7537997599999999</v>
      </c>
      <c r="N5" t="s">
        <v>52</v>
      </c>
      <c r="O5" s="7"/>
      <c r="P5" s="7"/>
      <c r="Q5" s="10"/>
      <c r="R5" s="10"/>
      <c r="S5" s="10"/>
      <c r="T5" s="10"/>
      <c r="U5" s="10"/>
      <c r="Z5" t="s">
        <v>52</v>
      </c>
      <c r="AA5" s="7"/>
      <c r="AB5" s="7"/>
      <c r="AC5" s="10"/>
      <c r="AD5" s="10"/>
      <c r="AE5" s="10"/>
      <c r="AF5" s="10"/>
      <c r="AG5" s="10"/>
      <c r="AL5" t="s">
        <v>52</v>
      </c>
      <c r="AM5" s="7"/>
      <c r="AN5" s="7"/>
      <c r="AO5" s="10"/>
      <c r="AP5" s="10"/>
      <c r="AQ5" s="10"/>
      <c r="AR5" s="10"/>
      <c r="AS5" s="10"/>
      <c r="AX5" t="s">
        <v>52</v>
      </c>
      <c r="AY5" s="7"/>
      <c r="AZ5" s="7"/>
      <c r="BA5" s="10"/>
      <c r="BB5" s="10"/>
      <c r="BC5" s="10"/>
      <c r="BD5" s="10"/>
      <c r="BE5" s="10"/>
      <c r="BJ5" t="s">
        <v>52</v>
      </c>
      <c r="BK5" s="7"/>
      <c r="BL5" s="7"/>
      <c r="BM5" s="10"/>
      <c r="BN5" s="10"/>
      <c r="BO5" s="10"/>
      <c r="BP5" s="10"/>
      <c r="BQ5" s="10"/>
    </row>
    <row r="6" spans="2:71" x14ac:dyDescent="0.2">
      <c r="B6" s="14" t="s">
        <v>53</v>
      </c>
      <c r="C6" s="2">
        <v>1.0178E-4</v>
      </c>
      <c r="D6" s="2">
        <v>1.9261199999999999E-2</v>
      </c>
      <c r="E6" s="2">
        <v>0.25441268</v>
      </c>
      <c r="F6" s="2">
        <v>1.6333999999999999E-4</v>
      </c>
      <c r="G6" s="2">
        <v>-4.3427E-4</v>
      </c>
      <c r="H6" s="2">
        <v>6.5199999999999998E-3</v>
      </c>
      <c r="I6" s="2">
        <v>-1.0616E-4</v>
      </c>
      <c r="J6" s="2">
        <v>2.0903049999999999E-2</v>
      </c>
      <c r="K6" s="2">
        <v>-0.22847176999999999</v>
      </c>
      <c r="N6" t="s">
        <v>53</v>
      </c>
      <c r="O6" s="7"/>
      <c r="P6" s="7"/>
      <c r="Q6" s="10"/>
      <c r="R6" s="10"/>
      <c r="S6" s="10"/>
      <c r="T6" s="10"/>
      <c r="U6" s="10"/>
      <c r="Z6" t="s">
        <v>53</v>
      </c>
      <c r="AA6" s="7"/>
      <c r="AB6" s="7"/>
      <c r="AC6" s="10"/>
      <c r="AD6" s="10"/>
      <c r="AE6" s="10"/>
      <c r="AF6" s="10"/>
      <c r="AG6" s="10"/>
      <c r="AL6" t="s">
        <v>53</v>
      </c>
      <c r="AM6" s="7"/>
      <c r="AN6" s="7"/>
      <c r="AO6" s="10"/>
      <c r="AP6" s="10"/>
      <c r="AQ6" s="10"/>
      <c r="AR6" s="10"/>
      <c r="AS6" s="10"/>
      <c r="AX6" t="s">
        <v>53</v>
      </c>
      <c r="AY6" s="7"/>
      <c r="AZ6" s="7"/>
      <c r="BA6" s="10"/>
      <c r="BB6" s="10"/>
      <c r="BC6" s="10"/>
      <c r="BD6" s="10"/>
      <c r="BE6" s="10"/>
      <c r="BJ6" t="s">
        <v>53</v>
      </c>
      <c r="BK6" s="7"/>
      <c r="BL6" s="7"/>
      <c r="BM6" s="10"/>
      <c r="BN6" s="10"/>
      <c r="BO6" s="10"/>
      <c r="BP6" s="10"/>
      <c r="BQ6" s="10"/>
    </row>
    <row r="7" spans="2:71" x14ac:dyDescent="0.2">
      <c r="Z7" s="2"/>
      <c r="AA7" s="2"/>
      <c r="AB7" s="2"/>
      <c r="AL7" s="2"/>
      <c r="AM7" s="2"/>
      <c r="AN7" s="2"/>
      <c r="AX7" s="2"/>
      <c r="AY7" s="2"/>
      <c r="AZ7" s="2"/>
      <c r="BJ7" s="2"/>
      <c r="BK7" s="2"/>
      <c r="BL7" s="2"/>
    </row>
    <row r="8" spans="2:71" x14ac:dyDescent="0.2">
      <c r="B8" s="5" t="s">
        <v>47</v>
      </c>
      <c r="C8" s="5" t="s">
        <v>48</v>
      </c>
      <c r="D8" s="5" t="s">
        <v>49</v>
      </c>
      <c r="E8" s="5"/>
      <c r="F8" s="5" t="s">
        <v>65</v>
      </c>
      <c r="G8" s="15">
        <f>-PI()/2</f>
        <v>-1.5707963267948966</v>
      </c>
      <c r="H8" s="2">
        <f>-5/180*PI()</f>
        <v>-8.7266462599716474E-2</v>
      </c>
      <c r="I8" s="15">
        <v>0</v>
      </c>
      <c r="J8" s="2">
        <f>5/180*PI()</f>
        <v>8.7266462599716474E-2</v>
      </c>
      <c r="K8" s="15">
        <f>PI()/2</f>
        <v>1.5707963267948966</v>
      </c>
      <c r="N8" s="5" t="s">
        <v>47</v>
      </c>
      <c r="O8" s="5" t="s">
        <v>48</v>
      </c>
      <c r="P8" s="5" t="s">
        <v>49</v>
      </c>
      <c r="X8" s="10"/>
      <c r="Y8" s="10"/>
      <c r="Z8" s="5" t="s">
        <v>47</v>
      </c>
      <c r="AA8" s="5" t="s">
        <v>48</v>
      </c>
      <c r="AB8" s="5" t="s">
        <v>49</v>
      </c>
      <c r="AL8" s="5" t="s">
        <v>47</v>
      </c>
      <c r="AM8" s="5" t="s">
        <v>48</v>
      </c>
      <c r="AN8" s="5" t="s">
        <v>49</v>
      </c>
      <c r="AX8" s="5" t="s">
        <v>47</v>
      </c>
      <c r="AY8" s="5" t="s">
        <v>48</v>
      </c>
      <c r="AZ8" s="5" t="s">
        <v>49</v>
      </c>
      <c r="BJ8" s="5" t="s">
        <v>47</v>
      </c>
      <c r="BK8" s="5" t="s">
        <v>48</v>
      </c>
      <c r="BL8" s="5" t="s">
        <v>49</v>
      </c>
    </row>
    <row r="9" spans="2:71" x14ac:dyDescent="0.2">
      <c r="B9">
        <v>-180</v>
      </c>
      <c r="C9">
        <v>-0.39400000000000002</v>
      </c>
      <c r="D9">
        <v>8.5040000000000004E-2</v>
      </c>
      <c r="E9" s="7"/>
      <c r="F9" s="5" t="s">
        <v>64</v>
      </c>
      <c r="G9" s="15">
        <f>G8*180/PI()</f>
        <v>-90</v>
      </c>
      <c r="H9" s="15">
        <f>H8*180/PI()</f>
        <v>-5</v>
      </c>
      <c r="I9" s="15">
        <f>I8*180/PI()</f>
        <v>0</v>
      </c>
      <c r="J9" s="15">
        <f>J8*180/PI()</f>
        <v>5</v>
      </c>
      <c r="K9" s="15">
        <f>K8*180/PI()</f>
        <v>90</v>
      </c>
      <c r="N9" s="10">
        <v>-180</v>
      </c>
      <c r="O9" s="10">
        <v>-9.2200000000000004E-2</v>
      </c>
      <c r="P9" s="10">
        <v>6.0000000000000001E-3</v>
      </c>
      <c r="X9" s="10"/>
      <c r="Y9" s="10"/>
      <c r="Z9" s="7">
        <v>-180</v>
      </c>
      <c r="AA9" s="7">
        <v>0</v>
      </c>
      <c r="AB9" s="7">
        <v>0.01</v>
      </c>
      <c r="AL9" s="7">
        <v>-180</v>
      </c>
      <c r="AM9" s="7">
        <v>-0.11070000000000001</v>
      </c>
      <c r="AN9" s="7">
        <v>6.0000000000000001E-3</v>
      </c>
      <c r="AX9" s="7">
        <v>-180</v>
      </c>
      <c r="AY9" s="7">
        <v>-0.133099999999999</v>
      </c>
      <c r="AZ9" s="7">
        <v>6.0000000000000001E-3</v>
      </c>
      <c r="BJ9" s="7">
        <v>-180</v>
      </c>
      <c r="BK9" s="7">
        <v>-0.14678165000000001</v>
      </c>
      <c r="BL9" s="7">
        <v>7.9652736000000002E-2</v>
      </c>
    </row>
    <row r="10" spans="2:71" x14ac:dyDescent="0.2">
      <c r="B10">
        <v>-176.363636363636</v>
      </c>
      <c r="C10">
        <v>-0.49156129029908202</v>
      </c>
      <c r="D10">
        <v>2.3184963447916301E-2</v>
      </c>
      <c r="E10" s="7"/>
      <c r="F10" s="5" t="s">
        <v>56</v>
      </c>
      <c r="G10" s="15">
        <f>IF(G9&lt;$E$4, $C$5*G9^2 + $D$5*G9 + $E$5, IF(G9&gt;$J$4, $I$5*G9^2 + $J$5*G9 + $K$5, $F$5*G9^2+$G$5*G9 + $H$5))</f>
        <v>-1.5607546699999999</v>
      </c>
      <c r="H10" s="15">
        <f>IF(H9&lt;$E$4, $C$5*H9^2 + $D$5*H9 + $E$5, IF(H9&gt;$J$4, $I$5*H9^2 + $J$5*H9 + $K$5, $F$5*H9^2+$G$5*H9 + $H$5))</f>
        <v>-0.14073625000000001</v>
      </c>
      <c r="I10" s="15">
        <f>IF(I9&lt;$E$4, $C$5*I9^2 + $D$5*I9 + $E$5, IF(I9&gt;$J$4, $I$5*I9^2 + $J$5*I9 + $K$5, $F$5*I9^2+$G$5*I9 + $H$5))</f>
        <v>0.376</v>
      </c>
      <c r="J10" s="15">
        <f>IF(J9&lt;$E$4, $C$5*J9^2 + $D$5*J9 + $E$5, IF(J9&gt;$J$4, $I$5*J9^2 + $J$5*J9 + $K$5, $F$5*J9^2+$G$5*J9 + $H$5))</f>
        <v>0.89273625000000001</v>
      </c>
      <c r="K10" s="15">
        <f>IF(K9&lt;$E$4, $C$5*K9^2 + $D$5*K9 + $E$5, IF(K9&gt;$J$4, $I$5*K9^2 + $J$5*K9 + $K$5, $F$5*K9^2+$G$5*K9 + $H$5))</f>
        <v>0.47497085999999977</v>
      </c>
      <c r="N10" s="10">
        <v>-176.363636363636</v>
      </c>
      <c r="O10" s="10">
        <v>0.246010212445647</v>
      </c>
      <c r="P10" s="10">
        <v>1.2864483067206301E-2</v>
      </c>
      <c r="Z10" s="7">
        <v>-176.363636363636</v>
      </c>
      <c r="AA10" s="7">
        <v>0.23640936392996401</v>
      </c>
      <c r="AB10" s="7">
        <v>9.9717101654003609E-4</v>
      </c>
      <c r="AL10" s="7">
        <v>-176.363636363636</v>
      </c>
      <c r="AM10" s="7">
        <v>0.17943138396170699</v>
      </c>
      <c r="AN10" s="7">
        <v>1.30410509435233E-2</v>
      </c>
      <c r="AX10" s="7">
        <v>-176.363636363636</v>
      </c>
      <c r="AY10" s="7">
        <v>0.15022584225362101</v>
      </c>
      <c r="AZ10" s="7">
        <v>1.29358233130474E-2</v>
      </c>
      <c r="BJ10" s="7">
        <v>-176.363636363636</v>
      </c>
      <c r="BK10" s="7">
        <v>3.71821573807652E-3</v>
      </c>
      <c r="BL10" s="7">
        <v>8.2075064419237106E-2</v>
      </c>
    </row>
    <row r="11" spans="2:71" x14ac:dyDescent="0.2">
      <c r="B11">
        <v>-172.72727272727201</v>
      </c>
      <c r="C11">
        <v>-0.58487674721101601</v>
      </c>
      <c r="D11">
        <v>-3.5978163448698301E-2</v>
      </c>
      <c r="E11" s="7"/>
      <c r="F11" s="5" t="s">
        <v>58</v>
      </c>
      <c r="G11" s="2">
        <v>-1.56076496596053</v>
      </c>
      <c r="H11" s="2">
        <v>-0.1391</v>
      </c>
      <c r="I11" s="2">
        <v>0.376</v>
      </c>
      <c r="J11" s="2">
        <v>0.92200000000000004</v>
      </c>
      <c r="K11" s="2">
        <v>0.47446463389319299</v>
      </c>
      <c r="N11" s="10">
        <v>-172.72727272727201</v>
      </c>
      <c r="O11" s="10">
        <v>0.31466803791035602</v>
      </c>
      <c r="P11" s="10">
        <v>3.3301998576696197E-2</v>
      </c>
      <c r="Z11" s="7">
        <v>-172.72727272727201</v>
      </c>
      <c r="AA11" s="7">
        <v>0.444132701550359</v>
      </c>
      <c r="AB11" s="7">
        <v>2.2832894427485999E-3</v>
      </c>
      <c r="AL11" s="7">
        <v>-172.72727272727201</v>
      </c>
      <c r="AM11" s="7">
        <v>0.263373480894325</v>
      </c>
      <c r="AN11" s="7">
        <v>3.3828489116219197E-2</v>
      </c>
      <c r="AX11" s="7">
        <v>-172.72727272727201</v>
      </c>
      <c r="AY11" s="7">
        <v>0.22780495446334501</v>
      </c>
      <c r="AZ11" s="7">
        <v>3.36174777276197E-2</v>
      </c>
      <c r="BJ11" s="7">
        <v>-172.72727272727201</v>
      </c>
      <c r="BK11" s="7">
        <v>0.34495874553661698</v>
      </c>
      <c r="BL11" s="7">
        <v>9.8626242426573404E-2</v>
      </c>
    </row>
    <row r="12" spans="2:71" x14ac:dyDescent="0.2">
      <c r="B12">
        <v>-169.09090909090901</v>
      </c>
      <c r="C12">
        <v>-0.67394637073579999</v>
      </c>
      <c r="D12">
        <v>-9.2449380689843097E-2</v>
      </c>
      <c r="E12" s="7"/>
      <c r="F12" s="6" t="s">
        <v>57</v>
      </c>
      <c r="G12" s="12">
        <f>ABS(G11-G10)/G11</f>
        <v>-6.5967399029952925E-6</v>
      </c>
      <c r="H12" s="12">
        <f>ABS(H11-H10)/H11</f>
        <v>-1.1763120057512622E-2</v>
      </c>
      <c r="I12" s="12">
        <f>ABS(I11-I10)/I11</f>
        <v>0</v>
      </c>
      <c r="J12" s="12">
        <f>ABS(J11-J10)/J11</f>
        <v>3.1739425162689835E-2</v>
      </c>
      <c r="K12" s="12">
        <f>ABS(K11-K10)/K11</f>
        <v>1.0669417078633958E-3</v>
      </c>
      <c r="N12" s="10">
        <v>-169.09090909090901</v>
      </c>
      <c r="O12" s="10">
        <v>0.312417938960452</v>
      </c>
      <c r="P12" s="10">
        <v>6.6894308708698003E-2</v>
      </c>
      <c r="Z12" s="7">
        <v>-169.09090909090901</v>
      </c>
      <c r="AA12" s="7">
        <v>0.62317001286118301</v>
      </c>
      <c r="AB12" s="7">
        <v>1.3858355278625599E-2</v>
      </c>
      <c r="AL12" s="7">
        <v>-169.09090909090901</v>
      </c>
      <c r="AM12" s="7">
        <v>0.28823694227712998</v>
      </c>
      <c r="AN12" s="7">
        <v>6.8081810734833395E-2</v>
      </c>
      <c r="AX12" s="7">
        <v>-169.09090909090901</v>
      </c>
      <c r="AY12" s="7">
        <v>0.25719167246407199</v>
      </c>
      <c r="AZ12" s="7">
        <v>6.7585088160154003E-2</v>
      </c>
      <c r="BJ12" s="7">
        <v>-169.09090909090901</v>
      </c>
      <c r="BK12" s="7">
        <v>0.52736694484763003</v>
      </c>
      <c r="BL12" s="7">
        <v>0.14254193778124399</v>
      </c>
    </row>
    <row r="13" spans="2:71" x14ac:dyDescent="0.2">
      <c r="B13">
        <v>-165.45454545454501</v>
      </c>
      <c r="C13">
        <v>-0.75877016087343596</v>
      </c>
      <c r="D13">
        <v>-0.14622868827551799</v>
      </c>
      <c r="E13" s="7"/>
      <c r="F13" s="11" t="s">
        <v>55</v>
      </c>
      <c r="G13" s="15">
        <f>IF(G9&lt;$E$4, $C$6*G9^2 + $D$6*G9 + $E$6, IF(G9&gt;$J$4, $I$6*G9^2 + $J$6*G9 + $K$6, $F$6*G9^2 + $G$6*G9 + $H$6))</f>
        <v>-0.65467731999999978</v>
      </c>
      <c r="H13" s="15">
        <f>IF(H9&lt;$E$4, $C$6*H9^2 + $D$6*H9 + $E$6, IF(H9&gt;$J$4, $I$6*H9^2 + $J$6*H9 + $K$6, $F$6*H9^2 + $G$6*H9 + $H$6))</f>
        <v>1.2774849999999999E-2</v>
      </c>
      <c r="I13" s="15">
        <f>IF(I9&lt;$E$4, $C$6*I9^2 + $D$6*I9 + $E$6, IF(I9&gt;$J$4, $I$6*I9^2 + $J$6*I9 + $K$6, $F$6*I9^2 + $G$6*I9 + $H$6))</f>
        <v>6.5199999999999998E-3</v>
      </c>
      <c r="J13" s="15">
        <f>IF(J9&lt;$E$4, $C$6*J9^2 + $D$6*J9 + $E$6, IF(J9&gt;$J$4, $I$6*J9^2 + $J$6*J9 + $K$6, $F$6*J9^2 + $G$6*J9 + $H$6))</f>
        <v>8.4321499999999994E-3</v>
      </c>
      <c r="K13" s="15">
        <f>IF(K9&lt;$E$4, $C$6*K9^2 + $D$6*K9 + $E$6, IF(K9&gt;$J$4, $I$6*K9^2 + $J$6*K9 + $K$6, $F$6*K9^2 + $G$6*K9 + $H$6))</f>
        <v>0.79290673</v>
      </c>
      <c r="N13" s="10">
        <v>-165.45454545454501</v>
      </c>
      <c r="O13" s="10">
        <v>0.35617770038475999</v>
      </c>
      <c r="P13" s="10">
        <v>0.113087027453321</v>
      </c>
      <c r="Z13" s="7">
        <v>-165.45454545454501</v>
      </c>
      <c r="AA13" s="7">
        <v>0.77352129786243695</v>
      </c>
      <c r="AB13" s="7">
        <v>3.5722368524171197E-2</v>
      </c>
      <c r="AL13" s="7">
        <v>-165.45454545454501</v>
      </c>
      <c r="AM13" s="7">
        <v>0.34084182141746999</v>
      </c>
      <c r="AN13" s="7">
        <v>0.114995293530973</v>
      </c>
      <c r="AX13" s="7">
        <v>-165.45454545454501</v>
      </c>
      <c r="AY13" s="7">
        <v>0.30933932380670498</v>
      </c>
      <c r="AZ13" s="7">
        <v>0.114250758978866</v>
      </c>
      <c r="BJ13" s="7">
        <v>-165.45454545454501</v>
      </c>
      <c r="BK13" s="7">
        <v>0.65909039598491803</v>
      </c>
      <c r="BL13" s="7">
        <v>0.21516547684083201</v>
      </c>
    </row>
    <row r="14" spans="2:71" x14ac:dyDescent="0.2">
      <c r="B14">
        <v>-161.81818181818099</v>
      </c>
      <c r="C14">
        <v>-0.83934811762392303</v>
      </c>
      <c r="D14">
        <v>-0.197316086205724</v>
      </c>
      <c r="E14" s="7"/>
      <c r="F14" s="11" t="s">
        <v>59</v>
      </c>
      <c r="G14" s="2">
        <v>-0.65470308248625797</v>
      </c>
      <c r="H14" s="2">
        <v>1.312E-2</v>
      </c>
      <c r="I14" s="2">
        <v>6.5199999999999998E-3</v>
      </c>
      <c r="J14" s="2">
        <v>9.7599999999999996E-3</v>
      </c>
      <c r="K14" s="2">
        <v>0.79328700032664701</v>
      </c>
      <c r="N14" s="10">
        <v>-161.81818181818099</v>
      </c>
      <c r="O14" s="10">
        <v>0.41186234063927601</v>
      </c>
      <c r="P14" s="10">
        <v>0.17095953188791699</v>
      </c>
      <c r="Z14" s="7">
        <v>-161.81818181818099</v>
      </c>
      <c r="AA14" s="7">
        <v>0.87422511543296599</v>
      </c>
      <c r="AB14" s="7">
        <v>6.8924105423226106E-2</v>
      </c>
      <c r="AL14" s="7">
        <v>-161.81818181818099</v>
      </c>
      <c r="AM14" s="7">
        <v>0.39934168936514097</v>
      </c>
      <c r="AN14" s="7">
        <v>0.17391444300111999</v>
      </c>
      <c r="AX14" s="7">
        <v>-161.81818181818099</v>
      </c>
      <c r="AY14" s="7">
        <v>0.36421155724055199</v>
      </c>
      <c r="AZ14" s="7">
        <v>0.172590079601144</v>
      </c>
      <c r="BJ14" s="7">
        <v>-161.81818181818099</v>
      </c>
      <c r="BK14" s="7">
        <v>0.65205773701911696</v>
      </c>
      <c r="BL14" s="7">
        <v>0.28708838802095399</v>
      </c>
    </row>
    <row r="15" spans="2:71" x14ac:dyDescent="0.2">
      <c r="B15">
        <v>-158.18181818181799</v>
      </c>
      <c r="C15">
        <v>-0.91568024098725997</v>
      </c>
      <c r="D15">
        <v>-0.24571157448046099</v>
      </c>
      <c r="E15" s="7"/>
      <c r="F15" s="13" t="s">
        <v>57</v>
      </c>
      <c r="G15" s="12">
        <f>ABS(G14-G13)/G14</f>
        <v>-3.9349877749698634E-5</v>
      </c>
      <c r="H15" s="12">
        <f>ABS(H14-H13)/H14</f>
        <v>2.6307164634146393E-2</v>
      </c>
      <c r="I15" s="12">
        <f>ABS(I14-I13)/I14</f>
        <v>0</v>
      </c>
      <c r="J15" s="12">
        <f>ABS(J14-J13)/J14</f>
        <v>0.13605020491803282</v>
      </c>
      <c r="K15" s="12">
        <f>ABS(K14-K13)/K14</f>
        <v>4.7936034057084195E-4</v>
      </c>
      <c r="N15" s="10">
        <v>-158.18181818181799</v>
      </c>
      <c r="O15" s="10">
        <v>0.46335013698176197</v>
      </c>
      <c r="P15" s="10">
        <v>0.23950189029779201</v>
      </c>
      <c r="Z15" s="7">
        <v>-158.18181818181799</v>
      </c>
      <c r="AA15" s="7">
        <v>0.891914273583988</v>
      </c>
      <c r="AB15" s="7">
        <v>0.115133046527209</v>
      </c>
      <c r="AL15" s="7">
        <v>-158.18181818181799</v>
      </c>
      <c r="AM15" s="7">
        <v>0.451748733159892</v>
      </c>
      <c r="AN15" s="7">
        <v>0.243737364429817</v>
      </c>
      <c r="AX15" s="7">
        <v>-158.18181818181799</v>
      </c>
      <c r="AY15" s="7">
        <v>0.41133061421110201</v>
      </c>
      <c r="AZ15" s="7">
        <v>0.241772174394323</v>
      </c>
      <c r="BJ15" s="7">
        <v>-158.18181818181799</v>
      </c>
      <c r="BK15" s="7">
        <v>0.58289637045005604</v>
      </c>
      <c r="BL15" s="7">
        <v>0.34429008436838299</v>
      </c>
    </row>
    <row r="16" spans="2:71" x14ac:dyDescent="0.2">
      <c r="B16">
        <v>-154.54545454545399</v>
      </c>
      <c r="C16">
        <v>-0.98776653096344902</v>
      </c>
      <c r="D16">
        <v>-0.29141515309972799</v>
      </c>
      <c r="E16" s="7"/>
      <c r="F16" s="7"/>
      <c r="G16" s="7"/>
      <c r="H16" s="7"/>
      <c r="I16" s="7"/>
      <c r="N16" s="10">
        <v>-154.54545454545399</v>
      </c>
      <c r="O16" s="10">
        <v>0.50522072638981497</v>
      </c>
      <c r="P16" s="10">
        <v>0.31767968825943799</v>
      </c>
      <c r="Z16" s="7">
        <v>-154.54545454545399</v>
      </c>
      <c r="AA16" s="7">
        <v>0.82702769487888705</v>
      </c>
      <c r="AB16" s="7">
        <v>0.174302504430567</v>
      </c>
      <c r="AL16" s="7">
        <v>-154.54545454545399</v>
      </c>
      <c r="AM16" s="7">
        <v>0.493270648510235</v>
      </c>
      <c r="AN16" s="7">
        <v>0.32320975965969501</v>
      </c>
      <c r="AX16" s="7">
        <v>-154.54545454545399</v>
      </c>
      <c r="AY16" s="7">
        <v>0.44686323750867002</v>
      </c>
      <c r="AZ16" s="7">
        <v>0.32049394388352098</v>
      </c>
      <c r="BJ16" s="7">
        <v>-154.54545454545399</v>
      </c>
      <c r="BK16" s="7">
        <v>0.54267684791231696</v>
      </c>
      <c r="BL16" s="7">
        <v>0.42230434551971502</v>
      </c>
    </row>
    <row r="17" spans="2:64" x14ac:dyDescent="0.2">
      <c r="B17">
        <v>-150.90909090909</v>
      </c>
      <c r="C17">
        <v>-1.0556069875524801</v>
      </c>
      <c r="D17">
        <v>-0.33442682206352597</v>
      </c>
      <c r="E17" s="7"/>
      <c r="F17" s="7"/>
      <c r="G17" s="7"/>
      <c r="H17" s="7"/>
      <c r="I17" s="7"/>
      <c r="N17" s="10">
        <v>-150.90909090909</v>
      </c>
      <c r="O17" s="10">
        <v>0.53519982854346204</v>
      </c>
      <c r="P17" s="10">
        <v>0.404047855923723</v>
      </c>
      <c r="Z17" s="7">
        <v>-150.90909090909</v>
      </c>
      <c r="AA17" s="7">
        <v>0.74716853125034</v>
      </c>
      <c r="AB17" s="7">
        <v>0.24112138094875199</v>
      </c>
      <c r="AL17" s="7">
        <v>-150.90909090909</v>
      </c>
      <c r="AM17" s="7">
        <v>0.52247188275056</v>
      </c>
      <c r="AN17" s="7">
        <v>0.41118916582189002</v>
      </c>
      <c r="AX17" s="7">
        <v>-150.90909090909</v>
      </c>
      <c r="AY17" s="7">
        <v>0.46961380245618101</v>
      </c>
      <c r="AZ17" s="7">
        <v>0.40746113540027801</v>
      </c>
      <c r="BJ17" s="7">
        <v>-150.90909090909</v>
      </c>
      <c r="BK17" s="7">
        <v>0.55156654506512204</v>
      </c>
      <c r="BL17" s="7">
        <v>0.50910539307453895</v>
      </c>
    </row>
    <row r="18" spans="2:64" x14ac:dyDescent="0.2">
      <c r="B18">
        <v>-147.272727272727</v>
      </c>
      <c r="C18">
        <v>-1.1192016107543801</v>
      </c>
      <c r="D18">
        <v>-0.37474658137185402</v>
      </c>
      <c r="E18" s="7"/>
      <c r="F18" s="7"/>
      <c r="G18" s="7"/>
      <c r="H18" s="7"/>
      <c r="I18" s="7"/>
      <c r="N18" s="10">
        <v>-147.272727272727</v>
      </c>
      <c r="O18" s="10">
        <v>0.553041060808799</v>
      </c>
      <c r="P18" s="10">
        <v>0.49727596979682398</v>
      </c>
      <c r="Z18" s="7">
        <v>-147.272727272727</v>
      </c>
      <c r="AA18" s="7">
        <v>0.694805429425287</v>
      </c>
      <c r="AB18" s="7">
        <v>0.31225321696582597</v>
      </c>
      <c r="AL18" s="7">
        <v>-147.272727272727</v>
      </c>
      <c r="AM18" s="7">
        <v>0.53914324553603798</v>
      </c>
      <c r="AN18" s="7">
        <v>0.50605023704129803</v>
      </c>
      <c r="AX18" s="7">
        <v>-147.272727272727</v>
      </c>
      <c r="AY18" s="7">
        <v>0.479803413556462</v>
      </c>
      <c r="AZ18" s="7">
        <v>0.50115415402062902</v>
      </c>
      <c r="BJ18" s="7">
        <v>-147.272727272727</v>
      </c>
      <c r="BK18" s="7">
        <v>0.55745755815873499</v>
      </c>
      <c r="BL18" s="7">
        <v>0.59794290361150004</v>
      </c>
    </row>
    <row r="19" spans="2:64" x14ac:dyDescent="0.2">
      <c r="B19">
        <v>-143.636363636363</v>
      </c>
      <c r="C19">
        <v>-1.1785504005691201</v>
      </c>
      <c r="D19">
        <v>-0.412374431024713</v>
      </c>
      <c r="E19" s="7"/>
      <c r="F19" s="7"/>
      <c r="G19" s="7"/>
      <c r="H19" s="7"/>
      <c r="I19" s="7"/>
      <c r="N19" s="10">
        <v>-143.636363636363</v>
      </c>
      <c r="O19" s="10">
        <v>0.55888437903029098</v>
      </c>
      <c r="P19" s="10">
        <v>0.59585507221701695</v>
      </c>
      <c r="Z19" s="7">
        <v>-143.636363636363</v>
      </c>
      <c r="AA19" s="7">
        <v>0.66770940840644699</v>
      </c>
      <c r="AB19" s="7">
        <v>0.38753766613906399</v>
      </c>
      <c r="AL19" s="7">
        <v>-143.636363636363</v>
      </c>
      <c r="AM19" s="7">
        <v>0.54371830509430297</v>
      </c>
      <c r="AN19" s="7">
        <v>0.60622067221445797</v>
      </c>
      <c r="AX19" s="7">
        <v>-143.636363636363</v>
      </c>
      <c r="AY19" s="7">
        <v>0.47836619539674102</v>
      </c>
      <c r="AZ19" s="7">
        <v>0.60018410158533197</v>
      </c>
      <c r="BJ19" s="7">
        <v>-143.636363636363</v>
      </c>
      <c r="BK19" s="7">
        <v>0.56529387775400397</v>
      </c>
      <c r="BL19" s="7">
        <v>0.70456670494889495</v>
      </c>
    </row>
    <row r="20" spans="2:64" x14ac:dyDescent="0.2">
      <c r="B20">
        <v>-140</v>
      </c>
      <c r="C20">
        <v>-1.2336533569967101</v>
      </c>
      <c r="D20">
        <v>-0.44731037102210203</v>
      </c>
      <c r="E20" s="7"/>
      <c r="F20" s="7"/>
      <c r="G20" s="7"/>
      <c r="H20" s="7"/>
      <c r="I20" s="7"/>
      <c r="N20" s="10">
        <v>-140</v>
      </c>
      <c r="O20" s="10">
        <v>0.55359999999999998</v>
      </c>
      <c r="P20" s="10">
        <v>0.69799999999999895</v>
      </c>
      <c r="Z20" s="7">
        <v>-140</v>
      </c>
      <c r="AA20" s="7">
        <v>0.64259999999999895</v>
      </c>
      <c r="AB20" s="7">
        <v>0.46529999999999999</v>
      </c>
      <c r="AL20" s="7">
        <v>-140</v>
      </c>
      <c r="AM20" s="7">
        <v>0.53700000000000003</v>
      </c>
      <c r="AN20" s="7">
        <v>0.71030000000000004</v>
      </c>
      <c r="AX20" s="7">
        <v>-140</v>
      </c>
      <c r="AY20" s="7">
        <v>0.46650000000000003</v>
      </c>
      <c r="AZ20" s="7">
        <v>0.70279999999999998</v>
      </c>
      <c r="BJ20" s="7">
        <v>-140</v>
      </c>
      <c r="BK20" s="7">
        <v>0.57009251999999899</v>
      </c>
      <c r="BL20" s="7">
        <v>0.81571651999999895</v>
      </c>
    </row>
    <row r="21" spans="2:64" x14ac:dyDescent="0.2">
      <c r="B21">
        <v>-136.363636363636</v>
      </c>
      <c r="C21">
        <v>-1.2845104800371501</v>
      </c>
      <c r="D21">
        <v>-0.479554401364022</v>
      </c>
      <c r="E21" s="7"/>
      <c r="F21" s="7"/>
      <c r="G21" s="7"/>
      <c r="H21" s="7"/>
      <c r="I21" s="7"/>
      <c r="N21" s="10">
        <v>-136.363636363636</v>
      </c>
      <c r="O21" s="10">
        <v>0.53817633498226203</v>
      </c>
      <c r="P21" s="10">
        <v>0.80224897566035802</v>
      </c>
      <c r="Z21" s="7">
        <v>-136.363636363636</v>
      </c>
      <c r="AA21" s="7">
        <v>0.61328559032461005</v>
      </c>
      <c r="AB21" s="7">
        <v>0.54509481204106203</v>
      </c>
      <c r="AL21" s="7">
        <v>-136.363636363636</v>
      </c>
      <c r="AM21" s="7">
        <v>0.52036078049756396</v>
      </c>
      <c r="AN21" s="7">
        <v>0.81634074408356505</v>
      </c>
      <c r="AX21" s="7">
        <v>-136.363636363636</v>
      </c>
      <c r="AY21" s="7">
        <v>0.44563000670407499</v>
      </c>
      <c r="AZ21" s="7">
        <v>0.80738436925991597</v>
      </c>
      <c r="BJ21" s="7">
        <v>-136.363636363636</v>
      </c>
      <c r="BK21" s="7">
        <v>0.57921487525870197</v>
      </c>
      <c r="BL21" s="7">
        <v>0.94207924462674697</v>
      </c>
    </row>
    <row r="22" spans="2:64" x14ac:dyDescent="0.2">
      <c r="B22">
        <v>-132.72727272727201</v>
      </c>
      <c r="C22">
        <v>-1.33112176969045</v>
      </c>
      <c r="D22">
        <v>-0.50910652205047302</v>
      </c>
      <c r="E22" s="7"/>
      <c r="F22" s="7"/>
      <c r="G22" s="7"/>
      <c r="H22" s="7"/>
      <c r="I22" s="7"/>
      <c r="N22" s="10">
        <v>-132.72727272727201</v>
      </c>
      <c r="O22" s="10">
        <v>0.51378888357907104</v>
      </c>
      <c r="P22" s="10">
        <v>0.90691717990529297</v>
      </c>
      <c r="Z22" s="7">
        <v>-132.72727272727201</v>
      </c>
      <c r="AA22" s="7">
        <v>0.58008289651059097</v>
      </c>
      <c r="AB22" s="7">
        <v>0.62621417173872895</v>
      </c>
      <c r="AL22" s="7">
        <v>-132.72727272727201</v>
      </c>
      <c r="AM22" s="7">
        <v>0.49492383380452298</v>
      </c>
      <c r="AN22" s="7">
        <v>0.92276839579006198</v>
      </c>
      <c r="AX22" s="7">
        <v>-132.72727272727201</v>
      </c>
      <c r="AY22" s="7">
        <v>0.41748807606309202</v>
      </c>
      <c r="AZ22" s="7">
        <v>0.91223807159311698</v>
      </c>
      <c r="BJ22" s="7">
        <v>-132.72727272727201</v>
      </c>
      <c r="BK22" s="7">
        <v>0.57555724891026405</v>
      </c>
      <c r="BL22" s="7">
        <v>1.0787988535116499</v>
      </c>
    </row>
    <row r="23" spans="2:64" x14ac:dyDescent="0.2">
      <c r="B23">
        <v>-129.09090909090901</v>
      </c>
      <c r="C23">
        <v>-1.37348722595659</v>
      </c>
      <c r="D23">
        <v>-0.53596673308145404</v>
      </c>
      <c r="E23" s="7"/>
      <c r="F23" s="7"/>
      <c r="G23" s="7"/>
      <c r="H23" s="7"/>
      <c r="I23" s="7"/>
      <c r="N23" s="10">
        <v>-129.09090909090901</v>
      </c>
      <c r="O23" s="10">
        <v>0.48159515695705502</v>
      </c>
      <c r="P23" s="10">
        <v>1.0102429381417899</v>
      </c>
      <c r="Z23" s="7">
        <v>-129.09090909090901</v>
      </c>
      <c r="AA23" s="7">
        <v>0.544182774967918</v>
      </c>
      <c r="AB23" s="7">
        <v>0.70599626032455098</v>
      </c>
      <c r="AL23" s="7">
        <v>-129.09090909090901</v>
      </c>
      <c r="AM23" s="7">
        <v>0.462104022004728</v>
      </c>
      <c r="AN23" s="7">
        <v>1.0279049024529701</v>
      </c>
      <c r="AX23" s="7">
        <v>-129.09090909090901</v>
      </c>
      <c r="AY23" s="7">
        <v>0.383703084663507</v>
      </c>
      <c r="AZ23" s="7">
        <v>1.0158380139122001</v>
      </c>
      <c r="BJ23" s="7">
        <v>-129.09090909090901</v>
      </c>
      <c r="BK23" s="7">
        <v>0.57962685269858705</v>
      </c>
      <c r="BL23" s="7">
        <v>1.2443621924475701</v>
      </c>
    </row>
    <row r="24" spans="2:64" x14ac:dyDescent="0.2">
      <c r="B24">
        <v>-125.454545454545</v>
      </c>
      <c r="C24">
        <v>-1.41160684883559</v>
      </c>
      <c r="D24">
        <v>-0.560135034456965</v>
      </c>
      <c r="E24" s="7"/>
      <c r="F24" s="7"/>
      <c r="G24" s="7"/>
      <c r="H24" s="7"/>
      <c r="I24" s="7"/>
      <c r="N24" s="10">
        <v>-125.454545454545</v>
      </c>
      <c r="O24" s="10">
        <v>0.44298768248370601</v>
      </c>
      <c r="P24" s="10">
        <v>1.1106601949576</v>
      </c>
      <c r="Z24" s="7">
        <v>-125.454545454545</v>
      </c>
      <c r="AA24" s="7">
        <v>0.50569924386350396</v>
      </c>
      <c r="AB24" s="7">
        <v>0.78418622281006001</v>
      </c>
      <c r="AL24" s="7">
        <v>-125.454545454545</v>
      </c>
      <c r="AM24" s="7">
        <v>0.42331369356439502</v>
      </c>
      <c r="AN24" s="7">
        <v>1.1300914627380501</v>
      </c>
      <c r="AX24" s="7">
        <v>-125.454545454545</v>
      </c>
      <c r="AY24" s="7">
        <v>0.34577753534552202</v>
      </c>
      <c r="AZ24" s="7">
        <v>1.11631609448876</v>
      </c>
      <c r="BJ24" s="7">
        <v>-125.454545454545</v>
      </c>
      <c r="BK24" s="7">
        <v>0.56141263889579596</v>
      </c>
      <c r="BL24" s="7">
        <v>1.3703783024774401</v>
      </c>
    </row>
    <row r="25" spans="2:64" x14ac:dyDescent="0.2">
      <c r="B25">
        <v>-121.818181818181</v>
      </c>
      <c r="C25">
        <v>-1.4454806383274399</v>
      </c>
      <c r="D25">
        <v>-0.58161142617700701</v>
      </c>
      <c r="E25" s="7"/>
      <c r="F25" s="7"/>
      <c r="G25" s="7"/>
      <c r="H25" s="7"/>
      <c r="I25" s="7"/>
      <c r="N25" s="10">
        <v>-121.818181818181</v>
      </c>
      <c r="O25" s="10">
        <v>0.39919970290508</v>
      </c>
      <c r="P25" s="10">
        <v>1.2065676566921599</v>
      </c>
      <c r="Z25" s="7">
        <v>-121.818181818181</v>
      </c>
      <c r="AA25" s="7">
        <v>0.464296165514272</v>
      </c>
      <c r="AB25" s="7">
        <v>0.85953438502243296</v>
      </c>
      <c r="AL25" s="7">
        <v>-121.818181818181</v>
      </c>
      <c r="AM25" s="7">
        <v>0.37994335546915903</v>
      </c>
      <c r="AN25" s="7">
        <v>1.2276371101082699</v>
      </c>
      <c r="AX25" s="7">
        <v>-121.818181818181</v>
      </c>
      <c r="AY25" s="7">
        <v>0.30522147205037897</v>
      </c>
      <c r="AZ25" s="7">
        <v>1.2123625989334601</v>
      </c>
      <c r="BJ25" s="7">
        <v>-121.818181818181</v>
      </c>
      <c r="BK25" s="7">
        <v>0.53353207774877498</v>
      </c>
      <c r="BL25" s="7">
        <v>1.52815382186881</v>
      </c>
    </row>
    <row r="26" spans="2:64" x14ac:dyDescent="0.2">
      <c r="B26">
        <v>-118.181818181818</v>
      </c>
      <c r="C26">
        <v>-1.47510859443214</v>
      </c>
      <c r="D26">
        <v>-0.60039590824157996</v>
      </c>
      <c r="E26" s="7"/>
      <c r="F26" s="7"/>
      <c r="G26" s="7"/>
      <c r="H26" s="7"/>
      <c r="I26" s="7"/>
      <c r="N26" s="10">
        <v>-118.181818181818</v>
      </c>
      <c r="O26" s="10">
        <v>0.35137698065797601</v>
      </c>
      <c r="P26" s="10">
        <v>1.2964756420622801</v>
      </c>
      <c r="Z26" s="7">
        <v>-118.181818181818</v>
      </c>
      <c r="AA26" s="7">
        <v>0.41943846360838399</v>
      </c>
      <c r="AB26" s="7">
        <v>0.93005146970696995</v>
      </c>
      <c r="AL26" s="7">
        <v>-118.181818181818</v>
      </c>
      <c r="AM26" s="7">
        <v>0.333116162240783</v>
      </c>
      <c r="AN26" s="7">
        <v>1.31911821631796</v>
      </c>
      <c r="AX26" s="7">
        <v>-118.181818181818</v>
      </c>
      <c r="AY26" s="7">
        <v>0.263215524569478</v>
      </c>
      <c r="AZ26" s="7">
        <v>1.30219284003305</v>
      </c>
      <c r="BJ26" s="7">
        <v>-118.181818181818</v>
      </c>
      <c r="BK26" s="7">
        <v>0.49405539086378403</v>
      </c>
      <c r="BL26" s="7">
        <v>1.67281011765623</v>
      </c>
    </row>
    <row r="27" spans="2:64" x14ac:dyDescent="0.2">
      <c r="B27">
        <v>-114.54545454545401</v>
      </c>
      <c r="C27">
        <v>-1.50049071714969</v>
      </c>
      <c r="D27">
        <v>-0.61648848065068296</v>
      </c>
      <c r="E27" s="7"/>
      <c r="F27" s="7"/>
      <c r="G27" s="7"/>
      <c r="H27" s="7"/>
      <c r="I27" s="7"/>
      <c r="N27" s="10">
        <v>-114.54545454545401</v>
      </c>
      <c r="O27" s="10">
        <v>0.30062646690664202</v>
      </c>
      <c r="P27" s="10">
        <v>1.37896205634195</v>
      </c>
      <c r="Z27" s="7">
        <v>-114.54545454545401</v>
      </c>
      <c r="AA27" s="7">
        <v>0.37112793451346399</v>
      </c>
      <c r="AB27" s="7">
        <v>0.99569000607222502</v>
      </c>
      <c r="AL27" s="7">
        <v>-114.54545454545401</v>
      </c>
      <c r="AM27" s="7">
        <v>0.28388156290248401</v>
      </c>
      <c r="AN27" s="7">
        <v>1.40305166094407</v>
      </c>
      <c r="AX27" s="7">
        <v>-114.54545454545401</v>
      </c>
      <c r="AY27" s="7">
        <v>0.220720505041062</v>
      </c>
      <c r="AZ27" s="7">
        <v>1.3846512279385901</v>
      </c>
      <c r="BJ27" s="7">
        <v>-114.54545454545401</v>
      </c>
      <c r="BK27" s="7">
        <v>0.46654041224729698</v>
      </c>
      <c r="BL27" s="7">
        <v>1.83002591997224</v>
      </c>
    </row>
    <row r="28" spans="2:64" x14ac:dyDescent="0.2">
      <c r="B28">
        <v>-110.90909090909</v>
      </c>
      <c r="C28">
        <v>-1.5216270064800901</v>
      </c>
      <c r="D28">
        <v>-0.62988914340431701</v>
      </c>
      <c r="E28" s="7"/>
      <c r="F28" s="7"/>
      <c r="G28" s="7"/>
      <c r="H28" s="7"/>
      <c r="I28" s="7"/>
      <c r="N28" s="10">
        <v>-110.90909090909</v>
      </c>
      <c r="O28" s="10">
        <v>0.24771488754439899</v>
      </c>
      <c r="P28" s="10">
        <v>1.4527283084881599</v>
      </c>
      <c r="Z28" s="7">
        <v>-110.90909090909</v>
      </c>
      <c r="AA28" s="7">
        <v>0.32003977121594201</v>
      </c>
      <c r="AB28" s="7">
        <v>1.05473654964011</v>
      </c>
      <c r="AL28" s="7">
        <v>-110.90909090909</v>
      </c>
      <c r="AM28" s="7">
        <v>0.233185977249565</v>
      </c>
      <c r="AN28" s="7">
        <v>1.47806077070746</v>
      </c>
      <c r="AX28" s="7">
        <v>-110.90909090909</v>
      </c>
      <c r="AY28" s="7">
        <v>0.17792817265571301</v>
      </c>
      <c r="AZ28" s="7">
        <v>1.45832949707758</v>
      </c>
      <c r="BJ28" s="7">
        <v>-110.90909090909</v>
      </c>
      <c r="BK28" s="7">
        <v>0.385947621366515</v>
      </c>
      <c r="BL28" s="7">
        <v>1.9636425387169101</v>
      </c>
    </row>
    <row r="29" spans="2:64" x14ac:dyDescent="0.2">
      <c r="B29">
        <v>-107.272727272727</v>
      </c>
      <c r="C29">
        <v>-1.53851746242334</v>
      </c>
      <c r="D29">
        <v>-0.640597896502482</v>
      </c>
      <c r="E29" s="7"/>
      <c r="F29" s="7"/>
      <c r="G29" s="7"/>
      <c r="H29" s="7"/>
      <c r="I29" s="7"/>
      <c r="N29" s="10">
        <v>-107.272727272727</v>
      </c>
      <c r="O29" s="10">
        <v>0.193070961135758</v>
      </c>
      <c r="P29" s="10">
        <v>1.5165342666186401</v>
      </c>
      <c r="Z29" s="7">
        <v>-107.272727272727</v>
      </c>
      <c r="AA29" s="7">
        <v>0.266598133412422</v>
      </c>
      <c r="AB29" s="7">
        <v>1.1061147058026199</v>
      </c>
      <c r="AL29" s="7">
        <v>-107.272727272727</v>
      </c>
      <c r="AM29" s="7">
        <v>0.18124909883165399</v>
      </c>
      <c r="AN29" s="7">
        <v>1.54306065186068</v>
      </c>
      <c r="AX29" s="7">
        <v>-107.272727272727</v>
      </c>
      <c r="AY29" s="7">
        <v>0.13684836677634701</v>
      </c>
      <c r="AZ29" s="7">
        <v>1.5221289157892399</v>
      </c>
      <c r="BJ29" s="7">
        <v>-107.272727272727</v>
      </c>
      <c r="BK29" s="7">
        <v>0.28586739462452898</v>
      </c>
      <c r="BL29" s="7">
        <v>2.0964019961074101</v>
      </c>
    </row>
    <row r="30" spans="2:64" x14ac:dyDescent="0.2">
      <c r="B30">
        <v>-103.636363636363</v>
      </c>
      <c r="C30">
        <v>-1.5511620849794401</v>
      </c>
      <c r="D30">
        <v>-0.64861473994517704</v>
      </c>
      <c r="E30" s="7"/>
      <c r="F30" s="7"/>
      <c r="G30" s="7"/>
      <c r="H30" s="7"/>
      <c r="I30" s="7"/>
      <c r="N30" s="10">
        <v>-103.636363636363</v>
      </c>
      <c r="O30" s="10">
        <v>0.13844059476999901</v>
      </c>
      <c r="P30" s="10">
        <v>1.56958444764093</v>
      </c>
      <c r="Z30" s="7">
        <v>-103.636363636363</v>
      </c>
      <c r="AA30" s="7">
        <v>0.21096260863524599</v>
      </c>
      <c r="AB30" s="7">
        <v>1.1497526340374</v>
      </c>
      <c r="AL30" s="7">
        <v>-103.636363636363</v>
      </c>
      <c r="AM30" s="7">
        <v>0.129774049861406</v>
      </c>
      <c r="AN30" s="7">
        <v>1.5969676397114501</v>
      </c>
      <c r="AX30" s="7">
        <v>-103.636363636363</v>
      </c>
      <c r="AY30" s="7">
        <v>9.6971513593843095E-2</v>
      </c>
      <c r="AZ30" s="7">
        <v>1.5750863781150399</v>
      </c>
      <c r="BJ30" s="7">
        <v>-103.636363636363</v>
      </c>
      <c r="BK30" s="7">
        <v>0.174378730795403</v>
      </c>
      <c r="BL30" s="7">
        <v>2.1656325896125499</v>
      </c>
    </row>
    <row r="31" spans="2:64" x14ac:dyDescent="0.2">
      <c r="B31">
        <v>-100</v>
      </c>
      <c r="C31">
        <v>-1.5595608741483999</v>
      </c>
      <c r="D31">
        <v>-0.65393967373240203</v>
      </c>
      <c r="E31" s="7"/>
      <c r="F31" s="7"/>
      <c r="G31" s="7"/>
      <c r="H31" s="7"/>
      <c r="I31" s="7"/>
      <c r="N31" s="10">
        <v>-100</v>
      </c>
      <c r="O31" s="10">
        <v>8.3799999999999902E-2</v>
      </c>
      <c r="P31" s="10">
        <v>1.61099999999999</v>
      </c>
      <c r="Z31" s="7">
        <v>-100</v>
      </c>
      <c r="AA31" s="7">
        <v>0.15479999999999899</v>
      </c>
      <c r="AB31" s="7">
        <v>1.1848999999999901</v>
      </c>
      <c r="AL31" s="7">
        <v>-100</v>
      </c>
      <c r="AM31" s="7">
        <v>7.8600000000000003E-2</v>
      </c>
      <c r="AN31" s="7">
        <v>1.639</v>
      </c>
      <c r="AX31" s="7">
        <v>-100</v>
      </c>
      <c r="AY31" s="7">
        <v>5.8299999999999901E-2</v>
      </c>
      <c r="AZ31" s="7">
        <v>1.6164000000000001</v>
      </c>
      <c r="BJ31" s="7">
        <v>-100</v>
      </c>
      <c r="BK31" s="7">
        <v>4.0836532000000002E-2</v>
      </c>
      <c r="BL31" s="7">
        <v>2.2569108999999901</v>
      </c>
    </row>
    <row r="32" spans="2:64" x14ac:dyDescent="0.2">
      <c r="B32">
        <v>-96.363636363636303</v>
      </c>
      <c r="C32">
        <v>-1.5637138299302</v>
      </c>
      <c r="D32">
        <v>-0.65657269786415795</v>
      </c>
      <c r="E32" s="7"/>
      <c r="F32" s="7"/>
      <c r="G32" s="7"/>
      <c r="H32" s="7"/>
      <c r="I32" s="7"/>
      <c r="N32" s="10">
        <v>-96.363636363636303</v>
      </c>
      <c r="O32" s="10">
        <v>2.9409948725441701E-2</v>
      </c>
      <c r="P32" s="10">
        <v>1.6399853833431499</v>
      </c>
      <c r="Z32" s="7">
        <v>-96.363636363636303</v>
      </c>
      <c r="AA32" s="7">
        <v>9.8553606207637395E-2</v>
      </c>
      <c r="AB32" s="7">
        <v>1.21135724668391</v>
      </c>
      <c r="AL32" s="7">
        <v>-96.363636363636303</v>
      </c>
      <c r="AM32" s="7">
        <v>2.7943261083347298E-2</v>
      </c>
      <c r="AN32" s="7">
        <v>1.66854611273375</v>
      </c>
      <c r="AX32" s="7">
        <v>-96.363636363636303</v>
      </c>
      <c r="AY32" s="7">
        <v>2.0891851504847202E-2</v>
      </c>
      <c r="AZ32" s="7">
        <v>1.6454211304072599</v>
      </c>
      <c r="BJ32" s="7">
        <v>-96.363636363636303</v>
      </c>
      <c r="BK32" s="7">
        <v>-7.4355485243689998E-2</v>
      </c>
      <c r="BL32" s="7">
        <v>2.2811778679738799</v>
      </c>
    </row>
    <row r="33" spans="2:64" x14ac:dyDescent="0.2">
      <c r="B33">
        <v>-92.727272727272705</v>
      </c>
      <c r="C33">
        <v>-1.5636209523248601</v>
      </c>
      <c r="D33">
        <v>-0.65651381234044504</v>
      </c>
      <c r="E33" s="7"/>
      <c r="F33" s="7"/>
      <c r="G33" s="7"/>
      <c r="H33" s="7"/>
      <c r="I33" s="7"/>
      <c r="N33" s="10">
        <v>-92.727272727272705</v>
      </c>
      <c r="O33" s="10">
        <v>-2.4287606995147499E-2</v>
      </c>
      <c r="P33" s="10">
        <v>1.6562709241050499</v>
      </c>
      <c r="Z33" s="7">
        <v>-92.727272727272705</v>
      </c>
      <c r="AA33" s="7">
        <v>4.2239789027437198E-2</v>
      </c>
      <c r="AB33" s="7">
        <v>1.2281436243233499</v>
      </c>
      <c r="AL33" s="7">
        <v>-92.727272727272705</v>
      </c>
      <c r="AM33" s="7">
        <v>-2.19200266332252E-2</v>
      </c>
      <c r="AN33" s="7">
        <v>1.6851908004853899</v>
      </c>
      <c r="AX33" s="7">
        <v>-92.727272727272705</v>
      </c>
      <c r="AY33" s="7">
        <v>-1.540181733001E-2</v>
      </c>
      <c r="AZ33" s="7">
        <v>1.6616862969755599</v>
      </c>
      <c r="BJ33" s="7">
        <v>-92.727272727272705</v>
      </c>
      <c r="BK33" s="7">
        <v>-0.20551407009341</v>
      </c>
      <c r="BL33" s="7">
        <v>2.3166116599814699</v>
      </c>
    </row>
    <row r="34" spans="2:64" x14ac:dyDescent="0.2">
      <c r="B34">
        <v>-89.090909090908994</v>
      </c>
      <c r="C34">
        <v>-1.5592822413323699</v>
      </c>
      <c r="D34">
        <v>-0.65376301716126195</v>
      </c>
      <c r="E34" s="7"/>
      <c r="F34" s="7"/>
      <c r="G34" s="7"/>
      <c r="H34" s="7"/>
      <c r="I34" s="7"/>
      <c r="N34" s="10">
        <v>-89.090909090908994</v>
      </c>
      <c r="O34" s="10">
        <v>-7.6989343720670095E-2</v>
      </c>
      <c r="P34" s="10">
        <v>1.65958664206092</v>
      </c>
      <c r="Z34" s="7">
        <v>-89.090909090908994</v>
      </c>
      <c r="AA34" s="7">
        <v>-1.4079931288113599E-2</v>
      </c>
      <c r="AB34" s="7">
        <v>1.23157151379894</v>
      </c>
      <c r="AL34" s="7">
        <v>-89.090909090908994</v>
      </c>
      <c r="AM34" s="7">
        <v>-7.0889569620367299E-2</v>
      </c>
      <c r="AN34" s="7">
        <v>1.68848597545907</v>
      </c>
      <c r="AX34" s="7">
        <v>-89.090909090908994</v>
      </c>
      <c r="AY34" s="7">
        <v>-5.1018409186744801E-2</v>
      </c>
      <c r="AZ34" s="7">
        <v>1.66488233220826</v>
      </c>
      <c r="BJ34" s="7">
        <v>-89.090909090908994</v>
      </c>
      <c r="BK34" s="7">
        <v>-0.33176372772820401</v>
      </c>
      <c r="BL34" s="7">
        <v>2.3174345753349099</v>
      </c>
    </row>
    <row r="35" spans="2:64" x14ac:dyDescent="0.2">
      <c r="B35">
        <v>-85.454545454545396</v>
      </c>
      <c r="C35">
        <v>-1.55069769695272</v>
      </c>
      <c r="D35">
        <v>-0.64832031232661003</v>
      </c>
      <c r="E35" s="7"/>
      <c r="F35" s="7"/>
      <c r="G35" s="7"/>
      <c r="H35" s="7"/>
      <c r="I35" s="7"/>
      <c r="N35" s="10">
        <v>-85.454545454545396</v>
      </c>
      <c r="O35" s="10">
        <v>-0.128648981883251</v>
      </c>
      <c r="P35" s="10">
        <v>1.64976857247474</v>
      </c>
      <c r="Z35" s="7">
        <v>-85.454545454545396</v>
      </c>
      <c r="AA35" s="7">
        <v>-7.0399664502074702E-2</v>
      </c>
      <c r="AB35" s="7">
        <v>1.221287845195</v>
      </c>
      <c r="AL35" s="7">
        <v>-85.454545454545396</v>
      </c>
      <c r="AM35" s="7">
        <v>-0.118800835286684</v>
      </c>
      <c r="AN35" s="7">
        <v>1.67847075136966</v>
      </c>
      <c r="AX35" s="7">
        <v>-85.454545454545396</v>
      </c>
      <c r="AY35" s="7">
        <v>-8.6036846382105001E-2</v>
      </c>
      <c r="AZ35" s="7">
        <v>1.65511753656576</v>
      </c>
      <c r="BJ35" s="7">
        <v>-85.454545454545396</v>
      </c>
      <c r="BK35" s="7">
        <v>-0.45290861389218001</v>
      </c>
      <c r="BL35" s="7">
        <v>2.2882965326843001</v>
      </c>
    </row>
    <row r="36" spans="2:64" x14ac:dyDescent="0.2">
      <c r="B36">
        <v>-81.818181818181799</v>
      </c>
      <c r="C36">
        <v>-1.53786731918593</v>
      </c>
      <c r="D36">
        <v>-0.64018569783648804</v>
      </c>
      <c r="E36" s="7"/>
      <c r="F36" s="7"/>
      <c r="G36" s="7"/>
      <c r="H36" s="7"/>
      <c r="I36" s="7"/>
      <c r="N36" s="10">
        <v>-81.818181818181799</v>
      </c>
      <c r="O36" s="10">
        <v>-0.178882197370937</v>
      </c>
      <c r="P36" s="10">
        <v>1.62706717023021</v>
      </c>
      <c r="Z36" s="7">
        <v>-81.818181818181799</v>
      </c>
      <c r="AA36" s="7">
        <v>-0.12668730204527801</v>
      </c>
      <c r="AB36" s="7">
        <v>1.19921488815113</v>
      </c>
      <c r="AL36" s="7">
        <v>-81.818181818181799</v>
      </c>
      <c r="AM36" s="7">
        <v>-0.165617994512918</v>
      </c>
      <c r="AN36" s="7">
        <v>1.65534070212303</v>
      </c>
      <c r="AX36" s="7">
        <v>-81.818181818181799</v>
      </c>
      <c r="AY36" s="7">
        <v>-0.120839909560364</v>
      </c>
      <c r="AZ36" s="7">
        <v>1.6324643645555299</v>
      </c>
      <c r="BJ36" s="7">
        <v>-81.818181818181799</v>
      </c>
      <c r="BK36" s="7">
        <v>-0.57413148755002896</v>
      </c>
      <c r="BL36" s="7">
        <v>2.23432264921049</v>
      </c>
    </row>
    <row r="37" spans="2:64" x14ac:dyDescent="0.2">
      <c r="B37">
        <v>-78.181818181818102</v>
      </c>
      <c r="C37">
        <v>-1.52079110803199</v>
      </c>
      <c r="D37">
        <v>-0.629359173690897</v>
      </c>
      <c r="E37" s="7"/>
      <c r="F37" s="7"/>
      <c r="G37" s="7"/>
      <c r="H37" s="7"/>
      <c r="I37" s="7"/>
      <c r="N37" s="10">
        <v>-78.181818181818102</v>
      </c>
      <c r="O37" s="10">
        <v>-0.227418532848044</v>
      </c>
      <c r="P37" s="10">
        <v>1.5917874570545201</v>
      </c>
      <c r="Z37" s="7">
        <v>-78.181818181818102</v>
      </c>
      <c r="AA37" s="7">
        <v>-0.18289173231782599</v>
      </c>
      <c r="AB37" s="7">
        <v>1.16841258209362</v>
      </c>
      <c r="AL37" s="7">
        <v>-78.181818181818102</v>
      </c>
      <c r="AM37" s="7">
        <v>-0.21116647754818499</v>
      </c>
      <c r="AN37" s="7">
        <v>1.61952214409094</v>
      </c>
      <c r="AX37" s="7">
        <v>-78.181818181818102</v>
      </c>
      <c r="AY37" s="7">
        <v>-0.155566950042138</v>
      </c>
      <c r="AZ37" s="7">
        <v>1.59727141624659</v>
      </c>
      <c r="BJ37" s="7">
        <v>-78.181818181818102</v>
      </c>
      <c r="BK37" s="7">
        <v>-0.67163785112900298</v>
      </c>
      <c r="BL37" s="7">
        <v>2.1777335101342401</v>
      </c>
    </row>
    <row r="38" spans="2:64" x14ac:dyDescent="0.2">
      <c r="B38">
        <v>-74.545454545454504</v>
      </c>
      <c r="C38">
        <v>-1.49946906349091</v>
      </c>
      <c r="D38">
        <v>-0.61584073988983601</v>
      </c>
      <c r="E38" s="7"/>
      <c r="F38" s="7"/>
      <c r="G38" s="7"/>
      <c r="H38" s="7"/>
      <c r="I38" s="7"/>
      <c r="N38" s="10">
        <v>-74.545454545454504</v>
      </c>
      <c r="O38" s="10">
        <v>-0.274102140510329</v>
      </c>
      <c r="P38" s="10">
        <v>1.54441700164399</v>
      </c>
      <c r="Z38" s="7">
        <v>-74.545454545454504</v>
      </c>
      <c r="AA38" s="7">
        <v>-0.23899457212551201</v>
      </c>
      <c r="AB38" s="7">
        <v>1.12892813928128</v>
      </c>
      <c r="AL38" s="7">
        <v>-74.545454545454504</v>
      </c>
      <c r="AM38" s="7">
        <v>-0.25531901707096499</v>
      </c>
      <c r="AN38" s="7">
        <v>1.5713339148410299</v>
      </c>
      <c r="AX38" s="7">
        <v>-74.545454545454504</v>
      </c>
      <c r="AY38" s="7">
        <v>-0.19032927385402101</v>
      </c>
      <c r="AZ38" s="7">
        <v>1.5499604735578201</v>
      </c>
      <c r="BJ38" s="7">
        <v>-74.545454545454504</v>
      </c>
      <c r="BK38" s="7">
        <v>-0.76912208092353296</v>
      </c>
      <c r="BL38" s="7">
        <v>2.0960408959070902</v>
      </c>
    </row>
    <row r="39" spans="2:64" x14ac:dyDescent="0.2">
      <c r="B39">
        <v>-70.909090909090907</v>
      </c>
      <c r="C39">
        <v>-1.47390118556267</v>
      </c>
      <c r="D39">
        <v>-0.59963039643330596</v>
      </c>
      <c r="E39" s="7"/>
      <c r="F39" s="7"/>
      <c r="G39" s="7"/>
      <c r="H39" s="7"/>
      <c r="I39" s="7"/>
      <c r="N39" s="10">
        <v>-70.909090909090907</v>
      </c>
      <c r="O39" s="10">
        <v>-0.31847622143313098</v>
      </c>
      <c r="P39" s="10">
        <v>1.4858002058390101</v>
      </c>
      <c r="Z39" s="7">
        <v>-70.909090909090907</v>
      </c>
      <c r="AA39" s="7">
        <v>-0.29361304392010901</v>
      </c>
      <c r="AB39" s="7">
        <v>1.0813841764751899</v>
      </c>
      <c r="AL39" s="7">
        <v>-70.909090909090907</v>
      </c>
      <c r="AM39" s="7">
        <v>-0.29773637898046101</v>
      </c>
      <c r="AN39" s="7">
        <v>1.5117786095997201</v>
      </c>
      <c r="AX39" s="7">
        <v>-70.909090909090907</v>
      </c>
      <c r="AY39" s="7">
        <v>-0.22496371971847101</v>
      </c>
      <c r="AZ39" s="7">
        <v>1.4915060300519201</v>
      </c>
      <c r="BJ39" s="7">
        <v>-70.909090909090907</v>
      </c>
      <c r="BK39" s="7">
        <v>-0.81977703005148395</v>
      </c>
      <c r="BL39" s="7">
        <v>1.90530571044335</v>
      </c>
    </row>
    <row r="40" spans="2:64" x14ac:dyDescent="0.2">
      <c r="B40">
        <v>-67.272727272727195</v>
      </c>
      <c r="C40">
        <v>-1.44408747424728</v>
      </c>
      <c r="D40">
        <v>-0.58072814332130696</v>
      </c>
      <c r="E40" s="7"/>
      <c r="F40" s="7"/>
      <c r="G40" s="7"/>
      <c r="H40" s="7"/>
      <c r="I40" s="7"/>
      <c r="N40" s="10">
        <v>-67.272727272727195</v>
      </c>
      <c r="O40" s="10">
        <v>-0.36019078927404702</v>
      </c>
      <c r="P40" s="10">
        <v>1.4168449544533299</v>
      </c>
      <c r="Z40" s="7">
        <v>-67.272727272727195</v>
      </c>
      <c r="AA40" s="7">
        <v>-0.34587847975465302</v>
      </c>
      <c r="AB40" s="7">
        <v>1.02617182471758</v>
      </c>
      <c r="AL40" s="7">
        <v>-67.272727272727195</v>
      </c>
      <c r="AM40" s="7">
        <v>-0.33798499173887803</v>
      </c>
      <c r="AN40" s="7">
        <v>1.44156156656545</v>
      </c>
      <c r="AX40" s="7">
        <v>-67.272727272727195</v>
      </c>
      <c r="AY40" s="7">
        <v>-0.25924534760102602</v>
      </c>
      <c r="AZ40" s="7">
        <v>1.4225514058964099</v>
      </c>
      <c r="BJ40" s="7">
        <v>-67.272727272727195</v>
      </c>
      <c r="BK40" s="7">
        <v>-0.87808070215205802</v>
      </c>
      <c r="BL40" s="7">
        <v>1.8031911407727701</v>
      </c>
    </row>
    <row r="41" spans="2:64" x14ac:dyDescent="0.2">
      <c r="B41">
        <v>-63.636363636363598</v>
      </c>
      <c r="C41">
        <v>-1.41002792954474</v>
      </c>
      <c r="D41">
        <v>-0.55913398055383801</v>
      </c>
      <c r="E41" s="7"/>
      <c r="F41" s="7"/>
      <c r="G41" s="7"/>
      <c r="H41" s="7"/>
      <c r="I41" s="7"/>
      <c r="N41" s="10">
        <v>-63.636363636363598</v>
      </c>
      <c r="O41" s="10">
        <v>-0.398665385655046</v>
      </c>
      <c r="P41" s="10">
        <v>1.33859016250209</v>
      </c>
      <c r="Z41" s="7">
        <v>-63.636363636363598</v>
      </c>
      <c r="AA41" s="7">
        <v>-0.39571276234077901</v>
      </c>
      <c r="AB41" s="7">
        <v>0.96348878988339104</v>
      </c>
      <c r="AL41" s="7">
        <v>-63.636363636363598</v>
      </c>
      <c r="AM41" s="7">
        <v>-0.37551968074950998</v>
      </c>
      <c r="AN41" s="7">
        <v>1.36192433511322</v>
      </c>
      <c r="AX41" s="7">
        <v>-63.636363636363598</v>
      </c>
      <c r="AY41" s="7">
        <v>-0.29281589257434798</v>
      </c>
      <c r="AZ41" s="7">
        <v>1.3443091931068401</v>
      </c>
      <c r="BJ41" s="7">
        <v>-63.636363636363598</v>
      </c>
      <c r="BK41" s="7">
        <v>-0.91484639980864402</v>
      </c>
      <c r="BL41" s="7">
        <v>1.66358242309455</v>
      </c>
    </row>
    <row r="42" spans="2:64" x14ac:dyDescent="0.2">
      <c r="B42">
        <v>-60</v>
      </c>
      <c r="C42">
        <v>-1.3717225514550599</v>
      </c>
      <c r="D42">
        <v>-0.534847908130899</v>
      </c>
      <c r="E42" s="7"/>
      <c r="F42" s="7"/>
      <c r="G42" s="7"/>
      <c r="H42" s="7"/>
      <c r="I42" s="7"/>
      <c r="N42" s="10">
        <v>-60</v>
      </c>
      <c r="O42" s="10">
        <v>-0.43340000000000001</v>
      </c>
      <c r="P42" s="10">
        <v>1.2522</v>
      </c>
      <c r="Z42" s="7">
        <v>-60</v>
      </c>
      <c r="AA42" s="7">
        <v>-0.44230000000000003</v>
      </c>
      <c r="AB42" s="7">
        <v>0.89539999999999997</v>
      </c>
      <c r="AL42" s="7">
        <v>-60</v>
      </c>
      <c r="AM42" s="7">
        <v>-0.40989999999999999</v>
      </c>
      <c r="AN42" s="7">
        <v>1.27409999999999</v>
      </c>
      <c r="AX42" s="7">
        <v>-60</v>
      </c>
      <c r="AY42" s="7">
        <v>-0.32499999999999901</v>
      </c>
      <c r="AZ42" s="7">
        <v>1.258</v>
      </c>
      <c r="BJ42" s="7">
        <v>-60</v>
      </c>
      <c r="BK42" s="7">
        <v>-0.93526781999999997</v>
      </c>
      <c r="BL42" s="7">
        <v>1.5122397999999999</v>
      </c>
    </row>
    <row r="43" spans="2:64" x14ac:dyDescent="0.2">
      <c r="B43">
        <v>-56.363636363636303</v>
      </c>
      <c r="C43">
        <v>-1.3291713399782299</v>
      </c>
      <c r="D43">
        <v>-0.50786992605249204</v>
      </c>
      <c r="E43" s="7"/>
      <c r="F43" s="7"/>
      <c r="G43" s="7"/>
      <c r="H43" s="7"/>
      <c r="I43" s="7"/>
      <c r="N43" s="10">
        <v>-56.363636363636303</v>
      </c>
      <c r="O43" s="10">
        <v>-0.46357817882839603</v>
      </c>
      <c r="P43" s="10">
        <v>1.1590420752050501</v>
      </c>
      <c r="Z43" s="7">
        <v>-56.363636363636303</v>
      </c>
      <c r="AA43" s="7">
        <v>-0.48542320026463098</v>
      </c>
      <c r="AB43" s="7">
        <v>0.82245463805341001</v>
      </c>
      <c r="AL43" s="7">
        <v>-56.363636363636303</v>
      </c>
      <c r="AM43" s="7">
        <v>-0.44041212708152599</v>
      </c>
      <c r="AN43" s="7">
        <v>1.1793908125807</v>
      </c>
      <c r="AX43" s="7">
        <v>-56.363636363636303</v>
      </c>
      <c r="AY43" s="7">
        <v>-0.35514423967409098</v>
      </c>
      <c r="AZ43" s="7">
        <v>1.16481490260978</v>
      </c>
      <c r="BJ43" s="7">
        <v>-56.363636363636303</v>
      </c>
      <c r="BK43" s="7">
        <v>-0.94261305550185703</v>
      </c>
      <c r="BL43" s="7">
        <v>1.3906593719117699</v>
      </c>
    </row>
    <row r="44" spans="2:64" x14ac:dyDescent="0.2">
      <c r="B44">
        <v>-52.727272727272698</v>
      </c>
      <c r="C44">
        <v>-1.2823742951142401</v>
      </c>
      <c r="D44">
        <v>-0.47820003431861402</v>
      </c>
      <c r="E44" s="7"/>
      <c r="F44" s="7"/>
      <c r="G44" s="7"/>
      <c r="H44" s="7"/>
      <c r="I44" s="7"/>
      <c r="N44" s="10">
        <v>-52.727272727272698</v>
      </c>
      <c r="O44" s="10">
        <v>-0.48868322413038501</v>
      </c>
      <c r="P44" s="10">
        <v>1.0606759590064001</v>
      </c>
      <c r="Z44" s="7">
        <v>-52.727272727272698</v>
      </c>
      <c r="AA44" s="7">
        <v>-0.52525726793901095</v>
      </c>
      <c r="AB44" s="7">
        <v>0.74529028087837301</v>
      </c>
      <c r="AL44" s="7">
        <v>-52.727272727272698</v>
      </c>
      <c r="AM44" s="7">
        <v>-0.46616081397861697</v>
      </c>
      <c r="AN44" s="7">
        <v>1.07923572314086</v>
      </c>
      <c r="AX44" s="7">
        <v>-52.727272727272698</v>
      </c>
      <c r="AY44" s="7">
        <v>-0.38231342285369802</v>
      </c>
      <c r="AZ44" s="7">
        <v>1.06626512969867</v>
      </c>
      <c r="BJ44" s="7">
        <v>-52.727272727272698</v>
      </c>
      <c r="BK44" s="7">
        <v>-0.92349606480599999</v>
      </c>
      <c r="BL44" s="7">
        <v>1.22134402363405</v>
      </c>
    </row>
    <row r="45" spans="2:64" x14ac:dyDescent="0.2">
      <c r="B45">
        <v>-49.090909090909001</v>
      </c>
      <c r="C45">
        <v>-1.23133141686311</v>
      </c>
      <c r="D45">
        <v>-0.445838232929267</v>
      </c>
      <c r="E45" s="7"/>
      <c r="F45" s="7"/>
      <c r="G45" s="7"/>
      <c r="H45" s="7"/>
      <c r="I45" s="7"/>
      <c r="N45" s="10">
        <v>-49.090909090909001</v>
      </c>
      <c r="O45" s="10">
        <v>-0.50789459892267896</v>
      </c>
      <c r="P45" s="10">
        <v>0.95848590106555298</v>
      </c>
      <c r="Z45" s="7">
        <v>-49.090909090909001</v>
      </c>
      <c r="AA45" s="7">
        <v>-0.56245984508744795</v>
      </c>
      <c r="AB45" s="7">
        <v>0.66630421737354895</v>
      </c>
      <c r="AL45" s="7">
        <v>-49.090909090909001</v>
      </c>
      <c r="AM45" s="7">
        <v>-0.48647017073085902</v>
      </c>
      <c r="AN45" s="7">
        <v>0.97533677968842203</v>
      </c>
      <c r="AX45" s="7">
        <v>-49.090909090909001</v>
      </c>
      <c r="AY45" s="7">
        <v>-0.40558027273763902</v>
      </c>
      <c r="AZ45" s="7">
        <v>0.96398885901019604</v>
      </c>
      <c r="BJ45" s="7">
        <v>-49.090909090909001</v>
      </c>
      <c r="BK45" s="7">
        <v>-0.888437740140534</v>
      </c>
      <c r="BL45" s="7">
        <v>1.0605941894126001</v>
      </c>
    </row>
    <row r="46" spans="2:64" x14ac:dyDescent="0.2">
      <c r="B46">
        <v>-45.454545454545404</v>
      </c>
      <c r="C46">
        <v>-1.1760427052248299</v>
      </c>
      <c r="D46">
        <v>-0.41078452188445103</v>
      </c>
      <c r="E46" s="7"/>
      <c r="F46" s="7"/>
      <c r="G46" s="7"/>
      <c r="H46" s="7"/>
      <c r="I46" s="7"/>
      <c r="N46" s="10">
        <v>-45.454545454545404</v>
      </c>
      <c r="O46" s="10">
        <v>-0.52044159898025999</v>
      </c>
      <c r="P46" s="10">
        <v>0.85424143879513603</v>
      </c>
      <c r="Z46" s="7">
        <v>-45.454545454545404</v>
      </c>
      <c r="AA46" s="7">
        <v>-0.59709389743950303</v>
      </c>
      <c r="AB46" s="7">
        <v>0.58572597519945002</v>
      </c>
      <c r="AL46" s="7">
        <v>-45.454545454545404</v>
      </c>
      <c r="AM46" s="7">
        <v>-0.500397586582776</v>
      </c>
      <c r="AN46" s="7">
        <v>0.86922547237296099</v>
      </c>
      <c r="AX46" s="7">
        <v>-45.454545454545404</v>
      </c>
      <c r="AY46" s="7">
        <v>-0.42374572112299502</v>
      </c>
      <c r="AZ46" s="7">
        <v>0.85944120835184101</v>
      </c>
      <c r="BJ46" s="7">
        <v>-45.454545454545404</v>
      </c>
      <c r="BK46" s="7">
        <v>-0.85690565736790003</v>
      </c>
      <c r="BL46" s="7">
        <v>0.93143279985445304</v>
      </c>
    </row>
    <row r="47" spans="2:64" x14ac:dyDescent="0.2">
      <c r="B47">
        <v>-41.818181818181799</v>
      </c>
      <c r="C47">
        <v>-1.1165081601994</v>
      </c>
      <c r="D47">
        <v>-0.37303890118416599</v>
      </c>
      <c r="E47" s="7"/>
      <c r="F47" s="7"/>
      <c r="G47" s="7"/>
      <c r="H47" s="7"/>
      <c r="I47" s="7"/>
      <c r="N47" s="10">
        <v>-41.818181818181799</v>
      </c>
      <c r="O47" s="10">
        <v>-0.52568315163387203</v>
      </c>
      <c r="P47" s="10">
        <v>0.74947103366884305</v>
      </c>
      <c r="Z47" s="7">
        <v>-41.818181818181799</v>
      </c>
      <c r="AA47" s="7">
        <v>-0.62849975055927398</v>
      </c>
      <c r="AB47" s="7">
        <v>0.50494323559791698</v>
      </c>
      <c r="AL47" s="7">
        <v>-41.818181818181799</v>
      </c>
      <c r="AM47" s="7">
        <v>-0.50726520472472203</v>
      </c>
      <c r="AN47" s="7">
        <v>0.76258212676391901</v>
      </c>
      <c r="AX47" s="7">
        <v>-41.818181818181799</v>
      </c>
      <c r="AY47" s="7">
        <v>-0.43595742644991298</v>
      </c>
      <c r="AZ47" s="7">
        <v>0.75436443396407504</v>
      </c>
      <c r="BJ47" s="7">
        <v>-41.818181818181799</v>
      </c>
      <c r="BK47" s="7">
        <v>-0.80541292912394702</v>
      </c>
      <c r="BL47" s="7">
        <v>0.80295699997810699</v>
      </c>
    </row>
    <row r="48" spans="2:64" x14ac:dyDescent="0.2">
      <c r="B48">
        <v>-38.181818181818102</v>
      </c>
      <c r="C48">
        <v>-1.0527277817868199</v>
      </c>
      <c r="D48">
        <v>-0.33260137082841101</v>
      </c>
      <c r="E48" s="7"/>
      <c r="F48" s="7"/>
      <c r="G48" s="7"/>
      <c r="H48" s="7"/>
      <c r="I48" s="7"/>
      <c r="N48" s="10">
        <v>-38.181818181818102</v>
      </c>
      <c r="O48" s="10">
        <v>-0.522954880415614</v>
      </c>
      <c r="P48" s="10">
        <v>0.64590934836527403</v>
      </c>
      <c r="Z48" s="7">
        <v>-38.181818181818102</v>
      </c>
      <c r="AA48" s="7">
        <v>-0.65562731044675504</v>
      </c>
      <c r="AB48" s="7">
        <v>0.42616496054576197</v>
      </c>
      <c r="AL48" s="7">
        <v>-38.181818181818102</v>
      </c>
      <c r="AM48" s="7">
        <v>-0.50645686981671301</v>
      </c>
      <c r="AN48" s="7">
        <v>0.65711016013264001</v>
      </c>
      <c r="AX48" s="7">
        <v>-38.181818181818102</v>
      </c>
      <c r="AY48" s="7">
        <v>-0.441229402164451</v>
      </c>
      <c r="AZ48" s="7">
        <v>0.65024969082745498</v>
      </c>
      <c r="BJ48" s="7">
        <v>-38.181818181818102</v>
      </c>
      <c r="BK48" s="7">
        <v>-0.75587379473151395</v>
      </c>
      <c r="BL48" s="7">
        <v>0.68019396335805604</v>
      </c>
    </row>
    <row r="49" spans="2:64" x14ac:dyDescent="0.2">
      <c r="B49">
        <v>-34.545454545454497</v>
      </c>
      <c r="C49">
        <v>-0.98470156998710101</v>
      </c>
      <c r="D49">
        <v>-0.28947193081718597</v>
      </c>
      <c r="E49" s="7"/>
      <c r="F49" s="7"/>
      <c r="G49" s="7"/>
      <c r="H49" s="7"/>
      <c r="I49" s="7"/>
      <c r="N49" s="10">
        <v>-34.545454545454497</v>
      </c>
      <c r="O49" s="10">
        <v>-0.51182706832796498</v>
      </c>
      <c r="P49" s="10">
        <v>0.54520339916494098</v>
      </c>
      <c r="Z49" s="7">
        <v>-34.545454545454497</v>
      </c>
      <c r="AA49" s="7">
        <v>-0.67871540702441502</v>
      </c>
      <c r="AB49" s="7">
        <v>0.34943726998336999</v>
      </c>
      <c r="AL49" s="7">
        <v>-34.545454545454497</v>
      </c>
      <c r="AM49" s="7">
        <v>-0.49753964599540101</v>
      </c>
      <c r="AN49" s="7">
        <v>0.55447089748483103</v>
      </c>
      <c r="AX49" s="7">
        <v>-34.545454545454497</v>
      </c>
      <c r="AY49" s="7">
        <v>-0.43903663497801498</v>
      </c>
      <c r="AZ49" s="7">
        <v>0.54885280510765999</v>
      </c>
      <c r="BJ49" s="7">
        <v>-34.545454545454497</v>
      </c>
      <c r="BK49" s="7">
        <v>-0.70381019520229204</v>
      </c>
      <c r="BL49" s="7">
        <v>0.57305101782544898</v>
      </c>
    </row>
    <row r="50" spans="2:64" x14ac:dyDescent="0.2">
      <c r="B50">
        <v>-30.909090909090899</v>
      </c>
      <c r="C50">
        <v>-0.91242952480022399</v>
      </c>
      <c r="D50">
        <v>-0.24365058115049201</v>
      </c>
      <c r="E50" s="7"/>
      <c r="F50" s="7"/>
      <c r="G50" s="7"/>
      <c r="H50" s="7"/>
      <c r="I50" s="7"/>
      <c r="N50" s="10">
        <v>-30.909090909090899</v>
      </c>
      <c r="O50" s="10">
        <v>-0.49210160651470197</v>
      </c>
      <c r="P50" s="10">
        <v>0.44885439640000502</v>
      </c>
      <c r="Z50" s="7">
        <v>-30.909090909090899</v>
      </c>
      <c r="AA50" s="7">
        <v>-0.71744286824491199</v>
      </c>
      <c r="AB50" s="7">
        <v>0.27614855728413701</v>
      </c>
      <c r="AL50" s="7">
        <v>-30.909090909090899</v>
      </c>
      <c r="AM50" s="7">
        <v>-0.48068722589358498</v>
      </c>
      <c r="AN50" s="7">
        <v>0.45610551920998499</v>
      </c>
      <c r="AX50" s="7">
        <v>-30.909090909090899</v>
      </c>
      <c r="AY50" s="7">
        <v>-0.429478235584767</v>
      </c>
      <c r="AZ50" s="7">
        <v>0.45162820730491998</v>
      </c>
      <c r="BJ50" s="7">
        <v>-30.909090909090899</v>
      </c>
      <c r="BK50" s="7">
        <v>-0.62904493905632297</v>
      </c>
      <c r="BL50" s="7">
        <v>0.46419435672460402</v>
      </c>
    </row>
    <row r="51" spans="2:64" x14ac:dyDescent="0.2">
      <c r="B51">
        <v>-27.272727272727199</v>
      </c>
      <c r="C51">
        <v>-0.83591164622619896</v>
      </c>
      <c r="D51">
        <v>-0.19513732182832899</v>
      </c>
      <c r="E51" s="7"/>
      <c r="F51" s="7"/>
      <c r="G51" s="7"/>
      <c r="H51" s="7"/>
      <c r="I51" s="7"/>
      <c r="N51" s="10">
        <v>-27.272727272727199</v>
      </c>
      <c r="O51" s="10">
        <v>-0.46392346182059202</v>
      </c>
      <c r="P51" s="10">
        <v>0.35849323021205898</v>
      </c>
      <c r="Z51" s="7">
        <v>-27.272727272727199</v>
      </c>
      <c r="AA51" s="7">
        <v>-0.78417203474517305</v>
      </c>
      <c r="AB51" s="7">
        <v>0.20717101828519599</v>
      </c>
      <c r="AL51" s="7">
        <v>-27.272727272727199</v>
      </c>
      <c r="AM51" s="7">
        <v>-0.45775027844271998</v>
      </c>
      <c r="AN51" s="7">
        <v>0.36339675769701102</v>
      </c>
      <c r="AX51" s="7">
        <v>-27.272727272727199</v>
      </c>
      <c r="AY51" s="7">
        <v>-0.414295419493588</v>
      </c>
      <c r="AZ51" s="7">
        <v>0.35975092535696801</v>
      </c>
      <c r="BJ51" s="7">
        <v>-27.272727272727199</v>
      </c>
      <c r="BK51" s="7">
        <v>-0.91632658859461802</v>
      </c>
      <c r="BL51" s="7">
        <v>0.24822906789601401</v>
      </c>
    </row>
    <row r="52" spans="2:64" x14ac:dyDescent="0.2">
      <c r="B52">
        <v>-23.636363636363601</v>
      </c>
      <c r="C52">
        <v>-0.75514793426502502</v>
      </c>
      <c r="D52">
        <v>-0.14393215285069599</v>
      </c>
      <c r="E52" s="7"/>
      <c r="F52" s="7"/>
      <c r="G52" s="7"/>
      <c r="H52" s="7"/>
      <c r="I52" s="7"/>
      <c r="N52" s="10">
        <v>-23.636363636363601</v>
      </c>
      <c r="O52" s="10">
        <v>-0.42852159724588201</v>
      </c>
      <c r="P52" s="10">
        <v>0.27536784589073399</v>
      </c>
      <c r="Z52" s="7">
        <v>-23.636363636363601</v>
      </c>
      <c r="AA52" s="7">
        <v>-0.87085977138251303</v>
      </c>
      <c r="AB52" s="7">
        <v>0.143118329412218</v>
      </c>
      <c r="AL52" s="7">
        <v>-23.636363636363601</v>
      </c>
      <c r="AM52" s="7">
        <v>-0.43457512450001401</v>
      </c>
      <c r="AN52" s="7">
        <v>0.27701895980987001</v>
      </c>
      <c r="AX52" s="7">
        <v>-23.636363636363601</v>
      </c>
      <c r="AY52" s="7">
        <v>-0.40155191036715998</v>
      </c>
      <c r="AZ52" s="7">
        <v>0.27359893398506202</v>
      </c>
      <c r="BJ52" s="7">
        <v>-23.636363636363601</v>
      </c>
      <c r="BK52" s="7">
        <v>-0.84617688336530394</v>
      </c>
      <c r="BL52" s="7">
        <v>0.27971481631976602</v>
      </c>
    </row>
    <row r="53" spans="2:64" x14ac:dyDescent="0.2">
      <c r="B53">
        <v>-20</v>
      </c>
      <c r="C53">
        <v>-0.67013838891670097</v>
      </c>
      <c r="D53">
        <v>-9.0035074217594005E-2</v>
      </c>
      <c r="E53" s="7"/>
      <c r="F53" s="7"/>
      <c r="G53" s="7"/>
      <c r="H53" s="7"/>
      <c r="I53" s="7"/>
      <c r="N53" s="10">
        <v>-20</v>
      </c>
      <c r="O53" s="10">
        <v>-0.38900000000000001</v>
      </c>
      <c r="P53" s="10">
        <v>0.20080000000000001</v>
      </c>
      <c r="Z53" s="7">
        <v>-20</v>
      </c>
      <c r="AA53" s="7">
        <v>-0.89349999999999996</v>
      </c>
      <c r="AB53" s="7">
        <v>9.0399999999999994E-2</v>
      </c>
      <c r="AL53" s="7">
        <v>-20</v>
      </c>
      <c r="AM53" s="7">
        <v>-0.43509999999999899</v>
      </c>
      <c r="AN53" s="7">
        <v>0.19570000000000001</v>
      </c>
      <c r="AX53" s="7">
        <v>-20</v>
      </c>
      <c r="AY53" s="7">
        <v>-0.42370000000000002</v>
      </c>
      <c r="AZ53" s="7">
        <v>0.19069999999999901</v>
      </c>
      <c r="BJ53" s="7">
        <v>-20</v>
      </c>
      <c r="BK53" s="7">
        <v>-0.38960682000000002</v>
      </c>
      <c r="BL53" s="7">
        <v>0.21179976</v>
      </c>
    </row>
    <row r="54" spans="2:64" x14ac:dyDescent="0.2">
      <c r="B54">
        <v>-16.363636363636299</v>
      </c>
      <c r="C54">
        <v>-0.58088301018122901</v>
      </c>
      <c r="D54">
        <v>-3.3446085929022401E-2</v>
      </c>
      <c r="E54" s="7"/>
      <c r="F54" s="7"/>
      <c r="G54" s="7"/>
      <c r="H54" s="7"/>
      <c r="I54" s="7"/>
      <c r="N54" s="10">
        <v>-16.363636363636299</v>
      </c>
      <c r="O54" s="10">
        <v>-0.35423705037784597</v>
      </c>
      <c r="P54" s="10">
        <v>0.13542800384949599</v>
      </c>
      <c r="Z54" s="7">
        <v>-16.363636363636299</v>
      </c>
      <c r="AA54" s="7">
        <v>-0.82975067853461804</v>
      </c>
      <c r="AB54" s="7">
        <v>5.0720686786520801E-2</v>
      </c>
      <c r="AL54" s="7">
        <v>-16.363636363636299</v>
      </c>
      <c r="AM54" s="7">
        <v>-0.56272244146467099</v>
      </c>
      <c r="AN54" s="7">
        <v>0.11055973557016301</v>
      </c>
      <c r="AX54" s="7">
        <v>-16.363636363636299</v>
      </c>
      <c r="AY54" s="7">
        <v>-0.62141821980475398</v>
      </c>
      <c r="AZ54" s="7">
        <v>9.7445168392572903E-2</v>
      </c>
      <c r="BJ54" s="7">
        <v>-16.363636363636299</v>
      </c>
      <c r="BK54" s="7">
        <v>-0.31773559922028599</v>
      </c>
      <c r="BL54" s="7">
        <v>0.177302496929957</v>
      </c>
    </row>
    <row r="55" spans="2:64" x14ac:dyDescent="0.2">
      <c r="B55">
        <v>-12.7272727272727</v>
      </c>
      <c r="C55">
        <v>-0.48738179805860699</v>
      </c>
      <c r="D55">
        <v>2.5834812015018999E-2</v>
      </c>
      <c r="E55" s="7"/>
      <c r="F55" s="7"/>
      <c r="G55" s="7"/>
      <c r="H55" s="7"/>
      <c r="I55" s="7"/>
      <c r="N55" s="10">
        <v>-12.7272727272727</v>
      </c>
      <c r="O55" s="10">
        <v>-0.35091517937088201</v>
      </c>
      <c r="P55" s="10">
        <v>7.92719629461517E-2</v>
      </c>
      <c r="Z55" s="7">
        <v>-12.7272727272727</v>
      </c>
      <c r="AA55" s="7">
        <v>-0.66796335428320597</v>
      </c>
      <c r="AB55" s="7">
        <v>2.4470054773609098E-2</v>
      </c>
      <c r="AL55" s="7">
        <v>-12.7272727272727</v>
      </c>
      <c r="AM55" s="7">
        <v>-0.87991248878874595</v>
      </c>
      <c r="AN55" s="7">
        <v>2.6562679656035301E-2</v>
      </c>
      <c r="AX55" s="7">
        <v>-12.7272727272727</v>
      </c>
      <c r="AY55" s="7">
        <v>-0.87360965221518105</v>
      </c>
      <c r="AZ55" s="7">
        <v>2.81725958409028E-2</v>
      </c>
      <c r="BJ55" s="7">
        <v>-12.7272727272727</v>
      </c>
      <c r="BK55" s="7">
        <v>-0.2278383213339</v>
      </c>
      <c r="BL55" s="7">
        <v>0.141371889269166</v>
      </c>
    </row>
    <row r="56" spans="2:64" x14ac:dyDescent="0.2">
      <c r="B56">
        <v>-9.0909090909090899</v>
      </c>
      <c r="C56">
        <v>-0.39083698320968502</v>
      </c>
      <c r="D56">
        <v>8.7313628961035297E-2</v>
      </c>
      <c r="E56" s="7"/>
      <c r="F56" s="7"/>
      <c r="G56" s="7"/>
      <c r="H56" s="7"/>
      <c r="I56" s="7"/>
      <c r="N56" s="10">
        <v>-9.0909090909090899</v>
      </c>
      <c r="O56" s="10">
        <v>-0.42542243363328602</v>
      </c>
      <c r="P56" s="10">
        <v>3.29366536220006E-2</v>
      </c>
      <c r="Z56" s="7">
        <v>-9.0909090909090899</v>
      </c>
      <c r="AA56" s="7">
        <v>-0.364339845081883</v>
      </c>
      <c r="AB56" s="7">
        <v>1.31132443681432E-2</v>
      </c>
      <c r="AL56" s="7">
        <v>-9.0909090909090899</v>
      </c>
      <c r="AM56" s="7">
        <v>-0.59981893219455495</v>
      </c>
      <c r="AN56" s="7">
        <v>2.2403759642602401E-2</v>
      </c>
      <c r="AX56" s="7">
        <v>-9.0909090909090899</v>
      </c>
      <c r="AY56" s="7">
        <v>-0.51629709335864005</v>
      </c>
      <c r="AZ56" s="7">
        <v>2.2510032824226499E-2</v>
      </c>
      <c r="BJ56" s="7">
        <v>-9.0909090909090899</v>
      </c>
      <c r="BK56" s="7">
        <v>-0.128991465579578</v>
      </c>
      <c r="BL56" s="7">
        <v>0.11336812977359501</v>
      </c>
    </row>
    <row r="57" spans="2:64" x14ac:dyDescent="0.2">
      <c r="B57">
        <v>-5.4545454545454604</v>
      </c>
      <c r="C57">
        <v>-0.186761058787622</v>
      </c>
      <c r="D57">
        <v>1.3984334495295399E-2</v>
      </c>
      <c r="E57" s="7"/>
      <c r="F57" s="7"/>
      <c r="G57" s="7"/>
      <c r="H57" s="7"/>
      <c r="I57" s="7"/>
      <c r="N57" s="10">
        <v>-5.4545454545454604</v>
      </c>
      <c r="O57" s="10">
        <v>-0.35332836662049799</v>
      </c>
      <c r="P57" s="10">
        <v>2.3520584386747902E-2</v>
      </c>
      <c r="Z57" s="7">
        <v>-5.4545454545454604</v>
      </c>
      <c r="AA57" s="7">
        <v>3.9370857129469299E-2</v>
      </c>
      <c r="AB57" s="7">
        <v>1.06587682910055E-2</v>
      </c>
      <c r="AL57" s="7">
        <v>-5.4545454545454604</v>
      </c>
      <c r="AM57" s="7">
        <v>-0.19980011934515901</v>
      </c>
      <c r="AN57" s="7">
        <v>2.2241836543737899E-2</v>
      </c>
      <c r="AX57" s="7">
        <v>-5.4545454545454604</v>
      </c>
      <c r="AY57" s="7">
        <v>-0.11629998358094699</v>
      </c>
      <c r="AZ57" s="7">
        <v>2.2302109638977601E-2</v>
      </c>
      <c r="BJ57" s="7">
        <v>-5.4545454545454604</v>
      </c>
      <c r="BK57" s="7">
        <v>2.3646784099814001E-2</v>
      </c>
      <c r="BL57" s="7">
        <v>8.6305401746768803E-2</v>
      </c>
    </row>
    <row r="58" spans="2:64" x14ac:dyDescent="0.2">
      <c r="B58">
        <v>-1.8181818181818099</v>
      </c>
      <c r="C58">
        <v>0.19650716743643601</v>
      </c>
      <c r="D58">
        <v>8.6609733943403405E-3</v>
      </c>
      <c r="E58" s="7"/>
      <c r="F58" s="7"/>
      <c r="G58" s="7"/>
      <c r="H58" s="7"/>
      <c r="I58" s="7"/>
      <c r="N58" s="10">
        <v>-1.8181818181818099</v>
      </c>
      <c r="O58" s="10">
        <v>0.16786635390872101</v>
      </c>
      <c r="P58" s="10">
        <v>2.2588159121838002E-2</v>
      </c>
      <c r="Z58" s="7">
        <v>-1.8181818181818099</v>
      </c>
      <c r="AA58" s="7">
        <v>0.49863681994928499</v>
      </c>
      <c r="AB58" s="7">
        <v>9.4087956247680005E-3</v>
      </c>
      <c r="AL58" s="7">
        <v>-1.8181818181818099</v>
      </c>
      <c r="AM58" s="7">
        <v>0.200200017152006</v>
      </c>
      <c r="AN58" s="7">
        <v>2.2087929257573899E-2</v>
      </c>
      <c r="AX58" s="7">
        <v>-1.8181818181818099</v>
      </c>
      <c r="AY58" s="7">
        <v>0.28369946665859802</v>
      </c>
      <c r="AZ58" s="7">
        <v>2.2095246691374901E-2</v>
      </c>
      <c r="BJ58" s="7">
        <v>-1.8181818181818099</v>
      </c>
      <c r="BK58" s="7">
        <v>0.16929121419151499</v>
      </c>
      <c r="BL58" s="7">
        <v>6.8303557332082696E-2</v>
      </c>
    </row>
    <row r="59" spans="2:64" x14ac:dyDescent="0.2">
      <c r="B59">
        <v>1.8181818181818099</v>
      </c>
      <c r="C59">
        <v>0.62470947535672705</v>
      </c>
      <c r="D59">
        <v>7.0129727379302396E-3</v>
      </c>
      <c r="E59" s="7"/>
      <c r="F59" s="7"/>
      <c r="G59" s="7"/>
      <c r="H59" s="7"/>
      <c r="I59" s="7"/>
      <c r="N59" s="10">
        <v>1.8181818181818099</v>
      </c>
      <c r="O59" s="10">
        <v>0.57627696786364102</v>
      </c>
      <c r="P59" s="10">
        <v>1.8544202980024498E-2</v>
      </c>
      <c r="R59" s="10"/>
      <c r="Z59" s="7">
        <v>1.8181818181818099</v>
      </c>
      <c r="AA59" s="7">
        <v>0.89926860333981096</v>
      </c>
      <c r="AB59" s="7">
        <v>8.31369141613259E-3</v>
      </c>
      <c r="AL59" s="7">
        <v>1.8181818181818099</v>
      </c>
      <c r="AM59" s="7">
        <v>0.60018822918453396</v>
      </c>
      <c r="AN59" s="7">
        <v>2.2094112300486399E-2</v>
      </c>
      <c r="AX59" s="7">
        <v>1.8181818181818099</v>
      </c>
      <c r="AY59" s="7">
        <v>0.68382073650963804</v>
      </c>
      <c r="AZ59" s="7">
        <v>2.1134417835379799E-2</v>
      </c>
      <c r="BJ59" s="7">
        <v>1.8181818181818099</v>
      </c>
      <c r="BK59" s="7">
        <v>0.35628270172156301</v>
      </c>
      <c r="BL59" s="7">
        <v>4.7105542548272199E-2</v>
      </c>
    </row>
    <row r="60" spans="2:64" x14ac:dyDescent="0.2">
      <c r="B60">
        <v>5.4545454545454302</v>
      </c>
      <c r="C60">
        <v>0.96531477439472302</v>
      </c>
      <c r="D60">
        <v>1.0270983107589801E-2</v>
      </c>
      <c r="E60" s="7"/>
      <c r="F60" s="7"/>
      <c r="G60" s="7"/>
      <c r="H60" s="7"/>
      <c r="I60" s="7"/>
      <c r="N60" s="10">
        <v>5.4545454545454302</v>
      </c>
      <c r="O60" s="10">
        <v>0.92107115103644499</v>
      </c>
      <c r="P60" s="10">
        <v>2.2822602072364102E-2</v>
      </c>
      <c r="R60" s="10"/>
      <c r="Z60" s="7">
        <v>5.4545454545454302</v>
      </c>
      <c r="AA60" s="7">
        <v>1.2708133299648701</v>
      </c>
      <c r="AB60" s="7">
        <v>1.33118336162744E-2</v>
      </c>
      <c r="AL60" s="7">
        <v>5.4545454545454302</v>
      </c>
      <c r="AM60" s="7">
        <v>0.97340793482777399</v>
      </c>
      <c r="AN60" s="7">
        <v>2.25174008881661E-2</v>
      </c>
      <c r="AX60" s="7">
        <v>5.4545454545454302</v>
      </c>
      <c r="AY60" s="7">
        <v>1.0277115175465199</v>
      </c>
      <c r="AZ60" s="7">
        <v>2.29230220157754E-2</v>
      </c>
      <c r="BJ60" s="7">
        <v>5.4545454545454302</v>
      </c>
      <c r="BK60" s="7">
        <v>0.66900730023939103</v>
      </c>
      <c r="BL60" s="7">
        <v>4.7802516752171301E-2</v>
      </c>
    </row>
    <row r="61" spans="2:64" x14ac:dyDescent="0.2">
      <c r="B61">
        <v>9.0909090909090899</v>
      </c>
      <c r="C61">
        <v>1.2902508845633001</v>
      </c>
      <c r="D61">
        <v>1.54703994057185E-2</v>
      </c>
      <c r="E61" s="7"/>
      <c r="F61" s="7"/>
      <c r="G61" s="7"/>
      <c r="H61" s="7"/>
      <c r="I61" s="7"/>
      <c r="N61" s="10">
        <v>9.0909090909090899</v>
      </c>
      <c r="O61" s="10">
        <v>1.1598113881877601</v>
      </c>
      <c r="P61" s="10">
        <v>3.2587551472570399E-2</v>
      </c>
      <c r="R61" s="10"/>
      <c r="Z61" s="7">
        <v>9.0909090909090899</v>
      </c>
      <c r="AA61" s="7">
        <v>1.49502679531144</v>
      </c>
      <c r="AB61" s="7">
        <v>2.0764026574206399E-2</v>
      </c>
      <c r="AL61" s="7">
        <v>9.0909090909090899</v>
      </c>
      <c r="AM61" s="7">
        <v>1.1873501804116899</v>
      </c>
      <c r="AN61" s="7">
        <v>3.1711452989350498E-2</v>
      </c>
      <c r="AX61" s="7">
        <v>9.0909090909090899</v>
      </c>
      <c r="AY61" s="7">
        <v>1.24091732562959</v>
      </c>
      <c r="AZ61" s="7">
        <v>3.4762935295672599E-2</v>
      </c>
      <c r="BJ61" s="7">
        <v>9.0909090909090899</v>
      </c>
      <c r="BK61" s="7">
        <v>0.93015953823751696</v>
      </c>
      <c r="BL61" s="7">
        <v>6.6642282714668905E-2</v>
      </c>
    </row>
    <row r="62" spans="2:64" x14ac:dyDescent="0.2">
      <c r="B62">
        <v>12.7272727272727</v>
      </c>
      <c r="C62">
        <v>1.42359472587657</v>
      </c>
      <c r="D62">
        <v>3.2626753453508399E-2</v>
      </c>
      <c r="E62" s="7"/>
      <c r="F62" s="7"/>
      <c r="G62" s="7"/>
      <c r="H62" s="7"/>
      <c r="I62" s="7"/>
      <c r="N62" s="10">
        <v>12.7272727272727</v>
      </c>
      <c r="O62" s="10">
        <v>1.2645271381440299</v>
      </c>
      <c r="P62" s="10">
        <v>5.7686810665068797E-2</v>
      </c>
      <c r="R62" s="10"/>
      <c r="Z62" s="7">
        <v>12.7272727272727</v>
      </c>
      <c r="AA62" s="7">
        <v>1.66351829942798</v>
      </c>
      <c r="AB62" s="7">
        <v>3.8675902862308799E-2</v>
      </c>
      <c r="AL62" s="7">
        <v>12.7272727272727</v>
      </c>
      <c r="AM62" s="7">
        <v>1.2183615537997701</v>
      </c>
      <c r="AN62" s="7">
        <v>5.8300026555008197E-2</v>
      </c>
      <c r="AX62" s="7">
        <v>12.7272727272727</v>
      </c>
      <c r="AY62" s="7">
        <v>1.3025790581334999</v>
      </c>
      <c r="AZ62" s="7">
        <v>6.4332920228426196E-2</v>
      </c>
      <c r="BJ62" s="7">
        <v>12.7272727272727</v>
      </c>
      <c r="BK62" s="7">
        <v>1.08699000228036</v>
      </c>
      <c r="BL62" s="7">
        <v>9.8906747665473596E-2</v>
      </c>
    </row>
    <row r="63" spans="2:64" x14ac:dyDescent="0.2">
      <c r="B63">
        <v>16.363636363636299</v>
      </c>
      <c r="C63">
        <v>1.3641318775632301</v>
      </c>
      <c r="D63">
        <v>8.2853017022679207E-2</v>
      </c>
      <c r="E63" s="7"/>
      <c r="F63" s="7"/>
      <c r="G63" s="7"/>
      <c r="H63" s="7"/>
      <c r="I63" s="7"/>
      <c r="N63" s="10">
        <v>16.363636363636299</v>
      </c>
      <c r="O63" s="10">
        <v>1.2368610716786901</v>
      </c>
      <c r="P63" s="10">
        <v>0.111071811517632</v>
      </c>
      <c r="R63" s="10"/>
      <c r="Z63" s="7">
        <v>16.363636363636299</v>
      </c>
      <c r="AA63" s="7">
        <v>1.7368552212981201</v>
      </c>
      <c r="AB63" s="7">
        <v>7.4442007028380594E-2</v>
      </c>
      <c r="AL63" s="7">
        <v>16.363636363636299</v>
      </c>
      <c r="AM63" s="7">
        <v>1.0556911907925099</v>
      </c>
      <c r="AN63" s="7">
        <v>0.139550120895445</v>
      </c>
      <c r="AX63" s="7">
        <v>16.363636363636299</v>
      </c>
      <c r="AY63" s="7">
        <v>1.20452450882089</v>
      </c>
      <c r="AZ63" s="7">
        <v>0.13130022072380701</v>
      </c>
      <c r="BJ63" s="7">
        <v>16.363636363636299</v>
      </c>
      <c r="BK63" s="7">
        <v>1.1208478809075499</v>
      </c>
      <c r="BL63" s="7">
        <v>0.142562010031928</v>
      </c>
    </row>
    <row r="64" spans="2:64" x14ac:dyDescent="0.2">
      <c r="B64">
        <v>20</v>
      </c>
      <c r="C64">
        <v>1.2869608864944799</v>
      </c>
      <c r="D64">
        <v>0.14492261189601</v>
      </c>
      <c r="E64" s="7"/>
      <c r="F64" s="7"/>
      <c r="G64" s="7"/>
      <c r="H64" s="7"/>
      <c r="I64" s="7"/>
      <c r="N64" s="10">
        <v>20</v>
      </c>
      <c r="O64" s="10">
        <v>1.1289</v>
      </c>
      <c r="P64" s="10">
        <v>0.19919999999999899</v>
      </c>
      <c r="R64" s="10"/>
      <c r="Z64" s="7">
        <v>20</v>
      </c>
      <c r="AA64" s="7">
        <v>1.72358699999999</v>
      </c>
      <c r="AB64" s="7">
        <v>0.12816900000000001</v>
      </c>
      <c r="AL64" s="7">
        <v>20</v>
      </c>
      <c r="AM64" s="7">
        <v>0.96460000000000001</v>
      </c>
      <c r="AN64" s="7">
        <v>0.2447</v>
      </c>
      <c r="AX64" s="7">
        <v>20</v>
      </c>
      <c r="AY64" s="7">
        <v>1.0795999999999999</v>
      </c>
      <c r="AZ64" s="7">
        <v>0.25509999999999899</v>
      </c>
      <c r="BJ64" s="7">
        <v>20</v>
      </c>
      <c r="BK64" s="7">
        <v>0.83870787000000002</v>
      </c>
      <c r="BL64" s="7">
        <v>0.35183902</v>
      </c>
    </row>
    <row r="65" spans="2:64" x14ac:dyDescent="0.2">
      <c r="B65">
        <v>23.636363636363601</v>
      </c>
      <c r="C65">
        <v>1.21255731591334</v>
      </c>
      <c r="D65">
        <v>0.20429596332064501</v>
      </c>
      <c r="E65" s="7"/>
      <c r="F65" s="7"/>
      <c r="G65" s="7"/>
      <c r="H65" s="7"/>
      <c r="I65" s="7"/>
      <c r="N65" s="10">
        <v>23.636363636363601</v>
      </c>
      <c r="O65" s="10">
        <v>1.0715665741707201</v>
      </c>
      <c r="P65" s="10">
        <v>0.255835070704658</v>
      </c>
      <c r="R65" s="10"/>
      <c r="Z65" s="7">
        <v>23.636363636363601</v>
      </c>
      <c r="AA65" s="7">
        <v>1.53382821843291</v>
      </c>
      <c r="AB65" s="7">
        <v>0.17623439582671799</v>
      </c>
      <c r="AL65" s="7">
        <v>23.636363636363601</v>
      </c>
      <c r="AM65" s="7">
        <v>1.0016602981154299</v>
      </c>
      <c r="AN65" s="7">
        <v>0.26858279380945099</v>
      </c>
      <c r="AX65" s="7">
        <v>23.636363636363601</v>
      </c>
      <c r="AY65" s="7">
        <v>1.1217224089215601</v>
      </c>
      <c r="AZ65" s="7">
        <v>0.25956286143333102</v>
      </c>
      <c r="BJ65" s="7">
        <v>23.636363636363601</v>
      </c>
      <c r="BK65" s="7">
        <v>0.83205234922824001</v>
      </c>
      <c r="BL65" s="7">
        <v>0.46095478165604298</v>
      </c>
    </row>
    <row r="66" spans="2:64" x14ac:dyDescent="0.2">
      <c r="B66">
        <v>27.272727272727199</v>
      </c>
      <c r="C66">
        <v>1.1416820711451801</v>
      </c>
      <c r="D66">
        <v>0.26085374384191901</v>
      </c>
      <c r="E66" s="7"/>
      <c r="F66" s="7"/>
      <c r="G66" s="7"/>
      <c r="H66" s="7"/>
      <c r="I66" s="7"/>
      <c r="N66" s="10">
        <v>27.272727272727199</v>
      </c>
      <c r="O66" s="10">
        <v>1.0738256080608599</v>
      </c>
      <c r="P66" s="10">
        <v>0.34892696809475598</v>
      </c>
      <c r="R66" s="10"/>
      <c r="Z66" s="7">
        <v>27.272727272727199</v>
      </c>
      <c r="AA66" s="7">
        <v>1.21439847441282</v>
      </c>
      <c r="AB66" s="7">
        <v>0.21829635578870199</v>
      </c>
      <c r="AL66" s="7">
        <v>27.272727272727199</v>
      </c>
      <c r="AM66" s="7">
        <v>1.04123906452036</v>
      </c>
      <c r="AN66" s="7">
        <v>0.361927899901198</v>
      </c>
      <c r="AX66" s="7">
        <v>27.272727272727199</v>
      </c>
      <c r="AY66" s="7">
        <v>1.14751007801615</v>
      </c>
      <c r="AZ66" s="7">
        <v>0.35424325856199901</v>
      </c>
      <c r="BJ66" s="7">
        <v>27.272727272727199</v>
      </c>
      <c r="BK66" s="7">
        <v>0.82021380159773605</v>
      </c>
      <c r="BL66" s="7">
        <v>0.54796474099034698</v>
      </c>
    </row>
    <row r="67" spans="2:64" x14ac:dyDescent="0.2">
      <c r="B67">
        <v>30.909090909090899</v>
      </c>
      <c r="C67">
        <v>1.07433515218999</v>
      </c>
      <c r="D67">
        <v>0.31459595345983099</v>
      </c>
      <c r="E67" s="7"/>
      <c r="F67" s="7"/>
      <c r="G67" s="7"/>
      <c r="H67" s="7"/>
      <c r="I67" s="7"/>
      <c r="N67" s="10">
        <v>30.909090909090899</v>
      </c>
      <c r="O67" s="10">
        <v>1.1041590390790299</v>
      </c>
      <c r="P67" s="10">
        <v>0.44863296495520699</v>
      </c>
      <c r="R67" s="10"/>
      <c r="Z67" s="7">
        <v>30.909090909090899</v>
      </c>
      <c r="AA67" s="7">
        <v>1.0051813690479801</v>
      </c>
      <c r="AB67" s="7">
        <v>0.27381639119069301</v>
      </c>
      <c r="AL67" s="7">
        <v>30.909090909090899</v>
      </c>
      <c r="AM67" s="7">
        <v>1.096648007183</v>
      </c>
      <c r="AN67" s="7">
        <v>0.46210891119622699</v>
      </c>
      <c r="AX67" s="7">
        <v>30.909090909090899</v>
      </c>
      <c r="AY67" s="7">
        <v>1.19459499736646</v>
      </c>
      <c r="AZ67" s="7">
        <v>0.45578454527305201</v>
      </c>
      <c r="BJ67" s="7">
        <v>30.909090909090899</v>
      </c>
      <c r="BK67" s="7">
        <v>0.85968528726720295</v>
      </c>
      <c r="BL67" s="7">
        <v>0.65575119090384804</v>
      </c>
    </row>
    <row r="68" spans="2:64" x14ac:dyDescent="0.2">
      <c r="B68">
        <v>34.545454545454497</v>
      </c>
      <c r="C68">
        <v>1.01051655904778</v>
      </c>
      <c r="D68">
        <v>0.36552259217438199</v>
      </c>
      <c r="E68" s="7"/>
      <c r="F68" s="7"/>
      <c r="G68" s="7"/>
      <c r="H68" s="7"/>
      <c r="I68" s="7"/>
      <c r="N68" s="10">
        <v>34.545454545454497</v>
      </c>
      <c r="O68" s="10">
        <v>1.14477998952906</v>
      </c>
      <c r="P68" s="10">
        <v>0.55380138942287804</v>
      </c>
      <c r="R68" s="10"/>
      <c r="Z68" s="7">
        <v>34.545454545454497</v>
      </c>
      <c r="AA68" s="7">
        <v>0.92914448116790704</v>
      </c>
      <c r="AB68" s="7">
        <v>0.34465783822144402</v>
      </c>
      <c r="AL68" s="7">
        <v>34.545454545454497</v>
      </c>
      <c r="AM68" s="7">
        <v>1.1542021068895501</v>
      </c>
      <c r="AN68" s="7">
        <v>0.56820066850492601</v>
      </c>
      <c r="AX68" s="7">
        <v>34.545454545454497</v>
      </c>
      <c r="AY68" s="7">
        <v>1.24789808463202</v>
      </c>
      <c r="AZ68" s="7">
        <v>0.56311895145083402</v>
      </c>
      <c r="BJ68" s="7">
        <v>34.545454545454497</v>
      </c>
      <c r="BK68" s="7">
        <v>0.900981881241399</v>
      </c>
      <c r="BL68" s="7">
        <v>0.75568424145663204</v>
      </c>
    </row>
    <row r="69" spans="2:64" x14ac:dyDescent="0.2">
      <c r="B69">
        <v>38.181818181818102</v>
      </c>
      <c r="C69">
        <v>0.950226291718552</v>
      </c>
      <c r="D69">
        <v>0.413633659985571</v>
      </c>
      <c r="E69" s="7"/>
      <c r="F69" s="7"/>
      <c r="G69" s="7"/>
      <c r="H69" s="7"/>
      <c r="I69" s="7"/>
      <c r="N69" s="10">
        <v>38.181818181818102</v>
      </c>
      <c r="O69" s="10">
        <v>1.1850944296311501</v>
      </c>
      <c r="P69" s="10">
        <v>0.66345465431324702</v>
      </c>
      <c r="R69" s="10"/>
      <c r="Z69" s="7">
        <v>38.181818181818102</v>
      </c>
      <c r="AA69" s="7">
        <v>0.92683904383495297</v>
      </c>
      <c r="AB69" s="7">
        <v>0.42501048925282803</v>
      </c>
      <c r="AL69" s="7">
        <v>38.181818181818102</v>
      </c>
      <c r="AM69" s="7">
        <v>1.2062893217214199</v>
      </c>
      <c r="AN69" s="7">
        <v>0.67903651918264996</v>
      </c>
      <c r="AX69" s="7">
        <v>38.181818181818102</v>
      </c>
      <c r="AY69" s="7">
        <v>1.2980272025825501</v>
      </c>
      <c r="AZ69" s="7">
        <v>0.67518331669926301</v>
      </c>
      <c r="BJ69" s="7">
        <v>38.181818181818102</v>
      </c>
      <c r="BK69" s="7">
        <v>0.95027974078239097</v>
      </c>
      <c r="BL69" s="7">
        <v>0.89005737817761399</v>
      </c>
    </row>
    <row r="70" spans="2:64" x14ac:dyDescent="0.2">
      <c r="B70">
        <v>41.818181818181799</v>
      </c>
      <c r="C70">
        <v>0.89346435020229598</v>
      </c>
      <c r="D70">
        <v>0.45892915689339903</v>
      </c>
      <c r="E70" s="7"/>
      <c r="F70" s="7"/>
      <c r="G70" s="7"/>
      <c r="H70" s="7"/>
      <c r="I70" s="7"/>
      <c r="N70" s="10">
        <v>41.818181818181799</v>
      </c>
      <c r="O70" s="10">
        <v>1.2186966089759701</v>
      </c>
      <c r="P70" s="10">
        <v>0.77593225926158105</v>
      </c>
      <c r="R70" s="10"/>
      <c r="Z70" s="7">
        <v>41.818181818181799</v>
      </c>
      <c r="AA70" s="7">
        <v>0.903632326005534</v>
      </c>
      <c r="AB70" s="7">
        <v>0.505625442346197</v>
      </c>
      <c r="AL70" s="7">
        <v>41.818181818181799</v>
      </c>
      <c r="AM70" s="7">
        <v>1.2479406857508699</v>
      </c>
      <c r="AN70" s="7">
        <v>0.793047965636135</v>
      </c>
      <c r="AX70" s="7">
        <v>41.818181818181799</v>
      </c>
      <c r="AY70" s="7">
        <v>1.33897391005918</v>
      </c>
      <c r="AZ70" s="7">
        <v>0.79020633492436498</v>
      </c>
      <c r="BJ70" s="7">
        <v>41.818181818181799</v>
      </c>
      <c r="BK70" s="7">
        <v>0.98508774180035097</v>
      </c>
      <c r="BL70" s="7">
        <v>1.02088091194435</v>
      </c>
    </row>
    <row r="71" spans="2:64" x14ac:dyDescent="0.2">
      <c r="B71">
        <v>45.454545454545404</v>
      </c>
      <c r="C71">
        <v>0.84023073449901597</v>
      </c>
      <c r="D71">
        <v>0.50140908289786501</v>
      </c>
      <c r="E71" s="7"/>
      <c r="F71" s="7"/>
      <c r="G71" s="7"/>
      <c r="H71" s="7"/>
      <c r="I71" s="7"/>
      <c r="N71" s="10">
        <v>45.454545454545404</v>
      </c>
      <c r="O71" s="10">
        <v>1.2410748025418401</v>
      </c>
      <c r="P71" s="10">
        <v>0.88987968309949195</v>
      </c>
      <c r="R71" s="10"/>
      <c r="Z71" s="7">
        <v>45.454545454545404</v>
      </c>
      <c r="AA71" s="7">
        <v>0.85847669915123703</v>
      </c>
      <c r="AB71" s="7">
        <v>0.58637309219565403</v>
      </c>
      <c r="AL71" s="7">
        <v>45.454545454545404</v>
      </c>
      <c r="AM71" s="7">
        <v>1.2759510226387301</v>
      </c>
      <c r="AN71" s="7">
        <v>0.90855341739557705</v>
      </c>
      <c r="AX71" s="7">
        <v>45.454545454545404</v>
      </c>
      <c r="AY71" s="7">
        <v>1.3667129711889201</v>
      </c>
      <c r="AZ71" s="7">
        <v>0.90678850045632797</v>
      </c>
      <c r="BJ71" s="7">
        <v>45.454545454545404</v>
      </c>
      <c r="BK71" s="7">
        <v>1.07297582271438</v>
      </c>
      <c r="BL71" s="7">
        <v>1.19515419715683</v>
      </c>
    </row>
    <row r="72" spans="2:64" x14ac:dyDescent="0.2">
      <c r="B72">
        <v>49.090909090909001</v>
      </c>
      <c r="C72">
        <v>0.79052544460871199</v>
      </c>
      <c r="D72">
        <v>0.54107343799897001</v>
      </c>
      <c r="E72" s="7"/>
      <c r="F72" s="7"/>
      <c r="G72" s="7"/>
      <c r="H72" s="7"/>
      <c r="I72" s="7"/>
      <c r="N72" s="10">
        <v>49.090909090909001</v>
      </c>
      <c r="O72" s="10">
        <v>1.24962218804868</v>
      </c>
      <c r="P72" s="10">
        <v>1.00342411703417</v>
      </c>
      <c r="R72" s="10"/>
      <c r="Z72" s="7">
        <v>49.090909090909001</v>
      </c>
      <c r="AA72" s="7">
        <v>0.80428986909928901</v>
      </c>
      <c r="AB72" s="7">
        <v>0.66639312687988705</v>
      </c>
      <c r="AL72" s="7">
        <v>49.090909090909001</v>
      </c>
      <c r="AM72" s="7">
        <v>1.28809492965081</v>
      </c>
      <c r="AN72" s="7">
        <v>1.0238696201842701</v>
      </c>
      <c r="AX72" s="7">
        <v>49.090909090909001</v>
      </c>
      <c r="AY72" s="7">
        <v>1.3783758341569601</v>
      </c>
      <c r="AZ72" s="7">
        <v>1.0230914676043601</v>
      </c>
      <c r="BJ72" s="7">
        <v>49.090909090909001</v>
      </c>
      <c r="BK72" s="7">
        <v>1.07941722667464</v>
      </c>
      <c r="BL72" s="7">
        <v>1.3583336082413799</v>
      </c>
    </row>
    <row r="73" spans="2:64" x14ac:dyDescent="0.2">
      <c r="B73">
        <v>52.727272727272698</v>
      </c>
      <c r="C73">
        <v>0.74434848053138503</v>
      </c>
      <c r="D73">
        <v>0.57792222219671296</v>
      </c>
      <c r="E73" s="7"/>
      <c r="F73" s="7"/>
      <c r="G73" s="7"/>
      <c r="H73" s="7"/>
      <c r="I73" s="7"/>
      <c r="N73" s="10">
        <v>52.727272727272698</v>
      </c>
      <c r="O73" s="10">
        <v>1.24222513351509</v>
      </c>
      <c r="P73" s="10">
        <v>1.1149657904404799</v>
      </c>
      <c r="R73" s="10"/>
      <c r="Z73" s="7">
        <v>52.727272727272698</v>
      </c>
      <c r="AA73" s="7">
        <v>0.749186804895004</v>
      </c>
      <c r="AB73" s="7">
        <v>0.74514509403807005</v>
      </c>
      <c r="AL73" s="7">
        <v>52.727272727272698</v>
      </c>
      <c r="AM73" s="7">
        <v>1.2827516368609999</v>
      </c>
      <c r="AN73" s="7">
        <v>1.1371535355692499</v>
      </c>
      <c r="AX73" s="7">
        <v>52.727272727272698</v>
      </c>
      <c r="AY73" s="7">
        <v>1.3719369099615799</v>
      </c>
      <c r="AZ73" s="7">
        <v>1.13735374742129</v>
      </c>
      <c r="BJ73" s="7">
        <v>52.727272727272698</v>
      </c>
      <c r="BK73" s="7">
        <v>1.0771290889043399</v>
      </c>
      <c r="BL73" s="7">
        <v>1.5208570509530701</v>
      </c>
    </row>
    <row r="74" spans="2:64" x14ac:dyDescent="0.2">
      <c r="B74">
        <v>56.363636363636303</v>
      </c>
      <c r="C74">
        <v>0.70169984226703397</v>
      </c>
      <c r="D74">
        <v>0.61195543549109499</v>
      </c>
      <c r="E74" s="7"/>
      <c r="F74" s="7"/>
      <c r="G74" s="7"/>
      <c r="H74" s="7"/>
      <c r="I74" s="7"/>
      <c r="N74" s="10">
        <v>56.363636363636303</v>
      </c>
      <c r="O74" s="10">
        <v>1.21752996768994</v>
      </c>
      <c r="P74" s="10">
        <v>1.22266190810426</v>
      </c>
      <c r="R74" s="10"/>
      <c r="Z74" s="7">
        <v>56.363636363636303</v>
      </c>
      <c r="AA74" s="7">
        <v>0.69284529359404301</v>
      </c>
      <c r="AB74" s="7">
        <v>0.82237276695957096</v>
      </c>
      <c r="AL74" s="7">
        <v>56.363636363636303</v>
      </c>
      <c r="AM74" s="7">
        <v>1.25888409153162</v>
      </c>
      <c r="AN74" s="7">
        <v>1.24663052093461</v>
      </c>
      <c r="AX74" s="7">
        <v>56.363636363636303</v>
      </c>
      <c r="AY74" s="7">
        <v>1.3462417157301501</v>
      </c>
      <c r="AZ74" s="7">
        <v>1.24770909505558</v>
      </c>
      <c r="BJ74" s="7">
        <v>56.363636363636303</v>
      </c>
      <c r="BK74" s="7">
        <v>1.0506022125453101</v>
      </c>
      <c r="BL74" s="7">
        <v>1.67404591591346</v>
      </c>
    </row>
    <row r="75" spans="2:64" x14ac:dyDescent="0.2">
      <c r="B75">
        <v>60</v>
      </c>
      <c r="C75">
        <v>0.66257952981565904</v>
      </c>
      <c r="D75">
        <v>0.64317307788211497</v>
      </c>
      <c r="E75" s="7"/>
      <c r="F75" s="7"/>
      <c r="G75" s="7"/>
      <c r="H75" s="7"/>
      <c r="I75" s="7"/>
      <c r="N75" s="10">
        <v>60</v>
      </c>
      <c r="O75" s="10">
        <v>1.17509999999999</v>
      </c>
      <c r="P75" s="10">
        <v>1.32479999999999</v>
      </c>
      <c r="R75" s="10"/>
      <c r="Z75" s="7">
        <v>60</v>
      </c>
      <c r="AA75" s="7">
        <v>0.63190000000000002</v>
      </c>
      <c r="AB75" s="7">
        <v>0.89539999999999897</v>
      </c>
      <c r="AL75" s="7">
        <v>60</v>
      </c>
      <c r="AM75" s="7">
        <v>1.21599999999999</v>
      </c>
      <c r="AN75" s="7">
        <v>1.35059999999999</v>
      </c>
      <c r="AX75" s="7">
        <v>60</v>
      </c>
      <c r="AY75" s="7">
        <v>1.30049999999999</v>
      </c>
      <c r="AZ75" s="7">
        <v>1.3525</v>
      </c>
      <c r="BJ75" s="7">
        <v>60</v>
      </c>
      <c r="BK75" s="7">
        <v>1.0148406000000001</v>
      </c>
      <c r="BL75" s="7">
        <v>1.8318251999999899</v>
      </c>
    </row>
    <row r="76" spans="2:64" x14ac:dyDescent="0.2">
      <c r="B76">
        <v>63.636363636363598</v>
      </c>
      <c r="C76">
        <v>0.62698754317726002</v>
      </c>
      <c r="D76">
        <v>0.67157514936977403</v>
      </c>
      <c r="E76" s="7"/>
      <c r="F76" s="7"/>
      <c r="G76" s="7"/>
      <c r="H76" s="7"/>
      <c r="I76" s="7"/>
      <c r="N76" s="10">
        <v>63.636363636363598</v>
      </c>
      <c r="O76" s="10">
        <v>1.11453115152559</v>
      </c>
      <c r="P76" s="10">
        <v>1.41984877837945</v>
      </c>
      <c r="R76" s="10"/>
      <c r="Z76" s="7">
        <v>63.636363636363598</v>
      </c>
      <c r="AA76" s="7">
        <v>0.56545588815638403</v>
      </c>
      <c r="AB76" s="7">
        <v>0.96351505229648304</v>
      </c>
      <c r="AL76" s="7">
        <v>63.636363636363598</v>
      </c>
      <c r="AM76" s="7">
        <v>1.1540471416596101</v>
      </c>
      <c r="AN76" s="7">
        <v>1.4471984007671399</v>
      </c>
      <c r="AX76" s="7">
        <v>63.636363636363598</v>
      </c>
      <c r="AY76" s="7">
        <v>1.2344995587664001</v>
      </c>
      <c r="AZ76" s="7">
        <v>1.4499936020143001</v>
      </c>
      <c r="BJ76" s="7">
        <v>63.636363636363598</v>
      </c>
      <c r="BK76" s="7">
        <v>0.958985393501113</v>
      </c>
      <c r="BL76" s="7">
        <v>1.9269241887781801</v>
      </c>
    </row>
    <row r="77" spans="2:64" x14ac:dyDescent="0.2">
      <c r="B77">
        <v>67.272727272727195</v>
      </c>
      <c r="C77">
        <v>0.59492388235183802</v>
      </c>
      <c r="D77">
        <v>0.69716164995407104</v>
      </c>
      <c r="E77" s="7"/>
      <c r="F77" s="7"/>
      <c r="G77" s="7"/>
      <c r="H77" s="7"/>
      <c r="I77" s="7"/>
      <c r="N77" s="10">
        <v>67.272727272727195</v>
      </c>
      <c r="O77" s="10">
        <v>1.0362332509157099</v>
      </c>
      <c r="P77" s="10">
        <v>1.50615787627346</v>
      </c>
      <c r="R77" s="10"/>
      <c r="Z77" s="7">
        <v>67.272727272727195</v>
      </c>
      <c r="AA77" s="7">
        <v>0.49401974297703299</v>
      </c>
      <c r="AB77" s="7">
        <v>1.0261814653985599</v>
      </c>
      <c r="AL77" s="7">
        <v>67.272727272727195</v>
      </c>
      <c r="AM77" s="7">
        <v>1.0734197593463799</v>
      </c>
      <c r="AN77" s="7">
        <v>1.5350444810792101</v>
      </c>
      <c r="AX77" s="7">
        <v>67.272727272727195</v>
      </c>
      <c r="AY77" s="7">
        <v>1.1486929005512601</v>
      </c>
      <c r="AZ77" s="7">
        <v>1.5385945042770499</v>
      </c>
      <c r="BJ77" s="7">
        <v>67.272727272727195</v>
      </c>
      <c r="BK77" s="7">
        <v>0.87938101346499498</v>
      </c>
      <c r="BL77" s="7">
        <v>2.0664219591608601</v>
      </c>
    </row>
    <row r="78" spans="2:64" x14ac:dyDescent="0.2">
      <c r="B78">
        <v>70.909090909090907</v>
      </c>
      <c r="C78">
        <v>0.56638854733939203</v>
      </c>
      <c r="D78">
        <v>0.71993257963500801</v>
      </c>
      <c r="E78" s="7"/>
      <c r="F78" s="7"/>
      <c r="G78" s="7"/>
      <c r="H78" s="7"/>
      <c r="I78" s="7"/>
      <c r="N78" s="10">
        <v>70.909090909090907</v>
      </c>
      <c r="O78" s="10">
        <v>0.94079602149271202</v>
      </c>
      <c r="P78" s="10">
        <v>1.5824381587913201</v>
      </c>
      <c r="R78" s="10"/>
      <c r="Z78" s="7">
        <v>70.909090909090907</v>
      </c>
      <c r="AA78" s="7">
        <v>0.41949707573798201</v>
      </c>
      <c r="AB78" s="7">
        <v>1.08138215553252</v>
      </c>
      <c r="AL78" s="7">
        <v>70.909090909090907</v>
      </c>
      <c r="AM78" s="7">
        <v>0.97488216130167904</v>
      </c>
      <c r="AN78" s="7">
        <v>1.61259925696309</v>
      </c>
      <c r="AX78" s="7">
        <v>70.909090909090907</v>
      </c>
      <c r="AY78" s="7">
        <v>1.0438536864685699</v>
      </c>
      <c r="AZ78" s="7">
        <v>1.6168854447308401</v>
      </c>
      <c r="BJ78" s="7">
        <v>70.909090909090907</v>
      </c>
      <c r="BK78" s="7">
        <v>0.77870203666438798</v>
      </c>
      <c r="BL78" s="7">
        <v>2.1790964645342799</v>
      </c>
    </row>
    <row r="79" spans="2:64" x14ac:dyDescent="0.2">
      <c r="B79">
        <v>74.545454545454504</v>
      </c>
      <c r="C79">
        <v>0.54138153813992196</v>
      </c>
      <c r="D79">
        <v>0.73988793841258205</v>
      </c>
      <c r="E79" s="7"/>
      <c r="F79" s="7"/>
      <c r="G79" s="7"/>
      <c r="H79" s="7"/>
      <c r="I79" s="7"/>
      <c r="N79" s="10">
        <v>74.545454545454504</v>
      </c>
      <c r="O79" s="10">
        <v>0.82945589728241997</v>
      </c>
      <c r="P79" s="10">
        <v>1.64735295477924</v>
      </c>
      <c r="R79" s="10"/>
      <c r="Z79" s="7">
        <v>74.545454545454504</v>
      </c>
      <c r="AA79" s="7">
        <v>0.34207032900821199</v>
      </c>
      <c r="AB79" s="7">
        <v>1.12892399765619</v>
      </c>
      <c r="AL79" s="7">
        <v>74.545454545454504</v>
      </c>
      <c r="AM79" s="7">
        <v>0.85976466422151399</v>
      </c>
      <c r="AN79" s="7">
        <v>1.6786163978322699</v>
      </c>
      <c r="AX79" s="7">
        <v>74.545454545454504</v>
      </c>
      <c r="AY79" s="7">
        <v>0.92126707779299399</v>
      </c>
      <c r="AZ79" s="7">
        <v>1.6835262167757401</v>
      </c>
      <c r="BJ79" s="7">
        <v>74.545454545454504</v>
      </c>
      <c r="BK79" s="7">
        <v>0.67946887149115198</v>
      </c>
      <c r="BL79" s="7">
        <v>2.24276466379446</v>
      </c>
    </row>
    <row r="80" spans="2:64" x14ac:dyDescent="0.2">
      <c r="B80">
        <v>78.181818181818102</v>
      </c>
      <c r="C80">
        <v>0.51990285475342901</v>
      </c>
      <c r="D80">
        <v>0.75702772628679504</v>
      </c>
      <c r="E80" s="7"/>
      <c r="F80" s="7"/>
      <c r="G80" s="7"/>
      <c r="H80" s="7"/>
      <c r="I80" s="7"/>
      <c r="N80" s="10">
        <v>78.181818181818102</v>
      </c>
      <c r="O80" s="10">
        <v>0.70380030355692202</v>
      </c>
      <c r="P80" s="10">
        <v>1.69980807871787</v>
      </c>
      <c r="R80" s="10"/>
      <c r="Z80" s="7">
        <v>78.181818181818102</v>
      </c>
      <c r="AA80" s="7">
        <v>0.26198852813024698</v>
      </c>
      <c r="AB80" s="7">
        <v>1.16841158168446</v>
      </c>
      <c r="AL80" s="7">
        <v>78.181818181818102</v>
      </c>
      <c r="AM80" s="7">
        <v>0.72966202062219598</v>
      </c>
      <c r="AN80" s="7">
        <v>1.7320553040445601</v>
      </c>
      <c r="AX80" s="7">
        <v>78.181818181818102</v>
      </c>
      <c r="AY80" s="7">
        <v>0.78271427275348404</v>
      </c>
      <c r="AZ80" s="7">
        <v>1.7374720856775401</v>
      </c>
      <c r="BJ80" s="7">
        <v>78.181818181818102</v>
      </c>
      <c r="BK80" s="7">
        <v>0.56531837898909498</v>
      </c>
      <c r="BL80" s="7">
        <v>2.3225488923105502</v>
      </c>
    </row>
    <row r="81" spans="2:64" x14ac:dyDescent="0.2">
      <c r="B81">
        <v>81.818181818181799</v>
      </c>
      <c r="C81">
        <v>0.50195249717991197</v>
      </c>
      <c r="D81">
        <v>0.771351943257646</v>
      </c>
      <c r="E81" s="7"/>
      <c r="F81" s="7"/>
      <c r="G81" s="7"/>
      <c r="H81" s="7"/>
      <c r="I81" s="7"/>
      <c r="N81" s="10">
        <v>81.818181818181799</v>
      </c>
      <c r="O81" s="10">
        <v>0.56560122698534698</v>
      </c>
      <c r="P81" s="10">
        <v>1.7390865769364801</v>
      </c>
      <c r="R81" s="10"/>
      <c r="Z81" s="7">
        <v>81.818181818181799</v>
      </c>
      <c r="AA81" s="7">
        <v>0.179648080792191</v>
      </c>
      <c r="AB81" s="7">
        <v>1.1992154793186001</v>
      </c>
      <c r="AL81" s="7">
        <v>81.818181818181799</v>
      </c>
      <c r="AM81" s="7">
        <v>0.58645062220160205</v>
      </c>
      <c r="AN81" s="7">
        <v>1.7719727707125901</v>
      </c>
      <c r="AX81" s="7">
        <v>81.818181818181799</v>
      </c>
      <c r="AY81" s="7">
        <v>0.63023783260673305</v>
      </c>
      <c r="AZ81" s="7">
        <v>1.7777548228870499</v>
      </c>
      <c r="BJ81" s="7">
        <v>81.818181818181799</v>
      </c>
      <c r="BK81" s="7">
        <v>0.44459386925994399</v>
      </c>
      <c r="BL81" s="7">
        <v>2.3797675120732902</v>
      </c>
    </row>
    <row r="82" spans="2:64" x14ac:dyDescent="0.2">
      <c r="B82">
        <v>85.454545454545396</v>
      </c>
      <c r="C82">
        <v>0.48753046541937101</v>
      </c>
      <c r="D82">
        <v>0.78286058932513602</v>
      </c>
      <c r="E82" s="7"/>
      <c r="F82" s="7"/>
      <c r="G82" s="7"/>
      <c r="H82" s="7"/>
      <c r="I82" s="7"/>
      <c r="N82" s="10">
        <v>85.454545454545396</v>
      </c>
      <c r="O82" s="10">
        <v>0.41728435637545203</v>
      </c>
      <c r="P82" s="10">
        <v>1.7643996699506801</v>
      </c>
      <c r="R82" s="10"/>
      <c r="Z82" s="7">
        <v>85.454545454545396</v>
      </c>
      <c r="AA82" s="7">
        <v>9.5168594104449403E-2</v>
      </c>
      <c r="AB82" s="7">
        <v>1.2212884059553799</v>
      </c>
      <c r="AL82" s="7">
        <v>85.454545454545396</v>
      </c>
      <c r="AM82" s="7">
        <v>0.43270205616107399</v>
      </c>
      <c r="AN82" s="7">
        <v>1.7977198522187801</v>
      </c>
      <c r="AX82" s="7">
        <v>85.454545454545396</v>
      </c>
      <c r="AY82" s="7">
        <v>0.46639020020571598</v>
      </c>
      <c r="AZ82" s="7">
        <v>1.80375473518788</v>
      </c>
      <c r="BJ82" s="7">
        <v>85.454545454545396</v>
      </c>
      <c r="BK82" s="7">
        <v>0.32376997135004998</v>
      </c>
      <c r="BL82" s="7">
        <v>2.39222006639379</v>
      </c>
    </row>
    <row r="83" spans="2:64" x14ac:dyDescent="0.2">
      <c r="B83">
        <v>89.090909090908994</v>
      </c>
      <c r="C83">
        <v>0.476636759471807</v>
      </c>
      <c r="D83">
        <v>0.79155366448926501</v>
      </c>
      <c r="E83" s="7"/>
      <c r="F83" s="7"/>
      <c r="G83" s="7"/>
      <c r="H83" s="7"/>
      <c r="I83" s="7"/>
      <c r="N83" s="10">
        <v>89.090909090908994</v>
      </c>
      <c r="O83" s="10">
        <v>0.26122428174066498</v>
      </c>
      <c r="P83" s="10">
        <v>1.7754007929323199</v>
      </c>
      <c r="R83" s="10"/>
      <c r="Z83" s="7">
        <v>89.090909090908994</v>
      </c>
      <c r="AA83" s="7">
        <v>1.7483014990709499E-2</v>
      </c>
      <c r="AB83" s="7">
        <v>1.23157159084363</v>
      </c>
      <c r="AL83" s="7">
        <v>89.090909090908994</v>
      </c>
      <c r="AM83" s="7">
        <v>0.27088663631541798</v>
      </c>
      <c r="AN83" s="7">
        <v>1.80889322370709</v>
      </c>
      <c r="AX83" s="7">
        <v>89.090909090908994</v>
      </c>
      <c r="AY83" s="7">
        <v>0.29401082632589298</v>
      </c>
      <c r="AZ83" s="7">
        <v>1.8150993463238201</v>
      </c>
      <c r="BJ83" s="7">
        <v>89.090909090908994</v>
      </c>
      <c r="BK83" s="7">
        <v>0.192976841144441</v>
      </c>
      <c r="BL83" s="7">
        <v>2.3780284341096301</v>
      </c>
    </row>
    <row r="84" spans="2:64" x14ac:dyDescent="0.2">
      <c r="B84">
        <v>92.727272727272606</v>
      </c>
      <c r="C84">
        <v>0.46927137933721902</v>
      </c>
      <c r="D84">
        <v>0.79743116875003195</v>
      </c>
      <c r="E84" s="7"/>
      <c r="F84" s="7"/>
      <c r="G84" s="7"/>
      <c r="H84" s="7"/>
      <c r="I84" s="7"/>
      <c r="N84" s="10">
        <v>92.727272727272606</v>
      </c>
      <c r="O84" s="10">
        <v>0.100286328193069</v>
      </c>
      <c r="P84" s="10">
        <v>1.7719451563921</v>
      </c>
      <c r="R84" s="10"/>
      <c r="Z84" s="7">
        <v>92.727272727272606</v>
      </c>
      <c r="AA84" s="7">
        <v>-4.7796933481584203E-2</v>
      </c>
      <c r="AB84" s="7">
        <v>1.2281434985114299</v>
      </c>
      <c r="AL84" s="7">
        <v>92.727272727272606</v>
      </c>
      <c r="AM84" s="7">
        <v>0.10394000695795499</v>
      </c>
      <c r="AN84" s="7">
        <v>1.8052759115504899</v>
      </c>
      <c r="AX84" s="7">
        <v>92.727272727272606</v>
      </c>
      <c r="AY84" s="7">
        <v>0.116167511937057</v>
      </c>
      <c r="AZ84" s="7">
        <v>1.81157592231454</v>
      </c>
      <c r="BJ84" s="7">
        <v>92.727272727272606</v>
      </c>
      <c r="BK84" s="7">
        <v>6.7577569070716201E-2</v>
      </c>
      <c r="BL84" s="7">
        <v>2.3527126327884802</v>
      </c>
    </row>
    <row r="85" spans="2:64" x14ac:dyDescent="0.2">
      <c r="B85">
        <v>96.363636363636303</v>
      </c>
      <c r="C85">
        <v>0.465434325015607</v>
      </c>
      <c r="D85">
        <v>0.80049310210743796</v>
      </c>
      <c r="E85" s="7"/>
      <c r="F85" s="7"/>
      <c r="G85" s="7"/>
      <c r="H85" s="7"/>
      <c r="I85" s="7"/>
      <c r="N85" s="10">
        <v>96.363636363636303</v>
      </c>
      <c r="O85" s="10">
        <v>-6.2672538854862403E-2</v>
      </c>
      <c r="P85" s="10">
        <v>1.75405191333873</v>
      </c>
      <c r="R85" s="10"/>
      <c r="Z85" s="7">
        <v>96.363636363636303</v>
      </c>
      <c r="AA85" s="7">
        <v>-0.101687288944527</v>
      </c>
      <c r="AB85" s="7">
        <v>1.2113571757383701</v>
      </c>
      <c r="AL85" s="7">
        <v>96.363636363636303</v>
      </c>
      <c r="AM85" s="7">
        <v>-6.5017829834579599E-2</v>
      </c>
      <c r="AN85" s="7">
        <v>1.7869421562171199</v>
      </c>
      <c r="AX85" s="7">
        <v>96.363636363636303</v>
      </c>
      <c r="AY85" s="7">
        <v>-6.3919396483650401E-2</v>
      </c>
      <c r="AZ85" s="7">
        <v>1.79317670437747</v>
      </c>
      <c r="BJ85" s="7">
        <v>96.363636363636303</v>
      </c>
      <c r="BK85" s="7">
        <v>-7.2875212538793796E-2</v>
      </c>
      <c r="BL85" s="7">
        <v>2.32951874991259</v>
      </c>
    </row>
    <row r="86" spans="2:64" x14ac:dyDescent="0.2">
      <c r="B86">
        <v>100</v>
      </c>
      <c r="C86">
        <v>0.46512559650697199</v>
      </c>
      <c r="D86">
        <v>0.80073946456148204</v>
      </c>
      <c r="E86" s="7"/>
      <c r="F86" s="7"/>
      <c r="G86" s="7"/>
      <c r="H86" s="7"/>
      <c r="I86" s="7"/>
      <c r="N86" s="10">
        <v>100</v>
      </c>
      <c r="O86" s="10">
        <v>-0.22450000000000001</v>
      </c>
      <c r="P86" s="10">
        <v>1.72199999999999</v>
      </c>
      <c r="R86" s="10"/>
      <c r="Z86" s="7">
        <v>100</v>
      </c>
      <c r="AA86" s="7">
        <v>-0.15479999999999899</v>
      </c>
      <c r="AB86" s="7">
        <v>1.1848999999999901</v>
      </c>
      <c r="AL86" s="7">
        <v>100</v>
      </c>
      <c r="AM86" s="7">
        <v>-0.23300000000000001</v>
      </c>
      <c r="AN86" s="7">
        <v>1.7543</v>
      </c>
      <c r="AX86" s="7">
        <v>100</v>
      </c>
      <c r="AY86" s="7">
        <v>-0.24279999999999999</v>
      </c>
      <c r="AZ86" s="7">
        <v>1.76029999999999</v>
      </c>
      <c r="BJ86" s="7">
        <v>100</v>
      </c>
      <c r="BK86" s="7">
        <v>-0.193216419999999</v>
      </c>
      <c r="BL86" s="7">
        <v>2.2394812000000002</v>
      </c>
    </row>
    <row r="87" spans="2:64" x14ac:dyDescent="0.2">
      <c r="B87">
        <v>103.636363636363</v>
      </c>
      <c r="C87">
        <v>0.46834519381131201</v>
      </c>
      <c r="D87">
        <v>0.79817025611216497</v>
      </c>
      <c r="E87" s="7"/>
      <c r="F87" s="7"/>
      <c r="G87" s="7"/>
      <c r="H87" s="7"/>
      <c r="I87" s="7"/>
      <c r="N87" s="10">
        <v>103.636363636363</v>
      </c>
      <c r="O87" s="10">
        <v>-0.38210757600219503</v>
      </c>
      <c r="P87" s="10">
        <v>1.67637975803248</v>
      </c>
      <c r="R87" s="10"/>
      <c r="Z87" s="7">
        <v>103.636363636363</v>
      </c>
      <c r="AA87" s="7">
        <v>-0.209957393403821</v>
      </c>
      <c r="AB87" s="7">
        <v>1.1497526567951399</v>
      </c>
      <c r="AL87" s="7">
        <v>103.636363636363</v>
      </c>
      <c r="AM87" s="7">
        <v>-0.39659425620921601</v>
      </c>
      <c r="AN87" s="7">
        <v>1.7077868835719101</v>
      </c>
      <c r="AX87" s="7">
        <v>103.636363636363</v>
      </c>
      <c r="AY87" s="7">
        <v>-0.41698016901065699</v>
      </c>
      <c r="AZ87" s="7">
        <v>1.71342640900748</v>
      </c>
      <c r="BJ87" s="7">
        <v>103.636363636363</v>
      </c>
      <c r="BK87" s="7">
        <v>-0.31184721342219102</v>
      </c>
      <c r="BL87" s="7">
        <v>2.1969966683386399</v>
      </c>
    </row>
    <row r="88" spans="2:64" x14ac:dyDescent="0.2">
      <c r="B88">
        <v>107.272727272727</v>
      </c>
      <c r="C88">
        <v>0.47509311692862999</v>
      </c>
      <c r="D88">
        <v>0.79278547675948596</v>
      </c>
      <c r="E88" s="7"/>
      <c r="F88" s="7"/>
      <c r="G88" s="7"/>
      <c r="H88" s="7"/>
      <c r="I88" s="7"/>
      <c r="N88" s="10">
        <v>107.272727272727</v>
      </c>
      <c r="O88" s="10">
        <v>-0.53229944732753998</v>
      </c>
      <c r="P88" s="10">
        <v>1.6178868485504101</v>
      </c>
      <c r="R88" s="10"/>
      <c r="Z88" s="7">
        <v>107.272727272727</v>
      </c>
      <c r="AA88" s="7">
        <v>-0.26622912850284602</v>
      </c>
      <c r="AB88" s="7">
        <v>1.10611471415677</v>
      </c>
      <c r="AL88" s="7">
        <v>107.272727272727</v>
      </c>
      <c r="AM88" s="7">
        <v>-0.55336714813909105</v>
      </c>
      <c r="AN88" s="7">
        <v>1.6481869144465</v>
      </c>
      <c r="AX88" s="7">
        <v>107.272727272727</v>
      </c>
      <c r="AY88" s="7">
        <v>-0.58402026178606004</v>
      </c>
      <c r="AZ88" s="7">
        <v>1.6534474964371999</v>
      </c>
      <c r="BJ88" s="7">
        <v>107.272727272727</v>
      </c>
      <c r="BK88" s="7">
        <v>-0.408236755411373</v>
      </c>
      <c r="BL88" s="7">
        <v>2.0884361940477598</v>
      </c>
    </row>
    <row r="89" spans="2:64" x14ac:dyDescent="0.2">
      <c r="B89">
        <v>110.90909090909</v>
      </c>
      <c r="C89">
        <v>0.48536936585892299</v>
      </c>
      <c r="D89">
        <v>0.78458512650344603</v>
      </c>
      <c r="E89" s="7"/>
      <c r="F89" s="7"/>
      <c r="G89" s="7"/>
      <c r="H89" s="7"/>
      <c r="I89" s="7"/>
      <c r="N89" s="10">
        <v>110.90909090909</v>
      </c>
      <c r="O89" s="10">
        <v>-0.67644694542813899</v>
      </c>
      <c r="P89" s="10">
        <v>1.54760121522139</v>
      </c>
      <c r="R89" s="10"/>
      <c r="Z89" s="7">
        <v>110.90909090909</v>
      </c>
      <c r="AA89" s="7">
        <v>-0.32011712444124701</v>
      </c>
      <c r="AB89" s="7">
        <v>1.05473654788886</v>
      </c>
      <c r="AL89" s="7">
        <v>110.90909090909</v>
      </c>
      <c r="AM89" s="7">
        <v>-0.70102426643008198</v>
      </c>
      <c r="AN89" s="7">
        <v>1.5764399272606899</v>
      </c>
      <c r="AX89" s="7">
        <v>110.90909090909</v>
      </c>
      <c r="AY89" s="7">
        <v>-0.74191068150982598</v>
      </c>
      <c r="AZ89" s="7">
        <v>1.58124733765783</v>
      </c>
      <c r="BJ89" s="7">
        <v>110.90909090909</v>
      </c>
      <c r="BK89" s="7">
        <v>-0.49751243829220998</v>
      </c>
      <c r="BL89" s="7">
        <v>1.9807851072834699</v>
      </c>
    </row>
    <row r="90" spans="2:64" x14ac:dyDescent="0.2">
      <c r="B90">
        <v>114.54545454545401</v>
      </c>
      <c r="C90">
        <v>0.499173940602193</v>
      </c>
      <c r="D90">
        <v>0.77356920534404405</v>
      </c>
      <c r="E90" s="7"/>
      <c r="F90" s="7"/>
      <c r="G90" s="7"/>
      <c r="H90" s="7"/>
      <c r="I90" s="7"/>
      <c r="N90" s="10">
        <v>114.54545454545401</v>
      </c>
      <c r="O90" s="10">
        <v>-0.80348557364530304</v>
      </c>
      <c r="P90" s="10">
        <v>1.46656899144214</v>
      </c>
      <c r="R90" s="10"/>
      <c r="Z90" s="7">
        <v>114.54545454545401</v>
      </c>
      <c r="AA90" s="7">
        <v>-0.37128645858389298</v>
      </c>
      <c r="AB90" s="7">
        <v>0.99569000248329198</v>
      </c>
      <c r="AL90" s="7">
        <v>114.54545454545401</v>
      </c>
      <c r="AM90" s="7">
        <v>-0.83325826985848495</v>
      </c>
      <c r="AN90" s="7">
        <v>1.49393684030493</v>
      </c>
      <c r="AX90" s="7">
        <v>114.54545454545401</v>
      </c>
      <c r="AY90" s="7">
        <v>-0.88215900882754605</v>
      </c>
      <c r="AZ90" s="7">
        <v>1.49818586975236</v>
      </c>
      <c r="BJ90" s="7">
        <v>114.54545454545401</v>
      </c>
      <c r="BK90" s="7">
        <v>-0.56439035178682495</v>
      </c>
      <c r="BL90" s="7">
        <v>1.84406449321848</v>
      </c>
    </row>
    <row r="91" spans="2:64" x14ac:dyDescent="0.2">
      <c r="B91">
        <v>118.181818181818</v>
      </c>
      <c r="C91">
        <v>0.51650684115843903</v>
      </c>
      <c r="D91">
        <v>0.75973771328128004</v>
      </c>
      <c r="E91" s="7"/>
      <c r="F91" s="7"/>
      <c r="G91" s="7"/>
      <c r="H91" s="7"/>
      <c r="I91" s="7"/>
      <c r="N91" s="10">
        <v>118.181818181818</v>
      </c>
      <c r="O91" s="10">
        <v>-0.91507669604301201</v>
      </c>
      <c r="P91" s="10">
        <v>1.3761947280347799</v>
      </c>
      <c r="R91" s="10"/>
      <c r="Z91" s="7">
        <v>118.181818181818</v>
      </c>
      <c r="AA91" s="7">
        <v>-0.419476755082765</v>
      </c>
      <c r="AB91" s="7">
        <v>0.93005146884006396</v>
      </c>
      <c r="AL91" s="7">
        <v>118.181818181818</v>
      </c>
      <c r="AM91" s="7">
        <v>-0.94949983543051197</v>
      </c>
      <c r="AN91" s="7">
        <v>1.40189870164075</v>
      </c>
      <c r="AX91" s="7">
        <v>118.181818181818</v>
      </c>
      <c r="AY91" s="7">
        <v>-1.00531273543995</v>
      </c>
      <c r="AZ91" s="7">
        <v>1.40557472207326</v>
      </c>
      <c r="BJ91" s="7">
        <v>118.181818181818</v>
      </c>
      <c r="BK91" s="7">
        <v>-0.629312204342801</v>
      </c>
      <c r="BL91" s="7">
        <v>1.70440243040511</v>
      </c>
    </row>
    <row r="92" spans="2:64" x14ac:dyDescent="0.2">
      <c r="B92">
        <v>121.818181818181</v>
      </c>
      <c r="C92">
        <v>0.53736806752766197</v>
      </c>
      <c r="D92">
        <v>0.74309065031515598</v>
      </c>
      <c r="E92" s="7"/>
      <c r="F92" s="7"/>
      <c r="G92" s="7"/>
      <c r="H92" s="7"/>
      <c r="I92" s="7"/>
      <c r="N92" s="10">
        <v>121.818181818181</v>
      </c>
      <c r="O92" s="10">
        <v>-1.00908834152834</v>
      </c>
      <c r="P92" s="10">
        <v>1.2780792550642399</v>
      </c>
      <c r="R92" s="10"/>
      <c r="Z92" s="7">
        <v>121.818181818181</v>
      </c>
      <c r="AA92" s="7">
        <v>-0.46427353809816102</v>
      </c>
      <c r="AB92" s="7">
        <v>0.85953438553470995</v>
      </c>
      <c r="AL92" s="7">
        <v>121.818181818181</v>
      </c>
      <c r="AM92" s="7">
        <v>-1.0475995657742201</v>
      </c>
      <c r="AN92" s="7">
        <v>1.301774395971</v>
      </c>
      <c r="AX92" s="7">
        <v>121.818181818181</v>
      </c>
      <c r="AY92" s="7">
        <v>-1.108976207759</v>
      </c>
      <c r="AZ92" s="7">
        <v>1.30491452400664</v>
      </c>
      <c r="BJ92" s="7">
        <v>121.818181818181</v>
      </c>
      <c r="BK92" s="7">
        <v>-0.67385619635706895</v>
      </c>
      <c r="BL92" s="7">
        <v>1.55799807316149</v>
      </c>
    </row>
    <row r="93" spans="2:64" x14ac:dyDescent="0.2">
      <c r="B93">
        <v>125.454545454545</v>
      </c>
      <c r="C93">
        <v>0.56175761970986005</v>
      </c>
      <c r="D93">
        <v>0.72362801644566899</v>
      </c>
      <c r="E93" s="7"/>
      <c r="F93" s="7"/>
      <c r="G93" s="7"/>
      <c r="H93" s="7"/>
      <c r="I93" s="7"/>
      <c r="N93" s="10">
        <v>125.454545454545</v>
      </c>
      <c r="O93" s="10">
        <v>-1.0836914094127501</v>
      </c>
      <c r="P93" s="10">
        <v>1.17368931971748</v>
      </c>
      <c r="R93" s="10"/>
      <c r="Z93" s="7">
        <v>125.454545454545</v>
      </c>
      <c r="AA93" s="7">
        <v>-0.50567778030293598</v>
      </c>
      <c r="AB93" s="7">
        <v>0.78418622329598897</v>
      </c>
      <c r="AL93" s="7">
        <v>125.454545454545</v>
      </c>
      <c r="AM93" s="7">
        <v>-1.1257138132339</v>
      </c>
      <c r="AN93" s="7">
        <v>1.1954094331178899</v>
      </c>
      <c r="AX93" s="7">
        <v>125.454545454545</v>
      </c>
      <c r="AY93" s="7">
        <v>-1.1911701796402201</v>
      </c>
      <c r="AZ93" s="7">
        <v>1.1979606825436599</v>
      </c>
      <c r="BJ93" s="7">
        <v>125.454545454545</v>
      </c>
      <c r="BK93" s="7">
        <v>-0.70142695033026803</v>
      </c>
      <c r="BL93" s="7">
        <v>1.3765788842864899</v>
      </c>
    </row>
    <row r="94" spans="2:64" x14ac:dyDescent="0.2">
      <c r="B94">
        <v>129.09090909090901</v>
      </c>
      <c r="C94">
        <v>0.58967549770503502</v>
      </c>
      <c r="D94">
        <v>0.70134981167282195</v>
      </c>
      <c r="E94" s="7"/>
      <c r="F94" s="7"/>
      <c r="G94" s="7"/>
      <c r="H94" s="7"/>
      <c r="I94" s="7"/>
      <c r="N94" s="10">
        <v>129.09090909090901</v>
      </c>
      <c r="O94" s="10">
        <v>-1.1376881280079001</v>
      </c>
      <c r="P94" s="10">
        <v>1.06473392015938</v>
      </c>
      <c r="R94" s="10"/>
      <c r="Z94" s="7">
        <v>129.09090909090901</v>
      </c>
      <c r="AA94" s="7">
        <v>-0.54417982601939396</v>
      </c>
      <c r="AB94" s="7">
        <v>0.70599626039131502</v>
      </c>
      <c r="AL94" s="7">
        <v>129.09090909090901</v>
      </c>
      <c r="AM94" s="7">
        <v>-1.1823476732839</v>
      </c>
      <c r="AN94" s="7">
        <v>1.0844841574166399</v>
      </c>
      <c r="AX94" s="7">
        <v>129.09090909090901</v>
      </c>
      <c r="AY94" s="7">
        <v>-1.2504985656669201</v>
      </c>
      <c r="AZ94" s="7">
        <v>1.0863721083281599</v>
      </c>
      <c r="BJ94" s="7">
        <v>129.09090909090901</v>
      </c>
      <c r="BK94" s="7">
        <v>-0.721219496698152</v>
      </c>
      <c r="BL94" s="7">
        <v>1.2270572936888799</v>
      </c>
    </row>
    <row r="95" spans="2:64" x14ac:dyDescent="0.2">
      <c r="B95">
        <v>132.72727272727201</v>
      </c>
      <c r="C95">
        <v>0.62112170151318702</v>
      </c>
      <c r="D95">
        <v>0.67625603599661299</v>
      </c>
      <c r="E95" s="7"/>
      <c r="F95" s="7"/>
      <c r="G95" s="7"/>
      <c r="H95" s="7"/>
      <c r="I95" s="7"/>
      <c r="N95" s="10">
        <v>132.72727272727201</v>
      </c>
      <c r="O95" s="10">
        <v>-1.1700387327594599</v>
      </c>
      <c r="P95" s="10">
        <v>0.95313957081223999</v>
      </c>
      <c r="R95" s="10"/>
      <c r="Z95" s="7">
        <v>132.72727272727201</v>
      </c>
      <c r="AA95" s="7">
        <v>-0.580087712065393</v>
      </c>
      <c r="AB95" s="7">
        <v>0.62621417162970705</v>
      </c>
      <c r="AL95" s="7">
        <v>132.72727272727201</v>
      </c>
      <c r="AM95" s="7">
        <v>-1.2166451016608799</v>
      </c>
      <c r="AN95" s="7">
        <v>0.970693421138066</v>
      </c>
      <c r="AX95" s="7">
        <v>132.72727272727201</v>
      </c>
      <c r="AY95" s="7">
        <v>-1.28609541965092</v>
      </c>
      <c r="AZ95" s="7">
        <v>0.97212915555630997</v>
      </c>
      <c r="BJ95" s="7">
        <v>132.72727272727201</v>
      </c>
      <c r="BK95" s="7">
        <v>-0.75704108977742302</v>
      </c>
      <c r="BL95" s="7">
        <v>1.1209293659219399</v>
      </c>
    </row>
    <row r="96" spans="2:64" x14ac:dyDescent="0.2">
      <c r="B96">
        <v>136.363636363636</v>
      </c>
      <c r="C96">
        <v>0.65609623113431503</v>
      </c>
      <c r="D96">
        <v>0.64834668941704199</v>
      </c>
      <c r="E96" s="7"/>
      <c r="F96" s="7"/>
      <c r="G96" s="7"/>
      <c r="H96" s="7"/>
      <c r="I96" s="7"/>
      <c r="N96" s="10">
        <v>136.363636363636</v>
      </c>
      <c r="O96" s="10">
        <v>-1.1806749351519601</v>
      </c>
      <c r="P96" s="10">
        <v>0.840549790359438</v>
      </c>
      <c r="R96" s="10"/>
      <c r="Z96" s="7">
        <v>136.363636363636</v>
      </c>
      <c r="AA96" s="7">
        <v>-0.61328830582676697</v>
      </c>
      <c r="AB96" s="7">
        <v>0.54509481197958398</v>
      </c>
      <c r="AL96" s="7">
        <v>136.363636363636</v>
      </c>
      <c r="AM96" s="7">
        <v>-1.22836019767311</v>
      </c>
      <c r="AN96" s="7">
        <v>0.85606305146778405</v>
      </c>
      <c r="AX96" s="7">
        <v>136.363636363636</v>
      </c>
      <c r="AY96" s="7">
        <v>-1.2975961566182801</v>
      </c>
      <c r="AZ96" s="7">
        <v>0.85700736368549202</v>
      </c>
      <c r="BJ96" s="7">
        <v>136.363636363636</v>
      </c>
      <c r="BK96" s="7">
        <v>-0.77899991503722599</v>
      </c>
      <c r="BL96" s="7">
        <v>0.99736954743692996</v>
      </c>
    </row>
    <row r="97" spans="2:64" x14ac:dyDescent="0.2">
      <c r="B97">
        <v>140</v>
      </c>
      <c r="C97">
        <v>0.69459908656841896</v>
      </c>
      <c r="D97">
        <v>0.61762177193411005</v>
      </c>
      <c r="E97" s="7"/>
      <c r="F97" s="7"/>
      <c r="G97" s="7"/>
      <c r="H97" s="7"/>
      <c r="I97" s="7"/>
      <c r="N97" s="10">
        <v>140</v>
      </c>
      <c r="O97" s="10">
        <v>-1.1697</v>
      </c>
      <c r="P97" s="10">
        <v>0.72899999999999998</v>
      </c>
      <c r="R97" s="10"/>
      <c r="Z97" s="7">
        <v>140</v>
      </c>
      <c r="AA97" s="7">
        <v>-0.64259999999999995</v>
      </c>
      <c r="AB97" s="7">
        <v>0.46529999999999899</v>
      </c>
      <c r="AL97" s="7">
        <v>140</v>
      </c>
      <c r="AM97" s="7">
        <v>-1.2177</v>
      </c>
      <c r="AN97" s="7">
        <v>0.74239999999999895</v>
      </c>
      <c r="AX97" s="7">
        <v>140</v>
      </c>
      <c r="AY97" s="7">
        <v>-1.2854000000000001</v>
      </c>
      <c r="AZ97" s="7">
        <v>0.7429</v>
      </c>
      <c r="BJ97" s="7">
        <v>140</v>
      </c>
      <c r="BK97" s="7">
        <v>-0.80361985000000002</v>
      </c>
      <c r="BL97" s="7">
        <v>0.90723551999999896</v>
      </c>
    </row>
    <row r="98" spans="2:64" x14ac:dyDescent="0.2">
      <c r="B98">
        <v>143.636363636363</v>
      </c>
      <c r="C98">
        <v>0.73663026781549901</v>
      </c>
      <c r="D98">
        <v>0.58408128354781597</v>
      </c>
      <c r="E98" s="7"/>
      <c r="F98" s="7"/>
      <c r="G98" s="7"/>
      <c r="H98" s="7"/>
      <c r="I98" s="7"/>
      <c r="N98" s="10">
        <v>143.636363636363</v>
      </c>
      <c r="O98" s="10">
        <v>-1.13797251360735</v>
      </c>
      <c r="P98" s="10">
        <v>0.62009036206085</v>
      </c>
      <c r="R98" s="10"/>
      <c r="Z98" s="7">
        <v>143.636363636363</v>
      </c>
      <c r="AA98" s="7">
        <v>-0.66770853732351698</v>
      </c>
      <c r="AB98" s="7">
        <v>0.38753766615878499</v>
      </c>
      <c r="AL98" s="7">
        <v>143.636363636363</v>
      </c>
      <c r="AM98" s="7">
        <v>-1.1854599612339201</v>
      </c>
      <c r="AN98" s="7">
        <v>0.63146506466830798</v>
      </c>
      <c r="AX98" s="7">
        <v>143.636363636363</v>
      </c>
      <c r="AY98" s="7">
        <v>-1.25039480622648</v>
      </c>
      <c r="AZ98" s="7">
        <v>0.631603228743851</v>
      </c>
      <c r="BJ98" s="7">
        <v>143.636363636363</v>
      </c>
      <c r="BK98" s="7">
        <v>-0.81312801701067405</v>
      </c>
      <c r="BL98" s="7">
        <v>0.80326824430356603</v>
      </c>
    </row>
    <row r="99" spans="2:64" x14ac:dyDescent="0.2">
      <c r="B99">
        <v>147.272727272727</v>
      </c>
      <c r="C99">
        <v>0.78218977487555497</v>
      </c>
      <c r="D99">
        <v>0.54772522425816095</v>
      </c>
      <c r="E99" s="7"/>
      <c r="F99" s="7"/>
      <c r="G99" s="7"/>
      <c r="H99" s="7"/>
      <c r="I99" s="7"/>
      <c r="N99" s="10">
        <v>147.272727272727</v>
      </c>
      <c r="O99" s="10">
        <v>-1.08682525035255</v>
      </c>
      <c r="P99" s="10">
        <v>0.51575507064753001</v>
      </c>
      <c r="R99" s="10"/>
      <c r="Z99" s="7">
        <v>147.272727272727</v>
      </c>
      <c r="AA99" s="7">
        <v>-0.69480510964235098</v>
      </c>
      <c r="AB99" s="7">
        <v>0.31225321697306602</v>
      </c>
      <c r="AL99" s="7">
        <v>147.272727272727</v>
      </c>
      <c r="AM99" s="7">
        <v>-1.13311802550796</v>
      </c>
      <c r="AN99" s="7">
        <v>0.525136392153149</v>
      </c>
      <c r="AX99" s="7">
        <v>147.272727272727</v>
      </c>
      <c r="AY99" s="7">
        <v>-1.19429709440383</v>
      </c>
      <c r="AZ99" s="7">
        <v>0.52500430541658005</v>
      </c>
      <c r="BJ99" s="7">
        <v>147.272727272727</v>
      </c>
      <c r="BK99" s="7">
        <v>-0.83145969205175596</v>
      </c>
      <c r="BL99" s="7">
        <v>0.71077132372864704</v>
      </c>
    </row>
    <row r="100" spans="2:64" x14ac:dyDescent="0.2">
      <c r="B100">
        <v>150.90909090909</v>
      </c>
      <c r="C100">
        <v>0.83127760774858805</v>
      </c>
      <c r="D100">
        <v>0.508553594065145</v>
      </c>
      <c r="E100" s="7"/>
      <c r="F100" s="7"/>
      <c r="G100" s="7"/>
      <c r="H100" s="7"/>
      <c r="I100" s="7"/>
      <c r="N100" s="10">
        <v>150.90909090909</v>
      </c>
      <c r="O100" s="10">
        <v>-1.0183132421672301</v>
      </c>
      <c r="P100" s="10">
        <v>0.417467505177749</v>
      </c>
      <c r="R100" s="10"/>
      <c r="Z100" s="7">
        <v>150.90909090909</v>
      </c>
      <c r="AA100" s="7">
        <v>-0.74716859829382098</v>
      </c>
      <c r="AB100" s="7">
        <v>0.24112138094723501</v>
      </c>
      <c r="AL100" s="7">
        <v>150.90909090909</v>
      </c>
      <c r="AM100" s="7">
        <v>-1.0627688071526</v>
      </c>
      <c r="AN100" s="7">
        <v>0.42510718147307403</v>
      </c>
      <c r="AX100" s="7">
        <v>150.90909090909</v>
      </c>
      <c r="AY100" s="7">
        <v>-1.11938615861282</v>
      </c>
      <c r="AZ100" s="7">
        <v>0.42481317046082201</v>
      </c>
      <c r="BJ100" s="7">
        <v>150.90909090909</v>
      </c>
      <c r="BK100" s="7">
        <v>-0.85518137101942704</v>
      </c>
      <c r="BL100" s="7">
        <v>0.62258059854610903</v>
      </c>
    </row>
    <row r="101" spans="2:64" x14ac:dyDescent="0.2">
      <c r="B101">
        <v>154.54545454545399</v>
      </c>
      <c r="C101">
        <v>0.88389376643459805</v>
      </c>
      <c r="D101">
        <v>0.46656639296876701</v>
      </c>
      <c r="E101" s="7"/>
      <c r="F101" s="7"/>
      <c r="G101" s="7"/>
      <c r="H101" s="7"/>
      <c r="I101" s="7"/>
      <c r="N101" s="10">
        <v>154.54545454545399</v>
      </c>
      <c r="O101" s="10">
        <v>-0.93514334572776803</v>
      </c>
      <c r="P101" s="10">
        <v>0.32692832741033501</v>
      </c>
      <c r="R101" s="10"/>
      <c r="Z101" s="7">
        <v>154.54545454545399</v>
      </c>
      <c r="AA101" s="7">
        <v>-0.82702783234213995</v>
      </c>
      <c r="AB101" s="7">
        <v>0.17430250442745501</v>
      </c>
      <c r="AL101" s="7">
        <v>154.54545454545399</v>
      </c>
      <c r="AM101" s="7">
        <v>-0.97725120352481398</v>
      </c>
      <c r="AN101" s="7">
        <v>0.33280402252217001</v>
      </c>
      <c r="AX101" s="7">
        <v>154.54545454545399</v>
      </c>
      <c r="AY101" s="7">
        <v>-1.02889702850515</v>
      </c>
      <c r="AZ101" s="7">
        <v>0.332513570704907</v>
      </c>
      <c r="BJ101" s="7">
        <v>154.54545454545399</v>
      </c>
      <c r="BK101" s="7">
        <v>-0.88275237049585098</v>
      </c>
      <c r="BL101" s="7">
        <v>0.53293714958551197</v>
      </c>
    </row>
    <row r="102" spans="2:64" x14ac:dyDescent="0.2">
      <c r="B102">
        <v>158.18181818181799</v>
      </c>
      <c r="C102">
        <v>0.94003825093358295</v>
      </c>
      <c r="D102">
        <v>0.42176362096902698</v>
      </c>
      <c r="E102" s="7"/>
      <c r="F102" s="7"/>
      <c r="G102" s="7"/>
      <c r="H102" s="7"/>
      <c r="I102" s="7"/>
      <c r="N102" s="10">
        <v>158.18181818181799</v>
      </c>
      <c r="O102" s="10">
        <v>-0.84146531637600896</v>
      </c>
      <c r="P102" s="10">
        <v>0.24556598455863499</v>
      </c>
      <c r="R102" s="10"/>
      <c r="Z102" s="7">
        <v>158.18181818181799</v>
      </c>
      <c r="AA102" s="7">
        <v>-0.89191430686456497</v>
      </c>
      <c r="AB102" s="7">
        <v>0.11513304652645499</v>
      </c>
      <c r="AL102" s="7">
        <v>158.18181818181799</v>
      </c>
      <c r="AM102" s="7">
        <v>-0.88103030471685195</v>
      </c>
      <c r="AN102" s="7">
        <v>0.24989636198637799</v>
      </c>
      <c r="AX102" s="7">
        <v>158.18181818181799</v>
      </c>
      <c r="AY102" s="7">
        <v>-0.92759551141942698</v>
      </c>
      <c r="AZ102" s="7">
        <v>0.24949614072409301</v>
      </c>
      <c r="BJ102" s="7">
        <v>158.18181818181799</v>
      </c>
      <c r="BK102" s="7">
        <v>-0.96702025309892503</v>
      </c>
      <c r="BL102" s="7">
        <v>0.46346915869873601</v>
      </c>
    </row>
    <row r="103" spans="2:64" x14ac:dyDescent="0.2">
      <c r="B103">
        <v>161.81818181818099</v>
      </c>
      <c r="C103">
        <v>0.99971106124554499</v>
      </c>
      <c r="D103">
        <v>0.37414527806592601</v>
      </c>
      <c r="E103" s="7"/>
      <c r="F103" s="7"/>
      <c r="G103" s="7"/>
      <c r="H103" s="7"/>
      <c r="I103" s="7"/>
      <c r="N103" s="10">
        <v>161.81818181818099</v>
      </c>
      <c r="O103" s="10">
        <v>-0.74442929725842499</v>
      </c>
      <c r="P103" s="10">
        <v>0.17446232445037599</v>
      </c>
      <c r="R103" s="10"/>
      <c r="Z103" s="7">
        <v>161.81818181818099</v>
      </c>
      <c r="AA103" s="7">
        <v>-0.87422509565755102</v>
      </c>
      <c r="AB103" s="7">
        <v>6.8924105423673804E-2</v>
      </c>
      <c r="AL103" s="7">
        <v>161.81818181818099</v>
      </c>
      <c r="AM103" s="7">
        <v>-0.78153716213547797</v>
      </c>
      <c r="AN103" s="7">
        <v>0.17762254721001</v>
      </c>
      <c r="AX103" s="7">
        <v>161.81818181818099</v>
      </c>
      <c r="AY103" s="7">
        <v>-0.823797738513107</v>
      </c>
      <c r="AZ103" s="7">
        <v>0.177214628635878</v>
      </c>
      <c r="BJ103" s="7">
        <v>161.81818181818099</v>
      </c>
      <c r="BK103" s="7">
        <v>-1.11378382877408</v>
      </c>
      <c r="BL103" s="7">
        <v>0.35706157482123202</v>
      </c>
    </row>
    <row r="104" spans="2:64" x14ac:dyDescent="0.2">
      <c r="B104">
        <v>165.45454545454501</v>
      </c>
      <c r="C104">
        <v>1.06291219737048</v>
      </c>
      <c r="D104">
        <v>0.32371136425946401</v>
      </c>
      <c r="E104" s="7"/>
      <c r="F104" s="7"/>
      <c r="G104" s="7"/>
      <c r="H104" s="7"/>
      <c r="I104" s="7"/>
      <c r="N104" s="10">
        <v>165.45454545454501</v>
      </c>
      <c r="O104" s="10">
        <v>-0.66002685102143999</v>
      </c>
      <c r="P104" s="10">
        <v>0.114900051818267</v>
      </c>
      <c r="R104" s="10"/>
      <c r="Z104" s="7">
        <v>165.45454545454501</v>
      </c>
      <c r="AA104" s="7">
        <v>-0.77352127856935005</v>
      </c>
      <c r="AB104" s="7">
        <v>3.5722368524608202E-2</v>
      </c>
      <c r="AL104" s="7">
        <v>165.45454545454501</v>
      </c>
      <c r="AM104" s="7">
        <v>-0.695451895325636</v>
      </c>
      <c r="AN104" s="7">
        <v>0.116908241870347</v>
      </c>
      <c r="AX104" s="7">
        <v>165.45454545454501</v>
      </c>
      <c r="AY104" s="7">
        <v>-0.73626973896147097</v>
      </c>
      <c r="AZ104" s="7">
        <v>0.11660101784980099</v>
      </c>
      <c r="BJ104" s="7">
        <v>165.45454545454501</v>
      </c>
      <c r="BK104" s="7">
        <v>-1.1943702956128199</v>
      </c>
      <c r="BL104" s="7">
        <v>0.244043142452363</v>
      </c>
    </row>
    <row r="105" spans="2:64" x14ac:dyDescent="0.2">
      <c r="B105">
        <v>169.09090909090901</v>
      </c>
      <c r="C105">
        <v>1.12964165930839</v>
      </c>
      <c r="D105">
        <v>0.27046187954964002</v>
      </c>
      <c r="E105" s="7"/>
      <c r="F105" s="7"/>
      <c r="G105" s="7"/>
      <c r="H105" s="7"/>
      <c r="I105" s="7"/>
      <c r="N105" s="10">
        <v>169.09090909090901</v>
      </c>
      <c r="O105" s="10">
        <v>-0.63253203037253203</v>
      </c>
      <c r="P105" s="10">
        <v>6.7676984536011703E-2</v>
      </c>
      <c r="R105" s="10"/>
      <c r="Z105" s="7">
        <v>169.09090909090901</v>
      </c>
      <c r="AA105" s="7">
        <v>-0.62317000996722105</v>
      </c>
      <c r="AB105" s="7">
        <v>1.38583552786913E-2</v>
      </c>
      <c r="AL105" s="7">
        <v>169.09090909090901</v>
      </c>
      <c r="AM105" s="7">
        <v>-0.66390475615945299</v>
      </c>
      <c r="AN105" s="7">
        <v>6.8858630363923201E-2</v>
      </c>
      <c r="AX105" s="7">
        <v>169.09090909090901</v>
      </c>
      <c r="AY105" s="7">
        <v>-0.71009359968322605</v>
      </c>
      <c r="AZ105" s="7">
        <v>6.8658944161841304E-2</v>
      </c>
      <c r="BJ105" s="7">
        <v>169.09090909090901</v>
      </c>
      <c r="BK105" s="7">
        <v>-1.0895669269552299</v>
      </c>
      <c r="BL105" s="7">
        <v>0.14506901501410099</v>
      </c>
    </row>
    <row r="106" spans="2:64" x14ac:dyDescent="0.2">
      <c r="B106">
        <v>172.72727272727201</v>
      </c>
      <c r="C106">
        <v>1.1998994470592801</v>
      </c>
      <c r="D106">
        <v>0.21439682393645501</v>
      </c>
      <c r="E106" s="7"/>
      <c r="F106" s="7"/>
      <c r="G106" s="7"/>
      <c r="H106" s="7"/>
      <c r="I106" s="7"/>
      <c r="N106" s="10">
        <v>172.72727272727201</v>
      </c>
      <c r="O106" s="10">
        <v>-0.68467139901098995</v>
      </c>
      <c r="P106" s="10">
        <v>3.3517741611663203E-2</v>
      </c>
      <c r="R106" s="10"/>
      <c r="Z106" s="7">
        <v>172.72727272727201</v>
      </c>
      <c r="AA106" s="7">
        <v>-0.44413270733828702</v>
      </c>
      <c r="AB106" s="7">
        <v>2.2832894426176101E-3</v>
      </c>
      <c r="AL106" s="7">
        <v>172.72727272727201</v>
      </c>
      <c r="AM106" s="7">
        <v>-0.66708049541496495</v>
      </c>
      <c r="AN106" s="7">
        <v>3.4053610591213097E-2</v>
      </c>
      <c r="AX106" s="7">
        <v>172.72727272727201</v>
      </c>
      <c r="AY106" s="7">
        <v>-0.70613334321291799</v>
      </c>
      <c r="AZ106" s="7">
        <v>3.39571193792493E-2</v>
      </c>
      <c r="BJ106" s="7">
        <v>172.72727272727201</v>
      </c>
      <c r="BK106" s="7">
        <v>-0.90734693792833798</v>
      </c>
      <c r="BL106" s="7">
        <v>0.10543536453724001</v>
      </c>
    </row>
    <row r="107" spans="2:64" x14ac:dyDescent="0.2">
      <c r="B107">
        <v>176.363636363636</v>
      </c>
      <c r="C107">
        <v>1.2736855606231501</v>
      </c>
      <c r="D107">
        <v>0.15551619741990799</v>
      </c>
      <c r="E107" s="7"/>
      <c r="F107" s="7"/>
      <c r="G107" s="7"/>
      <c r="H107" s="7"/>
      <c r="I107" s="7"/>
      <c r="N107" s="10">
        <v>176.363636363636</v>
      </c>
      <c r="O107" s="10">
        <v>-0.46080036726920198</v>
      </c>
      <c r="P107" s="10">
        <v>1.29461716758819E-2</v>
      </c>
      <c r="R107" s="10"/>
      <c r="Z107" s="7">
        <v>176.363636363636</v>
      </c>
      <c r="AA107" s="7">
        <v>-0.236409370682544</v>
      </c>
      <c r="AB107" s="7">
        <v>9.9717101638715708E-4</v>
      </c>
      <c r="AL107" s="7">
        <v>176.363636363636</v>
      </c>
      <c r="AM107" s="7">
        <v>-0.43044498494613298</v>
      </c>
      <c r="AN107" s="7">
        <v>1.3030434749583601E-2</v>
      </c>
      <c r="AX107" s="7">
        <v>176.363636363636</v>
      </c>
      <c r="AY107" s="7">
        <v>-0.45292720280441101</v>
      </c>
      <c r="AZ107" s="7">
        <v>1.3040790772425899E-2</v>
      </c>
      <c r="BJ107" s="7">
        <v>176.363636363636</v>
      </c>
      <c r="BK107" s="7">
        <v>-0.444639856883493</v>
      </c>
      <c r="BL107" s="7">
        <v>9.7721175334345697E-2</v>
      </c>
    </row>
    <row r="108" spans="2:64" x14ac:dyDescent="0.2">
      <c r="B108">
        <v>180</v>
      </c>
      <c r="C108">
        <v>1.35099999999999</v>
      </c>
      <c r="D108">
        <v>9.3820000000000001E-2</v>
      </c>
      <c r="E108" s="7"/>
      <c r="F108" s="7"/>
      <c r="G108" s="7"/>
      <c r="H108" s="7"/>
      <c r="I108" s="7"/>
      <c r="N108" s="10">
        <v>180</v>
      </c>
      <c r="O108" s="10">
        <v>-9.2200000000000004E-2</v>
      </c>
      <c r="P108" s="10">
        <v>6.0000000000000001E-3</v>
      </c>
      <c r="R108" s="10"/>
      <c r="Z108" s="7">
        <v>180</v>
      </c>
      <c r="AA108" s="7">
        <v>0</v>
      </c>
      <c r="AB108" s="7">
        <v>0.01</v>
      </c>
      <c r="AL108" s="7">
        <v>180</v>
      </c>
      <c r="AM108" s="7">
        <v>-0.11070000000000001</v>
      </c>
      <c r="AN108" s="7">
        <v>6.0000000000000001E-3</v>
      </c>
      <c r="AX108" s="7">
        <v>180</v>
      </c>
      <c r="AY108" s="7">
        <v>-0.133099999999999</v>
      </c>
      <c r="AZ108" s="7">
        <v>6.0000000000000001E-3</v>
      </c>
      <c r="BJ108" s="7">
        <v>180</v>
      </c>
      <c r="BK108" s="7">
        <v>-0.14678165000000001</v>
      </c>
      <c r="BL108" s="7">
        <v>7.9652736000000002E-2</v>
      </c>
    </row>
    <row r="109" spans="2:64" x14ac:dyDescent="0.2">
      <c r="B109" s="2"/>
      <c r="C109" s="2"/>
      <c r="D109" s="2"/>
      <c r="E109" s="2"/>
      <c r="F109" s="7"/>
      <c r="G109" s="7"/>
      <c r="H109" s="7"/>
      <c r="I109" s="7"/>
      <c r="Z109" s="2"/>
      <c r="AL109" s="2"/>
      <c r="AM109" s="2"/>
      <c r="AN109" s="2"/>
    </row>
    <row r="110" spans="2:64" x14ac:dyDescent="0.2">
      <c r="B110" s="2"/>
      <c r="C110" s="2"/>
      <c r="D110" s="2"/>
      <c r="E110" s="2"/>
      <c r="F110" s="2"/>
      <c r="G110" s="2"/>
      <c r="H110" s="2"/>
      <c r="I110" s="2"/>
      <c r="AL110" s="2"/>
      <c r="AM110" s="2"/>
      <c r="AN110" s="2"/>
    </row>
    <row r="111" spans="2:64" x14ac:dyDescent="0.2">
      <c r="B111" s="2"/>
      <c r="C111" s="2"/>
      <c r="D111" s="2"/>
      <c r="E111" s="2"/>
      <c r="F111" s="2"/>
      <c r="G111" s="2"/>
      <c r="H111" s="2"/>
      <c r="I111" s="2"/>
    </row>
    <row r="112" spans="2:64" x14ac:dyDescent="0.2">
      <c r="B112" s="2"/>
      <c r="C112" s="2"/>
      <c r="D112" s="2"/>
      <c r="E112" s="2"/>
      <c r="F112" s="2"/>
      <c r="G112" s="2"/>
      <c r="H112" s="2"/>
      <c r="I112" s="2"/>
    </row>
    <row r="113" spans="2:9" x14ac:dyDescent="0.2">
      <c r="B113" s="2"/>
      <c r="C113" s="2"/>
      <c r="D113" s="2"/>
      <c r="E113" s="2"/>
      <c r="F113" s="2"/>
      <c r="G113" s="2"/>
      <c r="H113" s="2"/>
      <c r="I113" s="2"/>
    </row>
    <row r="114" spans="2:9" x14ac:dyDescent="0.2">
      <c r="B114" s="2"/>
      <c r="C114" s="2"/>
      <c r="D114" s="2"/>
      <c r="E114" s="2"/>
      <c r="F114" s="2"/>
      <c r="G114" s="2"/>
      <c r="H114" s="2"/>
      <c r="I114" s="2"/>
    </row>
    <row r="115" spans="2:9" x14ac:dyDescent="0.2">
      <c r="B115" s="2"/>
      <c r="C115" s="2"/>
      <c r="D115" s="2"/>
      <c r="E115" s="2"/>
      <c r="F115" s="2"/>
      <c r="G115" s="2"/>
      <c r="H115" s="2"/>
      <c r="I115" s="2"/>
    </row>
    <row r="116" spans="2:9" x14ac:dyDescent="0.2">
      <c r="B116" s="2"/>
      <c r="C116" s="2"/>
      <c r="D116" s="2"/>
      <c r="E116" s="2"/>
      <c r="F116" s="2"/>
      <c r="G116" s="2"/>
      <c r="H116" s="2"/>
      <c r="I116" s="2"/>
    </row>
    <row r="117" spans="2:9" x14ac:dyDescent="0.2">
      <c r="F117" s="2"/>
      <c r="G117" s="2"/>
      <c r="H117" s="2"/>
      <c r="I117" s="2"/>
    </row>
  </sheetData>
  <mergeCells count="18">
    <mergeCell ref="BN3:BP3"/>
    <mergeCell ref="BQ3:BS3"/>
    <mergeCell ref="AS3:AU3"/>
    <mergeCell ref="AY3:BA3"/>
    <mergeCell ref="BB3:BD3"/>
    <mergeCell ref="BE3:BG3"/>
    <mergeCell ref="BK3:BM3"/>
    <mergeCell ref="AA3:AC3"/>
    <mergeCell ref="AD3:AF3"/>
    <mergeCell ref="AG3:AI3"/>
    <mergeCell ref="AM3:AO3"/>
    <mergeCell ref="AP3:AR3"/>
    <mergeCell ref="U3:W3"/>
    <mergeCell ref="C3:E3"/>
    <mergeCell ref="I3:K3"/>
    <mergeCell ref="F3:H3"/>
    <mergeCell ref="O3:Q3"/>
    <mergeCell ref="R3:T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A356-0372-D14A-ACF3-E200A4F6585A}">
  <dimension ref="B2:L69"/>
  <sheetViews>
    <sheetView zoomScale="106" workbookViewId="0">
      <selection activeCell="K29" sqref="K29"/>
    </sheetView>
  </sheetViews>
  <sheetFormatPr baseColWidth="10" defaultRowHeight="16" x14ac:dyDescent="0.2"/>
  <cols>
    <col min="6" max="6" width="10.6640625" customWidth="1"/>
  </cols>
  <sheetData>
    <row r="2" spans="3:8" ht="20" customHeight="1" x14ac:dyDescent="0.2">
      <c r="C2" s="49" t="s">
        <v>109</v>
      </c>
      <c r="D2" s="49"/>
      <c r="E2" s="49"/>
      <c r="F2" s="49"/>
    </row>
    <row r="3" spans="3:8" x14ac:dyDescent="0.2">
      <c r="C3" s="42" t="s">
        <v>105</v>
      </c>
      <c r="D3" s="40" t="s">
        <v>66</v>
      </c>
      <c r="E3" s="42" t="s">
        <v>106</v>
      </c>
      <c r="F3" s="41" t="s">
        <v>107</v>
      </c>
      <c r="H3" s="48" t="s">
        <v>111</v>
      </c>
    </row>
    <row r="4" spans="3:8" x14ac:dyDescent="0.2">
      <c r="C4" s="43">
        <v>0</v>
      </c>
      <c r="D4" s="38">
        <v>0.13220000000000001</v>
      </c>
      <c r="E4" s="43">
        <v>5.8400000000000001E-2</v>
      </c>
      <c r="F4" s="20">
        <v>0</v>
      </c>
      <c r="H4" s="46" t="s">
        <v>110</v>
      </c>
    </row>
    <row r="5" spans="3:8" x14ac:dyDescent="0.2">
      <c r="C5" s="43">
        <v>0.05</v>
      </c>
      <c r="D5" s="38">
        <v>0.128</v>
      </c>
      <c r="E5" s="43">
        <v>5.8200000000000002E-2</v>
      </c>
      <c r="F5" s="20">
        <v>0.11</v>
      </c>
      <c r="H5" s="47" t="s">
        <v>108</v>
      </c>
    </row>
    <row r="6" spans="3:8" x14ac:dyDescent="0.2">
      <c r="C6" s="43">
        <v>0.1</v>
      </c>
      <c r="D6" s="38">
        <v>0.12239999999999999</v>
      </c>
      <c r="E6" s="43">
        <v>5.7799999999999997E-2</v>
      </c>
      <c r="F6" s="20">
        <v>0.21199999999999999</v>
      </c>
      <c r="H6" s="47" t="s">
        <v>116</v>
      </c>
    </row>
    <row r="7" spans="3:8" x14ac:dyDescent="0.2">
      <c r="C7" s="43">
        <v>0.15</v>
      </c>
      <c r="D7" s="38">
        <v>0.11650000000000001</v>
      </c>
      <c r="E7" s="43">
        <v>5.7200000000000001E-2</v>
      </c>
      <c r="F7" s="20">
        <v>0.30599999999999999</v>
      </c>
      <c r="H7" s="47" t="s">
        <v>117</v>
      </c>
    </row>
    <row r="8" spans="3:8" x14ac:dyDescent="0.2">
      <c r="C8" s="43">
        <v>0.2</v>
      </c>
      <c r="D8" s="38">
        <v>0.1101</v>
      </c>
      <c r="E8" s="43">
        <v>5.6399999999999999E-2</v>
      </c>
      <c r="F8" s="20">
        <v>0.39100000000000001</v>
      </c>
    </row>
    <row r="9" spans="3:8" x14ac:dyDescent="0.2">
      <c r="C9" s="43">
        <v>0.25</v>
      </c>
      <c r="D9" s="38">
        <v>0.1036</v>
      </c>
      <c r="E9" s="43">
        <v>5.5500000000000001E-2</v>
      </c>
      <c r="F9" s="20">
        <v>0.46700000000000003</v>
      </c>
    </row>
    <row r="10" spans="3:8" x14ac:dyDescent="0.2">
      <c r="C10" s="43">
        <v>0.3</v>
      </c>
      <c r="D10" s="38">
        <v>9.6799999999999997E-2</v>
      </c>
      <c r="E10" s="43">
        <v>5.4300000000000001E-2</v>
      </c>
      <c r="F10" s="20">
        <v>0.53500000000000003</v>
      </c>
    </row>
    <row r="11" spans="3:8" x14ac:dyDescent="0.2">
      <c r="C11" s="43">
        <v>0.35</v>
      </c>
      <c r="D11" s="38">
        <v>8.9899999999999994E-2</v>
      </c>
      <c r="E11" s="43">
        <v>5.2999999999999999E-2</v>
      </c>
      <c r="F11" s="20">
        <v>0.59299999999999997</v>
      </c>
    </row>
    <row r="12" spans="3:8" x14ac:dyDescent="0.2">
      <c r="C12" s="43">
        <v>0.4</v>
      </c>
      <c r="D12" s="38">
        <v>8.2600000000000007E-2</v>
      </c>
      <c r="E12" s="43">
        <v>5.1400000000000001E-2</v>
      </c>
      <c r="F12" s="20">
        <v>0.64300000000000002</v>
      </c>
    </row>
    <row r="13" spans="3:8" x14ac:dyDescent="0.2">
      <c r="C13" s="43">
        <v>0.45</v>
      </c>
      <c r="D13" s="38">
        <v>7.5200000000000003E-2</v>
      </c>
      <c r="E13" s="43">
        <v>4.9200000000000001E-2</v>
      </c>
      <c r="F13" s="20">
        <v>0.68799999999999994</v>
      </c>
    </row>
    <row r="14" spans="3:8" x14ac:dyDescent="0.2">
      <c r="C14" s="43">
        <v>0.5</v>
      </c>
      <c r="D14" s="38">
        <v>6.7400000000000002E-2</v>
      </c>
      <c r="E14" s="43">
        <v>4.6100000000000002E-2</v>
      </c>
      <c r="F14" s="20">
        <v>0.73199999999999998</v>
      </c>
    </row>
    <row r="15" spans="3:8" x14ac:dyDescent="0.2">
      <c r="C15" s="43">
        <v>0.55000000000000004</v>
      </c>
      <c r="D15" s="38">
        <v>5.8700000000000002E-2</v>
      </c>
      <c r="E15" s="43">
        <v>4.19E-2</v>
      </c>
      <c r="F15" s="20">
        <v>0.77</v>
      </c>
    </row>
    <row r="16" spans="3:8" x14ac:dyDescent="0.2">
      <c r="C16" s="43">
        <v>0.6</v>
      </c>
      <c r="D16" s="38">
        <v>4.9500000000000002E-2</v>
      </c>
      <c r="E16" s="43">
        <v>3.6999999999999998E-2</v>
      </c>
      <c r="F16" s="20">
        <v>0.80200000000000005</v>
      </c>
    </row>
    <row r="17" spans="2:12" x14ac:dyDescent="0.2">
      <c r="C17" s="43">
        <v>0.65</v>
      </c>
      <c r="D17" s="38">
        <v>3.9100000000000003E-2</v>
      </c>
      <c r="E17" s="43">
        <v>3.1399999999999997E-2</v>
      </c>
      <c r="F17" s="20">
        <v>0.81</v>
      </c>
    </row>
    <row r="18" spans="2:12" x14ac:dyDescent="0.2">
      <c r="C18" s="43">
        <v>0.7</v>
      </c>
      <c r="D18" s="38">
        <v>2.8799999999999999E-2</v>
      </c>
      <c r="E18" s="43">
        <v>2.52E-2</v>
      </c>
      <c r="F18" s="20">
        <v>0.8</v>
      </c>
    </row>
    <row r="19" spans="2:12" x14ac:dyDescent="0.2">
      <c r="C19" s="43">
        <v>0.75</v>
      </c>
      <c r="D19" s="38">
        <v>1.83E-2</v>
      </c>
      <c r="E19" s="43">
        <v>1.8200000000000001E-2</v>
      </c>
      <c r="F19" s="20">
        <v>0.755</v>
      </c>
    </row>
    <row r="20" spans="2:12" x14ac:dyDescent="0.2">
      <c r="C20" s="44">
        <v>0.8</v>
      </c>
      <c r="D20" s="21">
        <v>8.0000000000000002E-3</v>
      </c>
      <c r="E20" s="44">
        <v>1.06E-2</v>
      </c>
      <c r="F20" s="22">
        <v>0.60399999999999998</v>
      </c>
    </row>
    <row r="22" spans="2:12" x14ac:dyDescent="0.2">
      <c r="B22" s="49" t="s">
        <v>112</v>
      </c>
      <c r="C22" s="49"/>
      <c r="D22" s="49"/>
      <c r="E22" s="49"/>
      <c r="F22" s="49"/>
    </row>
    <row r="23" spans="2:12" x14ac:dyDescent="0.2">
      <c r="B23" s="42" t="s">
        <v>1</v>
      </c>
      <c r="C23" s="42" t="s">
        <v>105</v>
      </c>
      <c r="D23" s="40" t="s">
        <v>66</v>
      </c>
      <c r="E23" s="42" t="s">
        <v>106</v>
      </c>
      <c r="F23" s="41" t="s">
        <v>107</v>
      </c>
      <c r="H23" s="45"/>
      <c r="I23" s="45"/>
      <c r="J23" s="45"/>
      <c r="K23" s="45"/>
      <c r="L23" s="45"/>
    </row>
    <row r="24" spans="2:12" x14ac:dyDescent="0.2">
      <c r="B24" s="43" cm="1">
        <f t="array" ref="B24:B69">_xlfn.SEQUENCE(46,1,0,1)</f>
        <v>0</v>
      </c>
      <c r="C24" s="43">
        <f>B24*60/(1100*3.054)</f>
        <v>0</v>
      </c>
      <c r="D24" s="50">
        <v>0.13756114149530227</v>
      </c>
      <c r="E24" s="51">
        <v>5.2588148987480245E-2</v>
      </c>
      <c r="F24" s="18">
        <v>0</v>
      </c>
      <c r="H24" s="38"/>
      <c r="J24" s="38"/>
    </row>
    <row r="25" spans="2:12" x14ac:dyDescent="0.2">
      <c r="B25" s="43">
        <v>1</v>
      </c>
      <c r="C25" s="43">
        <f>B25*60/(1100*3.054)</f>
        <v>1.7860332202178964E-2</v>
      </c>
      <c r="D25" s="19">
        <v>0.13900706290509893</v>
      </c>
      <c r="E25" s="43">
        <v>5.4082694263797942E-2</v>
      </c>
      <c r="F25" s="20">
        <v>4.5905855019433478E-2</v>
      </c>
      <c r="H25" s="38"/>
      <c r="J25" s="38"/>
    </row>
    <row r="26" spans="2:12" x14ac:dyDescent="0.2">
      <c r="B26" s="43">
        <v>2</v>
      </c>
      <c r="C26" s="43">
        <f t="shared" ref="C26:C38" si="0">B26*60/(1100*3.054)</f>
        <v>3.5720664404357928E-2</v>
      </c>
      <c r="D26" s="19">
        <v>0.13687327609543906</v>
      </c>
      <c r="E26" s="43">
        <v>5.4248917972665969E-2</v>
      </c>
      <c r="F26" s="20">
        <v>9.0125380266454239E-2</v>
      </c>
      <c r="H26" s="38"/>
      <c r="J26" s="38"/>
    </row>
    <row r="27" spans="2:12" x14ac:dyDescent="0.2">
      <c r="B27" s="43">
        <v>3</v>
      </c>
      <c r="C27" s="43">
        <f t="shared" si="0"/>
        <v>5.3580996606536889E-2</v>
      </c>
      <c r="D27" s="19">
        <v>0.13468643485481518</v>
      </c>
      <c r="E27" s="43">
        <v>5.4388139009096559E-2</v>
      </c>
      <c r="F27" s="20">
        <v>0.13268763264165745</v>
      </c>
      <c r="H27" s="38"/>
      <c r="J27" s="38"/>
    </row>
    <row r="28" spans="2:12" x14ac:dyDescent="0.2">
      <c r="B28" s="43">
        <v>4</v>
      </c>
      <c r="C28" s="43">
        <f t="shared" si="0"/>
        <v>7.1441328808715857E-2</v>
      </c>
      <c r="D28" s="19">
        <v>0.13244612392823049</v>
      </c>
      <c r="E28" s="43">
        <v>5.4498255617636729E-2</v>
      </c>
      <c r="F28" s="20">
        <v>0.17362256794756029</v>
      </c>
      <c r="H28" s="38"/>
      <c r="J28" s="38"/>
    </row>
    <row r="29" spans="2:12" x14ac:dyDescent="0.2">
      <c r="B29" s="43">
        <v>5</v>
      </c>
      <c r="C29" s="43">
        <f t="shared" si="0"/>
        <v>8.9301661010894817E-2</v>
      </c>
      <c r="D29" s="19">
        <v>0.130152000348078</v>
      </c>
      <c r="E29" s="43">
        <v>5.4577101702351034E-2</v>
      </c>
      <c r="F29" s="20">
        <v>0.21296092046736914</v>
      </c>
      <c r="H29" s="38"/>
      <c r="J29" s="38"/>
    </row>
    <row r="30" spans="2:12" x14ac:dyDescent="0.2">
      <c r="B30" s="43">
        <v>6</v>
      </c>
      <c r="C30" s="43">
        <f t="shared" si="0"/>
        <v>0.10716199321307378</v>
      </c>
      <c r="D30" s="19">
        <v>0.12780379143048623</v>
      </c>
      <c r="E30" s="43">
        <v>5.4622449587135073E-2</v>
      </c>
      <c r="F30" s="20">
        <v>0.25073406874642507</v>
      </c>
      <c r="H30" s="38"/>
      <c r="J30" s="38"/>
    </row>
    <row r="31" spans="2:12" x14ac:dyDescent="0.2">
      <c r="B31" s="43">
        <v>7</v>
      </c>
      <c r="C31" s="43">
        <f t="shared" si="0"/>
        <v>0.12502232541525274</v>
      </c>
      <c r="D31" s="19">
        <v>0.12540129088350571</v>
      </c>
      <c r="E31" s="43">
        <v>5.4632014768505488E-2</v>
      </c>
      <c r="F31" s="20">
        <v>0.28697387535062174</v>
      </c>
      <c r="H31" s="38"/>
      <c r="J31" s="38"/>
    </row>
    <row r="32" spans="2:12" x14ac:dyDescent="0.2">
      <c r="B32" s="43">
        <v>8</v>
      </c>
      <c r="C32" s="43">
        <f t="shared" si="0"/>
        <v>0.14288265761743171</v>
      </c>
      <c r="D32" s="19">
        <v>0.12294437025873374</v>
      </c>
      <c r="E32" s="43">
        <v>5.4603462101377245E-2</v>
      </c>
      <c r="F32" s="20">
        <v>0.32171253773350622</v>
      </c>
      <c r="H32" s="38"/>
      <c r="J32" s="38"/>
    </row>
    <row r="33" spans="2:10" x14ac:dyDescent="0.2">
      <c r="B33" s="43">
        <v>9</v>
      </c>
      <c r="C33" s="43">
        <f t="shared" si="0"/>
        <v>0.16074298981961066</v>
      </c>
      <c r="D33" s="19">
        <v>0.12043296699527706</v>
      </c>
      <c r="E33" s="43">
        <v>5.4534410555322911E-2</v>
      </c>
      <c r="F33" s="20">
        <v>0.35498238617668137</v>
      </c>
      <c r="H33" s="38"/>
      <c r="J33" s="38"/>
    </row>
    <row r="34" spans="2:10" x14ac:dyDescent="0.2">
      <c r="B34" s="43">
        <v>10</v>
      </c>
      <c r="C34" s="43">
        <f t="shared" si="0"/>
        <v>0.17860332202178963</v>
      </c>
      <c r="D34" s="19">
        <v>0.11786709903466028</v>
      </c>
      <c r="E34" s="43">
        <v>5.4422440954226992E-2</v>
      </c>
      <c r="F34" s="20">
        <v>0.38681571564140826</v>
      </c>
      <c r="H34" s="38"/>
      <c r="J34" s="38"/>
    </row>
    <row r="35" spans="2:10" x14ac:dyDescent="0.2">
      <c r="B35" s="43">
        <v>11</v>
      </c>
      <c r="C35" s="43">
        <f t="shared" si="0"/>
        <v>0.19646365422396858</v>
      </c>
      <c r="D35" s="19">
        <v>0.11524684278473754</v>
      </c>
      <c r="E35" s="43">
        <v>5.4265099849561585E-2</v>
      </c>
      <c r="F35" s="20">
        <v>0.4172445261141019</v>
      </c>
      <c r="H35" s="38"/>
      <c r="J35" s="38"/>
    </row>
    <row r="36" spans="2:10" x14ac:dyDescent="0.2">
      <c r="B36" s="43">
        <v>12</v>
      </c>
      <c r="C36" s="43">
        <f t="shared" si="0"/>
        <v>0.21432398642614756</v>
      </c>
      <c r="D36" s="19">
        <v>0.11257235615034641</v>
      </c>
      <c r="E36" s="43">
        <v>5.4059909541711047E-2</v>
      </c>
      <c r="F36" s="20">
        <v>0.44630034226954524</v>
      </c>
      <c r="H36" s="38"/>
      <c r="J36" s="38"/>
    </row>
    <row r="37" spans="2:10" x14ac:dyDescent="0.2">
      <c r="B37" s="43">
        <v>13</v>
      </c>
      <c r="C37" s="43">
        <f t="shared" si="0"/>
        <v>0.2321843186283265</v>
      </c>
      <c r="D37" s="19">
        <v>0.10984385704477058</v>
      </c>
      <c r="E37" s="43">
        <v>5.3804372180135722E-2</v>
      </c>
      <c r="F37" s="20">
        <v>0.4740139150413375</v>
      </c>
      <c r="H37" s="38"/>
      <c r="J37" s="38"/>
    </row>
    <row r="38" spans="2:10" x14ac:dyDescent="0.2">
      <c r="B38" s="43">
        <v>14</v>
      </c>
      <c r="C38" s="43">
        <f t="shared" si="0"/>
        <v>0.25004465083050548</v>
      </c>
      <c r="D38" s="19">
        <v>0.10706163067370951</v>
      </c>
      <c r="E38" s="43">
        <v>5.3495978015493717E-2</v>
      </c>
      <c r="F38" s="20">
        <v>0.5004149667363581</v>
      </c>
      <c r="H38" s="38"/>
      <c r="J38" s="38"/>
    </row>
    <row r="39" spans="2:10" x14ac:dyDescent="0.2">
      <c r="B39" s="43">
        <v>15</v>
      </c>
      <c r="C39" s="43">
        <f>B39*60/(1100*3.054)</f>
        <v>0.26790498303268445</v>
      </c>
      <c r="D39" s="19">
        <v>0.10422602209693513</v>
      </c>
      <c r="E39" s="43">
        <v>5.3132211963645572E-2</v>
      </c>
      <c r="F39" s="20">
        <v>0.52553186945329911</v>
      </c>
      <c r="H39" s="38"/>
      <c r="J39" s="38"/>
    </row>
    <row r="40" spans="2:10" x14ac:dyDescent="0.2">
      <c r="B40" s="43">
        <v>16</v>
      </c>
      <c r="C40" s="43">
        <f>B40*60/(1100*3.054)</f>
        <v>0.28576531523486343</v>
      </c>
      <c r="D40" s="19">
        <v>0.10133743682024815</v>
      </c>
      <c r="E40" s="43">
        <v>5.2710561000284817E-2</v>
      </c>
      <c r="F40" s="20">
        <v>0.54939131795381169</v>
      </c>
      <c r="H40" s="38"/>
      <c r="J40" s="38"/>
    </row>
    <row r="41" spans="2:10" x14ac:dyDescent="0.2">
      <c r="B41" s="43">
        <v>17</v>
      </c>
      <c r="C41" s="43">
        <f t="shared" ref="C41:C69" si="1">B41*60/(1100*3.054)</f>
        <v>0.30362564743704235</v>
      </c>
      <c r="D41" s="19">
        <v>9.8396332682932228E-2</v>
      </c>
      <c r="E41" s="43">
        <v>5.2228520118700737E-2</v>
      </c>
      <c r="F41" s="20">
        <v>0.57201793480625063</v>
      </c>
      <c r="H41" s="38"/>
      <c r="J41" s="38"/>
    </row>
    <row r="42" spans="2:10" x14ac:dyDescent="0.2">
      <c r="B42" s="19">
        <v>18</v>
      </c>
      <c r="C42" s="43">
        <f t="shared" si="1"/>
        <v>0.32148597963922132</v>
      </c>
      <c r="D42" s="19">
        <v>9.5403220360501251E-2</v>
      </c>
      <c r="E42" s="43">
        <v>5.1683599726241938E-2</v>
      </c>
      <c r="F42" s="20">
        <v>0.59343385369419988</v>
      </c>
      <c r="H42" s="38"/>
      <c r="J42" s="38"/>
    </row>
    <row r="43" spans="2:10" x14ac:dyDescent="0.2">
      <c r="B43" s="19">
        <v>19</v>
      </c>
      <c r="C43" s="43">
        <f t="shared" si="1"/>
        <v>0.33934631184140029</v>
      </c>
      <c r="D43" s="19">
        <v>9.2358650601593553E-2</v>
      </c>
      <c r="E43" s="43">
        <v>5.1073330068599425E-2</v>
      </c>
      <c r="F43" s="20">
        <v>0.61365819315487558</v>
      </c>
      <c r="H43" s="38"/>
      <c r="J43" s="38"/>
    </row>
    <row r="44" spans="2:10" x14ac:dyDescent="0.2">
      <c r="B44" s="19">
        <v>20</v>
      </c>
      <c r="C44" s="43">
        <f t="shared" si="1"/>
        <v>0.35720664404357927</v>
      </c>
      <c r="D44" s="19">
        <v>8.9263222154719948E-2</v>
      </c>
      <c r="E44" s="43">
        <v>5.0395270131194138E-2</v>
      </c>
      <c r="F44" s="20">
        <v>0.63270652065951039</v>
      </c>
      <c r="H44" s="38"/>
      <c r="J44" s="38"/>
    </row>
    <row r="45" spans="2:10" x14ac:dyDescent="0.2">
      <c r="B45" s="19">
        <v>21</v>
      </c>
      <c r="C45" s="43">
        <f t="shared" si="1"/>
        <v>0.37506697624575819</v>
      </c>
      <c r="D45" s="19">
        <v>8.611756323739439E-2</v>
      </c>
      <c r="E45" s="43">
        <v>4.9647009681194371E-2</v>
      </c>
      <c r="F45" s="20">
        <v>0.65059012118784543</v>
      </c>
      <c r="H45" s="38"/>
      <c r="J45" s="38"/>
    </row>
    <row r="46" spans="2:10" x14ac:dyDescent="0.2">
      <c r="B46" s="19">
        <v>22</v>
      </c>
      <c r="C46" s="43">
        <f t="shared" si="1"/>
        <v>0.39292730844793716</v>
      </c>
      <c r="D46" s="19">
        <v>8.2922336819380466E-2</v>
      </c>
      <c r="E46" s="43">
        <v>4.8826176719182254E-2</v>
      </c>
      <c r="F46" s="20">
        <v>0.66731521503406666</v>
      </c>
      <c r="H46" s="38"/>
      <c r="J46" s="38"/>
    </row>
    <row r="47" spans="2:10" x14ac:dyDescent="0.2">
      <c r="B47" s="19">
        <v>23</v>
      </c>
      <c r="C47" s="43">
        <f t="shared" si="1"/>
        <v>0.41078764065011614</v>
      </c>
      <c r="D47" s="19">
        <v>7.9678231508325606E-2</v>
      </c>
      <c r="E47" s="43">
        <v>4.7930441166935414E-2</v>
      </c>
      <c r="F47" s="20">
        <v>0.68288194173889694</v>
      </c>
      <c r="H47" s="38"/>
      <c r="J47" s="38"/>
    </row>
    <row r="48" spans="2:10" x14ac:dyDescent="0.2">
      <c r="B48" s="19">
        <v>24</v>
      </c>
      <c r="C48" s="43">
        <f t="shared" si="1"/>
        <v>0.42864797285229511</v>
      </c>
      <c r="D48" s="19">
        <v>7.638595659731566E-2</v>
      </c>
      <c r="E48" s="43">
        <v>4.6957518943194825E-2</v>
      </c>
      <c r="F48" s="20">
        <v>0.69728312284624838</v>
      </c>
      <c r="H48" s="38"/>
      <c r="J48" s="38"/>
    </row>
    <row r="49" spans="2:10" x14ac:dyDescent="0.2">
      <c r="B49" s="19">
        <v>25</v>
      </c>
      <c r="C49" s="43">
        <f t="shared" si="1"/>
        <v>0.44650830505447409</v>
      </c>
      <c r="D49" s="19">
        <v>7.3046238743475406E-2</v>
      </c>
      <c r="E49" s="43">
        <v>4.5905175709907271E-2</v>
      </c>
      <c r="F49" s="20">
        <v>0.71050272104534196</v>
      </c>
      <c r="H49" s="38"/>
      <c r="J49" s="38"/>
    </row>
    <row r="50" spans="2:10" x14ac:dyDescent="0.2">
      <c r="B50" s="19">
        <v>26</v>
      </c>
      <c r="C50" s="43">
        <f t="shared" si="1"/>
        <v>0.46436863725665301</v>
      </c>
      <c r="D50" s="19">
        <v>6.9659815418716103E-2</v>
      </c>
      <c r="E50" s="43">
        <v>4.477122964425307E-2</v>
      </c>
      <c r="F50" s="20">
        <v>0.72251385129627366</v>
      </c>
      <c r="H50" s="38"/>
      <c r="J50" s="38"/>
    </row>
    <row r="51" spans="2:10" x14ac:dyDescent="0.2">
      <c r="B51" s="19">
        <v>27</v>
      </c>
      <c r="C51" s="43">
        <f t="shared" si="1"/>
        <v>0.48222896945883198</v>
      </c>
      <c r="D51" s="19">
        <v>6.6227430577614307E-2</v>
      </c>
      <c r="E51" s="43">
        <v>4.3553553662657195E-2</v>
      </c>
      <c r="F51" s="20">
        <v>0.73327622918475832</v>
      </c>
      <c r="H51" s="38"/>
      <c r="J51" s="38"/>
    </row>
    <row r="52" spans="2:10" x14ac:dyDescent="0.2">
      <c r="B52" s="19">
        <v>28</v>
      </c>
      <c r="C52" s="43">
        <f t="shared" si="1"/>
        <v>0.50008930166101095</v>
      </c>
      <c r="D52" s="19">
        <v>6.2749833362113094E-2</v>
      </c>
      <c r="E52" s="43">
        <v>4.2250078583909931E-2</v>
      </c>
      <c r="F52" s="20">
        <v>0.74273282789477613</v>
      </c>
      <c r="H52" s="38"/>
      <c r="J52" s="38"/>
    </row>
    <row r="53" spans="2:10" x14ac:dyDescent="0.2">
      <c r="B53" s="19">
        <v>29</v>
      </c>
      <c r="C53" s="43">
        <f t="shared" si="1"/>
        <v>0.51794963386318993</v>
      </c>
      <c r="D53" s="19">
        <v>5.9227772381406377E-2</v>
      </c>
      <c r="E53" s="43">
        <v>4.0858794452282646E-2</v>
      </c>
      <c r="F53" s="20">
        <v>0.750805387939388</v>
      </c>
      <c r="H53" s="38"/>
      <c r="J53" s="38"/>
    </row>
    <row r="54" spans="2:10" x14ac:dyDescent="0.2">
      <c r="B54" s="19">
        <v>30</v>
      </c>
      <c r="C54" s="43">
        <f t="shared" si="1"/>
        <v>0.5358099660653689</v>
      </c>
      <c r="D54" s="19">
        <v>5.5661987509543508E-2</v>
      </c>
      <c r="E54" s="43">
        <v>3.937774944449788E-2</v>
      </c>
      <c r="F54" s="20">
        <v>0.75738832359264596</v>
      </c>
      <c r="H54" s="38"/>
      <c r="J54" s="38"/>
    </row>
    <row r="55" spans="2:10" x14ac:dyDescent="0.2">
      <c r="B55" s="19">
        <v>31</v>
      </c>
      <c r="C55" s="43">
        <f t="shared" si="1"/>
        <v>0.55367029826754788</v>
      </c>
      <c r="D55" s="19">
        <v>5.2053213750376616E-2</v>
      </c>
      <c r="E55" s="43">
        <v>3.7805053446073308E-2</v>
      </c>
      <c r="F55" s="20">
        <v>0.76234036870403954</v>
      </c>
      <c r="H55" s="38"/>
      <c r="J55" s="38"/>
    </row>
    <row r="56" spans="2:10" x14ac:dyDescent="0.2">
      <c r="B56" s="19">
        <v>32</v>
      </c>
      <c r="C56" s="43">
        <f t="shared" si="1"/>
        <v>0.57153063046972685</v>
      </c>
      <c r="D56" s="19">
        <v>4.8402174324246629E-2</v>
      </c>
      <c r="E56" s="43">
        <v>3.6138876930226757E-2</v>
      </c>
      <c r="F56" s="20">
        <v>0.76547274175265079</v>
      </c>
      <c r="H56" s="38"/>
      <c r="J56" s="38"/>
    </row>
    <row r="57" spans="2:10" x14ac:dyDescent="0.2">
      <c r="B57" s="19">
        <v>33</v>
      </c>
      <c r="C57" s="43">
        <f t="shared" si="1"/>
        <v>0.58939096267190572</v>
      </c>
      <c r="D57" s="19">
        <v>4.4709578491025227E-2</v>
      </c>
      <c r="E57" s="43">
        <v>3.4377451150045792E-2</v>
      </c>
      <c r="F57" s="20">
        <v>0.76653214900853361</v>
      </c>
      <c r="H57" s="38"/>
      <c r="J57" s="38"/>
    </row>
    <row r="58" spans="2:10" x14ac:dyDescent="0.2">
      <c r="B58" s="19">
        <v>34</v>
      </c>
      <c r="C58" s="43">
        <f t="shared" si="1"/>
        <v>0.60725129487408469</v>
      </c>
      <c r="D58" s="19">
        <v>4.1543323116758443E-2</v>
      </c>
      <c r="E58" s="43">
        <v>3.3208413976648005E-2</v>
      </c>
      <c r="F58" s="20">
        <v>0.75966400484418584</v>
      </c>
      <c r="H58" s="38"/>
      <c r="J58" s="38"/>
    </row>
    <row r="59" spans="2:10" x14ac:dyDescent="0.2">
      <c r="B59" s="19">
        <v>35</v>
      </c>
      <c r="C59" s="43">
        <f t="shared" si="1"/>
        <v>0.62511162707626367</v>
      </c>
      <c r="D59" s="19">
        <v>3.7971951154892644E-2</v>
      </c>
      <c r="E59" s="43">
        <v>3.1260643752866954E-2</v>
      </c>
      <c r="F59" s="20">
        <v>0.75931603831793859</v>
      </c>
      <c r="H59" s="38"/>
      <c r="J59" s="38"/>
    </row>
    <row r="60" spans="2:10" x14ac:dyDescent="0.2">
      <c r="B60" s="19">
        <v>36</v>
      </c>
      <c r="C60" s="43">
        <f t="shared" si="1"/>
        <v>0.64297195927844264</v>
      </c>
      <c r="D60" s="19">
        <v>3.4366650775569448E-2</v>
      </c>
      <c r="E60" s="43">
        <v>2.9215999168895716E-2</v>
      </c>
      <c r="F60" s="20">
        <v>0.75632507569793639</v>
      </c>
      <c r="H60" s="38"/>
      <c r="J60" s="38"/>
    </row>
    <row r="61" spans="2:10" x14ac:dyDescent="0.2">
      <c r="B61" s="19">
        <v>37</v>
      </c>
      <c r="C61" s="43">
        <f t="shared" si="1"/>
        <v>0.66083229148062161</v>
      </c>
      <c r="D61" s="19">
        <v>3.0728073222855617E-2</v>
      </c>
      <c r="E61" s="43">
        <v>2.7073060859561449E-2</v>
      </c>
      <c r="F61" s="20">
        <v>0.7500482913985862</v>
      </c>
      <c r="H61" s="38"/>
      <c r="J61" s="38"/>
    </row>
    <row r="62" spans="2:10" x14ac:dyDescent="0.2">
      <c r="B62" s="19">
        <v>38</v>
      </c>
      <c r="C62" s="43">
        <f t="shared" si="1"/>
        <v>0.67869262368280059</v>
      </c>
      <c r="D62" s="19">
        <v>2.7056837308200583E-2</v>
      </c>
      <c r="E62" s="43">
        <v>2.4830454913392794E-2</v>
      </c>
      <c r="F62" s="20">
        <v>0.73954649503246694</v>
      </c>
      <c r="H62" s="38"/>
      <c r="J62" s="38"/>
    </row>
    <row r="63" spans="2:10" x14ac:dyDescent="0.2">
      <c r="B63" s="19">
        <v>39</v>
      </c>
      <c r="C63" s="43">
        <f t="shared" si="1"/>
        <v>0.69655295588497956</v>
      </c>
      <c r="D63" s="19">
        <v>2.3353540249377965E-2</v>
      </c>
      <c r="E63" s="43">
        <v>2.24868576646267E-2</v>
      </c>
      <c r="F63" s="20">
        <v>0.72339931766776311</v>
      </c>
      <c r="H63" s="38"/>
      <c r="J63" s="38"/>
    </row>
    <row r="64" spans="2:10" x14ac:dyDescent="0.2">
      <c r="B64" s="19">
        <v>40</v>
      </c>
      <c r="C64" s="43">
        <f t="shared" si="1"/>
        <v>0.71441328808715854</v>
      </c>
      <c r="D64" s="19">
        <v>1.9618751498962167E-2</v>
      </c>
      <c r="E64" s="43">
        <v>2.0040991672569414E-2</v>
      </c>
      <c r="F64" s="20">
        <v>0.69936143857204069</v>
      </c>
      <c r="H64" s="38"/>
      <c r="J64" s="38"/>
    </row>
    <row r="65" spans="2:10" x14ac:dyDescent="0.2">
      <c r="B65" s="19">
        <v>41</v>
      </c>
      <c r="C65" s="43">
        <f t="shared" si="1"/>
        <v>0.73227362028933751</v>
      </c>
      <c r="D65" s="19">
        <v>1.5853013965171921E-2</v>
      </c>
      <c r="E65" s="43">
        <v>1.7491624618448474E-2</v>
      </c>
      <c r="F65" s="20">
        <v>0.66367442601815763</v>
      </c>
      <c r="H65" s="38"/>
      <c r="J65" s="38"/>
    </row>
    <row r="66" spans="2:10" x14ac:dyDescent="0.2">
      <c r="B66" s="19">
        <v>42</v>
      </c>
      <c r="C66" s="43">
        <f t="shared" si="1"/>
        <v>0.75013395249151638</v>
      </c>
      <c r="D66" s="19">
        <v>1.2056846041127757E-2</v>
      </c>
      <c r="E66" s="43">
        <v>1.4837569799811086E-2</v>
      </c>
      <c r="F66" s="20">
        <v>0.60955060009409423</v>
      </c>
      <c r="H66" s="38"/>
      <c r="J66" s="38"/>
    </row>
    <row r="67" spans="2:10" x14ac:dyDescent="0.2">
      <c r="B67" s="19">
        <v>43</v>
      </c>
      <c r="C67" s="43">
        <f t="shared" si="1"/>
        <v>0.76799428469369535</v>
      </c>
      <c r="D67" s="19">
        <v>9.478771566653544E-3</v>
      </c>
      <c r="E67" s="43">
        <v>1.3969921951479934E-2</v>
      </c>
      <c r="F67" s="20">
        <v>0.52109399139025547</v>
      </c>
      <c r="H67" s="38"/>
      <c r="J67" s="38"/>
    </row>
    <row r="68" spans="2:10" x14ac:dyDescent="0.2">
      <c r="B68" s="19">
        <v>44</v>
      </c>
      <c r="C68" s="43">
        <f t="shared" si="1"/>
        <v>0.78585461689587432</v>
      </c>
      <c r="D68" s="19">
        <v>5.9745670722236117E-3</v>
      </c>
      <c r="E68" s="43">
        <v>1.113815586381486E-2</v>
      </c>
      <c r="F68" s="20">
        <v>0.42153666864317774</v>
      </c>
      <c r="H68" s="38"/>
      <c r="J68" s="38"/>
    </row>
    <row r="69" spans="2:10" x14ac:dyDescent="0.2">
      <c r="B69" s="39">
        <v>45</v>
      </c>
      <c r="C69" s="44">
        <f t="shared" si="1"/>
        <v>0.8037149490980533</v>
      </c>
      <c r="D69" s="39">
        <v>2.4488326488181986E-3</v>
      </c>
      <c r="E69" s="44">
        <v>8.2051630940321672E-3</v>
      </c>
      <c r="F69" s="22">
        <v>0.2398688953698028</v>
      </c>
      <c r="H69" s="38"/>
      <c r="J69" s="38"/>
    </row>
  </sheetData>
  <mergeCells count="2">
    <mergeCell ref="C2:F2"/>
    <mergeCell ref="B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BEMT</vt:lpstr>
      <vt:lpstr>airfoil_tables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2024-12-27T14:03:13Z</dcterms:created>
  <dcterms:modified xsi:type="dcterms:W3CDTF">2024-12-30T13:56:53Z</dcterms:modified>
</cp:coreProperties>
</file>