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mtow_estimation/"/>
    </mc:Choice>
  </mc:AlternateContent>
  <xr:revisionPtr revIDLastSave="0" documentId="13_ncr:1_{08EA976C-9526-1C40-9A30-6F785362C26A}" xr6:coauthVersionLast="47" xr6:coauthVersionMax="47" xr10:uidLastSave="{00000000-0000-0000-0000-000000000000}"/>
  <bookViews>
    <workbookView xWindow="0" yWindow="740" windowWidth="30240" windowHeight="18900" xr2:uid="{843CD013-835A-1741-B375-CD508AE79BD2}"/>
  </bookViews>
  <sheets>
    <sheet name="multirotor_fidelity0" sheetId="13" r:id="rId1"/>
    <sheet name="multirotor_fidelity1" sheetId="14" r:id="rId2"/>
    <sheet name="multirotor_fidelity2" sheetId="9" r:id="rId3"/>
    <sheet name="lift+cruise_fidelity0" sheetId="12" r:id="rId4"/>
    <sheet name="lift+cruise_fidelity1" sheetId="15" r:id="rId5"/>
    <sheet name="lift+cruise_fidelity2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3" l="1"/>
  <c r="G7" i="13"/>
  <c r="O20" i="14"/>
  <c r="O21" i="14" s="1"/>
  <c r="G8" i="15"/>
  <c r="G7" i="15"/>
  <c r="O21" i="15"/>
  <c r="O19" i="15"/>
  <c r="O5" i="15"/>
  <c r="AH4" i="15"/>
  <c r="AD4" i="15"/>
  <c r="G7" i="14"/>
  <c r="G8" i="14" s="1"/>
  <c r="O8" i="14"/>
  <c r="O4" i="14"/>
  <c r="AH4" i="14"/>
  <c r="AD4" i="14"/>
  <c r="C55" i="15"/>
  <c r="C54" i="15"/>
  <c r="C50" i="15"/>
  <c r="C49" i="15"/>
  <c r="AR44" i="15"/>
  <c r="AQ44" i="15"/>
  <c r="AR43" i="15"/>
  <c r="AQ43" i="15"/>
  <c r="AR42" i="15"/>
  <c r="AQ42" i="15"/>
  <c r="AR41" i="15"/>
  <c r="AQ41" i="15"/>
  <c r="AR40" i="15"/>
  <c r="AQ40" i="15"/>
  <c r="AR39" i="15"/>
  <c r="AQ39" i="15"/>
  <c r="C40" i="15"/>
  <c r="AR38" i="15"/>
  <c r="AQ38" i="15"/>
  <c r="AR37" i="15"/>
  <c r="AQ37" i="15"/>
  <c r="AR36" i="15"/>
  <c r="AQ36" i="15"/>
  <c r="AR35" i="15"/>
  <c r="AQ35" i="15"/>
  <c r="AR34" i="15"/>
  <c r="AQ34" i="15"/>
  <c r="AR33" i="15"/>
  <c r="AQ33" i="15"/>
  <c r="AR32" i="15"/>
  <c r="AQ32" i="15"/>
  <c r="AR31" i="15"/>
  <c r="AQ31" i="15"/>
  <c r="AR30" i="15"/>
  <c r="AQ30" i="15"/>
  <c r="AR29" i="15"/>
  <c r="AQ29" i="15"/>
  <c r="AR28" i="15"/>
  <c r="AQ28" i="15"/>
  <c r="AR27" i="15"/>
  <c r="AQ27" i="15"/>
  <c r="AR26" i="15"/>
  <c r="AQ26" i="15"/>
  <c r="AR25" i="15"/>
  <c r="AQ25" i="15"/>
  <c r="AR24" i="15"/>
  <c r="AQ24" i="15"/>
  <c r="G28" i="15"/>
  <c r="AR23" i="15"/>
  <c r="AQ23" i="15"/>
  <c r="G27" i="15"/>
  <c r="AR22" i="15"/>
  <c r="AQ22" i="15"/>
  <c r="AR21" i="15"/>
  <c r="AQ21" i="15"/>
  <c r="S21" i="15"/>
  <c r="AR20" i="15"/>
  <c r="AQ20" i="15"/>
  <c r="AR19" i="15"/>
  <c r="AQ19" i="15"/>
  <c r="S19" i="15"/>
  <c r="S22" i="15" s="1"/>
  <c r="AR18" i="15"/>
  <c r="AQ18" i="15"/>
  <c r="AR17" i="15"/>
  <c r="AQ17" i="15"/>
  <c r="AR16" i="15"/>
  <c r="AQ16" i="15"/>
  <c r="C17" i="15"/>
  <c r="K42" i="15" s="1"/>
  <c r="AR15" i="15"/>
  <c r="AQ15" i="15"/>
  <c r="AR14" i="15"/>
  <c r="AQ14" i="15"/>
  <c r="G18" i="15"/>
  <c r="G19" i="15" s="1"/>
  <c r="AR13" i="15"/>
  <c r="AQ13" i="15"/>
  <c r="G17" i="15"/>
  <c r="AR12" i="15"/>
  <c r="AQ12" i="15"/>
  <c r="AR11" i="15"/>
  <c r="AQ11" i="15"/>
  <c r="S11" i="15"/>
  <c r="C12" i="15"/>
  <c r="C30" i="15" s="1"/>
  <c r="AR10" i="15"/>
  <c r="AQ10" i="15"/>
  <c r="AR9" i="15"/>
  <c r="AQ9" i="15"/>
  <c r="C10" i="15"/>
  <c r="C24" i="15" s="1"/>
  <c r="AR8" i="15"/>
  <c r="AQ8" i="15"/>
  <c r="AR7" i="15"/>
  <c r="AQ7" i="15"/>
  <c r="AR6" i="15"/>
  <c r="AQ6" i="15"/>
  <c r="AS5" i="15"/>
  <c r="AR5" i="15"/>
  <c r="AQ5" i="15"/>
  <c r="AK6" i="15" s="1"/>
  <c r="AO5" i="15"/>
  <c r="S5" i="15"/>
  <c r="G5" i="15"/>
  <c r="AH38" i="15"/>
  <c r="AD38" i="15"/>
  <c r="G4" i="15"/>
  <c r="O22" i="15" s="1"/>
  <c r="AR44" i="14"/>
  <c r="AQ44" i="14"/>
  <c r="AR43" i="14"/>
  <c r="AQ43" i="14"/>
  <c r="AR42" i="14"/>
  <c r="AQ42" i="14"/>
  <c r="AR41" i="14"/>
  <c r="AQ41" i="14"/>
  <c r="AR40" i="14"/>
  <c r="AQ40" i="14"/>
  <c r="AR39" i="14"/>
  <c r="AQ39" i="14"/>
  <c r="AR38" i="14"/>
  <c r="AQ38" i="14"/>
  <c r="AR37" i="14"/>
  <c r="AQ37" i="14"/>
  <c r="AR36" i="14"/>
  <c r="AQ36" i="14"/>
  <c r="AR35" i="14"/>
  <c r="AQ35" i="14"/>
  <c r="AR34" i="14"/>
  <c r="AQ34" i="14"/>
  <c r="AR33" i="14"/>
  <c r="AQ33" i="14"/>
  <c r="AR32" i="14"/>
  <c r="AQ32" i="14"/>
  <c r="AR31" i="14"/>
  <c r="AQ31" i="14"/>
  <c r="C32" i="14"/>
  <c r="AR30" i="14"/>
  <c r="AQ30" i="14"/>
  <c r="AR29" i="14"/>
  <c r="AQ29" i="14"/>
  <c r="C30" i="14"/>
  <c r="AR28" i="14"/>
  <c r="AQ28" i="14"/>
  <c r="AR27" i="14"/>
  <c r="AQ27" i="14"/>
  <c r="AR26" i="14"/>
  <c r="AQ26" i="14"/>
  <c r="AR25" i="14"/>
  <c r="AQ25" i="14"/>
  <c r="G28" i="14"/>
  <c r="AR24" i="14"/>
  <c r="AQ24" i="14"/>
  <c r="G27" i="14"/>
  <c r="AR23" i="14"/>
  <c r="AQ23" i="14"/>
  <c r="AR22" i="14"/>
  <c r="AQ22" i="14"/>
  <c r="AR21" i="14"/>
  <c r="AQ21" i="14"/>
  <c r="K21" i="14"/>
  <c r="AR20" i="14"/>
  <c r="AQ20" i="14"/>
  <c r="S20" i="14"/>
  <c r="G18" i="14" s="1"/>
  <c r="G19" i="14" s="1"/>
  <c r="K20" i="14"/>
  <c r="AR19" i="14"/>
  <c r="AQ19" i="14"/>
  <c r="AR18" i="14"/>
  <c r="AQ18" i="14"/>
  <c r="AR17" i="14"/>
  <c r="AQ17" i="14"/>
  <c r="AR16" i="14"/>
  <c r="AQ16" i="14"/>
  <c r="AR15" i="14"/>
  <c r="AQ15" i="14"/>
  <c r="AR14" i="14"/>
  <c r="AQ14" i="14"/>
  <c r="AR13" i="14"/>
  <c r="AQ13" i="14"/>
  <c r="AR12" i="14"/>
  <c r="AQ12" i="14"/>
  <c r="C13" i="14"/>
  <c r="AR11" i="14"/>
  <c r="AQ11" i="14"/>
  <c r="AR10" i="14"/>
  <c r="AQ10" i="14"/>
  <c r="AR9" i="14"/>
  <c r="AQ9" i="14"/>
  <c r="C10" i="14"/>
  <c r="C20" i="14" s="1"/>
  <c r="AR8" i="14"/>
  <c r="AQ8" i="14"/>
  <c r="AR7" i="14"/>
  <c r="AQ7" i="14"/>
  <c r="S7" i="14"/>
  <c r="C8" i="14"/>
  <c r="S4" i="14" s="1"/>
  <c r="AR6" i="14"/>
  <c r="AQ6" i="14"/>
  <c r="AS5" i="14"/>
  <c r="AR5" i="14"/>
  <c r="AQ5" i="14"/>
  <c r="AK6" i="14" s="1"/>
  <c r="AO5" i="14"/>
  <c r="G5" i="14"/>
  <c r="AH38" i="14"/>
  <c r="AD38" i="14"/>
  <c r="G4" i="14"/>
  <c r="C9" i="12"/>
  <c r="O11" i="12"/>
  <c r="O5" i="12"/>
  <c r="O19" i="12"/>
  <c r="O7" i="13"/>
  <c r="C8" i="13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2" i="13"/>
  <c r="AN30" i="13"/>
  <c r="AM30" i="13"/>
  <c r="AN29" i="13"/>
  <c r="AM29" i="13"/>
  <c r="C30" i="13"/>
  <c r="AN28" i="13"/>
  <c r="AM28" i="13"/>
  <c r="AN27" i="13"/>
  <c r="AM27" i="13"/>
  <c r="AN26" i="13"/>
  <c r="AM26" i="13"/>
  <c r="AN25" i="13"/>
  <c r="AM25" i="13"/>
  <c r="G26" i="13"/>
  <c r="G27" i="13" s="1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20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O4" i="13"/>
  <c r="AN6" i="13"/>
  <c r="AM6" i="13"/>
  <c r="G6" i="13"/>
  <c r="AO5" i="13"/>
  <c r="AN5" i="13"/>
  <c r="AI6" i="13" s="1"/>
  <c r="AM5" i="13"/>
  <c r="AG6" i="13" s="1"/>
  <c r="AK5" i="13"/>
  <c r="G5" i="13"/>
  <c r="AD4" i="13"/>
  <c r="Z4" i="13"/>
  <c r="G4" i="13"/>
  <c r="O25" i="15" l="1"/>
  <c r="G6" i="15"/>
  <c r="AM6" i="15"/>
  <c r="AO6" i="15" s="1"/>
  <c r="AK7" i="15" s="1"/>
  <c r="S25" i="15"/>
  <c r="G29" i="15"/>
  <c r="K11" i="15" s="1"/>
  <c r="G29" i="14"/>
  <c r="G6" i="14"/>
  <c r="AM6" i="14"/>
  <c r="AS6" i="14" s="1"/>
  <c r="G17" i="14"/>
  <c r="K9" i="14" s="1"/>
  <c r="K31" i="14"/>
  <c r="AO6" i="13"/>
  <c r="AK6" i="13"/>
  <c r="AG7" i="13" s="1"/>
  <c r="G15" i="13"/>
  <c r="K9" i="13" s="1"/>
  <c r="K31" i="13"/>
  <c r="AM7" i="15" l="1"/>
  <c r="AO7" i="15" s="1"/>
  <c r="AM8" i="15" s="1"/>
  <c r="AM9" i="15" s="1"/>
  <c r="AS6" i="15"/>
  <c r="AM7" i="14"/>
  <c r="AO6" i="14"/>
  <c r="AK7" i="14" s="1"/>
  <c r="AK8" i="14" s="1"/>
  <c r="AK8" i="15"/>
  <c r="AI7" i="13"/>
  <c r="AK7" i="13" s="1"/>
  <c r="AI8" i="13" s="1"/>
  <c r="AS7" i="15" l="1"/>
  <c r="AS7" i="14"/>
  <c r="AS8" i="15"/>
  <c r="AO7" i="14"/>
  <c r="AM8" i="14" s="1"/>
  <c r="AO8" i="14" s="1"/>
  <c r="AK9" i="14" s="1"/>
  <c r="AO8" i="15"/>
  <c r="AK9" i="15" s="1"/>
  <c r="AS9" i="15" s="1"/>
  <c r="AM10" i="15"/>
  <c r="AO7" i="13"/>
  <c r="AG8" i="13"/>
  <c r="AK8" i="13" s="1"/>
  <c r="AM9" i="14" l="1"/>
  <c r="AS9" i="14" s="1"/>
  <c r="AS8" i="14"/>
  <c r="AO9" i="15"/>
  <c r="AK10" i="15" s="1"/>
  <c r="AO10" i="15" s="1"/>
  <c r="AK11" i="15" s="1"/>
  <c r="AK12" i="15" s="1"/>
  <c r="AM11" i="15"/>
  <c r="AM10" i="14"/>
  <c r="AO9" i="14"/>
  <c r="AK10" i="14" s="1"/>
  <c r="AO8" i="13"/>
  <c r="AI9" i="13"/>
  <c r="AG9" i="13"/>
  <c r="AO10" i="14" l="1"/>
  <c r="AK11" i="14" s="1"/>
  <c r="AS10" i="15"/>
  <c r="AS11" i="15"/>
  <c r="AO11" i="15"/>
  <c r="AM12" i="15" s="1"/>
  <c r="AS10" i="14"/>
  <c r="AM11" i="14"/>
  <c r="AK9" i="13"/>
  <c r="AO9" i="13"/>
  <c r="AS11" i="14" l="1"/>
  <c r="AS12" i="15"/>
  <c r="AM13" i="15"/>
  <c r="AO12" i="15"/>
  <c r="AK13" i="15" s="1"/>
  <c r="AO11" i="14"/>
  <c r="AG10" i="13"/>
  <c r="AI10" i="13"/>
  <c r="AM12" i="14" l="1"/>
  <c r="AK12" i="14"/>
  <c r="AO13" i="15"/>
  <c r="AM14" i="15" s="1"/>
  <c r="AK14" i="15"/>
  <c r="AS13" i="15"/>
  <c r="AO10" i="13"/>
  <c r="AK10" i="13"/>
  <c r="AG11" i="13" s="1"/>
  <c r="AS12" i="14" l="1"/>
  <c r="AO12" i="14"/>
  <c r="AK13" i="14" s="1"/>
  <c r="AO14" i="15"/>
  <c r="AK15" i="15" s="1"/>
  <c r="AS14" i="15"/>
  <c r="AM15" i="15"/>
  <c r="AI11" i="13"/>
  <c r="AK11" i="13" s="1"/>
  <c r="AM13" i="14" l="1"/>
  <c r="AO13" i="14" s="1"/>
  <c r="AM14" i="14" s="1"/>
  <c r="AS15" i="15"/>
  <c r="AM16" i="15"/>
  <c r="AO15" i="15"/>
  <c r="AK16" i="15" s="1"/>
  <c r="AO11" i="13"/>
  <c r="AG12" i="13"/>
  <c r="AI12" i="13"/>
  <c r="AK14" i="14" l="1"/>
  <c r="AO14" i="14" s="1"/>
  <c r="AS13" i="14"/>
  <c r="AO16" i="15"/>
  <c r="AK17" i="15" s="1"/>
  <c r="AS16" i="15"/>
  <c r="AM17" i="15"/>
  <c r="AO12" i="13"/>
  <c r="AK12" i="13"/>
  <c r="AI13" i="13" s="1"/>
  <c r="AS14" i="14" l="1"/>
  <c r="AK15" i="14"/>
  <c r="AM15" i="14"/>
  <c r="AS17" i="15"/>
  <c r="AO17" i="15"/>
  <c r="AM18" i="15" s="1"/>
  <c r="AG13" i="13"/>
  <c r="AK13" i="13" s="1"/>
  <c r="AI14" i="13" s="1"/>
  <c r="AS15" i="14" l="1"/>
  <c r="AO15" i="14"/>
  <c r="AK16" i="14" s="1"/>
  <c r="AM16" i="14"/>
  <c r="AK18" i="15"/>
  <c r="AO18" i="15" s="1"/>
  <c r="AK17" i="14"/>
  <c r="AO13" i="13"/>
  <c r="AG14" i="13"/>
  <c r="AO14" i="13" s="1"/>
  <c r="AO16" i="14" l="1"/>
  <c r="AM17" i="14" s="1"/>
  <c r="AS17" i="14" s="1"/>
  <c r="AS16" i="14"/>
  <c r="AS18" i="15"/>
  <c r="AK19" i="15"/>
  <c r="AM19" i="15"/>
  <c r="AK14" i="13"/>
  <c r="AG15" i="13" s="1"/>
  <c r="AI15" i="13"/>
  <c r="AM18" i="14" l="1"/>
  <c r="AO17" i="14"/>
  <c r="AK18" i="14" s="1"/>
  <c r="AS18" i="14" s="1"/>
  <c r="AS19" i="15"/>
  <c r="AO19" i="15"/>
  <c r="AK20" i="15" s="1"/>
  <c r="AM20" i="15"/>
  <c r="AM19" i="14"/>
  <c r="AK15" i="13"/>
  <c r="AO15" i="13"/>
  <c r="AO18" i="14" l="1"/>
  <c r="AK19" i="14" s="1"/>
  <c r="AS19" i="14" s="1"/>
  <c r="AS20" i="15"/>
  <c r="AO20" i="15"/>
  <c r="AK21" i="15" s="1"/>
  <c r="AK22" i="15" s="1"/>
  <c r="AM21" i="15"/>
  <c r="AG16" i="13"/>
  <c r="AI16" i="13"/>
  <c r="AO19" i="14" l="1"/>
  <c r="AK20" i="14" s="1"/>
  <c r="AM20" i="14"/>
  <c r="AO21" i="15"/>
  <c r="AM22" i="15" s="1"/>
  <c r="AO22" i="15" s="1"/>
  <c r="AK23" i="15" s="1"/>
  <c r="AS21" i="15"/>
  <c r="AK21" i="14"/>
  <c r="AO16" i="13"/>
  <c r="AK16" i="13"/>
  <c r="AO20" i="14" l="1"/>
  <c r="AM21" i="14" s="1"/>
  <c r="AO21" i="14" s="1"/>
  <c r="AM22" i="14" s="1"/>
  <c r="AM23" i="15"/>
  <c r="AS23" i="15" s="1"/>
  <c r="AS20" i="14"/>
  <c r="AS22" i="15"/>
  <c r="AS21" i="14"/>
  <c r="AG17" i="13"/>
  <c r="AI17" i="13"/>
  <c r="AO23" i="15" l="1"/>
  <c r="AK24" i="15" s="1"/>
  <c r="AK22" i="14"/>
  <c r="AS22" i="14" s="1"/>
  <c r="AK17" i="13"/>
  <c r="AO17" i="13"/>
  <c r="AM24" i="15" l="1"/>
  <c r="AO24" i="15" s="1"/>
  <c r="AM25" i="15" s="1"/>
  <c r="AO22" i="14"/>
  <c r="AI18" i="13"/>
  <c r="AG18" i="13"/>
  <c r="AS24" i="15" l="1"/>
  <c r="AK25" i="15"/>
  <c r="AO25" i="15" s="1"/>
  <c r="AM26" i="15" s="1"/>
  <c r="AK23" i="14"/>
  <c r="AM23" i="14"/>
  <c r="AK18" i="13"/>
  <c r="AG19" i="13" s="1"/>
  <c r="AI19" i="13"/>
  <c r="AO18" i="13"/>
  <c r="AK26" i="15" l="1"/>
  <c r="AS26" i="15" s="1"/>
  <c r="AS25" i="15"/>
  <c r="AS23" i="14"/>
  <c r="AO23" i="14"/>
  <c r="AO19" i="13"/>
  <c r="AK19" i="13"/>
  <c r="AO26" i="15" l="1"/>
  <c r="AK27" i="15" s="1"/>
  <c r="AK24" i="14"/>
  <c r="AM24" i="14"/>
  <c r="AG20" i="13"/>
  <c r="AI20" i="13"/>
  <c r="AM27" i="15" l="1"/>
  <c r="AO27" i="15" s="1"/>
  <c r="AK28" i="15" s="1"/>
  <c r="AS24" i="14"/>
  <c r="AO24" i="14"/>
  <c r="AO20" i="13"/>
  <c r="AK20" i="13"/>
  <c r="AS27" i="15" l="1"/>
  <c r="AM28" i="15"/>
  <c r="AS28" i="15" s="1"/>
  <c r="AM25" i="14"/>
  <c r="AK25" i="14"/>
  <c r="AG21" i="13"/>
  <c r="AI21" i="13"/>
  <c r="AO28" i="15" l="1"/>
  <c r="AK29" i="15" s="1"/>
  <c r="AM29" i="15"/>
  <c r="AM30" i="15" s="1"/>
  <c r="AO25" i="14"/>
  <c r="AK26" i="14" s="1"/>
  <c r="AM26" i="14"/>
  <c r="AS25" i="14"/>
  <c r="AO21" i="13"/>
  <c r="AK21" i="13"/>
  <c r="AO29" i="15" l="1"/>
  <c r="AK30" i="15" s="1"/>
  <c r="AS30" i="15" s="1"/>
  <c r="AS29" i="15"/>
  <c r="AO26" i="14"/>
  <c r="AK27" i="14"/>
  <c r="AM27" i="14"/>
  <c r="AS26" i="14"/>
  <c r="AG22" i="13"/>
  <c r="AI22" i="13"/>
  <c r="AS27" i="14" l="1"/>
  <c r="AO30" i="15"/>
  <c r="AK31" i="15"/>
  <c r="AM31" i="15"/>
  <c r="AO27" i="14"/>
  <c r="AO22" i="13"/>
  <c r="AK22" i="13"/>
  <c r="AM32" i="15" l="1"/>
  <c r="AS31" i="15"/>
  <c r="AO31" i="15"/>
  <c r="AK32" i="15" s="1"/>
  <c r="AM28" i="14"/>
  <c r="AK28" i="14"/>
  <c r="AG23" i="13"/>
  <c r="AI23" i="13"/>
  <c r="AO28" i="14" l="1"/>
  <c r="AM29" i="14" s="1"/>
  <c r="AM30" i="14" s="1"/>
  <c r="AS32" i="15"/>
  <c r="AO32" i="15"/>
  <c r="AK29" i="14"/>
  <c r="AS28" i="14"/>
  <c r="AO23" i="13"/>
  <c r="AK23" i="13"/>
  <c r="AM33" i="15" l="1"/>
  <c r="AK33" i="15"/>
  <c r="AO29" i="14"/>
  <c r="AK30" i="14" s="1"/>
  <c r="AS30" i="14" s="1"/>
  <c r="AS29" i="14"/>
  <c r="AG24" i="13"/>
  <c r="AI24" i="13"/>
  <c r="AO30" i="14" l="1"/>
  <c r="AM31" i="14" s="1"/>
  <c r="AO33" i="15"/>
  <c r="AK34" i="15" s="1"/>
  <c r="AK35" i="15" s="1"/>
  <c r="AS33" i="15"/>
  <c r="AM34" i="15"/>
  <c r="AK31" i="14"/>
  <c r="AO24" i="13"/>
  <c r="AK24" i="13"/>
  <c r="AS34" i="15" l="1"/>
  <c r="AO34" i="15"/>
  <c r="AM35" i="15" s="1"/>
  <c r="AO35" i="15" s="1"/>
  <c r="AK36" i="15" s="1"/>
  <c r="AK37" i="15" s="1"/>
  <c r="AO31" i="14"/>
  <c r="AM32" i="14" s="1"/>
  <c r="AK32" i="14"/>
  <c r="AS31" i="14"/>
  <c r="AI25" i="13"/>
  <c r="AG25" i="13"/>
  <c r="AM36" i="15" l="1"/>
  <c r="AO36" i="15" s="1"/>
  <c r="AM37" i="15" s="1"/>
  <c r="AS35" i="15"/>
  <c r="AO32" i="14"/>
  <c r="AK33" i="14" s="1"/>
  <c r="AM33" i="14"/>
  <c r="AS32" i="14"/>
  <c r="AK25" i="13"/>
  <c r="AI26" i="13" s="1"/>
  <c r="AG26" i="13"/>
  <c r="AO25" i="13"/>
  <c r="AS36" i="15" l="1"/>
  <c r="AO37" i="15"/>
  <c r="AK38" i="15" s="1"/>
  <c r="AS37" i="15"/>
  <c r="AM38" i="15"/>
  <c r="AS33" i="14"/>
  <c r="AO33" i="14"/>
  <c r="AO26" i="13"/>
  <c r="AK26" i="13"/>
  <c r="AM39" i="15" l="1"/>
  <c r="AS38" i="15"/>
  <c r="AO38" i="15"/>
  <c r="AK39" i="15" s="1"/>
  <c r="AM34" i="14"/>
  <c r="AK34" i="14"/>
  <c r="AI27" i="13"/>
  <c r="AG27" i="13"/>
  <c r="AO39" i="15" l="1"/>
  <c r="AK40" i="15" s="1"/>
  <c r="AM40" i="15"/>
  <c r="AS39" i="15"/>
  <c r="AO34" i="14"/>
  <c r="AK35" i="14" s="1"/>
  <c r="AM35" i="14"/>
  <c r="AS34" i="14"/>
  <c r="AK27" i="13"/>
  <c r="AI28" i="13" s="1"/>
  <c r="AO27" i="13"/>
  <c r="AS40" i="15" l="1"/>
  <c r="AO40" i="15"/>
  <c r="AG28" i="13"/>
  <c r="AO28" i="13" s="1"/>
  <c r="AS35" i="14"/>
  <c r="AO35" i="14"/>
  <c r="AM41" i="15" l="1"/>
  <c r="AM42" i="15" s="1"/>
  <c r="AK41" i="15"/>
  <c r="AK28" i="13"/>
  <c r="AG29" i="13" s="1"/>
  <c r="AM36" i="14"/>
  <c r="AK36" i="14"/>
  <c r="AI29" i="13"/>
  <c r="AS41" i="15" l="1"/>
  <c r="AO41" i="15"/>
  <c r="AK42" i="15" s="1"/>
  <c r="O7" i="15"/>
  <c r="O9" i="15" s="1"/>
  <c r="AO36" i="14"/>
  <c r="AK37" i="14" s="1"/>
  <c r="AM37" i="14"/>
  <c r="AS36" i="14"/>
  <c r="O9" i="14"/>
  <c r="O10" i="14" s="1"/>
  <c r="AK29" i="13"/>
  <c r="AO29" i="13"/>
  <c r="AO42" i="15" l="1"/>
  <c r="AM43" i="15" s="1"/>
  <c r="AS42" i="15"/>
  <c r="AK43" i="15"/>
  <c r="O10" i="15"/>
  <c r="O12" i="15"/>
  <c r="AS37" i="14"/>
  <c r="AO37" i="14"/>
  <c r="O18" i="14"/>
  <c r="O24" i="14" s="1"/>
  <c r="AG30" i="13"/>
  <c r="AI30" i="13"/>
  <c r="AM44" i="15" l="1"/>
  <c r="AS43" i="15"/>
  <c r="AO43" i="15"/>
  <c r="AK44" i="15" s="1"/>
  <c r="O14" i="15"/>
  <c r="AK38" i="14"/>
  <c r="AM38" i="14"/>
  <c r="AK30" i="13"/>
  <c r="AO30" i="13"/>
  <c r="AO44" i="15" l="1"/>
  <c r="C5" i="15" s="1"/>
  <c r="K14" i="15" s="1"/>
  <c r="AS44" i="15"/>
  <c r="AS38" i="14"/>
  <c r="AO38" i="14"/>
  <c r="AG31" i="13"/>
  <c r="AI31" i="13"/>
  <c r="K29" i="15" l="1"/>
  <c r="K22" i="15"/>
  <c r="G13" i="15"/>
  <c r="K21" i="15"/>
  <c r="K26" i="15"/>
  <c r="G30" i="15"/>
  <c r="O16" i="15"/>
  <c r="K28" i="15"/>
  <c r="K27" i="15"/>
  <c r="K23" i="15"/>
  <c r="K34" i="15"/>
  <c r="K24" i="15"/>
  <c r="G33" i="15"/>
  <c r="G31" i="15" s="1"/>
  <c r="K20" i="15"/>
  <c r="S6" i="15"/>
  <c r="S7" i="15" s="1"/>
  <c r="S9" i="15" s="1"/>
  <c r="S10" i="15" s="1"/>
  <c r="S4" i="15"/>
  <c r="S12" i="15" s="1"/>
  <c r="G9" i="15"/>
  <c r="O20" i="15"/>
  <c r="O23" i="15" s="1"/>
  <c r="AM39" i="14"/>
  <c r="AK39" i="14"/>
  <c r="AK31" i="13"/>
  <c r="AO31" i="13"/>
  <c r="AO39" i="14" l="1"/>
  <c r="O28" i="15"/>
  <c r="O30" i="15" s="1"/>
  <c r="K38" i="15"/>
  <c r="S13" i="15"/>
  <c r="S14" i="15" s="1"/>
  <c r="K46" i="15"/>
  <c r="G32" i="15"/>
  <c r="AE4" i="15"/>
  <c r="AA4" i="15"/>
  <c r="AC4" i="15"/>
  <c r="AK40" i="14"/>
  <c r="AM40" i="14"/>
  <c r="AS39" i="14"/>
  <c r="AG32" i="13"/>
  <c r="AI32" i="13"/>
  <c r="AG4" i="15" l="1"/>
  <c r="AB5" i="15" s="1"/>
  <c r="AC5" i="15" s="1"/>
  <c r="AF4" i="15"/>
  <c r="Z5" i="15" s="1"/>
  <c r="AA5" i="15" s="1"/>
  <c r="S16" i="15"/>
  <c r="S15" i="15"/>
  <c r="S20" i="15"/>
  <c r="AS40" i="14"/>
  <c r="AO40" i="14"/>
  <c r="AO32" i="13"/>
  <c r="AK32" i="13"/>
  <c r="AD5" i="15" l="1"/>
  <c r="AH5" i="15"/>
  <c r="S23" i="15"/>
  <c r="G20" i="15"/>
  <c r="S28" i="15"/>
  <c r="S30" i="15" s="1"/>
  <c r="K16" i="15"/>
  <c r="AE5" i="15"/>
  <c r="AG5" i="15" s="1"/>
  <c r="AB6" i="15" s="1"/>
  <c r="AC6" i="15" s="1"/>
  <c r="AK41" i="14"/>
  <c r="AM41" i="14"/>
  <c r="AG33" i="13"/>
  <c r="AI33" i="13"/>
  <c r="AE38" i="15" l="1"/>
  <c r="AC38" i="15"/>
  <c r="AA38" i="15"/>
  <c r="G23" i="15"/>
  <c r="AF5" i="15"/>
  <c r="Z6" i="15" s="1"/>
  <c r="AH6" i="15" s="1"/>
  <c r="AS41" i="14"/>
  <c r="AO41" i="14"/>
  <c r="AK33" i="13"/>
  <c r="AO33" i="13"/>
  <c r="AG38" i="15" l="1"/>
  <c r="AB39" i="15" s="1"/>
  <c r="AF38" i="15"/>
  <c r="Z39" i="15" s="1"/>
  <c r="AA6" i="15"/>
  <c r="AD6" i="15"/>
  <c r="AE6" i="15" s="1"/>
  <c r="AG6" i="15" s="1"/>
  <c r="AB7" i="15" s="1"/>
  <c r="AC7" i="15" s="1"/>
  <c r="AM42" i="14"/>
  <c r="AK42" i="14"/>
  <c r="AG34" i="13"/>
  <c r="AI34" i="13"/>
  <c r="AH39" i="15" l="1"/>
  <c r="AC39" i="15"/>
  <c r="AA39" i="15"/>
  <c r="AD39" i="15"/>
  <c r="AE39" i="15" s="1"/>
  <c r="AF6" i="15"/>
  <c r="Z7" i="15" s="1"/>
  <c r="AH7" i="15" s="1"/>
  <c r="AO42" i="14"/>
  <c r="AK43" i="14" s="1"/>
  <c r="AM43" i="14"/>
  <c r="AS42" i="14"/>
  <c r="AO34" i="13"/>
  <c r="AK34" i="13"/>
  <c r="AF39" i="15" l="1"/>
  <c r="Z40" i="15" s="1"/>
  <c r="AA40" i="15" s="1"/>
  <c r="AG39" i="15"/>
  <c r="AB40" i="15" s="1"/>
  <c r="AS43" i="14"/>
  <c r="AD7" i="15"/>
  <c r="AE7" i="15" s="1"/>
  <c r="AG7" i="15" s="1"/>
  <c r="AB8" i="15" s="1"/>
  <c r="AC8" i="15" s="1"/>
  <c r="AA7" i="15"/>
  <c r="AO43" i="14"/>
  <c r="AG35" i="13"/>
  <c r="AI35" i="13"/>
  <c r="AD40" i="15" l="1"/>
  <c r="AE40" i="15" s="1"/>
  <c r="AF40" i="15" s="1"/>
  <c r="Z41" i="15" s="1"/>
  <c r="AH40" i="15"/>
  <c r="AC40" i="15"/>
  <c r="AG40" i="15" s="1"/>
  <c r="AB41" i="15" s="1"/>
  <c r="AF7" i="15"/>
  <c r="Z8" i="15" s="1"/>
  <c r="AK44" i="14"/>
  <c r="AM44" i="14"/>
  <c r="AO35" i="13"/>
  <c r="AK35" i="13"/>
  <c r="AC41" i="15" l="1"/>
  <c r="AH41" i="15"/>
  <c r="AA41" i="15"/>
  <c r="AD41" i="15"/>
  <c r="AE41" i="15" s="1"/>
  <c r="AF41" i="15" s="1"/>
  <c r="Z42" i="15" s="1"/>
  <c r="AA8" i="15"/>
  <c r="AD8" i="15"/>
  <c r="AH8" i="15"/>
  <c r="AO44" i="14"/>
  <c r="C5" i="14" s="1"/>
  <c r="AS44" i="14"/>
  <c r="AG36" i="13"/>
  <c r="AI36" i="13"/>
  <c r="AG41" i="15" l="1"/>
  <c r="AB42" i="15" s="1"/>
  <c r="AH42" i="15" s="1"/>
  <c r="AA42" i="15"/>
  <c r="AE8" i="15"/>
  <c r="AG8" i="15" s="1"/>
  <c r="AB9" i="15" s="1"/>
  <c r="G13" i="14"/>
  <c r="K18" i="14"/>
  <c r="K12" i="14"/>
  <c r="G9" i="14"/>
  <c r="G33" i="14"/>
  <c r="G31" i="14" s="1"/>
  <c r="K39" i="14"/>
  <c r="K19" i="14"/>
  <c r="K23" i="14"/>
  <c r="K47" i="14"/>
  <c r="S5" i="14"/>
  <c r="S6" i="14" s="1"/>
  <c r="S8" i="14" s="1"/>
  <c r="K26" i="14"/>
  <c r="K25" i="14"/>
  <c r="G30" i="14"/>
  <c r="K24" i="14"/>
  <c r="O14" i="14"/>
  <c r="O19" i="14" s="1"/>
  <c r="AO36" i="13"/>
  <c r="AK36" i="13"/>
  <c r="AD42" i="15" l="1"/>
  <c r="AE42" i="15" s="1"/>
  <c r="AF42" i="15" s="1"/>
  <c r="Z43" i="15" s="1"/>
  <c r="AA43" i="15" s="1"/>
  <c r="AC42" i="15"/>
  <c r="AC9" i="15"/>
  <c r="AF8" i="15"/>
  <c r="Z9" i="15" s="1"/>
  <c r="S11" i="14"/>
  <c r="S9" i="14"/>
  <c r="S10" i="14" s="1"/>
  <c r="S14" i="14" s="1"/>
  <c r="K35" i="14"/>
  <c r="K43" i="14"/>
  <c r="O22" i="14"/>
  <c r="O27" i="14"/>
  <c r="O29" i="14" s="1"/>
  <c r="G32" i="14"/>
  <c r="AG37" i="13"/>
  <c r="AI37" i="13"/>
  <c r="AG42" i="15" l="1"/>
  <c r="AB43" i="15" s="1"/>
  <c r="AD43" i="15" s="1"/>
  <c r="AE43" i="15" s="1"/>
  <c r="AF43" i="15" s="1"/>
  <c r="Z44" i="15" s="1"/>
  <c r="AA44" i="15" s="1"/>
  <c r="AD9" i="15"/>
  <c r="AA9" i="15"/>
  <c r="AH9" i="15"/>
  <c r="AC4" i="14"/>
  <c r="AE4" i="14"/>
  <c r="AA4" i="14"/>
  <c r="S15" i="14"/>
  <c r="S18" i="14" s="1"/>
  <c r="S21" i="14" s="1"/>
  <c r="S24" i="14" s="1"/>
  <c r="S19" i="14"/>
  <c r="AO37" i="13"/>
  <c r="AK37" i="13"/>
  <c r="AC43" i="15" l="1"/>
  <c r="AH43" i="15"/>
  <c r="AG43" i="15"/>
  <c r="AB44" i="15" s="1"/>
  <c r="AD44" i="15" s="1"/>
  <c r="AE44" i="15" s="1"/>
  <c r="AF44" i="15" s="1"/>
  <c r="Z45" i="15" s="1"/>
  <c r="AA45" i="15" s="1"/>
  <c r="AE9" i="15"/>
  <c r="AF9" i="15" s="1"/>
  <c r="Z10" i="15" s="1"/>
  <c r="AF4" i="14"/>
  <c r="Z5" i="14" s="1"/>
  <c r="AA5" i="14" s="1"/>
  <c r="S22" i="14"/>
  <c r="G23" i="14" s="1"/>
  <c r="G20" i="14"/>
  <c r="K14" i="14"/>
  <c r="K15" i="14" s="1"/>
  <c r="S27" i="14"/>
  <c r="S29" i="14" s="1"/>
  <c r="AA38" i="14"/>
  <c r="AE38" i="14"/>
  <c r="AG4" i="14"/>
  <c r="AB5" i="14" s="1"/>
  <c r="AI38" i="13"/>
  <c r="AG38" i="13"/>
  <c r="AH44" i="15" l="1"/>
  <c r="AC44" i="15"/>
  <c r="AG44" i="15" s="1"/>
  <c r="AB45" i="15" s="1"/>
  <c r="AH45" i="15" s="1"/>
  <c r="AC38" i="14"/>
  <c r="AG38" i="14" s="1"/>
  <c r="AB39" i="14" s="1"/>
  <c r="AC39" i="14" s="1"/>
  <c r="AA10" i="15"/>
  <c r="AG9" i="15"/>
  <c r="AB10" i="15" s="1"/>
  <c r="AD5" i="14"/>
  <c r="AE5" i="14" s="1"/>
  <c r="AF5" i="14" s="1"/>
  <c r="Z6" i="14" s="1"/>
  <c r="AF38" i="14"/>
  <c r="Z39" i="14" s="1"/>
  <c r="AC5" i="14"/>
  <c r="AH5" i="14"/>
  <c r="AK38" i="13"/>
  <c r="AI39" i="13" s="1"/>
  <c r="AO38" i="13"/>
  <c r="AC45" i="15" l="1"/>
  <c r="AD45" i="15"/>
  <c r="AE45" i="15" s="1"/>
  <c r="AF45" i="15" s="1"/>
  <c r="Z46" i="15" s="1"/>
  <c r="AA46" i="15" s="1"/>
  <c r="AG39" i="13"/>
  <c r="AO39" i="13" s="1"/>
  <c r="AG5" i="14"/>
  <c r="AB6" i="14" s="1"/>
  <c r="AD6" i="14" s="1"/>
  <c r="AE6" i="14" s="1"/>
  <c r="AC10" i="15"/>
  <c r="AH10" i="15"/>
  <c r="AD10" i="15"/>
  <c r="AE10" i="15" s="1"/>
  <c r="AF10" i="15" s="1"/>
  <c r="Z11" i="15" s="1"/>
  <c r="AA6" i="14"/>
  <c r="AD39" i="14"/>
  <c r="AE39" i="14" s="1"/>
  <c r="AG39" i="14" s="1"/>
  <c r="AB40" i="14" s="1"/>
  <c r="AA39" i="14"/>
  <c r="AH39" i="14"/>
  <c r="AG45" i="15" l="1"/>
  <c r="AB46" i="15" s="1"/>
  <c r="AD46" i="15" s="1"/>
  <c r="AE46" i="15" s="1"/>
  <c r="AF46" i="15" s="1"/>
  <c r="Z47" i="15" s="1"/>
  <c r="AA47" i="15" s="1"/>
  <c r="AK39" i="13"/>
  <c r="AG40" i="13" s="1"/>
  <c r="AH6" i="14"/>
  <c r="AC6" i="14"/>
  <c r="AG6" i="14" s="1"/>
  <c r="AB7" i="14" s="1"/>
  <c r="AC7" i="14" s="1"/>
  <c r="AA11" i="15"/>
  <c r="AG10" i="15"/>
  <c r="AB11" i="15" s="1"/>
  <c r="AF6" i="14"/>
  <c r="Z7" i="14" s="1"/>
  <c r="AA7" i="14" s="1"/>
  <c r="AF39" i="14"/>
  <c r="Z40" i="14" s="1"/>
  <c r="AD40" i="14" s="1"/>
  <c r="AE40" i="14" s="1"/>
  <c r="AC40" i="14"/>
  <c r="AI40" i="13"/>
  <c r="AC46" i="15" l="1"/>
  <c r="AG46" i="15" s="1"/>
  <c r="AB47" i="15" s="1"/>
  <c r="AC47" i="15" s="1"/>
  <c r="AH46" i="15"/>
  <c r="AH40" i="14"/>
  <c r="AA40" i="14"/>
  <c r="AF40" i="14" s="1"/>
  <c r="Z41" i="14" s="1"/>
  <c r="AG40" i="14"/>
  <c r="AB41" i="14" s="1"/>
  <c r="AC11" i="15"/>
  <c r="AH11" i="15"/>
  <c r="AD11" i="15"/>
  <c r="AD7" i="14"/>
  <c r="AE7" i="14" s="1"/>
  <c r="AG7" i="14" s="1"/>
  <c r="AB8" i="14" s="1"/>
  <c r="AH7" i="14"/>
  <c r="AC41" i="14"/>
  <c r="AO40" i="13"/>
  <c r="AK40" i="13"/>
  <c r="AH47" i="15" l="1"/>
  <c r="AD47" i="15"/>
  <c r="AE47" i="15" s="1"/>
  <c r="AF47" i="15" s="1"/>
  <c r="Z48" i="15" s="1"/>
  <c r="AA48" i="15" s="1"/>
  <c r="AE11" i="15"/>
  <c r="AF11" i="15" s="1"/>
  <c r="Z12" i="15" s="1"/>
  <c r="AF7" i="14"/>
  <c r="Z8" i="14" s="1"/>
  <c r="AA8" i="14" s="1"/>
  <c r="AC8" i="14"/>
  <c r="AD41" i="14"/>
  <c r="AE41" i="14" s="1"/>
  <c r="AG41" i="14" s="1"/>
  <c r="AB42" i="14" s="1"/>
  <c r="AA41" i="14"/>
  <c r="AH41" i="14"/>
  <c r="AD8" i="14"/>
  <c r="AE8" i="14" s="1"/>
  <c r="AG47" i="15"/>
  <c r="AB48" i="15" s="1"/>
  <c r="AI41" i="13"/>
  <c r="AG41" i="13"/>
  <c r="AF8" i="14" l="1"/>
  <c r="Z9" i="14" s="1"/>
  <c r="AA9" i="14" s="1"/>
  <c r="AA12" i="15"/>
  <c r="AG11" i="15"/>
  <c r="AB12" i="15" s="1"/>
  <c r="AH8" i="14"/>
  <c r="AC42" i="14"/>
  <c r="AG8" i="14"/>
  <c r="AB9" i="14" s="1"/>
  <c r="AF41" i="14"/>
  <c r="Z42" i="14" s="1"/>
  <c r="AH48" i="15"/>
  <c r="AC48" i="15"/>
  <c r="AD48" i="15"/>
  <c r="AE48" i="15" s="1"/>
  <c r="AF48" i="15" s="1"/>
  <c r="Z49" i="15" s="1"/>
  <c r="AK41" i="13"/>
  <c r="AI42" i="13" s="1"/>
  <c r="AG42" i="13"/>
  <c r="AO41" i="13"/>
  <c r="AC12" i="15" l="1"/>
  <c r="AH12" i="15"/>
  <c r="AD12" i="15"/>
  <c r="AE12" i="15" s="1"/>
  <c r="AF12" i="15" s="1"/>
  <c r="Z13" i="15" s="1"/>
  <c r="AA42" i="14"/>
  <c r="AD42" i="14"/>
  <c r="AE42" i="14" s="1"/>
  <c r="AG42" i="14" s="1"/>
  <c r="AB43" i="14" s="1"/>
  <c r="AD9" i="14"/>
  <c r="AE9" i="14" s="1"/>
  <c r="AF9" i="14" s="1"/>
  <c r="Z10" i="14" s="1"/>
  <c r="AH9" i="14"/>
  <c r="AC9" i="14"/>
  <c r="AH42" i="14"/>
  <c r="AG48" i="15"/>
  <c r="AB49" i="15" s="1"/>
  <c r="AC49" i="15" s="1"/>
  <c r="AA49" i="15"/>
  <c r="AK42" i="13"/>
  <c r="AG43" i="13" s="1"/>
  <c r="AO42" i="13"/>
  <c r="AI43" i="13" l="1"/>
  <c r="AK43" i="13" s="1"/>
  <c r="AG44" i="13" s="1"/>
  <c r="AA13" i="15"/>
  <c r="AG12" i="15"/>
  <c r="AB13" i="15" s="1"/>
  <c r="AG9" i="14"/>
  <c r="AB10" i="14" s="1"/>
  <c r="AH10" i="14" s="1"/>
  <c r="AC43" i="14"/>
  <c r="AA10" i="14"/>
  <c r="AD10" i="14"/>
  <c r="AE10" i="14" s="1"/>
  <c r="AF42" i="14"/>
  <c r="Z43" i="14" s="1"/>
  <c r="AH49" i="15"/>
  <c r="AD49" i="15"/>
  <c r="AE49" i="15" s="1"/>
  <c r="AG49" i="15" s="1"/>
  <c r="AB50" i="15" s="1"/>
  <c r="AC50" i="15" s="1"/>
  <c r="AO43" i="13" l="1"/>
  <c r="AC10" i="14"/>
  <c r="AI44" i="13"/>
  <c r="AK44" i="13" s="1"/>
  <c r="AC13" i="15"/>
  <c r="AH13" i="15"/>
  <c r="AD13" i="15"/>
  <c r="AF10" i="14"/>
  <c r="Z11" i="14" s="1"/>
  <c r="AA11" i="14" s="1"/>
  <c r="AA43" i="14"/>
  <c r="AD43" i="14"/>
  <c r="AE43" i="14" s="1"/>
  <c r="AG10" i="14"/>
  <c r="AB11" i="14" s="1"/>
  <c r="AH43" i="14"/>
  <c r="AF49" i="15"/>
  <c r="Z50" i="15" s="1"/>
  <c r="AA50" i="15" s="1"/>
  <c r="AO44" i="13" l="1"/>
  <c r="AE13" i="15"/>
  <c r="AF13" i="15" s="1"/>
  <c r="Z14" i="15" s="1"/>
  <c r="AF43" i="14"/>
  <c r="Z44" i="14" s="1"/>
  <c r="AA44" i="14" s="1"/>
  <c r="AD50" i="15"/>
  <c r="AE50" i="15" s="1"/>
  <c r="AF50" i="15" s="1"/>
  <c r="Z51" i="15" s="1"/>
  <c r="AA51" i="15" s="1"/>
  <c r="AH50" i="15"/>
  <c r="AG43" i="14"/>
  <c r="AB44" i="14" s="1"/>
  <c r="AC44" i="14" s="1"/>
  <c r="AH11" i="14"/>
  <c r="AC11" i="14"/>
  <c r="AD11" i="14"/>
  <c r="AE11" i="14" s="1"/>
  <c r="C5" i="13"/>
  <c r="AA14" i="15" l="1"/>
  <c r="AG13" i="15"/>
  <c r="AB14" i="15" s="1"/>
  <c r="AD44" i="14"/>
  <c r="AE44" i="14" s="1"/>
  <c r="AG44" i="14" s="1"/>
  <c r="AB45" i="14" s="1"/>
  <c r="AH44" i="14"/>
  <c r="AG11" i="14"/>
  <c r="AB12" i="14" s="1"/>
  <c r="AC12" i="14" s="1"/>
  <c r="AF11" i="14"/>
  <c r="Z12" i="14" s="1"/>
  <c r="AG50" i="15"/>
  <c r="AB51" i="15" s="1"/>
  <c r="AH51" i="15" s="1"/>
  <c r="K25" i="13"/>
  <c r="G12" i="13"/>
  <c r="G10" i="13" s="1"/>
  <c r="G9" i="13"/>
  <c r="K19" i="13"/>
  <c r="K47" i="13"/>
  <c r="O5" i="13"/>
  <c r="O6" i="13" s="1"/>
  <c r="O8" i="13" s="1"/>
  <c r="O11" i="13" s="1"/>
  <c r="G28" i="13"/>
  <c r="K18" i="13"/>
  <c r="G31" i="13"/>
  <c r="G29" i="13" s="1"/>
  <c r="K39" i="13"/>
  <c r="K24" i="13"/>
  <c r="K12" i="13"/>
  <c r="K23" i="13"/>
  <c r="K26" i="13"/>
  <c r="AF44" i="14" l="1"/>
  <c r="Z45" i="14" s="1"/>
  <c r="AH45" i="14" s="1"/>
  <c r="AD12" i="14"/>
  <c r="AE12" i="14" s="1"/>
  <c r="AG12" i="14" s="1"/>
  <c r="AB13" i="14" s="1"/>
  <c r="AH12" i="14"/>
  <c r="AA12" i="14"/>
  <c r="AC14" i="15"/>
  <c r="AH14" i="15"/>
  <c r="AD14" i="15"/>
  <c r="AD51" i="15"/>
  <c r="AE51" i="15" s="1"/>
  <c r="AF51" i="15" s="1"/>
  <c r="Z52" i="15" s="1"/>
  <c r="AA52" i="15" s="1"/>
  <c r="AC51" i="15"/>
  <c r="AC45" i="14"/>
  <c r="G11" i="13"/>
  <c r="G30" i="13"/>
  <c r="O9" i="13"/>
  <c r="O10" i="13" s="1"/>
  <c r="O14" i="13" s="1"/>
  <c r="O19" i="13" s="1"/>
  <c r="O22" i="13" s="1"/>
  <c r="G21" i="13" s="1"/>
  <c r="K22" i="13"/>
  <c r="K42" i="13" s="1"/>
  <c r="K35" i="13"/>
  <c r="K43" i="13"/>
  <c r="AA45" i="14" l="1"/>
  <c r="AD45" i="14"/>
  <c r="AE45" i="14" s="1"/>
  <c r="AF45" i="14" s="1"/>
  <c r="Z46" i="14" s="1"/>
  <c r="AF12" i="14"/>
  <c r="Z13" i="14" s="1"/>
  <c r="AD13" i="14" s="1"/>
  <c r="AE13" i="14" s="1"/>
  <c r="AE14" i="15"/>
  <c r="AF14" i="15" s="1"/>
  <c r="Z15" i="15" s="1"/>
  <c r="AG51" i="15"/>
  <c r="AB52" i="15" s="1"/>
  <c r="AC52" i="15" s="1"/>
  <c r="AC13" i="14"/>
  <c r="K34" i="13"/>
  <c r="O15" i="13"/>
  <c r="O18" i="13" s="1"/>
  <c r="O21" i="13" s="1"/>
  <c r="O24" i="13" s="1"/>
  <c r="O27" i="13" s="1"/>
  <c r="O29" i="13" s="1"/>
  <c r="K14" i="13"/>
  <c r="K15" i="13" s="1"/>
  <c r="G18" i="13"/>
  <c r="AG45" i="14" l="1"/>
  <c r="AB46" i="14" s="1"/>
  <c r="AH13" i="14"/>
  <c r="AA13" i="14"/>
  <c r="AF13" i="14" s="1"/>
  <c r="Z14" i="14" s="1"/>
  <c r="AA14" i="14" s="1"/>
  <c r="AA15" i="15"/>
  <c r="AG14" i="15"/>
  <c r="AB15" i="15" s="1"/>
  <c r="AD15" i="15" s="1"/>
  <c r="AD52" i="15"/>
  <c r="AE52" i="15" s="1"/>
  <c r="AF52" i="15" s="1"/>
  <c r="Z53" i="15" s="1"/>
  <c r="AA53" i="15" s="1"/>
  <c r="AH52" i="15"/>
  <c r="AH46" i="14"/>
  <c r="AC46" i="14"/>
  <c r="AG13" i="14"/>
  <c r="AB14" i="14" s="1"/>
  <c r="AA46" i="14"/>
  <c r="AD46" i="14"/>
  <c r="AE46" i="14" s="1"/>
  <c r="Y4" i="13"/>
  <c r="W4" i="13"/>
  <c r="AA4" i="13"/>
  <c r="AE15" i="15" l="1"/>
  <c r="AF15" i="15" s="1"/>
  <c r="Z16" i="15" s="1"/>
  <c r="AC15" i="15"/>
  <c r="AH15" i="15"/>
  <c r="AG52" i="15"/>
  <c r="AB53" i="15" s="1"/>
  <c r="AH53" i="15" s="1"/>
  <c r="AC4" i="13"/>
  <c r="X5" i="13" s="1"/>
  <c r="Y5" i="13" s="1"/>
  <c r="AF46" i="14"/>
  <c r="Z47" i="14" s="1"/>
  <c r="AA47" i="14" s="1"/>
  <c r="AC14" i="14"/>
  <c r="AH14" i="14"/>
  <c r="AD14" i="14"/>
  <c r="AE14" i="14" s="1"/>
  <c r="AG46" i="14"/>
  <c r="AB47" i="14" s="1"/>
  <c r="AB4" i="13"/>
  <c r="V5" i="13" s="1"/>
  <c r="AD5" i="13" l="1"/>
  <c r="AG15" i="15"/>
  <c r="AB16" i="15" s="1"/>
  <c r="AD16" i="15" s="1"/>
  <c r="AA16" i="15"/>
  <c r="AC16" i="15"/>
  <c r="AC53" i="15"/>
  <c r="AD53" i="15"/>
  <c r="AE53" i="15" s="1"/>
  <c r="AF53" i="15" s="1"/>
  <c r="Z54" i="15" s="1"/>
  <c r="AA54" i="15" s="1"/>
  <c r="W5" i="13"/>
  <c r="Z5" i="13"/>
  <c r="AA5" i="13" s="1"/>
  <c r="AC5" i="13" s="1"/>
  <c r="X6" i="13" s="1"/>
  <c r="Y6" i="13" s="1"/>
  <c r="AH47" i="14"/>
  <c r="AC47" i="14"/>
  <c r="AD47" i="14"/>
  <c r="AE47" i="14" s="1"/>
  <c r="AF47" i="14" s="1"/>
  <c r="Z48" i="14" s="1"/>
  <c r="AG14" i="14"/>
  <c r="AB15" i="14" s="1"/>
  <c r="AF14" i="14"/>
  <c r="Z15" i="14" s="1"/>
  <c r="AH16" i="15" l="1"/>
  <c r="AE16" i="15"/>
  <c r="AF16" i="15" s="1"/>
  <c r="Z17" i="15" s="1"/>
  <c r="AG53" i="15"/>
  <c r="AB54" i="15" s="1"/>
  <c r="AB5" i="13"/>
  <c r="V6" i="13" s="1"/>
  <c r="Z6" i="13" s="1"/>
  <c r="AA6" i="13" s="1"/>
  <c r="AC6" i="13" s="1"/>
  <c r="X7" i="13" s="1"/>
  <c r="Y7" i="13" s="1"/>
  <c r="AA15" i="14"/>
  <c r="AD15" i="14"/>
  <c r="AE15" i="14" s="1"/>
  <c r="AC15" i="14"/>
  <c r="AH15" i="14"/>
  <c r="AG47" i="14"/>
  <c r="AB48" i="14" s="1"/>
  <c r="AD48" i="14" s="1"/>
  <c r="AE48" i="14" s="1"/>
  <c r="AA48" i="14"/>
  <c r="AF15" i="14" l="1"/>
  <c r="Z16" i="14" s="1"/>
  <c r="AA17" i="15"/>
  <c r="AG16" i="15"/>
  <c r="AB17" i="15" s="1"/>
  <c r="AD17" i="15" s="1"/>
  <c r="AH54" i="15"/>
  <c r="AC54" i="15"/>
  <c r="AD54" i="15"/>
  <c r="AE54" i="15" s="1"/>
  <c r="AF54" i="15" s="1"/>
  <c r="Z55" i="15" s="1"/>
  <c r="AA55" i="15" s="1"/>
  <c r="AD6" i="13"/>
  <c r="W6" i="13"/>
  <c r="AB6" i="13" s="1"/>
  <c r="V7" i="13" s="1"/>
  <c r="Z7" i="13" s="1"/>
  <c r="AA7" i="13" s="1"/>
  <c r="AC7" i="13" s="1"/>
  <c r="X8" i="13" s="1"/>
  <c r="Y8" i="13" s="1"/>
  <c r="AF48" i="14"/>
  <c r="Z49" i="14" s="1"/>
  <c r="AA49" i="14" s="1"/>
  <c r="AG15" i="14"/>
  <c r="AB16" i="14" s="1"/>
  <c r="AC16" i="14" s="1"/>
  <c r="AC48" i="14"/>
  <c r="AG48" i="14" s="1"/>
  <c r="AB49" i="14" s="1"/>
  <c r="AH48" i="14"/>
  <c r="AA16" i="14"/>
  <c r="AD49" i="14" l="1"/>
  <c r="AE49" i="14" s="1"/>
  <c r="AF49" i="14" s="1"/>
  <c r="Z50" i="14" s="1"/>
  <c r="AA50" i="14" s="1"/>
  <c r="AE17" i="15"/>
  <c r="AF17" i="15" s="1"/>
  <c r="Z18" i="15" s="1"/>
  <c r="AC17" i="15"/>
  <c r="AH17" i="15"/>
  <c r="AG54" i="15"/>
  <c r="AB55" i="15" s="1"/>
  <c r="AD55" i="15" s="1"/>
  <c r="AE55" i="15" s="1"/>
  <c r="AF55" i="15" s="1"/>
  <c r="Z56" i="15" s="1"/>
  <c r="AA56" i="15" s="1"/>
  <c r="AH16" i="14"/>
  <c r="AD16" i="14"/>
  <c r="AE16" i="14" s="1"/>
  <c r="AG16" i="14" s="1"/>
  <c r="AB17" i="14" s="1"/>
  <c r="W7" i="13"/>
  <c r="AB7" i="13" s="1"/>
  <c r="V8" i="13" s="1"/>
  <c r="Z8" i="13" s="1"/>
  <c r="AA8" i="13" s="1"/>
  <c r="AC8" i="13" s="1"/>
  <c r="X9" i="13" s="1"/>
  <c r="Y9" i="13" s="1"/>
  <c r="AD7" i="13"/>
  <c r="AC49" i="14"/>
  <c r="AG49" i="14" s="1"/>
  <c r="AB50" i="14" s="1"/>
  <c r="AH49" i="14"/>
  <c r="AD50" i="14" l="1"/>
  <c r="AE50" i="14" s="1"/>
  <c r="AF50" i="14" s="1"/>
  <c r="Z51" i="14" s="1"/>
  <c r="AA51" i="14" s="1"/>
  <c r="AG17" i="15"/>
  <c r="AB18" i="15" s="1"/>
  <c r="AC18" i="15" s="1"/>
  <c r="AA18" i="15"/>
  <c r="AC55" i="15"/>
  <c r="AG55" i="15" s="1"/>
  <c r="AB56" i="15" s="1"/>
  <c r="AH56" i="15" s="1"/>
  <c r="AH55" i="15"/>
  <c r="AC50" i="14"/>
  <c r="AH50" i="14"/>
  <c r="AC17" i="14"/>
  <c r="AF16" i="14"/>
  <c r="Z17" i="14" s="1"/>
  <c r="AH17" i="14" s="1"/>
  <c r="AD8" i="13"/>
  <c r="W8" i="13"/>
  <c r="AB8" i="13" s="1"/>
  <c r="V9" i="13" s="1"/>
  <c r="Z9" i="13" s="1"/>
  <c r="AA9" i="13" s="1"/>
  <c r="AC9" i="13" s="1"/>
  <c r="X10" i="13" s="1"/>
  <c r="AG50" i="14" l="1"/>
  <c r="AB51" i="14" s="1"/>
  <c r="AH51" i="14" s="1"/>
  <c r="AD18" i="15"/>
  <c r="AE18" i="15" s="1"/>
  <c r="AG18" i="15" s="1"/>
  <c r="AB19" i="15" s="1"/>
  <c r="AH18" i="15"/>
  <c r="AC56" i="15"/>
  <c r="AD56" i="15"/>
  <c r="AE56" i="15" s="1"/>
  <c r="AF56" i="15" s="1"/>
  <c r="Z57" i="15" s="1"/>
  <c r="AA57" i="15" s="1"/>
  <c r="AC51" i="14"/>
  <c r="AD51" i="14"/>
  <c r="AE51" i="14" s="1"/>
  <c r="AF51" i="14" s="1"/>
  <c r="Z52" i="14" s="1"/>
  <c r="AA17" i="14"/>
  <c r="AD17" i="14"/>
  <c r="W9" i="13"/>
  <c r="AB9" i="13" s="1"/>
  <c r="V10" i="13" s="1"/>
  <c r="W10" i="13" s="1"/>
  <c r="AD9" i="13"/>
  <c r="Y10" i="13"/>
  <c r="AC19" i="15" l="1"/>
  <c r="AF18" i="15"/>
  <c r="Z19" i="15" s="1"/>
  <c r="AH19" i="15" s="1"/>
  <c r="AG56" i="15"/>
  <c r="AB57" i="15" s="1"/>
  <c r="AH57" i="15" s="1"/>
  <c r="AG51" i="14"/>
  <c r="AB52" i="14" s="1"/>
  <c r="AD52" i="14" s="1"/>
  <c r="AE52" i="14" s="1"/>
  <c r="AA52" i="14"/>
  <c r="AE17" i="14"/>
  <c r="AG17" i="14" s="1"/>
  <c r="AB18" i="14" s="1"/>
  <c r="Z10" i="13"/>
  <c r="AA10" i="13" s="1"/>
  <c r="AB10" i="13" s="1"/>
  <c r="V11" i="13" s="1"/>
  <c r="W11" i="13" s="1"/>
  <c r="AD10" i="13"/>
  <c r="AD57" i="15" l="1"/>
  <c r="AE57" i="15" s="1"/>
  <c r="AF57" i="15" s="1"/>
  <c r="Z58" i="15" s="1"/>
  <c r="AA58" i="15" s="1"/>
  <c r="AC57" i="15"/>
  <c r="AD19" i="15"/>
  <c r="AA19" i="15"/>
  <c r="AF52" i="14"/>
  <c r="Z53" i="14" s="1"/>
  <c r="AA53" i="14" s="1"/>
  <c r="AH52" i="14"/>
  <c r="AC52" i="14"/>
  <c r="AG52" i="14" s="1"/>
  <c r="AB53" i="14" s="1"/>
  <c r="AC18" i="14"/>
  <c r="AF17" i="14"/>
  <c r="Z18" i="14" s="1"/>
  <c r="AC10" i="13"/>
  <c r="X11" i="13" s="1"/>
  <c r="AD11" i="13" s="1"/>
  <c r="AG57" i="15" l="1"/>
  <c r="AB58" i="15" s="1"/>
  <c r="AH58" i="15" s="1"/>
  <c r="AE19" i="15"/>
  <c r="AF19" i="15" s="1"/>
  <c r="Z20" i="15" s="1"/>
  <c r="AH53" i="14"/>
  <c r="AC53" i="14"/>
  <c r="AD53" i="14"/>
  <c r="AE53" i="14" s="1"/>
  <c r="AF53" i="14" s="1"/>
  <c r="Z54" i="14" s="1"/>
  <c r="AA54" i="14" s="1"/>
  <c r="AA18" i="14"/>
  <c r="AD18" i="14"/>
  <c r="AH18" i="14"/>
  <c r="Z11" i="13"/>
  <c r="AA11" i="13" s="1"/>
  <c r="AB11" i="13" s="1"/>
  <c r="V12" i="13" s="1"/>
  <c r="W12" i="13" s="1"/>
  <c r="Y11" i="13"/>
  <c r="AD58" i="15" l="1"/>
  <c r="AE58" i="15" s="1"/>
  <c r="AF58" i="15" s="1"/>
  <c r="Z59" i="15" s="1"/>
  <c r="AA59" i="15" s="1"/>
  <c r="AC58" i="15"/>
  <c r="AA20" i="15"/>
  <c r="AG19" i="15"/>
  <c r="AB20" i="15" s="1"/>
  <c r="AC20" i="15" s="1"/>
  <c r="AG53" i="14"/>
  <c r="AB54" i="14" s="1"/>
  <c r="AE18" i="14"/>
  <c r="AG18" i="14" s="1"/>
  <c r="AB19" i="14" s="1"/>
  <c r="AC11" i="13"/>
  <c r="X12" i="13" s="1"/>
  <c r="AD12" i="13" s="1"/>
  <c r="AG58" i="15" l="1"/>
  <c r="AB59" i="15" s="1"/>
  <c r="AD20" i="15"/>
  <c r="AH20" i="15"/>
  <c r="AD54" i="14"/>
  <c r="AE54" i="14" s="1"/>
  <c r="AF54" i="14" s="1"/>
  <c r="Z55" i="14" s="1"/>
  <c r="AH54" i="14"/>
  <c r="AC54" i="14"/>
  <c r="AC19" i="14"/>
  <c r="AF18" i="14"/>
  <c r="Z19" i="14" s="1"/>
  <c r="AH59" i="15"/>
  <c r="AC59" i="15"/>
  <c r="AD59" i="15"/>
  <c r="AE59" i="15" s="1"/>
  <c r="AF59" i="15" s="1"/>
  <c r="Z60" i="15" s="1"/>
  <c r="Z12" i="13"/>
  <c r="AA12" i="13" s="1"/>
  <c r="AB12" i="13" s="1"/>
  <c r="V13" i="13" s="1"/>
  <c r="W13" i="13" s="1"/>
  <c r="Y12" i="13"/>
  <c r="AE20" i="15" l="1"/>
  <c r="AG20" i="15" s="1"/>
  <c r="AB21" i="15" s="1"/>
  <c r="AG54" i="14"/>
  <c r="AB55" i="14" s="1"/>
  <c r="AC55" i="14" s="1"/>
  <c r="AA55" i="14"/>
  <c r="AA19" i="14"/>
  <c r="AD19" i="14"/>
  <c r="AH19" i="14"/>
  <c r="AA60" i="15"/>
  <c r="AG59" i="15"/>
  <c r="AB60" i="15" s="1"/>
  <c r="AC12" i="13"/>
  <c r="X13" i="13" s="1"/>
  <c r="Y13" i="13" s="1"/>
  <c r="AC21" i="15" l="1"/>
  <c r="AF20" i="15"/>
  <c r="Z21" i="15" s="1"/>
  <c r="AH21" i="15" s="1"/>
  <c r="AD55" i="14"/>
  <c r="AE55" i="14" s="1"/>
  <c r="AF55" i="14" s="1"/>
  <c r="Z56" i="14" s="1"/>
  <c r="AA56" i="14" s="1"/>
  <c r="AH55" i="14"/>
  <c r="AE19" i="14"/>
  <c r="AG19" i="14" s="1"/>
  <c r="AB20" i="14" s="1"/>
  <c r="AH60" i="15"/>
  <c r="AC60" i="15"/>
  <c r="AD60" i="15"/>
  <c r="AE60" i="15" s="1"/>
  <c r="AF60" i="15" s="1"/>
  <c r="Z61" i="15" s="1"/>
  <c r="Z13" i="13"/>
  <c r="AA13" i="13" s="1"/>
  <c r="AB13" i="13" s="1"/>
  <c r="V14" i="13" s="1"/>
  <c r="W14" i="13" s="1"/>
  <c r="AD13" i="13"/>
  <c r="AA21" i="15" l="1"/>
  <c r="AD21" i="15"/>
  <c r="AG55" i="14"/>
  <c r="AB56" i="14" s="1"/>
  <c r="AC56" i="14" s="1"/>
  <c r="AC20" i="14"/>
  <c r="AF19" i="14"/>
  <c r="Z20" i="14" s="1"/>
  <c r="AA61" i="15"/>
  <c r="AG60" i="15"/>
  <c r="AB61" i="15" s="1"/>
  <c r="AC13" i="13"/>
  <c r="X14" i="13" s="1"/>
  <c r="Y14" i="13" s="1"/>
  <c r="AD56" i="14" l="1"/>
  <c r="AE56" i="14" s="1"/>
  <c r="AF56" i="14" s="1"/>
  <c r="Z57" i="14" s="1"/>
  <c r="AA57" i="14" s="1"/>
  <c r="AH56" i="14"/>
  <c r="AE21" i="15"/>
  <c r="AG21" i="15" s="1"/>
  <c r="AB22" i="15" s="1"/>
  <c r="AA20" i="14"/>
  <c r="AD20" i="14"/>
  <c r="AH20" i="14"/>
  <c r="AH61" i="15"/>
  <c r="AC61" i="15"/>
  <c r="AD61" i="15"/>
  <c r="AE61" i="15" s="1"/>
  <c r="AF61" i="15" s="1"/>
  <c r="Z62" i="15" s="1"/>
  <c r="Z14" i="13"/>
  <c r="AA14" i="13" s="1"/>
  <c r="AB14" i="13" s="1"/>
  <c r="V15" i="13" s="1"/>
  <c r="W15" i="13" s="1"/>
  <c r="AD14" i="13"/>
  <c r="AG56" i="14" l="1"/>
  <c r="AB57" i="14" s="1"/>
  <c r="AD57" i="14" s="1"/>
  <c r="AE57" i="14" s="1"/>
  <c r="AF57" i="14" s="1"/>
  <c r="Z58" i="14" s="1"/>
  <c r="AA58" i="14" s="1"/>
  <c r="AC22" i="15"/>
  <c r="AF21" i="15"/>
  <c r="Z22" i="15" s="1"/>
  <c r="AE20" i="14"/>
  <c r="AG20" i="14" s="1"/>
  <c r="AB21" i="14" s="1"/>
  <c r="AA62" i="15"/>
  <c r="AG61" i="15"/>
  <c r="AB62" i="15" s="1"/>
  <c r="AC14" i="13"/>
  <c r="X15" i="13" s="1"/>
  <c r="AD15" i="13" s="1"/>
  <c r="AH57" i="14" l="1"/>
  <c r="AC57" i="14"/>
  <c r="AG57" i="14" s="1"/>
  <c r="AB58" i="14" s="1"/>
  <c r="AH58" i="14" s="1"/>
  <c r="AA22" i="15"/>
  <c r="AD22" i="15"/>
  <c r="AH22" i="15"/>
  <c r="AC21" i="14"/>
  <c r="AF20" i="14"/>
  <c r="Z21" i="14" s="1"/>
  <c r="AH62" i="15"/>
  <c r="AC62" i="15"/>
  <c r="AD62" i="15"/>
  <c r="AE62" i="15" s="1"/>
  <c r="AF62" i="15" s="1"/>
  <c r="Z63" i="15" s="1"/>
  <c r="Z15" i="13"/>
  <c r="AA15" i="13" s="1"/>
  <c r="AB15" i="13" s="1"/>
  <c r="V16" i="13" s="1"/>
  <c r="W16" i="13" s="1"/>
  <c r="Y15" i="13"/>
  <c r="AD58" i="14" l="1"/>
  <c r="AE58" i="14" s="1"/>
  <c r="AF58" i="14" s="1"/>
  <c r="Z59" i="14" s="1"/>
  <c r="AA59" i="14" s="1"/>
  <c r="AC58" i="14"/>
  <c r="AE22" i="15"/>
  <c r="AG22" i="15" s="1"/>
  <c r="AB23" i="15" s="1"/>
  <c r="AA21" i="14"/>
  <c r="AD21" i="14"/>
  <c r="AH21" i="14"/>
  <c r="AA63" i="15"/>
  <c r="AG62" i="15"/>
  <c r="AB63" i="15" s="1"/>
  <c r="AC15" i="13"/>
  <c r="X16" i="13" s="1"/>
  <c r="AD16" i="13" s="1"/>
  <c r="AG58" i="14" l="1"/>
  <c r="AB59" i="14" s="1"/>
  <c r="AD59" i="14" s="1"/>
  <c r="AE59" i="14" s="1"/>
  <c r="AF59" i="14" s="1"/>
  <c r="Z60" i="14" s="1"/>
  <c r="AA60" i="14" s="1"/>
  <c r="AC23" i="15"/>
  <c r="AF22" i="15"/>
  <c r="Z23" i="15" s="1"/>
  <c r="AH23" i="15" s="1"/>
  <c r="AE21" i="14"/>
  <c r="AG21" i="14" s="1"/>
  <c r="AB22" i="14" s="1"/>
  <c r="AH63" i="15"/>
  <c r="AC63" i="15"/>
  <c r="AD63" i="15"/>
  <c r="AE63" i="15" s="1"/>
  <c r="AF63" i="15" s="1"/>
  <c r="Z64" i="15" s="1"/>
  <c r="Z16" i="13"/>
  <c r="AA16" i="13" s="1"/>
  <c r="AB16" i="13" s="1"/>
  <c r="V17" i="13" s="1"/>
  <c r="W17" i="13" s="1"/>
  <c r="Y16" i="13"/>
  <c r="AC59" i="14" l="1"/>
  <c r="AG59" i="14" s="1"/>
  <c r="AB60" i="14" s="1"/>
  <c r="AD60" i="14" s="1"/>
  <c r="AE60" i="14" s="1"/>
  <c r="AF60" i="14" s="1"/>
  <c r="Z61" i="14" s="1"/>
  <c r="AA61" i="14" s="1"/>
  <c r="AH59" i="14"/>
  <c r="AA23" i="15"/>
  <c r="AD23" i="15"/>
  <c r="AC22" i="14"/>
  <c r="AF21" i="14"/>
  <c r="Z22" i="14" s="1"/>
  <c r="AH22" i="14" s="1"/>
  <c r="AA64" i="15"/>
  <c r="AG63" i="15"/>
  <c r="AB64" i="15" s="1"/>
  <c r="AC16" i="13"/>
  <c r="X17" i="13" s="1"/>
  <c r="Z17" i="13" s="1"/>
  <c r="AA17" i="13" s="1"/>
  <c r="AB17" i="13" s="1"/>
  <c r="V18" i="13" s="1"/>
  <c r="W18" i="13" s="1"/>
  <c r="AC60" i="14" l="1"/>
  <c r="AG60" i="14" s="1"/>
  <c r="AB61" i="14" s="1"/>
  <c r="AH60" i="14"/>
  <c r="AE23" i="15"/>
  <c r="AG23" i="15" s="1"/>
  <c r="AB24" i="15" s="1"/>
  <c r="AA22" i="14"/>
  <c r="AD22" i="14"/>
  <c r="AH64" i="15"/>
  <c r="AC64" i="15"/>
  <c r="AD64" i="15"/>
  <c r="AE64" i="15" s="1"/>
  <c r="AF64" i="15" s="1"/>
  <c r="Z65" i="15" s="1"/>
  <c r="AD17" i="13"/>
  <c r="Y17" i="13"/>
  <c r="AC17" i="13" s="1"/>
  <c r="X18" i="13" s="1"/>
  <c r="Z18" i="13" s="1"/>
  <c r="AA18" i="13" s="1"/>
  <c r="AB18" i="13" s="1"/>
  <c r="V19" i="13" s="1"/>
  <c r="W19" i="13" s="1"/>
  <c r="AH61" i="14" l="1"/>
  <c r="AC61" i="14"/>
  <c r="AD61" i="14"/>
  <c r="AE61" i="14" s="1"/>
  <c r="AF61" i="14" s="1"/>
  <c r="Z62" i="14" s="1"/>
  <c r="AA62" i="14" s="1"/>
  <c r="AC24" i="15"/>
  <c r="AF23" i="15"/>
  <c r="Z24" i="15" s="1"/>
  <c r="AH24" i="15" s="1"/>
  <c r="AE22" i="14"/>
  <c r="AG22" i="14" s="1"/>
  <c r="AB23" i="14" s="1"/>
  <c r="AA65" i="15"/>
  <c r="AG64" i="15"/>
  <c r="AB65" i="15" s="1"/>
  <c r="AD18" i="13"/>
  <c r="Y18" i="13"/>
  <c r="AC18" i="13" s="1"/>
  <c r="X19" i="13" s="1"/>
  <c r="Y19" i="13" s="1"/>
  <c r="AG61" i="14" l="1"/>
  <c r="AB62" i="14" s="1"/>
  <c r="AH62" i="14" s="1"/>
  <c r="AA24" i="15"/>
  <c r="AD24" i="15"/>
  <c r="AC62" i="14"/>
  <c r="AD62" i="14"/>
  <c r="AE62" i="14" s="1"/>
  <c r="AF62" i="14" s="1"/>
  <c r="Z63" i="14" s="1"/>
  <c r="AC23" i="14"/>
  <c r="AF22" i="14"/>
  <c r="Z23" i="14" s="1"/>
  <c r="AH23" i="14" s="1"/>
  <c r="AH65" i="15"/>
  <c r="AC65" i="15"/>
  <c r="AD65" i="15"/>
  <c r="AE65" i="15" s="1"/>
  <c r="AF65" i="15" s="1"/>
  <c r="Z66" i="15" s="1"/>
  <c r="Z19" i="13"/>
  <c r="AA19" i="13" s="1"/>
  <c r="AB19" i="13" s="1"/>
  <c r="V20" i="13" s="1"/>
  <c r="W20" i="13" s="1"/>
  <c r="AD19" i="13"/>
  <c r="AE24" i="15" l="1"/>
  <c r="AG24" i="15" s="1"/>
  <c r="AB25" i="15" s="1"/>
  <c r="AA63" i="14"/>
  <c r="AG62" i="14"/>
  <c r="AB63" i="14" s="1"/>
  <c r="AD63" i="14" s="1"/>
  <c r="AE63" i="14" s="1"/>
  <c r="AA23" i="14"/>
  <c r="AD23" i="14"/>
  <c r="AE23" i="14" s="1"/>
  <c r="AG23" i="14" s="1"/>
  <c r="AB24" i="14" s="1"/>
  <c r="AA66" i="15"/>
  <c r="AG65" i="15"/>
  <c r="AB66" i="15" s="1"/>
  <c r="AC19" i="13"/>
  <c r="X20" i="13" s="1"/>
  <c r="AD20" i="13" s="1"/>
  <c r="AF63" i="14" l="1"/>
  <c r="Z64" i="14" s="1"/>
  <c r="AA64" i="14" s="1"/>
  <c r="AC25" i="15"/>
  <c r="AF24" i="15"/>
  <c r="Z25" i="15" s="1"/>
  <c r="AH25" i="15" s="1"/>
  <c r="AH63" i="14"/>
  <c r="AC63" i="14"/>
  <c r="AG63" i="14" s="1"/>
  <c r="AB64" i="14" s="1"/>
  <c r="AC24" i="14"/>
  <c r="AF23" i="14"/>
  <c r="Z24" i="14" s="1"/>
  <c r="AH24" i="14" s="1"/>
  <c r="AH66" i="15"/>
  <c r="AC66" i="15"/>
  <c r="AD66" i="15"/>
  <c r="AE66" i="15" s="1"/>
  <c r="AF66" i="15" s="1"/>
  <c r="Z67" i="15" s="1"/>
  <c r="Z20" i="13"/>
  <c r="AA20" i="13" s="1"/>
  <c r="AB20" i="13" s="1"/>
  <c r="V21" i="13" s="1"/>
  <c r="W21" i="13" s="1"/>
  <c r="Y20" i="13"/>
  <c r="AD64" i="14" l="1"/>
  <c r="AE64" i="14" s="1"/>
  <c r="AF64" i="14" s="1"/>
  <c r="Z65" i="14" s="1"/>
  <c r="AA65" i="14" s="1"/>
  <c r="AA25" i="15"/>
  <c r="AD25" i="15"/>
  <c r="AC64" i="14"/>
  <c r="AH64" i="14"/>
  <c r="AA24" i="14"/>
  <c r="AD24" i="14"/>
  <c r="AA67" i="15"/>
  <c r="AG66" i="15"/>
  <c r="AB67" i="15" s="1"/>
  <c r="AC20" i="13"/>
  <c r="X21" i="13" s="1"/>
  <c r="Z21" i="13" s="1"/>
  <c r="AA21" i="13" s="1"/>
  <c r="AB21" i="13" s="1"/>
  <c r="V22" i="13" s="1"/>
  <c r="W22" i="13" s="1"/>
  <c r="AG64" i="14" l="1"/>
  <c r="AB65" i="14" s="1"/>
  <c r="AD65" i="14" s="1"/>
  <c r="AE65" i="14" s="1"/>
  <c r="AF65" i="14" s="1"/>
  <c r="Z66" i="14" s="1"/>
  <c r="AA66" i="14" s="1"/>
  <c r="AE25" i="15"/>
  <c r="AG25" i="15" s="1"/>
  <c r="AB26" i="15" s="1"/>
  <c r="AE24" i="14"/>
  <c r="AG24" i="14" s="1"/>
  <c r="AB25" i="14" s="1"/>
  <c r="AH67" i="15"/>
  <c r="AC67" i="15"/>
  <c r="AD67" i="15"/>
  <c r="AE67" i="15" s="1"/>
  <c r="AF67" i="15" s="1"/>
  <c r="Z68" i="15" s="1"/>
  <c r="Y21" i="13"/>
  <c r="AC21" i="13" s="1"/>
  <c r="X22" i="13" s="1"/>
  <c r="AD22" i="13" s="1"/>
  <c r="AD21" i="13"/>
  <c r="AH65" i="14" l="1"/>
  <c r="AC65" i="14"/>
  <c r="AG65" i="14" s="1"/>
  <c r="AB66" i="14" s="1"/>
  <c r="AC26" i="15"/>
  <c r="AF25" i="15"/>
  <c r="Z26" i="15" s="1"/>
  <c r="AC25" i="14"/>
  <c r="AF24" i="14"/>
  <c r="Z25" i="14" s="1"/>
  <c r="AH25" i="14" s="1"/>
  <c r="AA68" i="15"/>
  <c r="AG67" i="15"/>
  <c r="AB68" i="15" s="1"/>
  <c r="Z22" i="13"/>
  <c r="AA22" i="13" s="1"/>
  <c r="AB22" i="13" s="1"/>
  <c r="V23" i="13" s="1"/>
  <c r="W23" i="13" s="1"/>
  <c r="Y22" i="13"/>
  <c r="AD66" i="14" l="1"/>
  <c r="AE66" i="14" s="1"/>
  <c r="AF66" i="14" s="1"/>
  <c r="Z67" i="14" s="1"/>
  <c r="AA67" i="14" s="1"/>
  <c r="AC66" i="14"/>
  <c r="AH66" i="14"/>
  <c r="AA26" i="15"/>
  <c r="AD26" i="15"/>
  <c r="AH26" i="15"/>
  <c r="AA25" i="14"/>
  <c r="AD25" i="14"/>
  <c r="AH68" i="15"/>
  <c r="AC68" i="15"/>
  <c r="AD68" i="15"/>
  <c r="AC22" i="13"/>
  <c r="X23" i="13" s="1"/>
  <c r="AD23" i="13" s="1"/>
  <c r="AG66" i="14" l="1"/>
  <c r="AB67" i="14" s="1"/>
  <c r="AH67" i="14" s="1"/>
  <c r="AE26" i="15"/>
  <c r="AG26" i="15" s="1"/>
  <c r="AB27" i="15" s="1"/>
  <c r="AE25" i="14"/>
  <c r="AG25" i="14" s="1"/>
  <c r="AB26" i="14" s="1"/>
  <c r="S26" i="15"/>
  <c r="S27" i="15" s="1"/>
  <c r="AE68" i="15"/>
  <c r="AF68" i="15" s="1"/>
  <c r="Z23" i="13"/>
  <c r="AA23" i="13" s="1"/>
  <c r="AB23" i="13" s="1"/>
  <c r="V24" i="13" s="1"/>
  <c r="W24" i="13" s="1"/>
  <c r="Y23" i="13"/>
  <c r="AC67" i="14" l="1"/>
  <c r="AD67" i="14"/>
  <c r="AE67" i="14" s="1"/>
  <c r="AF67" i="14" s="1"/>
  <c r="Z68" i="14" s="1"/>
  <c r="AA68" i="14" s="1"/>
  <c r="G21" i="15"/>
  <c r="AC27" i="15"/>
  <c r="AF26" i="15"/>
  <c r="Z27" i="15" s="1"/>
  <c r="AC26" i="14"/>
  <c r="AF25" i="14"/>
  <c r="Z26" i="14" s="1"/>
  <c r="AG68" i="15"/>
  <c r="AC23" i="13"/>
  <c r="X24" i="13" s="1"/>
  <c r="AD24" i="13" s="1"/>
  <c r="AG67" i="14" l="1"/>
  <c r="AB68" i="14" s="1"/>
  <c r="AH68" i="14" s="1"/>
  <c r="G24" i="15"/>
  <c r="K6" i="15" s="1"/>
  <c r="G22" i="15"/>
  <c r="AA27" i="15"/>
  <c r="AD27" i="15"/>
  <c r="AH27" i="15"/>
  <c r="AA26" i="14"/>
  <c r="AD26" i="14"/>
  <c r="AH26" i="14"/>
  <c r="Z24" i="13"/>
  <c r="AA24" i="13" s="1"/>
  <c r="AB24" i="13" s="1"/>
  <c r="V25" i="13" s="1"/>
  <c r="W25" i="13" s="1"/>
  <c r="Y24" i="13"/>
  <c r="AC68" i="14" l="1"/>
  <c r="AD68" i="14"/>
  <c r="AE27" i="15"/>
  <c r="AG27" i="15" s="1"/>
  <c r="AB28" i="15" s="1"/>
  <c r="AE26" i="14"/>
  <c r="AG26" i="14" s="1"/>
  <c r="AB27" i="14" s="1"/>
  <c r="K7" i="15"/>
  <c r="AC24" i="13"/>
  <c r="X25" i="13" s="1"/>
  <c r="AD25" i="13" s="1"/>
  <c r="S25" i="14" l="1"/>
  <c r="S26" i="14" s="1"/>
  <c r="G21" i="14" s="1"/>
  <c r="AE68" i="14"/>
  <c r="Y25" i="13"/>
  <c r="AC28" i="15"/>
  <c r="AF27" i="15"/>
  <c r="Z28" i="15" s="1"/>
  <c r="AA28" i="15" s="1"/>
  <c r="Z25" i="13"/>
  <c r="AA25" i="13" s="1"/>
  <c r="AB25" i="13" s="1"/>
  <c r="V26" i="13" s="1"/>
  <c r="W26" i="13" s="1"/>
  <c r="AC27" i="14"/>
  <c r="AF26" i="14"/>
  <c r="Z27" i="14" s="1"/>
  <c r="AH27" i="14" s="1"/>
  <c r="AF68" i="14" l="1"/>
  <c r="AG68" i="14"/>
  <c r="G24" i="14"/>
  <c r="G22" i="14"/>
  <c r="AH28" i="15"/>
  <c r="AD28" i="15"/>
  <c r="AC25" i="13"/>
  <c r="X26" i="13" s="1"/>
  <c r="AD26" i="13" s="1"/>
  <c r="AA27" i="14"/>
  <c r="AD27" i="14"/>
  <c r="Y26" i="13" l="1"/>
  <c r="Z26" i="13"/>
  <c r="AA26" i="13" s="1"/>
  <c r="AB26" i="13" s="1"/>
  <c r="V27" i="13" s="1"/>
  <c r="W27" i="13" s="1"/>
  <c r="AE28" i="15"/>
  <c r="AG28" i="15" s="1"/>
  <c r="AB29" i="15" s="1"/>
  <c r="AE27" i="14"/>
  <c r="AG27" i="14" s="1"/>
  <c r="AB28" i="14" s="1"/>
  <c r="AC26" i="13" l="1"/>
  <c r="X27" i="13" s="1"/>
  <c r="AD27" i="13" s="1"/>
  <c r="AC29" i="15"/>
  <c r="AF28" i="15"/>
  <c r="Z29" i="15" s="1"/>
  <c r="AH29" i="15" s="1"/>
  <c r="AC28" i="14"/>
  <c r="AF27" i="14"/>
  <c r="Z28" i="14" s="1"/>
  <c r="Z27" i="13" l="1"/>
  <c r="AA27" i="13" s="1"/>
  <c r="AB27" i="13" s="1"/>
  <c r="V28" i="13" s="1"/>
  <c r="W28" i="13" s="1"/>
  <c r="Y27" i="13"/>
  <c r="AA29" i="15"/>
  <c r="AD29" i="15"/>
  <c r="AA28" i="14"/>
  <c r="AD28" i="14"/>
  <c r="AH28" i="14"/>
  <c r="AC27" i="13" l="1"/>
  <c r="X28" i="13" s="1"/>
  <c r="Z28" i="13" s="1"/>
  <c r="AA28" i="13" s="1"/>
  <c r="AB28" i="13" s="1"/>
  <c r="V29" i="13" s="1"/>
  <c r="W29" i="13" s="1"/>
  <c r="AE29" i="15"/>
  <c r="AG29" i="15" s="1"/>
  <c r="AB30" i="15" s="1"/>
  <c r="AE28" i="14"/>
  <c r="AG28" i="14" s="1"/>
  <c r="AB29" i="14" s="1"/>
  <c r="Y28" i="13" l="1"/>
  <c r="AC28" i="13" s="1"/>
  <c r="X29" i="13" s="1"/>
  <c r="AD29" i="13" s="1"/>
  <c r="AD28" i="13"/>
  <c r="AC30" i="15"/>
  <c r="AF29" i="15"/>
  <c r="Z30" i="15" s="1"/>
  <c r="AH30" i="15" s="1"/>
  <c r="AC29" i="14"/>
  <c r="AF28" i="14"/>
  <c r="Z29" i="14" s="1"/>
  <c r="AH29" i="14" s="1"/>
  <c r="Y29" i="13" l="1"/>
  <c r="Z29" i="13"/>
  <c r="AA29" i="13" s="1"/>
  <c r="AB29" i="13" s="1"/>
  <c r="V30" i="13" s="1"/>
  <c r="W30" i="13" s="1"/>
  <c r="AA30" i="15"/>
  <c r="AD30" i="15"/>
  <c r="AA29" i="14"/>
  <c r="AD29" i="14"/>
  <c r="AC29" i="13" l="1"/>
  <c r="X30" i="13" s="1"/>
  <c r="Z30" i="13" s="1"/>
  <c r="AA30" i="13" s="1"/>
  <c r="AB30" i="13" s="1"/>
  <c r="V31" i="13" s="1"/>
  <c r="W31" i="13" s="1"/>
  <c r="AE30" i="15"/>
  <c r="AG30" i="15" s="1"/>
  <c r="AB31" i="15" s="1"/>
  <c r="AE29" i="14"/>
  <c r="AG29" i="14" s="1"/>
  <c r="AB30" i="14" s="1"/>
  <c r="Y30" i="13" l="1"/>
  <c r="AC30" i="13" s="1"/>
  <c r="X31" i="13" s="1"/>
  <c r="AD30" i="13"/>
  <c r="AC31" i="15"/>
  <c r="AF30" i="15"/>
  <c r="Z31" i="15" s="1"/>
  <c r="AH31" i="15" s="1"/>
  <c r="AC30" i="14"/>
  <c r="AF29" i="14"/>
  <c r="Z30" i="14" s="1"/>
  <c r="AH30" i="14" s="1"/>
  <c r="AD31" i="13" l="1"/>
  <c r="Y31" i="13"/>
  <c r="Z31" i="13"/>
  <c r="AA31" i="13" s="1"/>
  <c r="AB31" i="13" s="1"/>
  <c r="V32" i="13" s="1"/>
  <c r="W32" i="13" s="1"/>
  <c r="AD31" i="15"/>
  <c r="AE31" i="15" s="1"/>
  <c r="AG31" i="15" s="1"/>
  <c r="AB32" i="15" s="1"/>
  <c r="AA31" i="15"/>
  <c r="AA30" i="14"/>
  <c r="AD30" i="14"/>
  <c r="AC31" i="13" l="1"/>
  <c r="X32" i="13" s="1"/>
  <c r="AD32" i="13" s="1"/>
  <c r="AF31" i="15"/>
  <c r="Z32" i="15" s="1"/>
  <c r="AA32" i="15" s="1"/>
  <c r="AC32" i="15"/>
  <c r="AE30" i="14"/>
  <c r="AG30" i="14" s="1"/>
  <c r="AB31" i="14" s="1"/>
  <c r="Z32" i="13" l="1"/>
  <c r="AA32" i="13" s="1"/>
  <c r="AB32" i="13" s="1"/>
  <c r="V33" i="13" s="1"/>
  <c r="W33" i="13" s="1"/>
  <c r="Y32" i="13"/>
  <c r="AD32" i="15"/>
  <c r="AE32" i="15" s="1"/>
  <c r="AG32" i="15" s="1"/>
  <c r="AB33" i="15" s="1"/>
  <c r="AH32" i="15"/>
  <c r="AC31" i="14"/>
  <c r="AF30" i="14"/>
  <c r="Z31" i="14" s="1"/>
  <c r="C54" i="12"/>
  <c r="C53" i="12"/>
  <c r="C49" i="12"/>
  <c r="C48" i="12"/>
  <c r="AN44" i="12"/>
  <c r="AM44" i="12"/>
  <c r="AN43" i="12"/>
  <c r="AM43" i="12"/>
  <c r="AN42" i="12"/>
  <c r="AM42" i="12"/>
  <c r="AN41" i="12"/>
  <c r="AM41" i="12"/>
  <c r="AN40" i="12"/>
  <c r="AM40" i="12"/>
  <c r="C39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AN15" i="12"/>
  <c r="AM15" i="12"/>
  <c r="AN14" i="12"/>
  <c r="AM14" i="12"/>
  <c r="AN13" i="12"/>
  <c r="AM13" i="12"/>
  <c r="AN12" i="12"/>
  <c r="AM12" i="12"/>
  <c r="C11" i="12"/>
  <c r="C29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G6" i="12" s="1"/>
  <c r="AK5" i="12"/>
  <c r="G5" i="12"/>
  <c r="AD4" i="12"/>
  <c r="Z4" i="12"/>
  <c r="G4" i="12"/>
  <c r="AR9" i="9"/>
  <c r="AR19" i="9" s="1"/>
  <c r="G24" i="10"/>
  <c r="G23" i="10"/>
  <c r="G5" i="10"/>
  <c r="G4" i="10"/>
  <c r="AR3" i="10" s="1"/>
  <c r="G16" i="10"/>
  <c r="C17" i="10"/>
  <c r="G23" i="9"/>
  <c r="G24" i="9"/>
  <c r="G4" i="9"/>
  <c r="AR3" i="9" s="1"/>
  <c r="G5" i="9"/>
  <c r="G16" i="9"/>
  <c r="AR46" i="9"/>
  <c r="AR45" i="9"/>
  <c r="O4" i="9"/>
  <c r="C13" i="9"/>
  <c r="O5" i="10"/>
  <c r="CA107" i="9"/>
  <c r="CC107" i="9"/>
  <c r="O21" i="10"/>
  <c r="O20" i="9"/>
  <c r="AC32" i="13" l="1"/>
  <c r="X33" i="13" s="1"/>
  <c r="AF32" i="15"/>
  <c r="Z33" i="15" s="1"/>
  <c r="AA33" i="15" s="1"/>
  <c r="AC33" i="15"/>
  <c r="G14" i="12"/>
  <c r="G15" i="12" s="1"/>
  <c r="O22" i="12"/>
  <c r="AA31" i="14"/>
  <c r="AD31" i="14"/>
  <c r="AH31" i="14"/>
  <c r="G6" i="12"/>
  <c r="O25" i="12"/>
  <c r="AI6" i="12"/>
  <c r="AO6" i="12" s="1"/>
  <c r="G25" i="12"/>
  <c r="AD33" i="13"/>
  <c r="Y33" i="13"/>
  <c r="Z33" i="13"/>
  <c r="AA33" i="13" s="1"/>
  <c r="AB33" i="13" s="1"/>
  <c r="V34" i="13" s="1"/>
  <c r="K42" i="12"/>
  <c r="G17" i="9"/>
  <c r="G18" i="9" s="1"/>
  <c r="AH33" i="15" l="1"/>
  <c r="AD33" i="15"/>
  <c r="AE33" i="15" s="1"/>
  <c r="AG33" i="15" s="1"/>
  <c r="AB34" i="15" s="1"/>
  <c r="AE31" i="14"/>
  <c r="AG31" i="14" s="1"/>
  <c r="AB32" i="14" s="1"/>
  <c r="AI7" i="12"/>
  <c r="AK6" i="12"/>
  <c r="AG7" i="12" s="1"/>
  <c r="K11" i="12"/>
  <c r="AC33" i="13"/>
  <c r="X34" i="13" s="1"/>
  <c r="Z34" i="13" s="1"/>
  <c r="W34" i="13"/>
  <c r="C55" i="10"/>
  <c r="C54" i="10"/>
  <c r="C50" i="10"/>
  <c r="C49" i="10"/>
  <c r="K42" i="10"/>
  <c r="AR9" i="10"/>
  <c r="AR10" i="10" s="1"/>
  <c r="K21" i="9"/>
  <c r="K20" i="9"/>
  <c r="C32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0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AF33" i="15" l="1"/>
  <c r="Z34" i="15" s="1"/>
  <c r="AD34" i="15" s="1"/>
  <c r="AC34" i="15"/>
  <c r="AC32" i="14"/>
  <c r="AF31" i="14"/>
  <c r="Z32" i="14" s="1"/>
  <c r="AO7" i="12"/>
  <c r="AK7" i="12"/>
  <c r="AI8" i="12" s="1"/>
  <c r="AG8" i="12"/>
  <c r="O25" i="13"/>
  <c r="O26" i="13" s="1"/>
  <c r="G19" i="13" s="1"/>
  <c r="AA34" i="13"/>
  <c r="AB34" i="13" s="1"/>
  <c r="AD34" i="13"/>
  <c r="Y34" i="13"/>
  <c r="BX39" i="10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BP76" i="10" s="1"/>
  <c r="AR22" i="10"/>
  <c r="AR33" i="10"/>
  <c r="AR28" i="10"/>
  <c r="BR74" i="10"/>
  <c r="BX107" i="10"/>
  <c r="AR26" i="10"/>
  <c r="BD31" i="10" s="1"/>
  <c r="CA74" i="10"/>
  <c r="CA75" i="10" s="1"/>
  <c r="CA76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AH34" i="15" l="1"/>
  <c r="AA34" i="15"/>
  <c r="AE34" i="15"/>
  <c r="AG34" i="15" s="1"/>
  <c r="O26" i="15"/>
  <c r="AA32" i="14"/>
  <c r="AD32" i="14"/>
  <c r="AH32" i="14"/>
  <c r="AK8" i="12"/>
  <c r="AI9" i="12" s="1"/>
  <c r="AC34" i="13"/>
  <c r="AO8" i="12"/>
  <c r="G20" i="13"/>
  <c r="G22" i="13"/>
  <c r="AO51" i="10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A42" i="10"/>
  <c r="CE6" i="10"/>
  <c r="CC7" i="10" s="1"/>
  <c r="CI7" i="10" s="1"/>
  <c r="BP110" i="10"/>
  <c r="CE108" i="10"/>
  <c r="CC109" i="10" s="1"/>
  <c r="CA109" i="10"/>
  <c r="CE40" i="10"/>
  <c r="CC41" i="10" s="1"/>
  <c r="CI41" i="10" s="1"/>
  <c r="O27" i="15" l="1"/>
  <c r="G10" i="15" s="1"/>
  <c r="AF34" i="15"/>
  <c r="AE32" i="14"/>
  <c r="AG32" i="14" s="1"/>
  <c r="AB33" i="14" s="1"/>
  <c r="AG9" i="12"/>
  <c r="K4" i="13"/>
  <c r="K8" i="13"/>
  <c r="K13" i="13" s="1"/>
  <c r="BP42" i="10"/>
  <c r="BX42" i="10" s="1"/>
  <c r="BT109" i="10"/>
  <c r="BR110" i="10" s="1"/>
  <c r="BT110" i="10" s="1"/>
  <c r="AG52" i="10"/>
  <c r="AK52" i="10" s="1"/>
  <c r="AG53" i="10" s="1"/>
  <c r="BT7" i="10"/>
  <c r="BP8" i="10" s="1"/>
  <c r="BX7" i="10"/>
  <c r="CI75" i="10"/>
  <c r="BX75" i="10"/>
  <c r="BX41" i="10"/>
  <c r="CE41" i="10"/>
  <c r="CC42" i="10" s="1"/>
  <c r="CE42" i="10" s="1"/>
  <c r="CA43" i="10" s="1"/>
  <c r="BX76" i="10"/>
  <c r="CE7" i="10"/>
  <c r="CE109" i="10"/>
  <c r="CC110" i="10" s="1"/>
  <c r="CA110" i="10"/>
  <c r="CI109" i="10"/>
  <c r="CI76" i="10"/>
  <c r="BT76" i="10"/>
  <c r="BP77" i="10" s="1"/>
  <c r="CE76" i="10"/>
  <c r="CA77" i="10" s="1"/>
  <c r="G11" i="15" l="1"/>
  <c r="G14" i="15"/>
  <c r="AC33" i="14"/>
  <c r="AF32" i="14"/>
  <c r="Z33" i="14" s="1"/>
  <c r="AO9" i="12"/>
  <c r="AK9" i="12"/>
  <c r="K48" i="13"/>
  <c r="K40" i="13"/>
  <c r="K32" i="13"/>
  <c r="K17" i="13"/>
  <c r="K5" i="13"/>
  <c r="K16" i="13"/>
  <c r="BT42" i="10"/>
  <c r="BP43" i="10" s="1"/>
  <c r="BR8" i="10"/>
  <c r="BT8" i="10" s="1"/>
  <c r="BR9" i="10" s="1"/>
  <c r="CC77" i="10"/>
  <c r="CI77" i="10" s="1"/>
  <c r="AI53" i="10"/>
  <c r="AO53" i="10" s="1"/>
  <c r="AO52" i="10"/>
  <c r="BX110" i="10"/>
  <c r="CC8" i="10"/>
  <c r="CA8" i="10"/>
  <c r="BP111" i="10"/>
  <c r="BR111" i="10"/>
  <c r="BR77" i="10"/>
  <c r="BT77" i="10" s="1"/>
  <c r="BR78" i="10" s="1"/>
  <c r="CC43" i="10"/>
  <c r="CE43" i="10" s="1"/>
  <c r="CI42" i="10"/>
  <c r="CE110" i="10"/>
  <c r="CA111" i="10" s="1"/>
  <c r="CI110" i="10"/>
  <c r="G12" i="15" l="1"/>
  <c r="K25" i="15"/>
  <c r="K4" i="15"/>
  <c r="K10" i="15"/>
  <c r="K15" i="15" s="1"/>
  <c r="AA33" i="14"/>
  <c r="AD33" i="14"/>
  <c r="AH33" i="14"/>
  <c r="AI10" i="12"/>
  <c r="AG10" i="12"/>
  <c r="K41" i="13"/>
  <c r="K44" i="13" s="1"/>
  <c r="K49" i="13"/>
  <c r="K50" i="13" s="1"/>
  <c r="K33" i="13"/>
  <c r="K36" i="13" s="1"/>
  <c r="K27" i="13"/>
  <c r="BR43" i="10"/>
  <c r="BT43" i="10" s="1"/>
  <c r="BR44" i="10" s="1"/>
  <c r="AK53" i="10"/>
  <c r="AG54" i="10" s="1"/>
  <c r="BX8" i="10"/>
  <c r="BP78" i="10"/>
  <c r="BT78" i="10" s="1"/>
  <c r="BP79" i="10" s="1"/>
  <c r="CE77" i="10"/>
  <c r="CC78" i="10" s="1"/>
  <c r="BP9" i="10"/>
  <c r="BX9" i="10" s="1"/>
  <c r="CI8" i="10"/>
  <c r="CE8" i="10"/>
  <c r="CA9" i="10" s="1"/>
  <c r="CI43" i="10"/>
  <c r="BX111" i="10"/>
  <c r="BX77" i="10"/>
  <c r="CC111" i="10"/>
  <c r="CI111" i="10" s="1"/>
  <c r="BT111" i="10"/>
  <c r="BR112" i="10" s="1"/>
  <c r="CC44" i="10"/>
  <c r="CA44" i="10"/>
  <c r="BP44" i="10"/>
  <c r="K35" i="15" l="1"/>
  <c r="K43" i="15"/>
  <c r="K5" i="15"/>
  <c r="K19" i="15"/>
  <c r="K18" i="15"/>
  <c r="K37" i="15"/>
  <c r="K45" i="15"/>
  <c r="AE33" i="14"/>
  <c r="AG33" i="14" s="1"/>
  <c r="AB34" i="14" s="1"/>
  <c r="AK10" i="12"/>
  <c r="AG11" i="12" s="1"/>
  <c r="AG12" i="12" s="1"/>
  <c r="AI11" i="12"/>
  <c r="AO10" i="12"/>
  <c r="AJ4" i="13"/>
  <c r="K28" i="13"/>
  <c r="AH4" i="13"/>
  <c r="AL4" i="13"/>
  <c r="BX43" i="10"/>
  <c r="CC9" i="10"/>
  <c r="CE9" i="10" s="1"/>
  <c r="CA10" i="10" s="1"/>
  <c r="AI54" i="10"/>
  <c r="AK54" i="10" s="1"/>
  <c r="AI55" i="10" s="1"/>
  <c r="BX78" i="10"/>
  <c r="BT9" i="10"/>
  <c r="BR10" i="10" s="1"/>
  <c r="CA78" i="10"/>
  <c r="CI44" i="10"/>
  <c r="CE111" i="10"/>
  <c r="CC112" i="10" s="1"/>
  <c r="BP112" i="10"/>
  <c r="BX112" i="10" s="1"/>
  <c r="BR79" i="10"/>
  <c r="BX79" i="10" s="1"/>
  <c r="CE44" i="10"/>
  <c r="BX44" i="10"/>
  <c r="BT44" i="10"/>
  <c r="BR45" i="10" s="1"/>
  <c r="K44" i="15" l="1"/>
  <c r="K47" i="15" s="1"/>
  <c r="K36" i="15"/>
  <c r="K39" i="15" s="1"/>
  <c r="K30" i="15"/>
  <c r="AC34" i="14"/>
  <c r="AF33" i="14"/>
  <c r="Z34" i="14" s="1"/>
  <c r="AO11" i="12"/>
  <c r="AK11" i="12"/>
  <c r="AI12" i="12" s="1"/>
  <c r="CI9" i="10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T112" i="10"/>
  <c r="CA45" i="10"/>
  <c r="CC45" i="10"/>
  <c r="BP45" i="10"/>
  <c r="BT45" i="10" s="1"/>
  <c r="AH34" i="14" l="1"/>
  <c r="AD34" i="14"/>
  <c r="AE34" i="14" s="1"/>
  <c r="K31" i="15"/>
  <c r="AN4" i="15"/>
  <c r="AP4" i="15"/>
  <c r="AL4" i="15"/>
  <c r="AA34" i="14"/>
  <c r="AI13" i="12"/>
  <c r="AO12" i="12"/>
  <c r="AK12" i="12"/>
  <c r="AG13" i="12" s="1"/>
  <c r="AI56" i="10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CI45" i="10"/>
  <c r="BX45" i="10"/>
  <c r="BR113" i="10"/>
  <c r="BP113" i="10"/>
  <c r="CE45" i="10"/>
  <c r="BP46" i="10"/>
  <c r="BR46" i="10"/>
  <c r="AG34" i="14" l="1"/>
  <c r="O25" i="14"/>
  <c r="AG14" i="12"/>
  <c r="AK13" i="12"/>
  <c r="AI14" i="12" s="1"/>
  <c r="AO13" i="12"/>
  <c r="AO56" i="10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BT113" i="10"/>
  <c r="BP114" i="10" s="1"/>
  <c r="BX46" i="10"/>
  <c r="BX113" i="10"/>
  <c r="CA46" i="10"/>
  <c r="CC46" i="10"/>
  <c r="BT46" i="10"/>
  <c r="BR47" i="10" s="1"/>
  <c r="O26" i="14" l="1"/>
  <c r="G10" i="14" s="1"/>
  <c r="AF34" i="14"/>
  <c r="AI15" i="12"/>
  <c r="AO14" i="12"/>
  <c r="AK14" i="12"/>
  <c r="AG15" i="12" s="1"/>
  <c r="CA114" i="10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114" i="10"/>
  <c r="BX114" i="10" s="1"/>
  <c r="BR81" i="10"/>
  <c r="BX81" i="10" s="1"/>
  <c r="CI46" i="10"/>
  <c r="CE46" i="10"/>
  <c r="BP47" i="10"/>
  <c r="BX47" i="10" s="1"/>
  <c r="G11" i="14" l="1"/>
  <c r="G14" i="14"/>
  <c r="G12" i="14" s="1"/>
  <c r="AK15" i="12"/>
  <c r="AG16" i="12" s="1"/>
  <c r="AI16" i="12"/>
  <c r="AO15" i="12"/>
  <c r="CA81" i="10"/>
  <c r="CI81" i="10" s="1"/>
  <c r="CE114" i="10"/>
  <c r="CC115" i="10" s="1"/>
  <c r="AI58" i="10"/>
  <c r="AK58" i="10" s="1"/>
  <c r="AI59" i="10" s="1"/>
  <c r="BP12" i="10"/>
  <c r="BX12" i="10" s="1"/>
  <c r="CI80" i="10"/>
  <c r="BT114" i="10"/>
  <c r="BR115" i="10" s="1"/>
  <c r="CC12" i="10"/>
  <c r="CI12" i="10" s="1"/>
  <c r="BT81" i="10"/>
  <c r="BR82" i="10" s="1"/>
  <c r="BT47" i="10"/>
  <c r="BP48" i="10" s="1"/>
  <c r="CA47" i="10"/>
  <c r="CC47" i="10"/>
  <c r="K22" i="14" l="1"/>
  <c r="K4" i="14"/>
  <c r="K8" i="14"/>
  <c r="K13" i="14" s="1"/>
  <c r="AI17" i="12"/>
  <c r="AO16" i="12"/>
  <c r="AK16" i="12"/>
  <c r="AG17" i="12" s="1"/>
  <c r="BP115" i="10"/>
  <c r="BT115" i="10" s="1"/>
  <c r="BR116" i="10" s="1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K5" i="14" l="1"/>
  <c r="K16" i="14"/>
  <c r="K17" i="14"/>
  <c r="K48" i="14"/>
  <c r="K40" i="14"/>
  <c r="K32" i="14"/>
  <c r="K34" i="14"/>
  <c r="K42" i="14"/>
  <c r="AK17" i="12"/>
  <c r="AI18" i="12" s="1"/>
  <c r="AI19" i="12" s="1"/>
  <c r="AG18" i="12"/>
  <c r="AO17" i="12"/>
  <c r="BX115" i="10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P116" i="10"/>
  <c r="BT116" i="10" s="1"/>
  <c r="BP117" i="10" s="1"/>
  <c r="BX82" i="10"/>
  <c r="BP83" i="10"/>
  <c r="BR83" i="10"/>
  <c r="BT48" i="10"/>
  <c r="BR49" i="10" s="1"/>
  <c r="CA48" i="10"/>
  <c r="CC48" i="10"/>
  <c r="K27" i="14" l="1"/>
  <c r="AP4" i="14" s="1"/>
  <c r="K49" i="14"/>
  <c r="K50" i="14" s="1"/>
  <c r="K33" i="14"/>
  <c r="K36" i="14" s="1"/>
  <c r="K41" i="14"/>
  <c r="K44" i="14" s="1"/>
  <c r="AK18" i="12"/>
  <c r="AG19" i="12" s="1"/>
  <c r="AK19" i="12" s="1"/>
  <c r="AO18" i="12"/>
  <c r="CE82" i="10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BR117" i="10"/>
  <c r="BT117" i="10" s="1"/>
  <c r="CC14" i="10"/>
  <c r="CA14" i="10"/>
  <c r="BP49" i="10"/>
  <c r="BX49" i="10" s="1"/>
  <c r="CI48" i="10"/>
  <c r="CE48" i="10"/>
  <c r="CC49" i="10" s="1"/>
  <c r="AL4" i="14" l="1"/>
  <c r="AN4" i="14"/>
  <c r="K28" i="14"/>
  <c r="AO19" i="12"/>
  <c r="AI20" i="12"/>
  <c r="AG20" i="12"/>
  <c r="CA83" i="10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P118" i="10"/>
  <c r="BR118" i="10"/>
  <c r="CA49" i="10"/>
  <c r="CE49" i="10" s="1"/>
  <c r="AK20" i="12" l="1"/>
  <c r="AI21" i="12" s="1"/>
  <c r="AO20" i="12"/>
  <c r="CE83" i="10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AG21" i="12" l="1"/>
  <c r="AK21" i="12" s="1"/>
  <c r="BP15" i="10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AG22" i="12" l="1"/>
  <c r="AI22" i="12"/>
  <c r="AO21" i="12"/>
  <c r="BX15" i="10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BX51" i="10"/>
  <c r="BT51" i="10"/>
  <c r="BP52" i="10" s="1"/>
  <c r="BX119" i="10"/>
  <c r="BT119" i="10"/>
  <c r="CA119" i="10"/>
  <c r="CE119" i="10" s="1"/>
  <c r="CC51" i="10"/>
  <c r="CA51" i="10"/>
  <c r="CC85" i="10" l="1"/>
  <c r="CE85" i="10" s="1"/>
  <c r="AO22" i="12"/>
  <c r="AK22" i="12"/>
  <c r="AG23" i="12" s="1"/>
  <c r="CI16" i="10"/>
  <c r="BX16" i="10"/>
  <c r="BR17" i="10"/>
  <c r="BP17" i="10"/>
  <c r="AK63" i="10"/>
  <c r="AI64" i="10" s="1"/>
  <c r="BR87" i="10"/>
  <c r="BT87" i="10" s="1"/>
  <c r="CC17" i="10"/>
  <c r="CE17" i="10" s="1"/>
  <c r="CC18" i="10" s="1"/>
  <c r="BR52" i="10"/>
  <c r="BX52" i="10" s="1"/>
  <c r="BR120" i="10"/>
  <c r="BP120" i="10"/>
  <c r="CE51" i="10"/>
  <c r="CC52" i="10" s="1"/>
  <c r="CA120" i="10"/>
  <c r="CC120" i="10"/>
  <c r="CI119" i="10"/>
  <c r="CI51" i="10"/>
  <c r="CI85" i="10" l="1"/>
  <c r="AI23" i="12"/>
  <c r="AK23" i="12" s="1"/>
  <c r="BT17" i="10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AO23" i="12" l="1"/>
  <c r="AG24" i="12"/>
  <c r="AI24" i="12"/>
  <c r="BR18" i="10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AO24" i="12" l="1"/>
  <c r="AK24" i="12"/>
  <c r="AG25" i="12" s="1"/>
  <c r="BX18" i="10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AI25" i="12" l="1"/>
  <c r="AK25" i="12" s="1"/>
  <c r="AG26" i="12" s="1"/>
  <c r="BR19" i="10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AI26" i="12" l="1"/>
  <c r="AK26" i="12" s="1"/>
  <c r="AG27" i="12" s="1"/>
  <c r="AO25" i="12"/>
  <c r="BT19" i="10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AI27" i="12" l="1"/>
  <c r="AK27" i="12" s="1"/>
  <c r="AI28" i="12" s="1"/>
  <c r="AO26" i="12"/>
  <c r="AG28" i="12"/>
  <c r="BR20" i="10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AO27" i="12" l="1"/>
  <c r="AO28" i="12"/>
  <c r="AK28" i="12"/>
  <c r="BT20" i="10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AI29" i="12" l="1"/>
  <c r="AG29" i="12"/>
  <c r="BP21" i="10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AK29" i="12" l="1"/>
  <c r="AG30" i="12" s="1"/>
  <c r="AI30" i="12"/>
  <c r="AO29" i="12"/>
  <c r="BT21" i="10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AK30" i="12" l="1"/>
  <c r="AG31" i="12" s="1"/>
  <c r="AI31" i="12"/>
  <c r="AO30" i="12"/>
  <c r="BR22" i="10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AO31" i="12" l="1"/>
  <c r="AK31" i="12"/>
  <c r="BX22" i="10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AI32" i="12" l="1"/>
  <c r="AG32" i="12"/>
  <c r="BX23" i="10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AK32" i="12" l="1"/>
  <c r="AI33" i="12" s="1"/>
  <c r="AG33" i="12"/>
  <c r="AO32" i="12"/>
  <c r="BX24" i="10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AO33" i="12" l="1"/>
  <c r="AK33" i="12"/>
  <c r="BT25" i="10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AI34" i="12" l="1"/>
  <c r="AG34" i="12"/>
  <c r="BP26" i="10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AK34" i="12" l="1"/>
  <c r="AG35" i="12" s="1"/>
  <c r="AI35" i="12"/>
  <c r="AO34" i="12"/>
  <c r="BX26" i="10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AO35" i="12" l="1"/>
  <c r="AK35" i="12"/>
  <c r="BX27" i="10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AG36" i="12" l="1"/>
  <c r="AI36" i="12"/>
  <c r="BT28" i="10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AO36" i="12" l="1"/>
  <c r="AK36" i="12"/>
  <c r="BR29" i="10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AI37" i="12" l="1"/>
  <c r="AG37" i="12"/>
  <c r="BT29" i="10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AO37" i="12" l="1"/>
  <c r="AK37" i="12"/>
  <c r="BP30" i="10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0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K11" i="10" s="1"/>
  <c r="AN7" i="10"/>
  <c r="AM7" i="10"/>
  <c r="AN6" i="10"/>
  <c r="AM6" i="10"/>
  <c r="AO5" i="10"/>
  <c r="AN5" i="10"/>
  <c r="AM5" i="10"/>
  <c r="AK5" i="10"/>
  <c r="AD4" i="10"/>
  <c r="Z4" i="10"/>
  <c r="AI38" i="12" l="1"/>
  <c r="AG38" i="12"/>
  <c r="BT30" i="10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AK38" i="12" l="1"/>
  <c r="AG39" i="12" s="1"/>
  <c r="AI39" i="12"/>
  <c r="AO38" i="12"/>
  <c r="BP31" i="10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AO39" i="12" l="1"/>
  <c r="AK39" i="12"/>
  <c r="BX31" i="10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AI40" i="12" l="1"/>
  <c r="AG40" i="12"/>
  <c r="BR32" i="10"/>
  <c r="BP32" i="10"/>
  <c r="BR135" i="10"/>
  <c r="BT135" i="10" s="1"/>
  <c r="BP136" i="10" s="1"/>
  <c r="BP102" i="10"/>
  <c r="BR102" i="10"/>
  <c r="CC98" i="10"/>
  <c r="CA98" i="10"/>
  <c r="AK79" i="10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AK40" i="12" l="1"/>
  <c r="AI41" i="12" s="1"/>
  <c r="AG41" i="12"/>
  <c r="AO40" i="12"/>
  <c r="BT32" i="10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AK41" i="12" l="1"/>
  <c r="AI42" i="12" s="1"/>
  <c r="AG42" i="12"/>
  <c r="AO41" i="12"/>
  <c r="BR33" i="10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AO42" i="12" l="1"/>
  <c r="AK42" i="12"/>
  <c r="BT33" i="10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AI43" i="12" l="1"/>
  <c r="AG43" i="12"/>
  <c r="BR34" i="10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AK43" i="12" l="1"/>
  <c r="AG44" i="12" s="1"/>
  <c r="AI44" i="12"/>
  <c r="AO43" i="12"/>
  <c r="BX34" i="10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AK44" i="12" l="1"/>
  <c r="C5" i="12" s="1"/>
  <c r="K14" i="12" s="1"/>
  <c r="AO44" i="12"/>
  <c r="BH6" i="10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K24" i="12" l="1"/>
  <c r="K26" i="12"/>
  <c r="K34" i="12"/>
  <c r="G10" i="12"/>
  <c r="G8" i="12" s="1"/>
  <c r="K28" i="12"/>
  <c r="O4" i="12"/>
  <c r="O12" i="12" s="1"/>
  <c r="K27" i="12"/>
  <c r="G29" i="12"/>
  <c r="G27" i="12" s="1"/>
  <c r="K20" i="12"/>
  <c r="K23" i="12"/>
  <c r="G7" i="12"/>
  <c r="O6" i="12"/>
  <c r="O7" i="12" s="1"/>
  <c r="O9" i="12" s="1"/>
  <c r="O10" i="12" s="1"/>
  <c r="K29" i="12"/>
  <c r="G26" i="12"/>
  <c r="K22" i="12"/>
  <c r="K21" i="12"/>
  <c r="BH11" i="10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K46" i="12" l="1"/>
  <c r="G28" i="12"/>
  <c r="G9" i="12"/>
  <c r="O13" i="12"/>
  <c r="O14" i="12" s="1"/>
  <c r="K38" i="12"/>
  <c r="K4" i="12"/>
  <c r="K5" i="12" s="1"/>
  <c r="K25" i="12"/>
  <c r="K45" i="12" s="1"/>
  <c r="O16" i="12"/>
  <c r="BH15" i="10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K37" i="12" l="1"/>
  <c r="O20" i="12"/>
  <c r="O15" i="12"/>
  <c r="AZ5" i="10"/>
  <c r="AZ7" i="10" s="1"/>
  <c r="BH20" i="10"/>
  <c r="BL50" i="10"/>
  <c r="BL51" i="10"/>
  <c r="AK13" i="10"/>
  <c r="AI14" i="10" s="1"/>
  <c r="BD36" i="10"/>
  <c r="BD35" i="10"/>
  <c r="CB106" i="10"/>
  <c r="CD106" i="10"/>
  <c r="G16" i="12" l="1"/>
  <c r="O23" i="12"/>
  <c r="G19" i="12" s="1"/>
  <c r="O28" i="12"/>
  <c r="O30" i="12" s="1"/>
  <c r="K16" i="12"/>
  <c r="AV23" i="10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AA4" i="12" l="1"/>
  <c r="Y4" i="12"/>
  <c r="W4" i="12"/>
  <c r="BL58" i="10"/>
  <c r="CF72" i="10" s="1"/>
  <c r="BD25" i="10"/>
  <c r="BD27" i="10" s="1"/>
  <c r="AV10" i="10" s="1"/>
  <c r="AV15" i="10" s="1"/>
  <c r="AO14" i="10"/>
  <c r="AI15" i="10"/>
  <c r="AO15" i="10" s="1"/>
  <c r="AB4" i="12" l="1"/>
  <c r="V5" i="12" s="1"/>
  <c r="W5" i="12" s="1"/>
  <c r="AC4" i="12"/>
  <c r="X5" i="12" s="1"/>
  <c r="CB72" i="10"/>
  <c r="BD28" i="10"/>
  <c r="AV11" i="10" s="1"/>
  <c r="AV12" i="10" s="1"/>
  <c r="AV16" i="10" s="1"/>
  <c r="BD26" i="10"/>
  <c r="AV28" i="10"/>
  <c r="AV30" i="10" s="1"/>
  <c r="CD72" i="10"/>
  <c r="AV17" i="10"/>
  <c r="G10" i="10"/>
  <c r="AK15" i="10"/>
  <c r="AI16" i="10" s="1"/>
  <c r="Z5" i="12" l="1"/>
  <c r="AA5" i="12" s="1"/>
  <c r="AB5" i="12" s="1"/>
  <c r="V6" i="12" s="1"/>
  <c r="AD5" i="12"/>
  <c r="Y5" i="12"/>
  <c r="G13" i="10"/>
  <c r="AV18" i="10"/>
  <c r="AV19" i="10" s="1"/>
  <c r="AV20" i="10" s="1"/>
  <c r="AG16" i="10"/>
  <c r="AK16" i="10" s="1"/>
  <c r="AG17" i="10" s="1"/>
  <c r="AC5" i="12" l="1"/>
  <c r="X6" i="12" s="1"/>
  <c r="Y6" i="12" s="1"/>
  <c r="W6" i="12"/>
  <c r="K25" i="10"/>
  <c r="AO16" i="10"/>
  <c r="AI17" i="10"/>
  <c r="AO17" i="10" s="1"/>
  <c r="Z6" i="12" l="1"/>
  <c r="AA6" i="12" s="1"/>
  <c r="AC6" i="12" s="1"/>
  <c r="X7" i="12" s="1"/>
  <c r="Y7" i="12" s="1"/>
  <c r="AD6" i="12"/>
  <c r="AK17" i="10"/>
  <c r="AI18" i="10" s="1"/>
  <c r="AB6" i="12" l="1"/>
  <c r="V7" i="12" s="1"/>
  <c r="W7" i="12" s="1"/>
  <c r="AG18" i="10"/>
  <c r="AK18" i="10" s="1"/>
  <c r="AG19" i="10" s="1"/>
  <c r="AD7" i="12" l="1"/>
  <c r="Z7" i="12"/>
  <c r="AA7" i="12" s="1"/>
  <c r="AC7" i="12" s="1"/>
  <c r="X8" i="12" s="1"/>
  <c r="Y8" i="12" s="1"/>
  <c r="AO18" i="10"/>
  <c r="AI19" i="10"/>
  <c r="AK19" i="10" s="1"/>
  <c r="AG20" i="10" s="1"/>
  <c r="AB7" i="12" l="1"/>
  <c r="V8" i="12" s="1"/>
  <c r="W8" i="12" s="1"/>
  <c r="AO19" i="10"/>
  <c r="AI20" i="10"/>
  <c r="AO20" i="10" s="1"/>
  <c r="AD8" i="12" l="1"/>
  <c r="Z8" i="12"/>
  <c r="AA8" i="12" s="1"/>
  <c r="AB8" i="12" s="1"/>
  <c r="V9" i="12" s="1"/>
  <c r="AK20" i="10"/>
  <c r="AG21" i="10" s="1"/>
  <c r="AC8" i="12" l="1"/>
  <c r="X9" i="12" s="1"/>
  <c r="AD9" i="12" s="1"/>
  <c r="W9" i="12"/>
  <c r="AI21" i="10"/>
  <c r="AO21" i="10" s="1"/>
  <c r="Z9" i="12" l="1"/>
  <c r="AA9" i="12" s="1"/>
  <c r="AB9" i="12" s="1"/>
  <c r="V10" i="12" s="1"/>
  <c r="Y9" i="12"/>
  <c r="AK21" i="10"/>
  <c r="AI22" i="10" s="1"/>
  <c r="AC9" i="12" l="1"/>
  <c r="X10" i="12" s="1"/>
  <c r="AD10" i="12" s="1"/>
  <c r="W10" i="12"/>
  <c r="AG22" i="10"/>
  <c r="AK22" i="10" s="1"/>
  <c r="Z10" i="12" l="1"/>
  <c r="AA10" i="12" s="1"/>
  <c r="AB10" i="12" s="1"/>
  <c r="V11" i="12" s="1"/>
  <c r="W11" i="12" s="1"/>
  <c r="Y10" i="12"/>
  <c r="AO22" i="10"/>
  <c r="AG23" i="10"/>
  <c r="AI23" i="10"/>
  <c r="AC10" i="12" l="1"/>
  <c r="X11" i="12" s="1"/>
  <c r="Y11" i="12" s="1"/>
  <c r="AK23" i="10"/>
  <c r="AI24" i="10" s="1"/>
  <c r="AO23" i="10"/>
  <c r="AD11" i="12" l="1"/>
  <c r="Z11" i="12"/>
  <c r="AA11" i="12" s="1"/>
  <c r="AB11" i="12" s="1"/>
  <c r="V12" i="12" s="1"/>
  <c r="W12" i="12" s="1"/>
  <c r="AG24" i="10"/>
  <c r="AO24" i="10" s="1"/>
  <c r="AC11" i="12" l="1"/>
  <c r="X12" i="12" s="1"/>
  <c r="AD12" i="12" s="1"/>
  <c r="AK24" i="10"/>
  <c r="AI25" i="10" s="1"/>
  <c r="Z12" i="12" l="1"/>
  <c r="AA12" i="12" s="1"/>
  <c r="AB12" i="12" s="1"/>
  <c r="V13" i="12" s="1"/>
  <c r="W13" i="12" s="1"/>
  <c r="Y12" i="12"/>
  <c r="AG25" i="10"/>
  <c r="AK25" i="10" s="1"/>
  <c r="AI26" i="10" s="1"/>
  <c r="AC12" i="12" l="1"/>
  <c r="X13" i="12" s="1"/>
  <c r="Z13" i="12" s="1"/>
  <c r="AA13" i="12" s="1"/>
  <c r="AB13" i="12" s="1"/>
  <c r="V14" i="12" s="1"/>
  <c r="AO25" i="10"/>
  <c r="AG26" i="10"/>
  <c r="AO26" i="10" s="1"/>
  <c r="AD13" i="12" l="1"/>
  <c r="Y13" i="12"/>
  <c r="AC13" i="12" s="1"/>
  <c r="X14" i="12" s="1"/>
  <c r="AD14" i="12" s="1"/>
  <c r="W14" i="12"/>
  <c r="AK26" i="10"/>
  <c r="AI27" i="10" s="1"/>
  <c r="Z14" i="12" l="1"/>
  <c r="AA14" i="12" s="1"/>
  <c r="AB14" i="12" s="1"/>
  <c r="V15" i="12" s="1"/>
  <c r="W15" i="12" s="1"/>
  <c r="Y14" i="12"/>
  <c r="AG27" i="10"/>
  <c r="AK27" i="10" s="1"/>
  <c r="AI28" i="10" s="1"/>
  <c r="AC14" i="12" l="1"/>
  <c r="X15" i="12" s="1"/>
  <c r="Z15" i="12" s="1"/>
  <c r="AA15" i="12" s="1"/>
  <c r="AB15" i="12" s="1"/>
  <c r="V16" i="12" s="1"/>
  <c r="AO27" i="10"/>
  <c r="AG28" i="10"/>
  <c r="AO28" i="10" s="1"/>
  <c r="Y15" i="12" l="1"/>
  <c r="AC15" i="12" s="1"/>
  <c r="X16" i="12" s="1"/>
  <c r="AD15" i="12"/>
  <c r="W16" i="12"/>
  <c r="AK28" i="10"/>
  <c r="AG29" i="10" s="1"/>
  <c r="AD16" i="12" l="1"/>
  <c r="Z16" i="12"/>
  <c r="AA16" i="12" s="1"/>
  <c r="AB16" i="12" s="1"/>
  <c r="V17" i="12" s="1"/>
  <c r="Y16" i="12"/>
  <c r="AI29" i="10"/>
  <c r="AO29" i="10" s="1"/>
  <c r="AC16" i="12" l="1"/>
  <c r="X17" i="12" s="1"/>
  <c r="Y17" i="12" s="1"/>
  <c r="W17" i="12"/>
  <c r="AK29" i="10"/>
  <c r="AI30" i="10" s="1"/>
  <c r="AD17" i="12" l="1"/>
  <c r="Z17" i="12"/>
  <c r="AA17" i="12" s="1"/>
  <c r="AB17" i="12" s="1"/>
  <c r="V18" i="12" s="1"/>
  <c r="AG30" i="10"/>
  <c r="AO30" i="10" s="1"/>
  <c r="AC17" i="12" l="1"/>
  <c r="X18" i="12" s="1"/>
  <c r="AD18" i="12" s="1"/>
  <c r="W18" i="12"/>
  <c r="AK30" i="10"/>
  <c r="AG31" i="10" s="1"/>
  <c r="Z18" i="12" l="1"/>
  <c r="AA18" i="12" s="1"/>
  <c r="AB18" i="12" s="1"/>
  <c r="V19" i="12" s="1"/>
  <c r="Y18" i="12"/>
  <c r="AI31" i="10"/>
  <c r="AK31" i="10" s="1"/>
  <c r="AG32" i="10" s="1"/>
  <c r="AC18" i="12" l="1"/>
  <c r="X19" i="12" s="1"/>
  <c r="AD19" i="12" s="1"/>
  <c r="W19" i="12"/>
  <c r="AO31" i="10"/>
  <c r="AI32" i="10"/>
  <c r="AO32" i="10" s="1"/>
  <c r="Z19" i="12" l="1"/>
  <c r="AA19" i="12" s="1"/>
  <c r="AB19" i="12" s="1"/>
  <c r="V20" i="12" s="1"/>
  <c r="W20" i="12" s="1"/>
  <c r="Y19" i="12"/>
  <c r="AK32" i="10"/>
  <c r="AG33" i="10" s="1"/>
  <c r="AC19" i="12" l="1"/>
  <c r="X20" i="12" s="1"/>
  <c r="Z20" i="12" s="1"/>
  <c r="AA20" i="12" s="1"/>
  <c r="AB20" i="12" s="1"/>
  <c r="V21" i="12" s="1"/>
  <c r="AI33" i="10"/>
  <c r="AO33" i="10" s="1"/>
  <c r="Y20" i="12" l="1"/>
  <c r="AC20" i="12" s="1"/>
  <c r="X21" i="12" s="1"/>
  <c r="AD20" i="12"/>
  <c r="W21" i="12"/>
  <c r="AK33" i="10"/>
  <c r="AI34" i="10" s="1"/>
  <c r="AD21" i="12" l="1"/>
  <c r="Y21" i="12"/>
  <c r="Z21" i="12"/>
  <c r="AA21" i="12" s="1"/>
  <c r="AB21" i="12" s="1"/>
  <c r="V22" i="12" s="1"/>
  <c r="AG34" i="10"/>
  <c r="AO34" i="10" s="1"/>
  <c r="W22" i="12" l="1"/>
  <c r="AC21" i="12"/>
  <c r="X22" i="12" s="1"/>
  <c r="AK34" i="10"/>
  <c r="AG35" i="10" s="1"/>
  <c r="AD22" i="12" l="1"/>
  <c r="Y22" i="12"/>
  <c r="Z22" i="12"/>
  <c r="AA22" i="12" s="1"/>
  <c r="AB22" i="12" s="1"/>
  <c r="V23" i="12" s="1"/>
  <c r="AI35" i="10"/>
  <c r="AO35" i="10" s="1"/>
  <c r="W23" i="12" l="1"/>
  <c r="AC22" i="12"/>
  <c r="X23" i="12" s="1"/>
  <c r="AK35" i="10"/>
  <c r="AI36" i="10" s="1"/>
  <c r="Y23" i="12" l="1"/>
  <c r="AD23" i="12"/>
  <c r="Z23" i="12"/>
  <c r="AA23" i="12" s="1"/>
  <c r="AB23" i="12" s="1"/>
  <c r="V24" i="12" s="1"/>
  <c r="AG36" i="10"/>
  <c r="AO36" i="10" s="1"/>
  <c r="W24" i="12" l="1"/>
  <c r="AC23" i="12"/>
  <c r="X24" i="12" s="1"/>
  <c r="AK36" i="10"/>
  <c r="AI37" i="10" s="1"/>
  <c r="AD24" i="12" l="1"/>
  <c r="Y24" i="12"/>
  <c r="Z24" i="12"/>
  <c r="AA24" i="12" s="1"/>
  <c r="AB24" i="12" s="1"/>
  <c r="V25" i="12" s="1"/>
  <c r="AG37" i="10"/>
  <c r="AK37" i="10" s="1"/>
  <c r="AI38" i="10" s="1"/>
  <c r="W25" i="12" l="1"/>
  <c r="AC24" i="12"/>
  <c r="X25" i="12" s="1"/>
  <c r="AO37" i="10"/>
  <c r="AG38" i="10"/>
  <c r="AK38" i="10" s="1"/>
  <c r="AG39" i="10" s="1"/>
  <c r="Y25" i="12" l="1"/>
  <c r="AD25" i="12"/>
  <c r="Z25" i="12"/>
  <c r="AA25" i="12" s="1"/>
  <c r="AB25" i="12" s="1"/>
  <c r="V26" i="12" s="1"/>
  <c r="AO38" i="10"/>
  <c r="AI39" i="10"/>
  <c r="AK39" i="10" s="1"/>
  <c r="W26" i="12" l="1"/>
  <c r="AC25" i="12"/>
  <c r="X26" i="12" s="1"/>
  <c r="AO39" i="10"/>
  <c r="AI40" i="10"/>
  <c r="AG40" i="10"/>
  <c r="Y26" i="12" l="1"/>
  <c r="AD26" i="12"/>
  <c r="Z26" i="12"/>
  <c r="AA26" i="12" s="1"/>
  <c r="AB26" i="12" s="1"/>
  <c r="V27" i="12" s="1"/>
  <c r="AK40" i="10"/>
  <c r="AO40" i="10"/>
  <c r="W27" i="12" l="1"/>
  <c r="AC26" i="12"/>
  <c r="X27" i="12" s="1"/>
  <c r="AI41" i="10"/>
  <c r="AG41" i="10"/>
  <c r="Y27" i="12" l="1"/>
  <c r="AD27" i="12"/>
  <c r="Z27" i="12"/>
  <c r="AA27" i="12" s="1"/>
  <c r="AB27" i="12" s="1"/>
  <c r="V28" i="12" s="1"/>
  <c r="AK41" i="10"/>
  <c r="AI42" i="10" s="1"/>
  <c r="AO41" i="10"/>
  <c r="W28" i="12" l="1"/>
  <c r="AC27" i="12"/>
  <c r="X28" i="12" s="1"/>
  <c r="AG42" i="10"/>
  <c r="AK42" i="10" s="1"/>
  <c r="AG43" i="10" s="1"/>
  <c r="AD28" i="12" l="1"/>
  <c r="Y28" i="12"/>
  <c r="Z28" i="12"/>
  <c r="AA28" i="12" s="1"/>
  <c r="AB28" i="12" s="1"/>
  <c r="V29" i="12" s="1"/>
  <c r="AI43" i="10"/>
  <c r="AK43" i="10" s="1"/>
  <c r="AI44" i="10" s="1"/>
  <c r="AO42" i="10"/>
  <c r="W29" i="12" l="1"/>
  <c r="AC28" i="12"/>
  <c r="X29" i="12" s="1"/>
  <c r="AO43" i="10"/>
  <c r="AG44" i="10"/>
  <c r="AO44" i="10" s="1"/>
  <c r="Y29" i="12" l="1"/>
  <c r="AD29" i="12"/>
  <c r="Z29" i="12"/>
  <c r="AA29" i="12" s="1"/>
  <c r="AB29" i="12" s="1"/>
  <c r="V30" i="12" s="1"/>
  <c r="AK44" i="10"/>
  <c r="W30" i="12" l="1"/>
  <c r="AC29" i="12"/>
  <c r="X30" i="12" s="1"/>
  <c r="O4" i="10"/>
  <c r="K27" i="10"/>
  <c r="K28" i="10"/>
  <c r="G26" i="10"/>
  <c r="AD30" i="12" l="1"/>
  <c r="Y30" i="12"/>
  <c r="Z30" i="12"/>
  <c r="AA30" i="12" s="1"/>
  <c r="AB30" i="12" s="1"/>
  <c r="V31" i="12" s="1"/>
  <c r="K21" i="10"/>
  <c r="K22" i="10"/>
  <c r="K23" i="10"/>
  <c r="K26" i="10"/>
  <c r="K14" i="10"/>
  <c r="G9" i="10"/>
  <c r="G27" i="10"/>
  <c r="K4" i="10" s="1"/>
  <c r="K24" i="10"/>
  <c r="O6" i="10"/>
  <c r="K20" i="10"/>
  <c r="K29" i="10"/>
  <c r="O12" i="10"/>
  <c r="K34" i="10"/>
  <c r="W31" i="12" l="1"/>
  <c r="AC30" i="12"/>
  <c r="X31" i="12" s="1"/>
  <c r="G11" i="10"/>
  <c r="AH49" i="10" s="1"/>
  <c r="K45" i="10"/>
  <c r="K38" i="10"/>
  <c r="O7" i="10"/>
  <c r="O9" i="10" s="1"/>
  <c r="O13" i="10" s="1"/>
  <c r="K37" i="10"/>
  <c r="K5" i="10"/>
  <c r="K46" i="10"/>
  <c r="Y31" i="12" l="1"/>
  <c r="AD31" i="12"/>
  <c r="Z31" i="12"/>
  <c r="AA31" i="12" s="1"/>
  <c r="AB31" i="12" s="1"/>
  <c r="V32" i="12" s="1"/>
  <c r="AL49" i="10"/>
  <c r="AJ49" i="10"/>
  <c r="G12" i="10"/>
  <c r="O10" i="10"/>
  <c r="W32" i="12" l="1"/>
  <c r="AC31" i="12"/>
  <c r="X32" i="12" s="1"/>
  <c r="O16" i="10"/>
  <c r="O14" i="10"/>
  <c r="AD32" i="12" l="1"/>
  <c r="Y32" i="12"/>
  <c r="Z32" i="12"/>
  <c r="AA32" i="12" s="1"/>
  <c r="AB32" i="12" s="1"/>
  <c r="V33" i="12" s="1"/>
  <c r="O20" i="10"/>
  <c r="K16" i="10" s="1"/>
  <c r="O15" i="10"/>
  <c r="W33" i="12" l="1"/>
  <c r="AC32" i="12"/>
  <c r="X33" i="12" s="1"/>
  <c r="Z33" i="12" s="1"/>
  <c r="AA33" i="12" s="1"/>
  <c r="O23" i="10"/>
  <c r="W4" i="10" s="1"/>
  <c r="O28" i="10"/>
  <c r="O30" i="10" s="1"/>
  <c r="AB33" i="12" l="1"/>
  <c r="V34" i="12" s="1"/>
  <c r="W34" i="12" s="1"/>
  <c r="AD33" i="12"/>
  <c r="Y33" i="12"/>
  <c r="AC33" i="12" s="1"/>
  <c r="X34" i="12" s="1"/>
  <c r="Y4" i="10"/>
  <c r="AA4" i="10"/>
  <c r="Y34" i="12" l="1"/>
  <c r="AD34" i="12"/>
  <c r="Z34" i="12"/>
  <c r="AB4" i="10"/>
  <c r="V5" i="10" s="1"/>
  <c r="W5" i="10" s="1"/>
  <c r="AC4" i="10"/>
  <c r="X5" i="10" s="1"/>
  <c r="O26" i="12" l="1"/>
  <c r="O27" i="12" s="1"/>
  <c r="G17" i="12" s="1"/>
  <c r="AA34" i="12"/>
  <c r="AB34" i="12" s="1"/>
  <c r="Z5" i="10"/>
  <c r="AA5" i="10" s="1"/>
  <c r="AB5" i="10" s="1"/>
  <c r="V6" i="10" s="1"/>
  <c r="W6" i="10" s="1"/>
  <c r="AD5" i="10"/>
  <c r="Y5" i="10"/>
  <c r="AC34" i="12" l="1"/>
  <c r="G18" i="12"/>
  <c r="G20" i="12"/>
  <c r="AC5" i="10"/>
  <c r="X6" i="10" s="1"/>
  <c r="AD6" i="10" s="1"/>
  <c r="K6" i="12" l="1"/>
  <c r="K10" i="12"/>
  <c r="K15" i="12" s="1"/>
  <c r="Z6" i="10"/>
  <c r="AA6" i="10" s="1"/>
  <c r="AB6" i="10" s="1"/>
  <c r="V7" i="10" s="1"/>
  <c r="W7" i="10" s="1"/>
  <c r="Y6" i="10"/>
  <c r="K43" i="12" l="1"/>
  <c r="K35" i="12"/>
  <c r="K19" i="12"/>
  <c r="K7" i="12"/>
  <c r="K18" i="12"/>
  <c r="AC6" i="10"/>
  <c r="X7" i="10" s="1"/>
  <c r="Z7" i="10" s="1"/>
  <c r="AA7" i="10" s="1"/>
  <c r="AB7" i="10" s="1"/>
  <c r="V8" i="10" s="1"/>
  <c r="W8" i="10" s="1"/>
  <c r="K44" i="12" l="1"/>
  <c r="K47" i="12" s="1"/>
  <c r="K36" i="12"/>
  <c r="K39" i="12" s="1"/>
  <c r="K30" i="12"/>
  <c r="Y7" i="10"/>
  <c r="AC7" i="10" s="1"/>
  <c r="X8" i="10" s="1"/>
  <c r="Y8" i="10" s="1"/>
  <c r="AD7" i="10"/>
  <c r="K31" i="12" l="1"/>
  <c r="AH4" i="12"/>
  <c r="AL4" i="12"/>
  <c r="AJ4" i="12"/>
  <c r="Z8" i="10"/>
  <c r="AA8" i="10" s="1"/>
  <c r="AC8" i="10" s="1"/>
  <c r="X9" i="10" s="1"/>
  <c r="AD8" i="10"/>
  <c r="AB8" i="10" l="1"/>
  <c r="V9" i="10" s="1"/>
  <c r="Z9" i="10" s="1"/>
  <c r="AA9" i="10" s="1"/>
  <c r="Y9" i="10"/>
  <c r="AD9" i="10" l="1"/>
  <c r="W9" i="10"/>
  <c r="AB9" i="10" s="1"/>
  <c r="V10" i="10" s="1"/>
  <c r="AC9" i="10"/>
  <c r="X10" i="10" s="1"/>
  <c r="Y10" i="10" s="1"/>
  <c r="Z10" i="10" l="1"/>
  <c r="AA10" i="10" s="1"/>
  <c r="AC10" i="10" s="1"/>
  <c r="X11" i="10" s="1"/>
  <c r="Y11" i="10" s="1"/>
  <c r="AD10" i="10"/>
  <c r="W10" i="10"/>
  <c r="AB10" i="10" l="1"/>
  <c r="V11" i="10" s="1"/>
  <c r="AD11" i="10" s="1"/>
  <c r="Z11" i="10" l="1"/>
  <c r="AA11" i="10" s="1"/>
  <c r="AC11" i="10" s="1"/>
  <c r="X12" i="10" s="1"/>
  <c r="W11" i="10"/>
  <c r="AB11" i="10" l="1"/>
  <c r="V12" i="10" s="1"/>
  <c r="AD12" i="10" s="1"/>
  <c r="Y12" i="10"/>
  <c r="Z12" i="10" l="1"/>
  <c r="AA12" i="10" s="1"/>
  <c r="AC12" i="10" s="1"/>
  <c r="X13" i="10" s="1"/>
  <c r="W12" i="10"/>
  <c r="AB12" i="10" l="1"/>
  <c r="V13" i="10" s="1"/>
  <c r="W13" i="10" s="1"/>
  <c r="Y13" i="10"/>
  <c r="Z13" i="10" l="1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BH5" i="9"/>
  <c r="C10" i="9"/>
  <c r="C20" i="9" s="1"/>
  <c r="Y24" i="10" l="1"/>
  <c r="Z24" i="10"/>
  <c r="AA24" i="10" s="1"/>
  <c r="AB24" i="10" s="1"/>
  <c r="V25" i="10" s="1"/>
  <c r="W25" i="10" s="1"/>
  <c r="BL62" i="9"/>
  <c r="BL43" i="9"/>
  <c r="CH136" i="9"/>
  <c r="CG136" i="9"/>
  <c r="CH135" i="9"/>
  <c r="CG135" i="9"/>
  <c r="CH134" i="9"/>
  <c r="CG134" i="9"/>
  <c r="CH133" i="9"/>
  <c r="CG133" i="9"/>
  <c r="CH132" i="9"/>
  <c r="CG132" i="9"/>
  <c r="CH131" i="9"/>
  <c r="CG131" i="9"/>
  <c r="CH130" i="9"/>
  <c r="CG130" i="9"/>
  <c r="CH129" i="9"/>
  <c r="CG129" i="9"/>
  <c r="CH128" i="9"/>
  <c r="CG128" i="9"/>
  <c r="CH127" i="9"/>
  <c r="CG127" i="9"/>
  <c r="CH126" i="9"/>
  <c r="CG126" i="9"/>
  <c r="CH125" i="9"/>
  <c r="CG125" i="9"/>
  <c r="CH124" i="9"/>
  <c r="CG124" i="9"/>
  <c r="CH123" i="9"/>
  <c r="CG123" i="9"/>
  <c r="CH122" i="9"/>
  <c r="CG122" i="9"/>
  <c r="CH121" i="9"/>
  <c r="CG121" i="9"/>
  <c r="CH120" i="9"/>
  <c r="CG120" i="9"/>
  <c r="CH119" i="9"/>
  <c r="CG119" i="9"/>
  <c r="CH118" i="9"/>
  <c r="CG118" i="9"/>
  <c r="CH117" i="9"/>
  <c r="CG117" i="9"/>
  <c r="CH116" i="9"/>
  <c r="CG116" i="9"/>
  <c r="CH115" i="9"/>
  <c r="CG115" i="9"/>
  <c r="CH114" i="9"/>
  <c r="CG114" i="9"/>
  <c r="CH113" i="9"/>
  <c r="CG113" i="9"/>
  <c r="CH112" i="9"/>
  <c r="CG112" i="9"/>
  <c r="CH111" i="9"/>
  <c r="CG111" i="9"/>
  <c r="CH110" i="9"/>
  <c r="CG110" i="9"/>
  <c r="CH109" i="9"/>
  <c r="CG109" i="9"/>
  <c r="CH108" i="9"/>
  <c r="CG108" i="9"/>
  <c r="CH107" i="9"/>
  <c r="CG107" i="9"/>
  <c r="AC24" i="10" l="1"/>
  <c r="X25" i="10" s="1"/>
  <c r="Y25" i="10" s="1"/>
  <c r="CE107" i="9"/>
  <c r="CC108" i="9"/>
  <c r="CI107" i="9"/>
  <c r="CA108" i="9"/>
  <c r="C30" i="9"/>
  <c r="AN79" i="9"/>
  <c r="AM79" i="9"/>
  <c r="AN78" i="9"/>
  <c r="AM78" i="9"/>
  <c r="AN77" i="9"/>
  <c r="AM77" i="9"/>
  <c r="AN76" i="9"/>
  <c r="AM76" i="9"/>
  <c r="AN75" i="9"/>
  <c r="AM75" i="9"/>
  <c r="AN74" i="9"/>
  <c r="AM74" i="9"/>
  <c r="AN73" i="9"/>
  <c r="AM73" i="9"/>
  <c r="AN72" i="9"/>
  <c r="AM72" i="9"/>
  <c r="AN71" i="9"/>
  <c r="AM71" i="9"/>
  <c r="AN70" i="9"/>
  <c r="AM70" i="9"/>
  <c r="AN69" i="9"/>
  <c r="AM69" i="9"/>
  <c r="AN68" i="9"/>
  <c r="AM68" i="9"/>
  <c r="AN67" i="9"/>
  <c r="AM67" i="9"/>
  <c r="AN66" i="9"/>
  <c r="AM66" i="9"/>
  <c r="AN65" i="9"/>
  <c r="AM65" i="9"/>
  <c r="AN64" i="9"/>
  <c r="AM64" i="9"/>
  <c r="AN63" i="9"/>
  <c r="AM63" i="9"/>
  <c r="AN62" i="9"/>
  <c r="AM62" i="9"/>
  <c r="AN61" i="9"/>
  <c r="AM61" i="9"/>
  <c r="AN60" i="9"/>
  <c r="AM60" i="9"/>
  <c r="AN59" i="9"/>
  <c r="AM59" i="9"/>
  <c r="AN58" i="9"/>
  <c r="AM58" i="9"/>
  <c r="AN57" i="9"/>
  <c r="AM57" i="9"/>
  <c r="AN56" i="9"/>
  <c r="AM56" i="9"/>
  <c r="AN55" i="9"/>
  <c r="AM55" i="9"/>
  <c r="AN54" i="9"/>
  <c r="AM54" i="9"/>
  <c r="AN53" i="9"/>
  <c r="AM53" i="9"/>
  <c r="AN52" i="9"/>
  <c r="AM52" i="9"/>
  <c r="AN51" i="9"/>
  <c r="AM51" i="9"/>
  <c r="AO50" i="9"/>
  <c r="AN50" i="9"/>
  <c r="AM50" i="9"/>
  <c r="AK50" i="9"/>
  <c r="AR8" i="9"/>
  <c r="Z25" i="10" l="1"/>
  <c r="AA25" i="10" s="1"/>
  <c r="AB25" i="10" s="1"/>
  <c r="V26" i="10" s="1"/>
  <c r="AD25" i="10"/>
  <c r="CE108" i="9"/>
  <c r="CC109" i="9" s="1"/>
  <c r="CI108" i="9"/>
  <c r="AR32" i="9"/>
  <c r="AR25" i="9"/>
  <c r="AR34" i="9"/>
  <c r="BL65" i="9" s="1"/>
  <c r="AR31" i="9"/>
  <c r="AR24" i="9"/>
  <c r="AR30" i="9"/>
  <c r="AR23" i="9"/>
  <c r="AR27" i="9"/>
  <c r="BH8" i="9" s="1"/>
  <c r="AR29" i="9"/>
  <c r="AR22" i="9"/>
  <c r="AR26" i="9"/>
  <c r="BD31" i="9" s="1"/>
  <c r="AR28" i="9"/>
  <c r="AR21" i="9"/>
  <c r="AR20" i="9"/>
  <c r="AR10" i="9"/>
  <c r="AR33" i="9"/>
  <c r="AI51" i="9"/>
  <c r="AG51" i="9"/>
  <c r="AV3" i="9"/>
  <c r="AV4" i="9" s="1"/>
  <c r="BL5" i="9"/>
  <c r="BP5" i="9"/>
  <c r="BR5" i="9"/>
  <c r="BV5" i="9"/>
  <c r="BW5" i="9"/>
  <c r="CA5" i="9"/>
  <c r="CC5" i="9"/>
  <c r="CG5" i="9"/>
  <c r="CH5" i="9"/>
  <c r="BV6" i="9"/>
  <c r="BW6" i="9"/>
  <c r="CG6" i="9"/>
  <c r="CH6" i="9"/>
  <c r="BV7" i="9"/>
  <c r="BW7" i="9"/>
  <c r="CG7" i="9"/>
  <c r="CH7" i="9"/>
  <c r="BV8" i="9"/>
  <c r="BW8" i="9"/>
  <c r="CG8" i="9"/>
  <c r="CH8" i="9"/>
  <c r="BV9" i="9"/>
  <c r="BW9" i="9"/>
  <c r="CG9" i="9"/>
  <c r="CH9" i="9"/>
  <c r="BV10" i="9"/>
  <c r="BW10" i="9"/>
  <c r="CG10" i="9"/>
  <c r="CH10" i="9"/>
  <c r="BV11" i="9"/>
  <c r="BW11" i="9"/>
  <c r="CG11" i="9"/>
  <c r="CH11" i="9"/>
  <c r="BV12" i="9"/>
  <c r="BW12" i="9"/>
  <c r="CG12" i="9"/>
  <c r="CH12" i="9"/>
  <c r="BV13" i="9"/>
  <c r="BW13" i="9"/>
  <c r="CG13" i="9"/>
  <c r="CH13" i="9"/>
  <c r="BV14" i="9"/>
  <c r="BW14" i="9"/>
  <c r="CG14" i="9"/>
  <c r="CH14" i="9"/>
  <c r="BV15" i="9"/>
  <c r="BW15" i="9"/>
  <c r="CG15" i="9"/>
  <c r="CH15" i="9"/>
  <c r="BV16" i="9"/>
  <c r="BW16" i="9"/>
  <c r="CG16" i="9"/>
  <c r="CH16" i="9"/>
  <c r="BV17" i="9"/>
  <c r="BW17" i="9"/>
  <c r="CG17" i="9"/>
  <c r="CH17" i="9"/>
  <c r="BV18" i="9"/>
  <c r="BW18" i="9"/>
  <c r="CG18" i="9"/>
  <c r="CH18" i="9"/>
  <c r="BV19" i="9"/>
  <c r="BW19" i="9"/>
  <c r="CG19" i="9"/>
  <c r="CH19" i="9"/>
  <c r="BV20" i="9"/>
  <c r="BW20" i="9"/>
  <c r="CG20" i="9"/>
  <c r="CH20" i="9"/>
  <c r="BV21" i="9"/>
  <c r="BW21" i="9"/>
  <c r="CG21" i="9"/>
  <c r="CH21" i="9"/>
  <c r="BV22" i="9"/>
  <c r="BW22" i="9"/>
  <c r="CG22" i="9"/>
  <c r="CH22" i="9"/>
  <c r="BV23" i="9"/>
  <c r="BW23" i="9"/>
  <c r="CG23" i="9"/>
  <c r="CH23" i="9"/>
  <c r="BH24" i="9"/>
  <c r="BL24" i="9"/>
  <c r="BV24" i="9"/>
  <c r="BW24" i="9"/>
  <c r="CG24" i="9"/>
  <c r="CH24" i="9"/>
  <c r="BV25" i="9"/>
  <c r="BW25" i="9"/>
  <c r="CG25" i="9"/>
  <c r="CH25" i="9"/>
  <c r="BV26" i="9"/>
  <c r="BW26" i="9"/>
  <c r="CG26" i="9"/>
  <c r="CH26" i="9"/>
  <c r="BV27" i="9"/>
  <c r="BW27" i="9"/>
  <c r="CG27" i="9"/>
  <c r="CH27" i="9"/>
  <c r="BV28" i="9"/>
  <c r="BW28" i="9"/>
  <c r="CG28" i="9"/>
  <c r="CH28" i="9"/>
  <c r="BV29" i="9"/>
  <c r="BW29" i="9"/>
  <c r="CG29" i="9"/>
  <c r="CH29" i="9"/>
  <c r="BV30" i="9"/>
  <c r="BW30" i="9"/>
  <c r="CG30" i="9"/>
  <c r="CH30" i="9"/>
  <c r="BV31" i="9"/>
  <c r="BW31" i="9"/>
  <c r="CG31" i="9"/>
  <c r="CH31" i="9"/>
  <c r="BV32" i="9"/>
  <c r="BW32" i="9"/>
  <c r="CG32" i="9"/>
  <c r="CH32" i="9"/>
  <c r="BV33" i="9"/>
  <c r="BW33" i="9"/>
  <c r="CG33" i="9"/>
  <c r="CH33" i="9"/>
  <c r="BV34" i="9"/>
  <c r="BW34" i="9"/>
  <c r="CG34" i="9"/>
  <c r="CH34" i="9"/>
  <c r="BP39" i="9"/>
  <c r="BR39" i="9"/>
  <c r="BV39" i="9"/>
  <c r="BW39" i="9"/>
  <c r="CA39" i="9"/>
  <c r="CC39" i="9"/>
  <c r="CG39" i="9"/>
  <c r="CH39" i="9"/>
  <c r="BV40" i="9"/>
  <c r="BW40" i="9"/>
  <c r="CG40" i="9"/>
  <c r="CH40" i="9"/>
  <c r="BV41" i="9"/>
  <c r="BW41" i="9"/>
  <c r="CG41" i="9"/>
  <c r="CH41" i="9"/>
  <c r="BV42" i="9"/>
  <c r="BW42" i="9"/>
  <c r="CG42" i="9"/>
  <c r="CH42" i="9"/>
  <c r="BH43" i="9"/>
  <c r="BV43" i="9"/>
  <c r="BW43" i="9"/>
  <c r="CG43" i="9"/>
  <c r="CH43" i="9"/>
  <c r="BV44" i="9"/>
  <c r="BW44" i="9"/>
  <c r="CG44" i="9"/>
  <c r="CH44" i="9"/>
  <c r="BV45" i="9"/>
  <c r="BW45" i="9"/>
  <c r="CG45" i="9"/>
  <c r="CH45" i="9"/>
  <c r="BV46" i="9"/>
  <c r="BW46" i="9"/>
  <c r="CG46" i="9"/>
  <c r="CH46" i="9"/>
  <c r="BV47" i="9"/>
  <c r="BW47" i="9"/>
  <c r="CG47" i="9"/>
  <c r="CH47" i="9"/>
  <c r="BV48" i="9"/>
  <c r="BW48" i="9"/>
  <c r="CG48" i="9"/>
  <c r="CH48" i="9"/>
  <c r="BV49" i="9"/>
  <c r="BW49" i="9"/>
  <c r="CG49" i="9"/>
  <c r="CH49" i="9"/>
  <c r="BV50" i="9"/>
  <c r="BW50" i="9"/>
  <c r="CG50" i="9"/>
  <c r="CH50" i="9"/>
  <c r="BV51" i="9"/>
  <c r="BW51" i="9"/>
  <c r="CG51" i="9"/>
  <c r="CH51" i="9"/>
  <c r="BV52" i="9"/>
  <c r="BW52" i="9"/>
  <c r="CG52" i="9"/>
  <c r="CH52" i="9"/>
  <c r="BV53" i="9"/>
  <c r="BW53" i="9"/>
  <c r="CG53" i="9"/>
  <c r="CH53" i="9"/>
  <c r="BV54" i="9"/>
  <c r="BW54" i="9"/>
  <c r="CG54" i="9"/>
  <c r="CH54" i="9"/>
  <c r="BV55" i="9"/>
  <c r="BW55" i="9"/>
  <c r="CG55" i="9"/>
  <c r="CH55" i="9"/>
  <c r="BV56" i="9"/>
  <c r="BW56" i="9"/>
  <c r="CG56" i="9"/>
  <c r="CH56" i="9"/>
  <c r="BV57" i="9"/>
  <c r="BW57" i="9"/>
  <c r="CG57" i="9"/>
  <c r="CH57" i="9"/>
  <c r="BV58" i="9"/>
  <c r="BW58" i="9"/>
  <c r="CG58" i="9"/>
  <c r="CH58" i="9"/>
  <c r="BV59" i="9"/>
  <c r="BW59" i="9"/>
  <c r="CG59" i="9"/>
  <c r="CH59" i="9"/>
  <c r="BV60" i="9"/>
  <c r="BW60" i="9"/>
  <c r="CG60" i="9"/>
  <c r="CH60" i="9"/>
  <c r="BV61" i="9"/>
  <c r="BW61" i="9"/>
  <c r="CG61" i="9"/>
  <c r="CH61" i="9"/>
  <c r="BH62" i="9"/>
  <c r="BV62" i="9"/>
  <c r="BW62" i="9"/>
  <c r="CG62" i="9"/>
  <c r="CH62" i="9"/>
  <c r="BV63" i="9"/>
  <c r="BW63" i="9"/>
  <c r="CG63" i="9"/>
  <c r="CH63" i="9"/>
  <c r="BV64" i="9"/>
  <c r="BW64" i="9"/>
  <c r="CG64" i="9"/>
  <c r="CH64" i="9"/>
  <c r="BV65" i="9"/>
  <c r="BW65" i="9"/>
  <c r="CG65" i="9"/>
  <c r="CH65" i="9"/>
  <c r="BV66" i="9"/>
  <c r="BW66" i="9"/>
  <c r="CG66" i="9"/>
  <c r="CH66" i="9"/>
  <c r="BV67" i="9"/>
  <c r="BW67" i="9"/>
  <c r="CG67" i="9"/>
  <c r="CH67" i="9"/>
  <c r="BV68" i="9"/>
  <c r="BW68" i="9"/>
  <c r="CG68" i="9"/>
  <c r="CH68" i="9"/>
  <c r="BP73" i="9"/>
  <c r="BR73" i="9"/>
  <c r="BV73" i="9"/>
  <c r="BW73" i="9"/>
  <c r="CA73" i="9"/>
  <c r="CC73" i="9"/>
  <c r="CG73" i="9"/>
  <c r="CH73" i="9"/>
  <c r="BV74" i="9"/>
  <c r="BW74" i="9"/>
  <c r="CG74" i="9"/>
  <c r="CH74" i="9"/>
  <c r="BV75" i="9"/>
  <c r="BW75" i="9"/>
  <c r="CG75" i="9"/>
  <c r="CH75" i="9"/>
  <c r="BV76" i="9"/>
  <c r="BW76" i="9"/>
  <c r="CG76" i="9"/>
  <c r="CH76" i="9"/>
  <c r="BV77" i="9"/>
  <c r="BW77" i="9"/>
  <c r="CG77" i="9"/>
  <c r="CH77" i="9"/>
  <c r="BV78" i="9"/>
  <c r="BW78" i="9"/>
  <c r="CG78" i="9"/>
  <c r="CH78" i="9"/>
  <c r="BV79" i="9"/>
  <c r="BW79" i="9"/>
  <c r="CG79" i="9"/>
  <c r="CH79" i="9"/>
  <c r="BV80" i="9"/>
  <c r="BW80" i="9"/>
  <c r="CG80" i="9"/>
  <c r="CH80" i="9"/>
  <c r="BV81" i="9"/>
  <c r="BW81" i="9"/>
  <c r="CG81" i="9"/>
  <c r="CH81" i="9"/>
  <c r="BV82" i="9"/>
  <c r="BW82" i="9"/>
  <c r="CG82" i="9"/>
  <c r="CH82" i="9"/>
  <c r="BV83" i="9"/>
  <c r="BW83" i="9"/>
  <c r="CG83" i="9"/>
  <c r="CH83" i="9"/>
  <c r="BV84" i="9"/>
  <c r="BW84" i="9"/>
  <c r="CG84" i="9"/>
  <c r="CH84" i="9"/>
  <c r="BV85" i="9"/>
  <c r="BW85" i="9"/>
  <c r="CG85" i="9"/>
  <c r="CH85" i="9"/>
  <c r="BV86" i="9"/>
  <c r="BW86" i="9"/>
  <c r="CG86" i="9"/>
  <c r="CH86" i="9"/>
  <c r="BV87" i="9"/>
  <c r="BW87" i="9"/>
  <c r="CG87" i="9"/>
  <c r="CH87" i="9"/>
  <c r="BV88" i="9"/>
  <c r="BW88" i="9"/>
  <c r="CG88" i="9"/>
  <c r="CH88" i="9"/>
  <c r="BV89" i="9"/>
  <c r="BW89" i="9"/>
  <c r="CG89" i="9"/>
  <c r="CH89" i="9"/>
  <c r="BV90" i="9"/>
  <c r="BW90" i="9"/>
  <c r="CG90" i="9"/>
  <c r="CH90" i="9"/>
  <c r="BV91" i="9"/>
  <c r="BW91" i="9"/>
  <c r="CG91" i="9"/>
  <c r="CH91" i="9"/>
  <c r="BV92" i="9"/>
  <c r="BW92" i="9"/>
  <c r="CG92" i="9"/>
  <c r="CH92" i="9"/>
  <c r="BV93" i="9"/>
  <c r="BW93" i="9"/>
  <c r="CG93" i="9"/>
  <c r="CH93" i="9"/>
  <c r="BV94" i="9"/>
  <c r="BW94" i="9"/>
  <c r="CG94" i="9"/>
  <c r="CH94" i="9"/>
  <c r="BV95" i="9"/>
  <c r="BW95" i="9"/>
  <c r="CG95" i="9"/>
  <c r="CH95" i="9"/>
  <c r="BV96" i="9"/>
  <c r="BW96" i="9"/>
  <c r="CG96" i="9"/>
  <c r="CH96" i="9"/>
  <c r="BV97" i="9"/>
  <c r="BW97" i="9"/>
  <c r="CG97" i="9"/>
  <c r="CH97" i="9"/>
  <c r="BV98" i="9"/>
  <c r="BW98" i="9"/>
  <c r="CG98" i="9"/>
  <c r="CH98" i="9"/>
  <c r="BV99" i="9"/>
  <c r="BW99" i="9"/>
  <c r="CG99" i="9"/>
  <c r="CH99" i="9"/>
  <c r="BV100" i="9"/>
  <c r="BW100" i="9"/>
  <c r="CG100" i="9"/>
  <c r="CH100" i="9"/>
  <c r="BV101" i="9"/>
  <c r="BW101" i="9"/>
  <c r="CG101" i="9"/>
  <c r="CH101" i="9"/>
  <c r="BV102" i="9"/>
  <c r="BW102" i="9"/>
  <c r="CG102" i="9"/>
  <c r="CH102" i="9"/>
  <c r="BP107" i="9"/>
  <c r="BR107" i="9"/>
  <c r="BV107" i="9"/>
  <c r="BW107" i="9"/>
  <c r="BV108" i="9"/>
  <c r="BW108" i="9"/>
  <c r="BV109" i="9"/>
  <c r="BW109" i="9"/>
  <c r="BV110" i="9"/>
  <c r="BW110" i="9"/>
  <c r="BV111" i="9"/>
  <c r="BW111" i="9"/>
  <c r="BV112" i="9"/>
  <c r="BW112" i="9"/>
  <c r="BV113" i="9"/>
  <c r="BW113" i="9"/>
  <c r="BV114" i="9"/>
  <c r="BW114" i="9"/>
  <c r="BV115" i="9"/>
  <c r="BW115" i="9"/>
  <c r="BV116" i="9"/>
  <c r="BW116" i="9"/>
  <c r="BV117" i="9"/>
  <c r="BW117" i="9"/>
  <c r="BV118" i="9"/>
  <c r="BW118" i="9"/>
  <c r="BV119" i="9"/>
  <c r="BW119" i="9"/>
  <c r="BV120" i="9"/>
  <c r="BW120" i="9"/>
  <c r="BV121" i="9"/>
  <c r="BW121" i="9"/>
  <c r="BV122" i="9"/>
  <c r="BW122" i="9"/>
  <c r="BV123" i="9"/>
  <c r="BW123" i="9"/>
  <c r="BV124" i="9"/>
  <c r="BW124" i="9"/>
  <c r="BV125" i="9"/>
  <c r="BW125" i="9"/>
  <c r="BV126" i="9"/>
  <c r="BW126" i="9"/>
  <c r="BV127" i="9"/>
  <c r="BW127" i="9"/>
  <c r="BV128" i="9"/>
  <c r="BW128" i="9"/>
  <c r="BV129" i="9"/>
  <c r="BW129" i="9"/>
  <c r="BV130" i="9"/>
  <c r="BW130" i="9"/>
  <c r="BV131" i="9"/>
  <c r="BW131" i="9"/>
  <c r="BV132" i="9"/>
  <c r="BW132" i="9"/>
  <c r="BV133" i="9"/>
  <c r="BW133" i="9"/>
  <c r="BV134" i="9"/>
  <c r="BW134" i="9"/>
  <c r="BV135" i="9"/>
  <c r="BW135" i="9"/>
  <c r="BV136" i="9"/>
  <c r="BW136" i="9"/>
  <c r="G25" i="9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K9" i="9" l="1"/>
  <c r="AZ13" i="9"/>
  <c r="AC25" i="10"/>
  <c r="X26" i="10" s="1"/>
  <c r="AD26" i="10" s="1"/>
  <c r="W26" i="10"/>
  <c r="BL46" i="9"/>
  <c r="BL8" i="9"/>
  <c r="BH65" i="9"/>
  <c r="BL27" i="9"/>
  <c r="AZ4" i="9"/>
  <c r="CA109" i="9"/>
  <c r="AZ31" i="9"/>
  <c r="BH46" i="9"/>
  <c r="BH27" i="9"/>
  <c r="BX107" i="9"/>
  <c r="BD13" i="9"/>
  <c r="CA74" i="9"/>
  <c r="AG6" i="9"/>
  <c r="BD22" i="9"/>
  <c r="BD4" i="9"/>
  <c r="AZ22" i="9"/>
  <c r="AO51" i="9"/>
  <c r="AK51" i="9"/>
  <c r="AI52" i="9" s="1"/>
  <c r="CI5" i="9"/>
  <c r="CE73" i="9"/>
  <c r="CC74" i="9" s="1"/>
  <c r="BP6" i="9"/>
  <c r="BT5" i="9"/>
  <c r="BR6" i="9" s="1"/>
  <c r="BP40" i="9"/>
  <c r="BX5" i="9"/>
  <c r="CI39" i="9"/>
  <c r="BT107" i="9"/>
  <c r="BR108" i="9" s="1"/>
  <c r="CE39" i="9"/>
  <c r="CC40" i="9" s="1"/>
  <c r="BT39" i="9"/>
  <c r="BR40" i="9" s="1"/>
  <c r="BP108" i="9"/>
  <c r="CI73" i="9"/>
  <c r="CA40" i="9"/>
  <c r="BP74" i="9"/>
  <c r="BT73" i="9"/>
  <c r="BR74" i="9" s="1"/>
  <c r="BX73" i="9"/>
  <c r="CE5" i="9"/>
  <c r="CC6" i="9" s="1"/>
  <c r="BX39" i="9"/>
  <c r="CA6" i="9"/>
  <c r="AI6" i="9"/>
  <c r="Z26" i="10" l="1"/>
  <c r="AA26" i="10" s="1"/>
  <c r="AB26" i="10" s="1"/>
  <c r="V27" i="10" s="1"/>
  <c r="W27" i="10" s="1"/>
  <c r="Y26" i="10"/>
  <c r="CE109" i="9"/>
  <c r="CI109" i="9"/>
  <c r="AO6" i="9"/>
  <c r="CI74" i="9"/>
  <c r="AG52" i="9"/>
  <c r="AO52" i="9" s="1"/>
  <c r="BT40" i="9"/>
  <c r="BR41" i="9" s="1"/>
  <c r="BT6" i="9"/>
  <c r="BR7" i="9" s="1"/>
  <c r="BX6" i="9"/>
  <c r="BX108" i="9"/>
  <c r="CE40" i="9"/>
  <c r="CC41" i="9" s="1"/>
  <c r="BT108" i="9"/>
  <c r="BR109" i="9" s="1"/>
  <c r="CI40" i="9"/>
  <c r="CE6" i="9"/>
  <c r="CC7" i="9" s="1"/>
  <c r="BX74" i="9"/>
  <c r="CA7" i="9"/>
  <c r="BX40" i="9"/>
  <c r="CE74" i="9"/>
  <c r="CI6" i="9"/>
  <c r="BT74" i="9"/>
  <c r="BR75" i="9" s="1"/>
  <c r="AK6" i="9"/>
  <c r="AG7" i="9" s="1"/>
  <c r="AC26" i="10" l="1"/>
  <c r="X27" i="10" s="1"/>
  <c r="Y27" i="10" s="1"/>
  <c r="CA110" i="9"/>
  <c r="CC110" i="9"/>
  <c r="AI7" i="9"/>
  <c r="AO7" i="9" s="1"/>
  <c r="AK52" i="9"/>
  <c r="AG53" i="9" s="1"/>
  <c r="BP41" i="9"/>
  <c r="BX41" i="9" s="1"/>
  <c r="BP7" i="9"/>
  <c r="BT7" i="9" s="1"/>
  <c r="BR8" i="9" s="1"/>
  <c r="BP109" i="9"/>
  <c r="BT109" i="9" s="1"/>
  <c r="CA41" i="9"/>
  <c r="CI41" i="9" s="1"/>
  <c r="CC75" i="9"/>
  <c r="CA75" i="9"/>
  <c r="BP75" i="9"/>
  <c r="BT75" i="9" s="1"/>
  <c r="BR76" i="9" s="1"/>
  <c r="CE7" i="9"/>
  <c r="CC8" i="9" s="1"/>
  <c r="CI7" i="9"/>
  <c r="Z27" i="10" l="1"/>
  <c r="AA27" i="10" s="1"/>
  <c r="AB27" i="10" s="1"/>
  <c r="V28" i="10" s="1"/>
  <c r="W28" i="10" s="1"/>
  <c r="AD27" i="10"/>
  <c r="CI110" i="9"/>
  <c r="CE110" i="9"/>
  <c r="AK7" i="9"/>
  <c r="AG8" i="9" s="1"/>
  <c r="AI53" i="9"/>
  <c r="AO53" i="9" s="1"/>
  <c r="CE75" i="9"/>
  <c r="CC76" i="9" s="1"/>
  <c r="BT41" i="9"/>
  <c r="BR42" i="9" s="1"/>
  <c r="BP42" i="9"/>
  <c r="BX109" i="9"/>
  <c r="CA8" i="9"/>
  <c r="CE8" i="9" s="1"/>
  <c r="CC9" i="9" s="1"/>
  <c r="BP8" i="9"/>
  <c r="BX8" i="9" s="1"/>
  <c r="BX7" i="9"/>
  <c r="BR110" i="9"/>
  <c r="BP110" i="9"/>
  <c r="CE41" i="9"/>
  <c r="CC42" i="9" s="1"/>
  <c r="CI75" i="9"/>
  <c r="BP76" i="9"/>
  <c r="BT76" i="9" s="1"/>
  <c r="BR77" i="9" s="1"/>
  <c r="BX75" i="9"/>
  <c r="AC27" i="10" l="1"/>
  <c r="X28" i="10" s="1"/>
  <c r="AD28" i="10" s="1"/>
  <c r="CC111" i="9"/>
  <c r="CA111" i="9"/>
  <c r="AI8" i="9"/>
  <c r="AK8" i="9" s="1"/>
  <c r="AI9" i="9" s="1"/>
  <c r="AK53" i="9"/>
  <c r="AI54" i="9" s="1"/>
  <c r="CA76" i="9"/>
  <c r="CI76" i="9" s="1"/>
  <c r="BX42" i="9"/>
  <c r="BT110" i="9"/>
  <c r="BR111" i="9" s="1"/>
  <c r="CI8" i="9"/>
  <c r="BT8" i="9"/>
  <c r="BT42" i="9"/>
  <c r="BX76" i="9"/>
  <c r="BP111" i="9"/>
  <c r="BX110" i="9"/>
  <c r="CA42" i="9"/>
  <c r="CE42" i="9" s="1"/>
  <c r="BP77" i="9"/>
  <c r="BX77" i="9" s="1"/>
  <c r="CA9" i="9"/>
  <c r="CI9" i="9" s="1"/>
  <c r="Y28" i="10" l="1"/>
  <c r="Z28" i="10"/>
  <c r="AA28" i="10" s="1"/>
  <c r="AB28" i="10" s="1"/>
  <c r="V29" i="10" s="1"/>
  <c r="W29" i="10" s="1"/>
  <c r="CE111" i="9"/>
  <c r="CA112" i="9" s="1"/>
  <c r="CI111" i="9"/>
  <c r="AO8" i="9"/>
  <c r="AG9" i="9"/>
  <c r="AO9" i="9" s="1"/>
  <c r="AG54" i="9"/>
  <c r="AK54" i="9" s="1"/>
  <c r="AG55" i="9" s="1"/>
  <c r="CE76" i="9"/>
  <c r="CC77" i="9" s="1"/>
  <c r="CA77" i="9"/>
  <c r="BT111" i="9"/>
  <c r="BP112" i="9" s="1"/>
  <c r="CA43" i="9"/>
  <c r="CC43" i="9"/>
  <c r="BP9" i="9"/>
  <c r="BR9" i="9"/>
  <c r="BR43" i="9"/>
  <c r="BP43" i="9"/>
  <c r="BX111" i="9"/>
  <c r="CI42" i="9"/>
  <c r="BT77" i="9"/>
  <c r="CE9" i="9"/>
  <c r="CA10" i="9" s="1"/>
  <c r="AC28" i="10" l="1"/>
  <c r="X29" i="10" s="1"/>
  <c r="AD29" i="10" s="1"/>
  <c r="CC112" i="9"/>
  <c r="CE112" i="9" s="1"/>
  <c r="AK9" i="9"/>
  <c r="AI10" i="9" s="1"/>
  <c r="AO54" i="9"/>
  <c r="AI55" i="9"/>
  <c r="AO55" i="9" s="1"/>
  <c r="CI77" i="9"/>
  <c r="CE77" i="9"/>
  <c r="CA78" i="9" s="1"/>
  <c r="BR112" i="9"/>
  <c r="BT112" i="9" s="1"/>
  <c r="CI43" i="9"/>
  <c r="BX9" i="9"/>
  <c r="BT9" i="9"/>
  <c r="BR10" i="9" s="1"/>
  <c r="BP78" i="9"/>
  <c r="BR78" i="9"/>
  <c r="CE43" i="9"/>
  <c r="BX43" i="9"/>
  <c r="BT43" i="9"/>
  <c r="CC10" i="9"/>
  <c r="CI10" i="9" s="1"/>
  <c r="Y29" i="10" l="1"/>
  <c r="Z29" i="10"/>
  <c r="AA29" i="10" s="1"/>
  <c r="AB29" i="10" s="1"/>
  <c r="V30" i="10" s="1"/>
  <c r="W30" i="10" s="1"/>
  <c r="CI112" i="9"/>
  <c r="CC113" i="9"/>
  <c r="CA113" i="9"/>
  <c r="CC78" i="9"/>
  <c r="CI78" i="9" s="1"/>
  <c r="AG10" i="9"/>
  <c r="AK10" i="9" s="1"/>
  <c r="AG11" i="9" s="1"/>
  <c r="AK55" i="9"/>
  <c r="AI56" i="9" s="1"/>
  <c r="BX112" i="9"/>
  <c r="BP10" i="9"/>
  <c r="BX10" i="9" s="1"/>
  <c r="CC44" i="9"/>
  <c r="CA44" i="9"/>
  <c r="BX78" i="9"/>
  <c r="BT78" i="9"/>
  <c r="BR113" i="9"/>
  <c r="BP113" i="9"/>
  <c r="BP44" i="9"/>
  <c r="BR44" i="9"/>
  <c r="CE10" i="9"/>
  <c r="CA11" i="9" s="1"/>
  <c r="AC29" i="10" l="1"/>
  <c r="X30" i="10" s="1"/>
  <c r="Z30" i="10" s="1"/>
  <c r="AA30" i="10" s="1"/>
  <c r="AB30" i="10" s="1"/>
  <c r="V31" i="10" s="1"/>
  <c r="W31" i="10" s="1"/>
  <c r="CE113" i="9"/>
  <c r="CA114" i="9" s="1"/>
  <c r="CE78" i="9"/>
  <c r="CA79" i="9" s="1"/>
  <c r="CI113" i="9"/>
  <c r="AO10" i="9"/>
  <c r="AG56" i="9"/>
  <c r="AK56" i="9" s="1"/>
  <c r="AI57" i="9" s="1"/>
  <c r="BT10" i="9"/>
  <c r="BR11" i="9" s="1"/>
  <c r="CI44" i="9"/>
  <c r="CE44" i="9"/>
  <c r="AI11" i="9"/>
  <c r="AO11" i="9" s="1"/>
  <c r="BT113" i="9"/>
  <c r="BP114" i="9" s="1"/>
  <c r="BR79" i="9"/>
  <c r="BP79" i="9"/>
  <c r="BX113" i="9"/>
  <c r="BT44" i="9"/>
  <c r="BX44" i="9"/>
  <c r="CC11" i="9"/>
  <c r="CI11" i="9" s="1"/>
  <c r="Y30" i="10" l="1"/>
  <c r="AC30" i="10" s="1"/>
  <c r="X31" i="10" s="1"/>
  <c r="AD30" i="10"/>
  <c r="CC114" i="9"/>
  <c r="CI114" i="9" s="1"/>
  <c r="CC79" i="9"/>
  <c r="CI79" i="9" s="1"/>
  <c r="AG57" i="9"/>
  <c r="AO57" i="9" s="1"/>
  <c r="AO56" i="9"/>
  <c r="BP11" i="9"/>
  <c r="BT11" i="9" s="1"/>
  <c r="BR12" i="9" s="1"/>
  <c r="BR114" i="9"/>
  <c r="BX114" i="9" s="1"/>
  <c r="CA45" i="9"/>
  <c r="CC45" i="9"/>
  <c r="AK11" i="9"/>
  <c r="AI12" i="9" s="1"/>
  <c r="BT79" i="9"/>
  <c r="BP80" i="9" s="1"/>
  <c r="BX79" i="9"/>
  <c r="BP45" i="9"/>
  <c r="BR45" i="9"/>
  <c r="CE11" i="9"/>
  <c r="CA12" i="9" s="1"/>
  <c r="Z31" i="10" l="1"/>
  <c r="AA31" i="10" s="1"/>
  <c r="AB31" i="10" s="1"/>
  <c r="V32" i="10" s="1"/>
  <c r="W32" i="10" s="1"/>
  <c r="Y31" i="10"/>
  <c r="AD31" i="10"/>
  <c r="CE114" i="9"/>
  <c r="CC115" i="9" s="1"/>
  <c r="CE79" i="9"/>
  <c r="CC80" i="9" s="1"/>
  <c r="CC12" i="9"/>
  <c r="CE12" i="9" s="1"/>
  <c r="CA13" i="9" s="1"/>
  <c r="AK57" i="9"/>
  <c r="AI58" i="9" s="1"/>
  <c r="BP12" i="9"/>
  <c r="BT12" i="9" s="1"/>
  <c r="BR13" i="9" s="1"/>
  <c r="BX11" i="9"/>
  <c r="AG12" i="9"/>
  <c r="AO12" i="9" s="1"/>
  <c r="BR80" i="9"/>
  <c r="BX80" i="9" s="1"/>
  <c r="BT114" i="9"/>
  <c r="BR115" i="9" s="1"/>
  <c r="CI45" i="9"/>
  <c r="CE45" i="9"/>
  <c r="BX45" i="9"/>
  <c r="BT45" i="9"/>
  <c r="CA115" i="9" l="1"/>
  <c r="CE115" i="9" s="1"/>
  <c r="CC116" i="9" s="1"/>
  <c r="AC31" i="10"/>
  <c r="X32" i="10" s="1"/>
  <c r="Z32" i="10" s="1"/>
  <c r="AA32" i="10" s="1"/>
  <c r="AB32" i="10" s="1"/>
  <c r="V33" i="10" s="1"/>
  <c r="W33" i="10" s="1"/>
  <c r="CA80" i="9"/>
  <c r="CI80" i="9" s="1"/>
  <c r="CI12" i="9"/>
  <c r="AG58" i="9"/>
  <c r="AO58" i="9" s="1"/>
  <c r="BX12" i="9"/>
  <c r="BP13" i="9"/>
  <c r="BX13" i="9" s="1"/>
  <c r="AK12" i="9"/>
  <c r="AI13" i="9" s="1"/>
  <c r="BT80" i="9"/>
  <c r="BP81" i="9" s="1"/>
  <c r="BP115" i="9"/>
  <c r="BX115" i="9" s="1"/>
  <c r="CA46" i="9"/>
  <c r="CC46" i="9"/>
  <c r="CC13" i="9"/>
  <c r="CI13" i="9" s="1"/>
  <c r="BP46" i="9"/>
  <c r="BR46" i="9"/>
  <c r="CI115" i="9" l="1"/>
  <c r="AD32" i="10"/>
  <c r="Y32" i="10"/>
  <c r="AC32" i="10" s="1"/>
  <c r="X33" i="10" s="1"/>
  <c r="AD33" i="10" s="1"/>
  <c r="CA116" i="9"/>
  <c r="CI116" i="9" s="1"/>
  <c r="CE80" i="9"/>
  <c r="CC81" i="9" s="1"/>
  <c r="AK58" i="9"/>
  <c r="AI59" i="9" s="1"/>
  <c r="BT13" i="9"/>
  <c r="BP14" i="9" s="1"/>
  <c r="AG13" i="9"/>
  <c r="AK13" i="9" s="1"/>
  <c r="AG14" i="9" s="1"/>
  <c r="BR81" i="9"/>
  <c r="BX81" i="9" s="1"/>
  <c r="BT115" i="9"/>
  <c r="BR116" i="9" s="1"/>
  <c r="CI46" i="9"/>
  <c r="CE13" i="9"/>
  <c r="CC14" i="9" s="1"/>
  <c r="CE46" i="9"/>
  <c r="BT46" i="9"/>
  <c r="BX46" i="9"/>
  <c r="CA81" i="9" l="1"/>
  <c r="CI81" i="9" s="1"/>
  <c r="Z33" i="10"/>
  <c r="AA33" i="10" s="1"/>
  <c r="AB33" i="10" s="1"/>
  <c r="V34" i="10" s="1"/>
  <c r="W34" i="10" s="1"/>
  <c r="Y33" i="10"/>
  <c r="CE116" i="9"/>
  <c r="CC117" i="9" s="1"/>
  <c r="AG59" i="9"/>
  <c r="AO59" i="9" s="1"/>
  <c r="BR14" i="9"/>
  <c r="BT14" i="9" s="1"/>
  <c r="BP15" i="9" s="1"/>
  <c r="AO13" i="9"/>
  <c r="AI14" i="9"/>
  <c r="AK14" i="9" s="1"/>
  <c r="AI15" i="9" s="1"/>
  <c r="BT81" i="9"/>
  <c r="BP82" i="9" s="1"/>
  <c r="CA14" i="9"/>
  <c r="CI14" i="9" s="1"/>
  <c r="BP116" i="9"/>
  <c r="BT116" i="9" s="1"/>
  <c r="BR117" i="9" s="1"/>
  <c r="CC47" i="9"/>
  <c r="CA47" i="9"/>
  <c r="BP47" i="9"/>
  <c r="BR47" i="9"/>
  <c r="CA117" i="9" l="1"/>
  <c r="CE117" i="9" s="1"/>
  <c r="CA118" i="9" s="1"/>
  <c r="CE81" i="9"/>
  <c r="CA82" i="9" s="1"/>
  <c r="AC33" i="10"/>
  <c r="X34" i="10" s="1"/>
  <c r="Z34" i="10" s="1"/>
  <c r="AK59" i="9"/>
  <c r="AI60" i="9" s="1"/>
  <c r="BX14" i="9"/>
  <c r="BR15" i="9"/>
  <c r="BX15" i="9" s="1"/>
  <c r="AO14" i="9"/>
  <c r="AG15" i="9"/>
  <c r="AO15" i="9" s="1"/>
  <c r="BR82" i="9"/>
  <c r="BX82" i="9" s="1"/>
  <c r="CE14" i="9"/>
  <c r="CC15" i="9" s="1"/>
  <c r="BX116" i="9"/>
  <c r="BP117" i="9"/>
  <c r="BT117" i="9" s="1"/>
  <c r="BP118" i="9" s="1"/>
  <c r="CE47" i="9"/>
  <c r="CC48" i="9" s="1"/>
  <c r="CI47" i="9"/>
  <c r="BT47" i="9"/>
  <c r="BX47" i="9"/>
  <c r="CI117" i="9" l="1"/>
  <c r="CC82" i="9"/>
  <c r="CE82" i="9" s="1"/>
  <c r="CC83" i="9" s="1"/>
  <c r="Y34" i="10"/>
  <c r="AD34" i="10"/>
  <c r="O26" i="10"/>
  <c r="AA34" i="10"/>
  <c r="AB34" i="10" s="1"/>
  <c r="CC118" i="9"/>
  <c r="CE118" i="9" s="1"/>
  <c r="CC119" i="9" s="1"/>
  <c r="AG60" i="9"/>
  <c r="AK60" i="9" s="1"/>
  <c r="AG61" i="9" s="1"/>
  <c r="BT15" i="9"/>
  <c r="BR16" i="9" s="1"/>
  <c r="AK15" i="9"/>
  <c r="AI16" i="9" s="1"/>
  <c r="CA15" i="9"/>
  <c r="CI15" i="9" s="1"/>
  <c r="BT82" i="9"/>
  <c r="BR83" i="9" s="1"/>
  <c r="CA48" i="9"/>
  <c r="CI48" i="9" s="1"/>
  <c r="BR118" i="9"/>
  <c r="BT118" i="9" s="1"/>
  <c r="BX117" i="9"/>
  <c r="BP48" i="9"/>
  <c r="BR48" i="9"/>
  <c r="CI82" i="9" l="1"/>
  <c r="O27" i="10"/>
  <c r="G19" i="10" s="1"/>
  <c r="G20" i="10" s="1"/>
  <c r="AC34" i="10"/>
  <c r="CI118" i="9"/>
  <c r="CA119" i="9"/>
  <c r="CE119" i="9" s="1"/>
  <c r="AO60" i="9"/>
  <c r="CA83" i="9"/>
  <c r="CE83" i="9" s="1"/>
  <c r="CA84" i="9" s="1"/>
  <c r="BP83" i="9"/>
  <c r="BX83" i="9" s="1"/>
  <c r="BP16" i="9"/>
  <c r="BX16" i="9" s="1"/>
  <c r="AG16" i="9"/>
  <c r="AO16" i="9" s="1"/>
  <c r="CE15" i="9"/>
  <c r="CC16" i="9" s="1"/>
  <c r="CE48" i="9"/>
  <c r="CC49" i="9" s="1"/>
  <c r="BX118" i="9"/>
  <c r="AI61" i="9"/>
  <c r="AO61" i="9" s="1"/>
  <c r="BR119" i="9"/>
  <c r="BP119" i="9"/>
  <c r="BX48" i="9"/>
  <c r="BT48" i="9"/>
  <c r="K10" i="10" l="1"/>
  <c r="K15" i="10" s="1"/>
  <c r="K6" i="10"/>
  <c r="K18" i="10" s="1"/>
  <c r="CI119" i="9"/>
  <c r="CA120" i="9"/>
  <c r="CC120" i="9"/>
  <c r="CI83" i="9"/>
  <c r="CC84" i="9"/>
  <c r="CI84" i="9" s="1"/>
  <c r="BT83" i="9"/>
  <c r="BR84" i="9" s="1"/>
  <c r="CA16" i="9"/>
  <c r="CE16" i="9" s="1"/>
  <c r="CA17" i="9" s="1"/>
  <c r="BT16" i="9"/>
  <c r="BR17" i="9" s="1"/>
  <c r="AK16" i="9"/>
  <c r="AG17" i="9" s="1"/>
  <c r="CA49" i="9"/>
  <c r="CE49" i="9" s="1"/>
  <c r="AK61" i="9"/>
  <c r="AG62" i="9" s="1"/>
  <c r="BT119" i="9"/>
  <c r="BP120" i="9" s="1"/>
  <c r="BX119" i="9"/>
  <c r="BR49" i="9"/>
  <c r="BP49" i="9"/>
  <c r="K19" i="10" l="1"/>
  <c r="K7" i="10"/>
  <c r="K35" i="10"/>
  <c r="K43" i="10"/>
  <c r="CI120" i="9"/>
  <c r="CE120" i="9"/>
  <c r="AI17" i="9"/>
  <c r="AO17" i="9" s="1"/>
  <c r="BP17" i="9"/>
  <c r="BX17" i="9" s="1"/>
  <c r="BP84" i="9"/>
  <c r="BT84" i="9" s="1"/>
  <c r="CE84" i="9"/>
  <c r="CC85" i="9" s="1"/>
  <c r="CI16" i="9"/>
  <c r="AI62" i="9"/>
  <c r="AO62" i="9" s="1"/>
  <c r="CI49" i="9"/>
  <c r="CC17" i="9"/>
  <c r="CE17" i="9" s="1"/>
  <c r="CA18" i="9" s="1"/>
  <c r="BR120" i="9"/>
  <c r="BX120" i="9" s="1"/>
  <c r="CA50" i="9"/>
  <c r="CC50" i="9"/>
  <c r="BT49" i="9"/>
  <c r="BP50" i="9" s="1"/>
  <c r="BX49" i="9"/>
  <c r="K44" i="10" l="1"/>
  <c r="K47" i="10" s="1"/>
  <c r="K36" i="10"/>
  <c r="K39" i="10" s="1"/>
  <c r="K30" i="10"/>
  <c r="K31" i="10" s="1"/>
  <c r="CA121" i="9"/>
  <c r="CC121" i="9"/>
  <c r="CA85" i="9"/>
  <c r="CE85" i="9" s="1"/>
  <c r="CA86" i="9" s="1"/>
  <c r="AK17" i="9"/>
  <c r="AG18" i="9" s="1"/>
  <c r="BT17" i="9"/>
  <c r="BR18" i="9" s="1"/>
  <c r="BX84" i="9"/>
  <c r="AK62" i="9"/>
  <c r="AG63" i="9" s="1"/>
  <c r="CI17" i="9"/>
  <c r="BT120" i="9"/>
  <c r="BR121" i="9" s="1"/>
  <c r="CI50" i="9"/>
  <c r="CE50" i="9"/>
  <c r="CC18" i="9"/>
  <c r="CI18" i="9" s="1"/>
  <c r="BR50" i="9"/>
  <c r="BT50" i="9" s="1"/>
  <c r="BR85" i="9"/>
  <c r="BP85" i="9"/>
  <c r="AJ4" i="10" l="1"/>
  <c r="AH4" i="10"/>
  <c r="AL4" i="10"/>
  <c r="CE121" i="9"/>
  <c r="CI121" i="9"/>
  <c r="BP18" i="9"/>
  <c r="BT18" i="9" s="1"/>
  <c r="BP19" i="9" s="1"/>
  <c r="CI85" i="9"/>
  <c r="AI18" i="9"/>
  <c r="AK18" i="9" s="1"/>
  <c r="AI63" i="9"/>
  <c r="AO63" i="9" s="1"/>
  <c r="CC86" i="9"/>
  <c r="CI86" i="9" s="1"/>
  <c r="BP121" i="9"/>
  <c r="BT121" i="9" s="1"/>
  <c r="BX50" i="9"/>
  <c r="CC51" i="9"/>
  <c r="CA51" i="9"/>
  <c r="CE18" i="9"/>
  <c r="CC19" i="9" s="1"/>
  <c r="BT85" i="9"/>
  <c r="BR86" i="9" s="1"/>
  <c r="BX85" i="9"/>
  <c r="BP51" i="9"/>
  <c r="BR51" i="9"/>
  <c r="CA122" i="9" l="1"/>
  <c r="CC122" i="9"/>
  <c r="BR19" i="9"/>
  <c r="BX19" i="9" s="1"/>
  <c r="BX18" i="9"/>
  <c r="AO18" i="9"/>
  <c r="AG19" i="9"/>
  <c r="AI19" i="9"/>
  <c r="BP86" i="9"/>
  <c r="BT86" i="9" s="1"/>
  <c r="AK63" i="9"/>
  <c r="AI64" i="9" s="1"/>
  <c r="CE86" i="9"/>
  <c r="CC87" i="9" s="1"/>
  <c r="BX121" i="9"/>
  <c r="CA19" i="9"/>
  <c r="CE19" i="9" s="1"/>
  <c r="CC20" i="9" s="1"/>
  <c r="CE51" i="9"/>
  <c r="CI51" i="9"/>
  <c r="BR122" i="9"/>
  <c r="BP122" i="9"/>
  <c r="BX51" i="9"/>
  <c r="BT51" i="9"/>
  <c r="CE122" i="9" l="1"/>
  <c r="CI122" i="9"/>
  <c r="BT19" i="9"/>
  <c r="BP20" i="9" s="1"/>
  <c r="AG64" i="9"/>
  <c r="AK64" i="9" s="1"/>
  <c r="AG65" i="9" s="1"/>
  <c r="AK19" i="9"/>
  <c r="AI20" i="9" s="1"/>
  <c r="AO19" i="9"/>
  <c r="BX86" i="9"/>
  <c r="CA87" i="9"/>
  <c r="CI87" i="9" s="1"/>
  <c r="CI19" i="9"/>
  <c r="CC52" i="9"/>
  <c r="CA52" i="9"/>
  <c r="BX122" i="9"/>
  <c r="BT122" i="9"/>
  <c r="BP87" i="9"/>
  <c r="BR87" i="9"/>
  <c r="BR52" i="9"/>
  <c r="BP52" i="9"/>
  <c r="CA20" i="9"/>
  <c r="CI20" i="9" s="1"/>
  <c r="BR20" i="9" l="1"/>
  <c r="BX20" i="9" s="1"/>
  <c r="CC123" i="9"/>
  <c r="CA123" i="9"/>
  <c r="AO64" i="9"/>
  <c r="AG20" i="9"/>
  <c r="AO20" i="9" s="1"/>
  <c r="CE87" i="9"/>
  <c r="AI65" i="9"/>
  <c r="AK65" i="9" s="1"/>
  <c r="CE52" i="9"/>
  <c r="CC53" i="9" s="1"/>
  <c r="CI52" i="9"/>
  <c r="BR123" i="9"/>
  <c r="BP123" i="9"/>
  <c r="BT52" i="9"/>
  <c r="BR53" i="9" s="1"/>
  <c r="BT87" i="9"/>
  <c r="BX87" i="9"/>
  <c r="BX52" i="9"/>
  <c r="CE20" i="9"/>
  <c r="CA21" i="9" s="1"/>
  <c r="BT20" i="9" l="1"/>
  <c r="BP21" i="9" s="1"/>
  <c r="CE123" i="9"/>
  <c r="CA124" i="9" s="1"/>
  <c r="CI123" i="9"/>
  <c r="AK20" i="9"/>
  <c r="AI21" i="9" s="1"/>
  <c r="CA53" i="9"/>
  <c r="CI53" i="9" s="1"/>
  <c r="CA88" i="9"/>
  <c r="CC88" i="9"/>
  <c r="AO65" i="9"/>
  <c r="AG66" i="9"/>
  <c r="AI66" i="9"/>
  <c r="BP53" i="9"/>
  <c r="BT53" i="9" s="1"/>
  <c r="BR54" i="9" s="1"/>
  <c r="BX123" i="9"/>
  <c r="BT123" i="9"/>
  <c r="BP88" i="9"/>
  <c r="BR88" i="9"/>
  <c r="CC21" i="9"/>
  <c r="CI21" i="9" s="1"/>
  <c r="BR21" i="9" l="1"/>
  <c r="BT21" i="9" s="1"/>
  <c r="BR22" i="9" s="1"/>
  <c r="CC124" i="9"/>
  <c r="CE124" i="9" s="1"/>
  <c r="AG21" i="9"/>
  <c r="AO21" i="9" s="1"/>
  <c r="CE53" i="9"/>
  <c r="CA54" i="9" s="1"/>
  <c r="CI88" i="9"/>
  <c r="CE88" i="9"/>
  <c r="AO66" i="9"/>
  <c r="AK66" i="9"/>
  <c r="BX88" i="9"/>
  <c r="BP54" i="9"/>
  <c r="BX54" i="9" s="1"/>
  <c r="BX53" i="9"/>
  <c r="BP124" i="9"/>
  <c r="BR124" i="9"/>
  <c r="BT88" i="9"/>
  <c r="CE21" i="9"/>
  <c r="CA22" i="9" s="1"/>
  <c r="BX21" i="9" l="1"/>
  <c r="CI124" i="9"/>
  <c r="CA125" i="9"/>
  <c r="CC125" i="9"/>
  <c r="AK21" i="9"/>
  <c r="AI22" i="9" s="1"/>
  <c r="CC54" i="9"/>
  <c r="CE54" i="9" s="1"/>
  <c r="CA55" i="9" s="1"/>
  <c r="CA89" i="9"/>
  <c r="CC89" i="9"/>
  <c r="BP22" i="9"/>
  <c r="BT22" i="9" s="1"/>
  <c r="AI67" i="9"/>
  <c r="AG67" i="9"/>
  <c r="BT54" i="9"/>
  <c r="BR55" i="9" s="1"/>
  <c r="CC22" i="9"/>
  <c r="CE22" i="9" s="1"/>
  <c r="CA23" i="9" s="1"/>
  <c r="BX124" i="9"/>
  <c r="BT124" i="9"/>
  <c r="BP89" i="9"/>
  <c r="BR89" i="9"/>
  <c r="CE125" i="9" l="1"/>
  <c r="CI125" i="9"/>
  <c r="AG22" i="9"/>
  <c r="AO22" i="9" s="1"/>
  <c r="CI54" i="9"/>
  <c r="CI89" i="9"/>
  <c r="CE89" i="9"/>
  <c r="BX22" i="9"/>
  <c r="CC55" i="9"/>
  <c r="CI55" i="9" s="1"/>
  <c r="BP23" i="9"/>
  <c r="BR23" i="9"/>
  <c r="AK67" i="9"/>
  <c r="AI68" i="9" s="1"/>
  <c r="AO67" i="9"/>
  <c r="BP55" i="9"/>
  <c r="BX55" i="9" s="1"/>
  <c r="CI22" i="9"/>
  <c r="CC23" i="9"/>
  <c r="CE23" i="9" s="1"/>
  <c r="CA24" i="9" s="1"/>
  <c r="BR125" i="9"/>
  <c r="BP125" i="9"/>
  <c r="BX89" i="9"/>
  <c r="BT89" i="9"/>
  <c r="CC126" i="9" l="1"/>
  <c r="CA126" i="9"/>
  <c r="AK22" i="9"/>
  <c r="AG23" i="9" s="1"/>
  <c r="CA90" i="9"/>
  <c r="CC90" i="9"/>
  <c r="AG68" i="9"/>
  <c r="AK68" i="9" s="1"/>
  <c r="AI69" i="9" s="1"/>
  <c r="CE55" i="9"/>
  <c r="CA56" i="9" s="1"/>
  <c r="BX23" i="9"/>
  <c r="BT23" i="9"/>
  <c r="BP24" i="9" s="1"/>
  <c r="BT55" i="9"/>
  <c r="BP56" i="9" s="1"/>
  <c r="BT125" i="9"/>
  <c r="BR126" i="9" s="1"/>
  <c r="CI23" i="9"/>
  <c r="BX125" i="9"/>
  <c r="CC24" i="9"/>
  <c r="CI24" i="9" s="1"/>
  <c r="BP90" i="9"/>
  <c r="BR90" i="9"/>
  <c r="CI126" i="9" l="1"/>
  <c r="CE126" i="9"/>
  <c r="AI23" i="9"/>
  <c r="AO23" i="9" s="1"/>
  <c r="CI90" i="9"/>
  <c r="CE90" i="9"/>
  <c r="AO68" i="9"/>
  <c r="CC56" i="9"/>
  <c r="CE56" i="9" s="1"/>
  <c r="CC57" i="9" s="1"/>
  <c r="AG69" i="9"/>
  <c r="AK69" i="9" s="1"/>
  <c r="AG70" i="9" s="1"/>
  <c r="BR24" i="9"/>
  <c r="BX24" i="9" s="1"/>
  <c r="BR56" i="9"/>
  <c r="BX56" i="9" s="1"/>
  <c r="BP126" i="9"/>
  <c r="BX126" i="9" s="1"/>
  <c r="CE24" i="9"/>
  <c r="CA25" i="9" s="1"/>
  <c r="BT90" i="9"/>
  <c r="BX90" i="9"/>
  <c r="CA127" i="9" l="1"/>
  <c r="CC127" i="9"/>
  <c r="AK23" i="9"/>
  <c r="AI24" i="9" s="1"/>
  <c r="CC91" i="9"/>
  <c r="CA91" i="9"/>
  <c r="CI56" i="9"/>
  <c r="AO69" i="9"/>
  <c r="CA57" i="9"/>
  <c r="CE57" i="9" s="1"/>
  <c r="CA58" i="9" s="1"/>
  <c r="AI70" i="9"/>
  <c r="AK70" i="9" s="1"/>
  <c r="BT24" i="9"/>
  <c r="BR25" i="9" s="1"/>
  <c r="BT56" i="9"/>
  <c r="BP57" i="9" s="1"/>
  <c r="BT126" i="9"/>
  <c r="BR127" i="9" s="1"/>
  <c r="CC25" i="9"/>
  <c r="CI25" i="9" s="1"/>
  <c r="BP91" i="9"/>
  <c r="BR91" i="9"/>
  <c r="CI127" i="9" l="1"/>
  <c r="CE127" i="9"/>
  <c r="AG24" i="9"/>
  <c r="AK24" i="9" s="1"/>
  <c r="CE91" i="9"/>
  <c r="CA92" i="9" s="1"/>
  <c r="CI91" i="9"/>
  <c r="CI57" i="9"/>
  <c r="BP25" i="9"/>
  <c r="BX25" i="9" s="1"/>
  <c r="AO70" i="9"/>
  <c r="CC58" i="9"/>
  <c r="CI58" i="9" s="1"/>
  <c r="BR57" i="9"/>
  <c r="BT57" i="9" s="1"/>
  <c r="BP58" i="9" s="1"/>
  <c r="BP127" i="9"/>
  <c r="BX127" i="9" s="1"/>
  <c r="AI71" i="9"/>
  <c r="AG71" i="9"/>
  <c r="CE25" i="9"/>
  <c r="CA26" i="9" s="1"/>
  <c r="BX91" i="9"/>
  <c r="BT91" i="9"/>
  <c r="CC128" i="9" l="1"/>
  <c r="CA128" i="9"/>
  <c r="AO24" i="9"/>
  <c r="CC92" i="9"/>
  <c r="CI92" i="9" s="1"/>
  <c r="CE58" i="9"/>
  <c r="CC59" i="9" s="1"/>
  <c r="BT25" i="9"/>
  <c r="BP26" i="9" s="1"/>
  <c r="AG25" i="9"/>
  <c r="AI25" i="9"/>
  <c r="BX57" i="9"/>
  <c r="BR58" i="9"/>
  <c r="BT58" i="9" s="1"/>
  <c r="BR59" i="9" s="1"/>
  <c r="BT127" i="9"/>
  <c r="BP128" i="9" s="1"/>
  <c r="AK71" i="9"/>
  <c r="AO71" i="9"/>
  <c r="CC26" i="9"/>
  <c r="CI26" i="9" s="1"/>
  <c r="BP92" i="9"/>
  <c r="BR92" i="9"/>
  <c r="CI128" i="9" l="1"/>
  <c r="CE128" i="9"/>
  <c r="CE92" i="9"/>
  <c r="CA59" i="9"/>
  <c r="CE59" i="9" s="1"/>
  <c r="CA60" i="9" s="1"/>
  <c r="BR26" i="9"/>
  <c r="BX26" i="9" s="1"/>
  <c r="AK25" i="9"/>
  <c r="AO25" i="9"/>
  <c r="BP59" i="9"/>
  <c r="BX59" i="9" s="1"/>
  <c r="BX58" i="9"/>
  <c r="BR128" i="9"/>
  <c r="BT128" i="9" s="1"/>
  <c r="AI72" i="9"/>
  <c r="AG72" i="9"/>
  <c r="CE26" i="9"/>
  <c r="BX92" i="9"/>
  <c r="BT92" i="9"/>
  <c r="CA129" i="9" l="1"/>
  <c r="CC129" i="9"/>
  <c r="CA93" i="9"/>
  <c r="CC93" i="9"/>
  <c r="CI59" i="9"/>
  <c r="CC60" i="9"/>
  <c r="CI60" i="9" s="1"/>
  <c r="BT26" i="9"/>
  <c r="BT59" i="9"/>
  <c r="BP60" i="9" s="1"/>
  <c r="AI26" i="9"/>
  <c r="AG26" i="9"/>
  <c r="BX128" i="9"/>
  <c r="AK72" i="9"/>
  <c r="AI73" i="9" s="1"/>
  <c r="AO72" i="9"/>
  <c r="CA27" i="9"/>
  <c r="CC27" i="9"/>
  <c r="BR129" i="9"/>
  <c r="BP129" i="9"/>
  <c r="BR93" i="9"/>
  <c r="BP93" i="9"/>
  <c r="CE129" i="9" l="1"/>
  <c r="CI129" i="9"/>
  <c r="BR60" i="9"/>
  <c r="BX60" i="9" s="1"/>
  <c r="CI93" i="9"/>
  <c r="CE93" i="9"/>
  <c r="CE60" i="9"/>
  <c r="CC61" i="9" s="1"/>
  <c r="AG73" i="9"/>
  <c r="AK73" i="9" s="1"/>
  <c r="AI74" i="9" s="1"/>
  <c r="BR27" i="9"/>
  <c r="BP27" i="9"/>
  <c r="AK26" i="9"/>
  <c r="AG27" i="9" s="1"/>
  <c r="AO26" i="9"/>
  <c r="BT129" i="9"/>
  <c r="BP130" i="9" s="1"/>
  <c r="CI27" i="9"/>
  <c r="CE27" i="9"/>
  <c r="BX129" i="9"/>
  <c r="BT93" i="9"/>
  <c r="BR94" i="9" s="1"/>
  <c r="BX93" i="9"/>
  <c r="CA130" i="9" l="1"/>
  <c r="CC130" i="9"/>
  <c r="BT60" i="9"/>
  <c r="BR61" i="9" s="1"/>
  <c r="AI27" i="9"/>
  <c r="AK27" i="9" s="1"/>
  <c r="AG28" i="9" s="1"/>
  <c r="CA94" i="9"/>
  <c r="CC94" i="9"/>
  <c r="CA61" i="9"/>
  <c r="CI61" i="9" s="1"/>
  <c r="AO73" i="9"/>
  <c r="BT27" i="9"/>
  <c r="BR28" i="9" s="1"/>
  <c r="BX27" i="9"/>
  <c r="AG74" i="9"/>
  <c r="AO74" i="9" s="1"/>
  <c r="BR130" i="9"/>
  <c r="BX130" i="9" s="1"/>
  <c r="CC28" i="9"/>
  <c r="CA28" i="9"/>
  <c r="BP94" i="9"/>
  <c r="BT94" i="9" s="1"/>
  <c r="CI130" i="9" l="1"/>
  <c r="CE130" i="9"/>
  <c r="BP61" i="9"/>
  <c r="BX61" i="9" s="1"/>
  <c r="AO27" i="9"/>
  <c r="CI94" i="9"/>
  <c r="CE94" i="9"/>
  <c r="AI28" i="9"/>
  <c r="AO28" i="9" s="1"/>
  <c r="CE61" i="9"/>
  <c r="CC62" i="9" s="1"/>
  <c r="BP28" i="9"/>
  <c r="BX28" i="9" s="1"/>
  <c r="AK74" i="9"/>
  <c r="AG75" i="9" s="1"/>
  <c r="BT130" i="9"/>
  <c r="BR131" i="9" s="1"/>
  <c r="CE28" i="9"/>
  <c r="CI28" i="9"/>
  <c r="BX94" i="9"/>
  <c r="BR95" i="9"/>
  <c r="BP95" i="9"/>
  <c r="CA131" i="9" l="1"/>
  <c r="CC131" i="9"/>
  <c r="BT61" i="9"/>
  <c r="BP62" i="9" s="1"/>
  <c r="CC95" i="9"/>
  <c r="CA95" i="9"/>
  <c r="CA62" i="9"/>
  <c r="CI62" i="9" s="1"/>
  <c r="AK28" i="9"/>
  <c r="AG29" i="9" s="1"/>
  <c r="BT28" i="9"/>
  <c r="BR29" i="9" s="1"/>
  <c r="AI75" i="9"/>
  <c r="AO75" i="9" s="1"/>
  <c r="BP131" i="9"/>
  <c r="BT131" i="9" s="1"/>
  <c r="CA29" i="9"/>
  <c r="CC29" i="9"/>
  <c r="BX95" i="9"/>
  <c r="BT95" i="9"/>
  <c r="BP96" i="9" s="1"/>
  <c r="CI131" i="9" l="1"/>
  <c r="CE131" i="9"/>
  <c r="BR62" i="9"/>
  <c r="BT62" i="9" s="1"/>
  <c r="BP63" i="9" s="1"/>
  <c r="AI29" i="9"/>
  <c r="AO29" i="9" s="1"/>
  <c r="CE62" i="9"/>
  <c r="CA63" i="9" s="1"/>
  <c r="CE95" i="9"/>
  <c r="CI95" i="9"/>
  <c r="BP29" i="9"/>
  <c r="BX29" i="9" s="1"/>
  <c r="AK75" i="9"/>
  <c r="BX131" i="9"/>
  <c r="BR96" i="9"/>
  <c r="BX96" i="9" s="1"/>
  <c r="CI29" i="9"/>
  <c r="CE29" i="9"/>
  <c r="BP132" i="9"/>
  <c r="BR132" i="9"/>
  <c r="CC132" i="9" l="1"/>
  <c r="CA132" i="9"/>
  <c r="BX62" i="9"/>
  <c r="AK29" i="9"/>
  <c r="AI30" i="9" s="1"/>
  <c r="CC63" i="9"/>
  <c r="CI63" i="9" s="1"/>
  <c r="CC96" i="9"/>
  <c r="CA96" i="9"/>
  <c r="BT29" i="9"/>
  <c r="BR30" i="9" s="1"/>
  <c r="AG76" i="9"/>
  <c r="AI76" i="9"/>
  <c r="BT96" i="9"/>
  <c r="BR97" i="9" s="1"/>
  <c r="BR63" i="9"/>
  <c r="BX63" i="9" s="1"/>
  <c r="CC30" i="9"/>
  <c r="CA30" i="9"/>
  <c r="BX132" i="9"/>
  <c r="BT132" i="9"/>
  <c r="CE132" i="9" l="1"/>
  <c r="CC133" i="9" s="1"/>
  <c r="CI132" i="9"/>
  <c r="AG30" i="9"/>
  <c r="AK30" i="9" s="1"/>
  <c r="AI31" i="9" s="1"/>
  <c r="CE63" i="9"/>
  <c r="CA64" i="9" s="1"/>
  <c r="CE96" i="9"/>
  <c r="CC97" i="9" s="1"/>
  <c r="CI96" i="9"/>
  <c r="BP30" i="9"/>
  <c r="BX30" i="9" s="1"/>
  <c r="AO76" i="9"/>
  <c r="BP97" i="9"/>
  <c r="BX97" i="9" s="1"/>
  <c r="AK76" i="9"/>
  <c r="BT63" i="9"/>
  <c r="BP64" i="9" s="1"/>
  <c r="CE30" i="9"/>
  <c r="CC31" i="9" s="1"/>
  <c r="CI30" i="9"/>
  <c r="BP133" i="9"/>
  <c r="BR133" i="9"/>
  <c r="CA133" i="9" l="1"/>
  <c r="CE133" i="9" s="1"/>
  <c r="CC134" i="9" s="1"/>
  <c r="AO30" i="9"/>
  <c r="CC64" i="9"/>
  <c r="CI64" i="9" s="1"/>
  <c r="CA97" i="9"/>
  <c r="CI97" i="9" s="1"/>
  <c r="BT30" i="9"/>
  <c r="BR31" i="9" s="1"/>
  <c r="BT97" i="9"/>
  <c r="BR98" i="9" s="1"/>
  <c r="AI77" i="9"/>
  <c r="AG77" i="9"/>
  <c r="AG31" i="9"/>
  <c r="AO31" i="9" s="1"/>
  <c r="BR64" i="9"/>
  <c r="BT64" i="9" s="1"/>
  <c r="BP65" i="9" s="1"/>
  <c r="CA31" i="9"/>
  <c r="CI31" i="9" s="1"/>
  <c r="BX133" i="9"/>
  <c r="BT133" i="9"/>
  <c r="CI133" i="9" l="1"/>
  <c r="CA134" i="9"/>
  <c r="CI134" i="9" s="1"/>
  <c r="CE64" i="9"/>
  <c r="CC65" i="9" s="1"/>
  <c r="CE97" i="9"/>
  <c r="CC98" i="9" s="1"/>
  <c r="BP31" i="9"/>
  <c r="BT31" i="9" s="1"/>
  <c r="BR32" i="9" s="1"/>
  <c r="BP98" i="9"/>
  <c r="BT98" i="9" s="1"/>
  <c r="BP99" i="9" s="1"/>
  <c r="AK77" i="9"/>
  <c r="AG78" i="9" s="1"/>
  <c r="AO77" i="9"/>
  <c r="BX64" i="9"/>
  <c r="AK31" i="9"/>
  <c r="AI32" i="9" s="1"/>
  <c r="CE31" i="9"/>
  <c r="CC32" i="9" s="1"/>
  <c r="BR65" i="9"/>
  <c r="BX65" i="9" s="1"/>
  <c r="BP134" i="9"/>
  <c r="BR134" i="9"/>
  <c r="CE134" i="9" l="1"/>
  <c r="CA135" i="9" s="1"/>
  <c r="CA65" i="9"/>
  <c r="CI65" i="9" s="1"/>
  <c r="CA98" i="9"/>
  <c r="CE98" i="9" s="1"/>
  <c r="CC99" i="9" s="1"/>
  <c r="AI78" i="9"/>
  <c r="AO78" i="9" s="1"/>
  <c r="BX98" i="9"/>
  <c r="BX31" i="9"/>
  <c r="BP32" i="9"/>
  <c r="BX32" i="9" s="1"/>
  <c r="AG32" i="9"/>
  <c r="AK32" i="9" s="1"/>
  <c r="CA32" i="9"/>
  <c r="CE32" i="9" s="1"/>
  <c r="BR99" i="9"/>
  <c r="BT99" i="9" s="1"/>
  <c r="BP100" i="9" s="1"/>
  <c r="BT65" i="9"/>
  <c r="BR66" i="9" s="1"/>
  <c r="BX134" i="9"/>
  <c r="BT134" i="9"/>
  <c r="CC135" i="9" l="1"/>
  <c r="CI135" i="9" s="1"/>
  <c r="CE65" i="9"/>
  <c r="CC66" i="9" s="1"/>
  <c r="CA99" i="9"/>
  <c r="CI99" i="9" s="1"/>
  <c r="CI98" i="9"/>
  <c r="AK78" i="9"/>
  <c r="AG79" i="9" s="1"/>
  <c r="AO32" i="9"/>
  <c r="BT32" i="9"/>
  <c r="BR33" i="9" s="1"/>
  <c r="CI32" i="9"/>
  <c r="BX99" i="9"/>
  <c r="AG33" i="9"/>
  <c r="AI33" i="9"/>
  <c r="BR100" i="9"/>
  <c r="BX100" i="9" s="1"/>
  <c r="BP66" i="9"/>
  <c r="BT66" i="9" s="1"/>
  <c r="BP67" i="9" s="1"/>
  <c r="CA33" i="9"/>
  <c r="CC33" i="9"/>
  <c r="BP135" i="9"/>
  <c r="BR135" i="9"/>
  <c r="CE135" i="9" l="1"/>
  <c r="CC136" i="9" s="1"/>
  <c r="CA66" i="9"/>
  <c r="CE66" i="9" s="1"/>
  <c r="CE99" i="9"/>
  <c r="CA100" i="9" s="1"/>
  <c r="AI79" i="9"/>
  <c r="AO79" i="9" s="1"/>
  <c r="BP33" i="9"/>
  <c r="BT33" i="9" s="1"/>
  <c r="BR34" i="9" s="1"/>
  <c r="AO33" i="9"/>
  <c r="AK33" i="9"/>
  <c r="BT100" i="9"/>
  <c r="BR101" i="9" s="1"/>
  <c r="BR67" i="9"/>
  <c r="BX67" i="9" s="1"/>
  <c r="BX66" i="9"/>
  <c r="CI33" i="9"/>
  <c r="CE33" i="9"/>
  <c r="BX135" i="9"/>
  <c r="BT135" i="9"/>
  <c r="CA136" i="9" l="1"/>
  <c r="CE136" i="9" s="1"/>
  <c r="BL61" i="9" s="1"/>
  <c r="CI66" i="9"/>
  <c r="CA67" i="9"/>
  <c r="CC67" i="9"/>
  <c r="BP101" i="9"/>
  <c r="BX101" i="9" s="1"/>
  <c r="CC100" i="9"/>
  <c r="CI100" i="9" s="1"/>
  <c r="AK79" i="9"/>
  <c r="C6" i="9" s="1"/>
  <c r="BP34" i="9"/>
  <c r="BT34" i="9" s="1"/>
  <c r="BH4" i="9" s="1"/>
  <c r="BX33" i="9"/>
  <c r="AI34" i="9"/>
  <c r="AG34" i="9"/>
  <c r="BT67" i="9"/>
  <c r="BR68" i="9" s="1"/>
  <c r="CC34" i="9"/>
  <c r="CA34" i="9"/>
  <c r="BP136" i="9"/>
  <c r="BR136" i="9"/>
  <c r="BL63" i="9" l="1"/>
  <c r="BL64" i="9" s="1"/>
  <c r="G7" i="9"/>
  <c r="CI136" i="9"/>
  <c r="BL66" i="9"/>
  <c r="BL67" i="9"/>
  <c r="CI67" i="9"/>
  <c r="CE67" i="9"/>
  <c r="CA68" i="9" s="1"/>
  <c r="BT101" i="9"/>
  <c r="BP102" i="9" s="1"/>
  <c r="CE100" i="9"/>
  <c r="CA101" i="9" s="1"/>
  <c r="BX34" i="9"/>
  <c r="BH10" i="9"/>
  <c r="BH9" i="9"/>
  <c r="BH6" i="9"/>
  <c r="BH7" i="9" s="1"/>
  <c r="BP68" i="9"/>
  <c r="BT68" i="9" s="1"/>
  <c r="BH23" i="9" s="1"/>
  <c r="BH29" i="9" s="1"/>
  <c r="AK34" i="9"/>
  <c r="AG35" i="9" s="1"/>
  <c r="AO34" i="9"/>
  <c r="CI34" i="9"/>
  <c r="CE34" i="9"/>
  <c r="BL4" i="9" s="1"/>
  <c r="BX136" i="9"/>
  <c r="BT136" i="9"/>
  <c r="BH61" i="9" s="1"/>
  <c r="G8" i="9" l="1"/>
  <c r="BH12" i="9"/>
  <c r="BH13" i="9"/>
  <c r="BL69" i="9"/>
  <c r="BL70" i="9"/>
  <c r="BL68" i="9"/>
  <c r="CC68" i="9"/>
  <c r="CI68" i="9" s="1"/>
  <c r="BR102" i="9"/>
  <c r="BT102" i="9" s="1"/>
  <c r="BH42" i="9" s="1"/>
  <c r="BH48" i="9" s="1"/>
  <c r="CC101" i="9"/>
  <c r="CI101" i="9" s="1"/>
  <c r="BH11" i="9"/>
  <c r="BX68" i="9"/>
  <c r="AI35" i="9"/>
  <c r="AK35" i="9" s="1"/>
  <c r="AG36" i="9" s="1"/>
  <c r="BH28" i="9"/>
  <c r="BH30" i="9" s="1"/>
  <c r="BH25" i="9"/>
  <c r="BH26" i="9" s="1"/>
  <c r="BL6" i="9"/>
  <c r="BL7" i="9" s="1"/>
  <c r="BL13" i="9" s="1"/>
  <c r="BL9" i="9"/>
  <c r="BL10" i="9"/>
  <c r="BH67" i="9"/>
  <c r="BH66" i="9"/>
  <c r="BH63" i="9"/>
  <c r="BH64" i="9" s="1"/>
  <c r="BH15" i="9" l="1"/>
  <c r="BH17" i="9" s="1"/>
  <c r="BH19" i="9" s="1"/>
  <c r="BH69" i="9"/>
  <c r="BH70" i="9"/>
  <c r="BH31" i="9"/>
  <c r="BH32" i="9"/>
  <c r="BL12" i="9"/>
  <c r="BL71" i="9"/>
  <c r="BL72" i="9"/>
  <c r="CE68" i="9"/>
  <c r="BL23" i="9" s="1"/>
  <c r="BL28" i="9" s="1"/>
  <c r="BX102" i="9"/>
  <c r="CE101" i="9"/>
  <c r="CA102" i="9" s="1"/>
  <c r="BH44" i="9"/>
  <c r="BH45" i="9" s="1"/>
  <c r="BH47" i="9"/>
  <c r="BH49" i="9" s="1"/>
  <c r="BH14" i="9"/>
  <c r="BH16" i="9" s="1"/>
  <c r="BH18" i="9" s="1"/>
  <c r="AZ5" i="9" s="1"/>
  <c r="AO35" i="9"/>
  <c r="AI36" i="9"/>
  <c r="AK36" i="9" s="1"/>
  <c r="AG37" i="9" s="1"/>
  <c r="BL11" i="9"/>
  <c r="BH68" i="9"/>
  <c r="BH33" i="9" l="1"/>
  <c r="BH35" i="9" s="1"/>
  <c r="BH37" i="9" s="1"/>
  <c r="AZ14" i="9" s="1"/>
  <c r="BH50" i="9"/>
  <c r="BH51" i="9"/>
  <c r="BL29" i="9"/>
  <c r="BL30" i="9" s="1"/>
  <c r="BL25" i="9"/>
  <c r="BL26" i="9" s="1"/>
  <c r="CC102" i="9"/>
  <c r="CI102" i="9" s="1"/>
  <c r="AI37" i="9"/>
  <c r="AO37" i="9" s="1"/>
  <c r="AO36" i="9"/>
  <c r="BH34" i="9"/>
  <c r="BH36" i="9" s="1"/>
  <c r="BH38" i="9" s="1"/>
  <c r="BL74" i="9"/>
  <c r="BL76" i="9" s="1"/>
  <c r="BL73" i="9"/>
  <c r="BL75" i="9" s="1"/>
  <c r="BL15" i="9"/>
  <c r="BL17" i="9" s="1"/>
  <c r="BL19" i="9" s="1"/>
  <c r="BL14" i="9"/>
  <c r="BL16" i="9" s="1"/>
  <c r="BL18" i="9" s="1"/>
  <c r="BD5" i="9" s="1"/>
  <c r="BH72" i="9"/>
  <c r="BH74" i="9" s="1"/>
  <c r="BH76" i="9" s="1"/>
  <c r="BH71" i="9"/>
  <c r="BH73" i="9" s="1"/>
  <c r="BH75" i="9" s="1"/>
  <c r="BH53" i="9" l="1"/>
  <c r="BH55" i="9" s="1"/>
  <c r="BH57" i="9" s="1"/>
  <c r="BL31" i="9"/>
  <c r="BL32" i="9"/>
  <c r="CE102" i="9"/>
  <c r="BL42" i="9" s="1"/>
  <c r="BH52" i="9"/>
  <c r="BH54" i="9" s="1"/>
  <c r="BH56" i="9" s="1"/>
  <c r="AZ23" i="9" s="1"/>
  <c r="AK37" i="9"/>
  <c r="AI38" i="9" s="1"/>
  <c r="BD32" i="9"/>
  <c r="AZ32" i="9"/>
  <c r="BL33" i="9" l="1"/>
  <c r="BL35" i="9" s="1"/>
  <c r="BL37" i="9" s="1"/>
  <c r="BD14" i="9" s="1"/>
  <c r="BL47" i="9"/>
  <c r="BL44" i="9"/>
  <c r="BL34" i="9"/>
  <c r="BL36" i="9" s="1"/>
  <c r="BL38" i="9" s="1"/>
  <c r="BL48" i="9"/>
  <c r="AG38" i="9"/>
  <c r="AK38" i="9" s="1"/>
  <c r="AI39" i="9" s="1"/>
  <c r="BL49" i="9" l="1"/>
  <c r="BL45" i="9"/>
  <c r="AO38" i="9"/>
  <c r="AG39" i="9"/>
  <c r="AK39" i="9" s="1"/>
  <c r="AI40" i="9" s="1"/>
  <c r="BL50" i="9" l="1"/>
  <c r="BL51" i="9"/>
  <c r="AO39" i="9"/>
  <c r="AG40" i="9"/>
  <c r="AK40" i="9" s="1"/>
  <c r="BL52" i="9" l="1"/>
  <c r="BL54" i="9" s="1"/>
  <c r="BL56" i="9" s="1"/>
  <c r="BD23" i="9" s="1"/>
  <c r="BL53" i="9"/>
  <c r="BL55" i="9" s="1"/>
  <c r="BL57" i="9" s="1"/>
  <c r="AO40" i="9"/>
  <c r="AI41" i="9"/>
  <c r="AG41" i="9"/>
  <c r="AK41" i="9" l="1"/>
  <c r="AG42" i="9" s="1"/>
  <c r="AO41" i="9"/>
  <c r="AI42" i="9" l="1"/>
  <c r="AO42" i="9" s="1"/>
  <c r="AK42" i="9" l="1"/>
  <c r="AG43" i="9" s="1"/>
  <c r="AR4" i="9"/>
  <c r="AV6" i="9" s="1"/>
  <c r="AV7" i="9" s="1"/>
  <c r="AI43" i="9" l="1"/>
  <c r="AV5" i="9"/>
  <c r="BL77" i="9" l="1"/>
  <c r="CF106" i="9" s="1"/>
  <c r="BH20" i="9"/>
  <c r="AK43" i="9"/>
  <c r="AO43" i="9"/>
  <c r="BD33" i="9"/>
  <c r="BD34" i="9" s="1"/>
  <c r="BD37" i="9" s="1"/>
  <c r="AZ15" i="9"/>
  <c r="AZ16" i="9" s="1"/>
  <c r="AZ19" i="9" s="1"/>
  <c r="BH39" i="9"/>
  <c r="AZ24" i="9"/>
  <c r="AZ25" i="9" s="1"/>
  <c r="BH58" i="9"/>
  <c r="BD24" i="9"/>
  <c r="BD25" i="9" s="1"/>
  <c r="AZ6" i="9"/>
  <c r="AZ7" i="9" s="1"/>
  <c r="AZ10" i="9" s="1"/>
  <c r="BL58" i="9"/>
  <c r="CB72" i="9" s="1"/>
  <c r="AZ33" i="9"/>
  <c r="AZ34" i="9" s="1"/>
  <c r="BH77" i="9"/>
  <c r="BD6" i="9"/>
  <c r="BD7" i="9" s="1"/>
  <c r="BL20" i="9"/>
  <c r="BD15" i="9"/>
  <c r="BD16" i="9" s="1"/>
  <c r="BL39" i="9"/>
  <c r="AZ36" i="9" l="1"/>
  <c r="AZ37" i="9"/>
  <c r="BD27" i="9"/>
  <c r="BD28" i="9"/>
  <c r="AZ27" i="9"/>
  <c r="AZ28" i="9"/>
  <c r="BD18" i="9"/>
  <c r="BD19" i="9"/>
  <c r="AZ18" i="9"/>
  <c r="BD9" i="9"/>
  <c r="BD10" i="9"/>
  <c r="AZ9" i="9"/>
  <c r="AG44" i="9"/>
  <c r="AI44" i="9"/>
  <c r="BD36" i="9"/>
  <c r="BD35" i="9"/>
  <c r="CB106" i="9"/>
  <c r="CD106" i="9"/>
  <c r="AV29" i="9"/>
  <c r="BQ106" i="9"/>
  <c r="BU106" i="9"/>
  <c r="BS106" i="9"/>
  <c r="BD8" i="9"/>
  <c r="AV28" i="9"/>
  <c r="CD72" i="9"/>
  <c r="CF72" i="9"/>
  <c r="AZ26" i="9"/>
  <c r="AZ35" i="9"/>
  <c r="AZ8" i="9"/>
  <c r="BU38" i="9"/>
  <c r="BQ38" i="9"/>
  <c r="BS38" i="9"/>
  <c r="AV25" i="9"/>
  <c r="AV24" i="9"/>
  <c r="CF4" i="9"/>
  <c r="CB4" i="9"/>
  <c r="CD4" i="9"/>
  <c r="BU4" i="9"/>
  <c r="BQ4" i="9"/>
  <c r="BS4" i="9"/>
  <c r="AV23" i="9"/>
  <c r="BD26" i="9"/>
  <c r="BQ72" i="9"/>
  <c r="BS72" i="9"/>
  <c r="AV27" i="9"/>
  <c r="BU72" i="9"/>
  <c r="CF38" i="9"/>
  <c r="CD38" i="9"/>
  <c r="CB38" i="9"/>
  <c r="AV26" i="9"/>
  <c r="BD17" i="9"/>
  <c r="AZ17" i="9"/>
  <c r="AV11" i="9" l="1"/>
  <c r="AV12" i="9" s="1"/>
  <c r="AV10" i="9"/>
  <c r="AV15" i="9" s="1"/>
  <c r="AO44" i="9"/>
  <c r="AK44" i="9"/>
  <c r="C5" i="9" s="1"/>
  <c r="AV30" i="9"/>
  <c r="G27" i="9" l="1"/>
  <c r="AV16" i="9"/>
  <c r="K18" i="9"/>
  <c r="K19" i="9"/>
  <c r="G13" i="9"/>
  <c r="AV18" i="9"/>
  <c r="AV19" i="9" s="1"/>
  <c r="G10" i="9"/>
  <c r="AV17" i="9"/>
  <c r="O5" i="9" l="1"/>
  <c r="K24" i="9"/>
  <c r="K23" i="9"/>
  <c r="K26" i="9"/>
  <c r="K25" i="9"/>
  <c r="K22" i="9"/>
  <c r="G9" i="9"/>
  <c r="K12" i="9"/>
  <c r="G26" i="9"/>
  <c r="K39" i="9"/>
  <c r="AV20" i="9"/>
  <c r="G11" i="9" l="1"/>
  <c r="G12" i="9" s="1"/>
  <c r="O6" i="9"/>
  <c r="O8" i="9" s="1"/>
  <c r="K34" i="9"/>
  <c r="K35" i="9"/>
  <c r="K42" i="9"/>
  <c r="K43" i="9"/>
  <c r="AL49" i="9" l="1"/>
  <c r="O9" i="9"/>
  <c r="O10" i="9" s="1"/>
  <c r="O14" i="9" s="1"/>
  <c r="O15" i="9" s="1"/>
  <c r="O11" i="9"/>
  <c r="AJ49" i="9"/>
  <c r="AH49" i="9"/>
  <c r="O19" i="9" l="1"/>
  <c r="K14" i="9" s="1"/>
  <c r="K15" i="9" s="1"/>
  <c r="O22" i="9" l="1"/>
  <c r="O18" i="9"/>
  <c r="O16" i="9" s="1"/>
  <c r="O21" i="9" l="1"/>
  <c r="O24" i="9" s="1"/>
  <c r="O27" i="9" s="1"/>
  <c r="O29" i="9" l="1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5" i="9" l="1"/>
  <c r="O26" i="9" s="1"/>
  <c r="G19" i="9" s="1"/>
  <c r="AC34" i="9"/>
  <c r="AB34" i="9"/>
  <c r="G20" i="9" l="1"/>
  <c r="K8" i="9" s="1"/>
  <c r="K4" i="9" l="1"/>
  <c r="K16" i="9" l="1"/>
  <c r="K17" i="9"/>
  <c r="K5" i="9"/>
  <c r="K41" i="9" l="1"/>
  <c r="K33" i="9"/>
  <c r="K13" i="9" l="1"/>
  <c r="K40" i="9" l="1"/>
  <c r="K44" i="9" s="1"/>
  <c r="K27" i="9"/>
  <c r="K32" i="9"/>
  <c r="K36" i="9" s="1"/>
  <c r="AL4" i="9" l="1"/>
  <c r="K28" i="9"/>
  <c r="AJ4" i="9"/>
  <c r="AH4" i="9"/>
</calcChain>
</file>

<file path=xl/sharedStrings.xml><?xml version="1.0" encoding="utf-8"?>
<sst xmlns="http://schemas.openxmlformats.org/spreadsheetml/2006/main" count="2660" uniqueCount="283">
  <si>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</si>
  <si>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</si>
  <si>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</si>
  <si>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</si>
  <si>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</si>
  <si>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</si>
  <si>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</si>
  <si>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</si>
  <si>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</si>
  <si>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</si>
  <si>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</si>
  <si>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</si>
  <si>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</si>
  <si>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</si>
  <si>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</si>
  <si>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</si>
  <si>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</si>
  <si>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</si>
  <si>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</si>
  <si>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</si>
  <si>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</si>
  <si>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</si>
  <si>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</si>
  <si>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</si>
  <si>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</si>
  <si>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</si>
  <si>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</si>
  <si>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</si>
  <si>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</si>
  <si>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</si>
  <si>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</si>
  <si>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</si>
  <si>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</si>
  <si>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</si>
  <si>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</si>
  <si>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</si>
  <si>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</si>
  <si>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</si>
  <si>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</si>
  <si>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</si>
  <si>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</si>
  <si>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</si>
  <si>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</si>
  <si>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</si>
  <si>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</si>
  <si>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</si>
  <si>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</si>
  <si>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</si>
  <si>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</si>
  <si>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</si>
  <si>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</si>
  <si>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</si>
  <si>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</si>
  <si>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</si>
  <si>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</si>
  <si>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</si>
  <si>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</si>
  <si>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</si>
  <si>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</si>
  <si>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</si>
  <si>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</si>
  <si>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</si>
  <si>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</si>
  <si>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</si>
  <si>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</si>
  <si>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</si>
  <si>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</si>
  <si>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</si>
  <si>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</si>
  <si>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</si>
  <si>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</si>
  <si>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</si>
  <si>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</si>
  <si>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</si>
  <si>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</si>
  <si>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</si>
  <si>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</si>
  <si>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</si>
  <si>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</si>
  <si>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</si>
  <si>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</si>
  <si>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</si>
  <si>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</si>
  <si>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</si>
  <si>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</si>
  <si>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</si>
  <si>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</si>
  <si>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</si>
  <si>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</si>
  <si>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</si>
  <si>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</si>
  <si>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</si>
  <si>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</si>
  <si>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</si>
  <si>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</si>
  <si>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</si>
  <si>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</si>
  <si>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</si>
  <si>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</si>
  <si>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</si>
  <si>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</si>
  <si>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</si>
  <si>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</si>
  <si>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</si>
  <si>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</si>
  <si>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</si>
  <si>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</si>
  <si>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</si>
  <si>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</si>
  <si>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</si>
  <si>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</si>
  <si>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</si>
  <si>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</si>
  <si>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</si>
  <si>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</si>
  <si>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</si>
  <si>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</si>
  <si>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</si>
  <si>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</si>
  <si>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</si>
  <si>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</si>
  <si>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</si>
  <si>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</si>
  <si>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</si>
  <si>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</si>
  <si>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</si>
  <si>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</si>
  <si>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</si>
  <si>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</si>
  <si>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</si>
  <si>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</si>
  <si>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</si>
  <si>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</si>
  <si>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</si>
  <si>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</si>
  <si>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</si>
  <si>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</si>
  <si>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</si>
  <si>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</si>
  <si>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</si>
  <si>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</si>
  <si>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</si>
  <si>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</si>
  <si>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</si>
  <si>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</si>
  <si>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</si>
  <si>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</si>
  <si>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</si>
  <si>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</si>
  <si>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</si>
  <si>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</si>
  <si>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</si>
  <si>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</si>
  <si>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</si>
  <si>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</si>
  <si>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</si>
  <si>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</si>
  <si>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</si>
  <si>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</si>
  <si>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</si>
  <si>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</si>
  <si>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</si>
  <si>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</si>
  <si>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</si>
  <si>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</si>
  <si>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</si>
  <si>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</si>
  <si>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</si>
  <si>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</si>
  <si>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</si>
  <si>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</si>
  <si>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</si>
  <si>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</si>
  <si>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</si>
  <si>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</si>
  <si>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</si>
  <si>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</si>
  <si>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</si>
  <si>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</si>
  <si>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</si>
  <si>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</si>
  <si>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</si>
  <si>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</si>
  <si>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</si>
  <si>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</si>
  <si>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</si>
  <si>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</si>
  <si>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</si>
  <si>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</si>
  <si>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</si>
  <si>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</si>
  <si>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</si>
  <si>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</si>
  <si>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</si>
  <si>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</si>
  <si>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</si>
  <si>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</si>
  <si>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</si>
  <si>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</si>
  <si>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</si>
  <si>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</si>
  <si>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</si>
  <si>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</si>
  <si>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</si>
  <si>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</si>
  <si>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</si>
  <si>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</si>
  <si>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</si>
  <si>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</si>
  <si>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</si>
  <si>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</si>
  <si>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</si>
  <si>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</si>
  <si>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</si>
  <si>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</si>
  <si>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</si>
  <si>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</si>
  <si>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</si>
  <si>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</si>
  <si>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</si>
  <si>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</si>
  <si>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</si>
  <si>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</si>
  <si>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</si>
  <si>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</si>
  <si>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</si>
  <si>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</si>
  <si>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</si>
  <si>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</si>
  <si>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</si>
  <si>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</si>
  <si>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</si>
  <si>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</si>
  <si>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</si>
  <si>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</si>
  <si>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</si>
  <si>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</si>
  <si>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</si>
  <si>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</si>
  <si>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</si>
  <si>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</si>
  <si>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</si>
  <si>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</si>
  <si>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</si>
  <si>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</si>
  <si>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</si>
  <si>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</si>
  <si>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</si>
  <si>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</si>
  <si>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</si>
  <si>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</si>
  <si>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</si>
  <si>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</si>
  <si>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</si>
  <si>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</si>
  <si>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</si>
  <si>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</si>
  <si>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</si>
  <si>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</si>
  <si>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</si>
  <si>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</si>
  <si>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</si>
  <si>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</si>
  <si>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</si>
  <si>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</si>
  <si>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</si>
  <si>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</si>
  <si>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</si>
  <si>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</si>
  <si>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</si>
  <si>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</si>
  <si>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</si>
  <si>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</si>
  <si>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</si>
  <si>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efficiency T/P</t>
  </si>
  <si>
    <t>g/W</t>
  </si>
  <si>
    <t>CT/sigma</t>
  </si>
  <si>
    <t>W_empty</t>
  </si>
  <si>
    <t>Bisection method for solving RotorInflow lambda in hover climb</t>
  </si>
  <si>
    <t>Aerodynamics in hover climb</t>
  </si>
  <si>
    <t>-</t>
  </si>
  <si>
    <t>figure_of_merit_calc</t>
  </si>
  <si>
    <t>power_ideal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</si>
</sst>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multirotor_fidelity0!$K$39:$K$43</c:f>
              <c:numCache>
                <c:formatCode>General</c:formatCode>
                <c:ptCount val="5"/>
                <c:pt idx="0">
                  <c:v>28.01</c:v>
                </c:pt>
                <c:pt idx="1">
                  <c:v>35.85</c:v>
                </c:pt>
                <c:pt idx="2">
                  <c:v>23.33</c:v>
                </c:pt>
                <c:pt idx="3">
                  <c:v>8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767.85</c:v>
                </c:pt>
                <c:pt idx="2">
                  <c:v>499.71</c:v>
                </c:pt>
                <c:pt idx="3">
                  <c:v>171.43</c:v>
                </c:pt>
                <c:pt idx="4">
                  <c:v>102.88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AE-794C-8627-DAE87CB974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AE-794C-8627-DAE87CB974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AE-794C-8627-DAE87CB974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AE-794C-8627-DAE87CB974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AE-794C-8627-DAE87CB974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multirotor_fidelity1!$K$39:$K$43</c:f>
              <c:numCache>
                <c:formatCode>General</c:formatCode>
                <c:ptCount val="5"/>
                <c:pt idx="0">
                  <c:v>27.7</c:v>
                </c:pt>
                <c:pt idx="1">
                  <c:v>35.869999999999997</c:v>
                </c:pt>
                <c:pt idx="2">
                  <c:v>23.59</c:v>
                </c:pt>
                <c:pt idx="3">
                  <c:v>8.0299999999999994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AE-794C-8627-DAE87CB974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27-7146-881B-EDFBA99A98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27-7146-881B-EDFBA99A988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27-7146-881B-EDFBA99A988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27-7146-881B-EDFBA99A988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727-7146-881B-EDFBA99A98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multirotor_fidelity1!$K$31:$K$35</c:f>
              <c:numCache>
                <c:formatCode>General</c:formatCode>
                <c:ptCount val="5"/>
                <c:pt idx="0">
                  <c:v>600</c:v>
                </c:pt>
                <c:pt idx="1">
                  <c:v>777.14</c:v>
                </c:pt>
                <c:pt idx="2">
                  <c:v>511.14</c:v>
                </c:pt>
                <c:pt idx="3">
                  <c:v>173.95</c:v>
                </c:pt>
                <c:pt idx="4">
                  <c:v>104.13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27-7146-881B-EDFBA99A98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multirotor_fidelity2!$K$39:$K$43</c:f>
              <c:numCache>
                <c:formatCode>General</c:formatCode>
                <c:ptCount val="5"/>
                <c:pt idx="0">
                  <c:v>27.28</c:v>
                </c:pt>
                <c:pt idx="1">
                  <c:v>36.159999999999997</c:v>
                </c:pt>
                <c:pt idx="2">
                  <c:v>23.6</c:v>
                </c:pt>
                <c:pt idx="3">
                  <c:v>8.15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multirotor_fidelity2!$K$31:$K$35</c:f>
              <c:numCache>
                <c:formatCode>General</c:formatCode>
                <c:ptCount val="5"/>
                <c:pt idx="0">
                  <c:v>600</c:v>
                </c:pt>
                <c:pt idx="1">
                  <c:v>795.38</c:v>
                </c:pt>
                <c:pt idx="2">
                  <c:v>519.17999999999995</c:v>
                </c:pt>
                <c:pt idx="3">
                  <c:v>179.31</c:v>
                </c:pt>
                <c:pt idx="4">
                  <c:v>105.82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'lift+cruise_fidelity0'!$K$42:$K$46</c:f>
              <c:numCache>
                <c:formatCode>General</c:formatCode>
                <c:ptCount val="5"/>
                <c:pt idx="0">
                  <c:v>600</c:v>
                </c:pt>
                <c:pt idx="1">
                  <c:v>456.9</c:v>
                </c:pt>
                <c:pt idx="2">
                  <c:v>285.60000000000002</c:v>
                </c:pt>
                <c:pt idx="3">
                  <c:v>697.53</c:v>
                </c:pt>
                <c:pt idx="4">
                  <c:v>102.94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'lift+cruise_fidelity0'!$K$34:$K$38</c:f>
              <c:numCache>
                <c:formatCode>General</c:formatCode>
                <c:ptCount val="5"/>
                <c:pt idx="0">
                  <c:v>28</c:v>
                </c:pt>
                <c:pt idx="1">
                  <c:v>21.32</c:v>
                </c:pt>
                <c:pt idx="2">
                  <c:v>13.33</c:v>
                </c:pt>
                <c:pt idx="3">
                  <c:v>32.549999999999997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4E-9149-A337-58005F2E9B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4E-9149-A337-58005F2E9B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4E-9149-A337-58005F2E9B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4E-9149-A337-58005F2E9B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4E-9149-A337-58005F2E9B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'lift+cruise_fidelity1'!$K$42:$K$46</c:f>
              <c:numCache>
                <c:formatCode>General</c:formatCode>
                <c:ptCount val="5"/>
                <c:pt idx="0">
                  <c:v>600</c:v>
                </c:pt>
                <c:pt idx="1">
                  <c:v>457.12</c:v>
                </c:pt>
                <c:pt idx="2">
                  <c:v>285.79000000000002</c:v>
                </c:pt>
                <c:pt idx="3">
                  <c:v>697.64</c:v>
                </c:pt>
                <c:pt idx="4">
                  <c:v>102.96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4E-9149-A337-58005F2E9B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AF-AB42-A2FA-1A8A79D3F4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AF-AB42-A2FA-1A8A79D3F4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AF-AB42-A2FA-1A8A79D3F4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AF-AB42-A2FA-1A8A79D3F4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AF-AB42-A2FA-1A8A79D3F4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'lift+cruise_fidelity1'!$K$34:$K$38</c:f>
              <c:numCache>
                <c:formatCode>General</c:formatCode>
                <c:ptCount val="5"/>
                <c:pt idx="0">
                  <c:v>27.99</c:v>
                </c:pt>
                <c:pt idx="1">
                  <c:v>21.33</c:v>
                </c:pt>
                <c:pt idx="2">
                  <c:v>13.33</c:v>
                </c:pt>
                <c:pt idx="3">
                  <c:v>32.549999999999997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AF-AB42-A2FA-1A8A79D3F4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'lift+cruise_fidelity2'!$K$42:$K$46</c:f>
              <c:numCache>
                <c:formatCode>General</c:formatCode>
                <c:ptCount val="5"/>
                <c:pt idx="0">
                  <c:v>600</c:v>
                </c:pt>
                <c:pt idx="1">
                  <c:v>528.74</c:v>
                </c:pt>
                <c:pt idx="2">
                  <c:v>347.52</c:v>
                </c:pt>
                <c:pt idx="3">
                  <c:v>730.25</c:v>
                </c:pt>
                <c:pt idx="4">
                  <c:v>111.89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'lift+cruise_fidelity2'!$K$34:$K$38</c:f>
              <c:numCache>
                <c:formatCode>General</c:formatCode>
                <c:ptCount val="5"/>
                <c:pt idx="0">
                  <c:v>25.88</c:v>
                </c:pt>
                <c:pt idx="1">
                  <c:v>22.81</c:v>
                </c:pt>
                <c:pt idx="2">
                  <c:v>14.99</c:v>
                </c:pt>
                <c:pt idx="3">
                  <c:v>31.5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32</xdr:row>
      <xdr:rowOff>16000</xdr:rowOff>
    </xdr:from>
    <xdr:to>
      <xdr:col>8</xdr:col>
      <xdr:colOff>181756</xdr:colOff>
      <xdr:row>43</xdr:row>
      <xdr:rowOff>109133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441910</xdr:colOff>
      <xdr:row>30</xdr:row>
      <xdr:rowOff>70539</xdr:rowOff>
    </xdr:from>
    <xdr:to>
      <xdr:col>17</xdr:col>
      <xdr:colOff>93717</xdr:colOff>
      <xdr:row>42</xdr:row>
      <xdr:rowOff>41228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7513D-49D6-AA48-9350-801DA9722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356989</xdr:colOff>
      <xdr:row>33</xdr:row>
      <xdr:rowOff>168400</xdr:rowOff>
    </xdr:from>
    <xdr:to>
      <xdr:col>8</xdr:col>
      <xdr:colOff>194456</xdr:colOff>
      <xdr:row>45</xdr:row>
      <xdr:rowOff>58333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A8925-0881-784B-9A81-49442A6B8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382389</xdr:colOff>
      <xdr:row>28</xdr:row>
      <xdr:rowOff>181100</xdr:rowOff>
    </xdr:from>
    <xdr:to>
      <xdr:col>8</xdr:col>
      <xdr:colOff>219856</xdr:colOff>
      <xdr:row>40</xdr:row>
      <xdr:rowOff>71033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5B303-FA41-714F-9295-E2307B248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F6C2B-EBC6-F848-9097-717A680AC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5"/>
  <sheetViews>
    <sheetView tabSelected="1" workbookViewId="0">
      <selection activeCell="M13" sqref="M1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60" t="s">
        <v>0</v>
      </c>
      <c r="C1" s="60"/>
      <c r="D1" s="60"/>
    </row>
    <row r="2" spans="2:41" x14ac:dyDescent="0.2">
      <c r="U2" s="16" t="s">
        <v>96</v>
      </c>
      <c r="AF2" s="16" t="s">
        <v>79</v>
      </c>
    </row>
    <row r="3" spans="2:41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MAX(G12,G22,G31)</f>
        <v>237.05502454637431</v>
      </c>
      <c r="L4" s="6" t="s">
        <v>104</v>
      </c>
      <c r="N4" s="6" t="s">
        <v>25</v>
      </c>
      <c r="O4" s="6">
        <f xml:space="preserve"> 0.5 * $C$46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2.0954851516809279E-2</v>
      </c>
      <c r="X4" s="3">
        <v>1</v>
      </c>
      <c r="Y4" s="2">
        <f t="shared" ref="Y4:Y34" si="1" xml:space="preserve"> $O$21 * TAN($O$18/180*PI()) + $O$22 / (2 * SQRT($O$21^2 + X4^2)) - X4</f>
        <v>-0.98314506416560865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-0.48197658969579926</v>
      </c>
      <c r="AB4" s="2">
        <f>W4*AA4</f>
        <v>-1.0099747871653584E-2</v>
      </c>
      <c r="AC4" s="2">
        <f>Y4*AA4</f>
        <v>0.47385290520279783</v>
      </c>
      <c r="AD4" s="2">
        <f>X4-V4</f>
        <v>1</v>
      </c>
      <c r="AF4" s="2">
        <v>0</v>
      </c>
      <c r="AG4" s="2"/>
      <c r="AH4" s="2">
        <f>K27</f>
        <v>-8.9812601800076663E-11</v>
      </c>
      <c r="AI4" s="2"/>
      <c r="AJ4" s="2">
        <f>K27</f>
        <v>-8.9812601800076663E-11</v>
      </c>
      <c r="AK4" s="2"/>
      <c r="AL4" s="2">
        <f>K27</f>
        <v>-8.9812601800076663E-11</v>
      </c>
      <c r="AM4" s="2"/>
      <c r="AN4" s="2"/>
      <c r="AO4" s="2"/>
    </row>
    <row r="5" spans="2:41" x14ac:dyDescent="0.2">
      <c r="B5" s="10" t="s">
        <v>40</v>
      </c>
      <c r="C5" s="10">
        <f>AK44</f>
        <v>2141.8739958294282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59.263756136593578</v>
      </c>
      <c r="L5" s="6" t="s">
        <v>104</v>
      </c>
      <c r="N5" s="6" t="s">
        <v>119</v>
      </c>
      <c r="O5" s="6">
        <f xml:space="preserve"> $C$18 * 0.85 * ($C$5/$C$18 *2.20462/1000)^(2/3) * 0.3048^2</f>
        <v>0.35282061737447662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2.0954851516809279E-2</v>
      </c>
      <c r="X5" s="2">
        <f>IF(AC4&gt;0, Z4, X4)</f>
        <v>0.5</v>
      </c>
      <c r="Y5" s="2">
        <f t="shared" si="1"/>
        <v>-0.48197658969579926</v>
      </c>
      <c r="Z5" s="2">
        <f t="shared" ref="Z5:Z34" si="3" xml:space="preserve"> (V5 + X5)/2</f>
        <v>0.25</v>
      </c>
      <c r="AA5" s="2">
        <f t="shared" si="2"/>
        <v>-0.23054872013148803</v>
      </c>
      <c r="AB5" s="2">
        <f t="shared" ref="AB5:AB34" si="4">W5*AA5</f>
        <v>-4.8311141977457495E-3</v>
      </c>
      <c r="AC5" s="2">
        <f t="shared" ref="AC5:AC34" si="5">Y5*AA5</f>
        <v>0.11111908588770586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-993.52743057898135</v>
      </c>
      <c r="AI5" s="3">
        <v>5000</v>
      </c>
      <c r="AJ5" s="2">
        <f t="dataTable" ref="AJ5:AJ44" dt2D="0" dtr="0" r1="C5" ca="1"/>
        <v>1409.7160345005905</v>
      </c>
      <c r="AK5" s="2">
        <f>(AG5+AI5)/2</f>
        <v>2750</v>
      </c>
      <c r="AL5" s="2">
        <f t="dataTable" ref="AL5:AL44" dt2D="0" dtr="0" r1="C5" ca="1"/>
        <v>332.17100394667705</v>
      </c>
      <c r="AM5" s="2">
        <f>AH5*AL5</f>
        <v>-330021.00406398275</v>
      </c>
      <c r="AN5" s="2">
        <f>AJ5*AL5</f>
        <v>468266.79045978957</v>
      </c>
      <c r="AO5" s="2">
        <f>AI5-AG5</f>
        <v>4500</v>
      </c>
    </row>
    <row r="6" spans="2:41" x14ac:dyDescent="0.2">
      <c r="B6" s="74" t="s">
        <v>270</v>
      </c>
      <c r="C6" s="17">
        <v>400</v>
      </c>
      <c r="D6" s="74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7.0191431599852762E-3</v>
      </c>
      <c r="U6" s="2">
        <v>2</v>
      </c>
      <c r="V6" s="2">
        <f t="shared" ref="V6:V34" si="7">IF(AB5&gt;0, Z5, V5)</f>
        <v>0</v>
      </c>
      <c r="W6" s="2">
        <f t="shared" si="0"/>
        <v>2.0954851516809279E-2</v>
      </c>
      <c r="X6" s="2">
        <f t="shared" ref="X6:X34" si="8">IF(AC5&gt;0, Z5, X5)</f>
        <v>0.25</v>
      </c>
      <c r="Y6" s="2">
        <f t="shared" si="1"/>
        <v>-0.23054872013148803</v>
      </c>
      <c r="Z6" s="2">
        <f t="shared" si="3"/>
        <v>0.125</v>
      </c>
      <c r="AA6" s="2">
        <f t="shared" si="2"/>
        <v>-0.10457243787354403</v>
      </c>
      <c r="AB6" s="2">
        <f t="shared" si="4"/>
        <v>-2.1912999083908784E-3</v>
      </c>
      <c r="AC6" s="2">
        <f t="shared" si="5"/>
        <v>2.4109041712775121E-2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-993.52743057898135</v>
      </c>
      <c r="AI6" s="2">
        <f>IF(AN5&gt;0, AK5, AI5)</f>
        <v>2750</v>
      </c>
      <c r="AJ6" s="2">
        <v>332.17100394667705</v>
      </c>
      <c r="AK6" s="2">
        <f t="shared" ref="AK6:AK43" si="9">(AG6+AI6)/2</f>
        <v>1625</v>
      </c>
      <c r="AL6" s="2">
        <v>-303.49446155296232</v>
      </c>
      <c r="AM6" s="2">
        <f t="shared" ref="AM6:AM44" si="10">AH6*AL6</f>
        <v>301530.07258166611</v>
      </c>
      <c r="AN6" s="2">
        <f t="shared" ref="AN6:AN44" si="11">AJ6*AL6</f>
        <v>-100812.05998630368</v>
      </c>
      <c r="AO6" s="2">
        <f t="shared" ref="AO6:AO44" si="12">AI6-AG6</f>
        <v>2250</v>
      </c>
    </row>
    <row r="7" spans="2:41" x14ac:dyDescent="0.2">
      <c r="B7" s="6" t="s">
        <v>269</v>
      </c>
      <c r="C7" s="17">
        <v>450</v>
      </c>
      <c r="D7" s="6" t="s">
        <v>134</v>
      </c>
      <c r="F7" t="s">
        <v>130</v>
      </c>
      <c r="G7" s="75">
        <f>$C$6*2*PI()/60*$C$9</f>
        <v>167.55160819145564</v>
      </c>
      <c r="H7" s="6" t="s">
        <v>10</v>
      </c>
      <c r="J7" s="54" t="s">
        <v>23</v>
      </c>
      <c r="K7" s="54"/>
      <c r="L7" s="54"/>
      <c r="N7" t="s">
        <v>123</v>
      </c>
      <c r="O7" s="17">
        <f>0.01230085</f>
        <v>1.230085E-2</v>
      </c>
      <c r="U7" s="2">
        <v>3</v>
      </c>
      <c r="V7" s="2">
        <f t="shared" si="7"/>
        <v>0</v>
      </c>
      <c r="W7" s="2">
        <f t="shared" si="0"/>
        <v>2.0954851516809279E-2</v>
      </c>
      <c r="X7" s="2">
        <f t="shared" si="8"/>
        <v>0.125</v>
      </c>
      <c r="Y7" s="2">
        <f t="shared" si="1"/>
        <v>-0.10457243787354403</v>
      </c>
      <c r="Z7" s="2">
        <f t="shared" si="3"/>
        <v>6.25E-2</v>
      </c>
      <c r="AA7" s="2">
        <f t="shared" si="2"/>
        <v>-4.1692502968839494E-2</v>
      </c>
      <c r="AB7" s="2">
        <f t="shared" si="4"/>
        <v>-8.7366020907616161E-4</v>
      </c>
      <c r="AC7" s="2">
        <f t="shared" si="5"/>
        <v>4.3598866765015183E-3</v>
      </c>
      <c r="AD7" s="2">
        <f t="shared" si="6"/>
        <v>0.125</v>
      </c>
      <c r="AF7" s="2">
        <v>3</v>
      </c>
      <c r="AG7" s="2">
        <f t="shared" ref="AG7:AG44" si="13">IF(AM6&gt;0, AK6, AG6)</f>
        <v>1625</v>
      </c>
      <c r="AH7" s="2">
        <v>-303.49446155296232</v>
      </c>
      <c r="AI7" s="2">
        <f t="shared" ref="AI7:AI44" si="14">IF(AN6&gt;0, AK6, AI6)</f>
        <v>2750</v>
      </c>
      <c r="AJ7" s="2">
        <v>332.17100394667705</v>
      </c>
      <c r="AK7" s="2">
        <f t="shared" si="9"/>
        <v>2187.5</v>
      </c>
      <c r="AL7" s="2">
        <v>25.480759682362759</v>
      </c>
      <c r="AM7" s="2">
        <f t="shared" si="10"/>
        <v>-7733.2694397591167</v>
      </c>
      <c r="AN7" s="2">
        <f t="shared" si="11"/>
        <v>8463.9695250144487</v>
      </c>
      <c r="AO7" s="2">
        <f t="shared" si="12"/>
        <v>1125</v>
      </c>
    </row>
    <row r="8" spans="2:41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75">
        <f>G7/$C$42</f>
        <v>0.50177629770214827</v>
      </c>
      <c r="H8" s="6" t="s">
        <v>131</v>
      </c>
      <c r="J8" s="6" t="s">
        <v>99</v>
      </c>
      <c r="K8" s="6">
        <f xml:space="preserve"> $C$15 * (G12*G6 + G22*G15 + G31*G27)/3600</f>
        <v>130.53389395275647</v>
      </c>
      <c r="L8" s="6" t="s">
        <v>105</v>
      </c>
      <c r="N8" s="6" t="s">
        <v>122</v>
      </c>
      <c r="O8" s="6">
        <f xml:space="preserve"> $O$7 + O6</f>
        <v>1.9319993159985276E-2</v>
      </c>
      <c r="U8" s="2">
        <v>4</v>
      </c>
      <c r="V8" s="2">
        <f t="shared" si="7"/>
        <v>0</v>
      </c>
      <c r="W8" s="2">
        <f t="shared" si="0"/>
        <v>2.0954851516809279E-2</v>
      </c>
      <c r="X8" s="2">
        <f t="shared" si="8"/>
        <v>6.25E-2</v>
      </c>
      <c r="Y8" s="2">
        <f t="shared" si="1"/>
        <v>-4.1692502968839494E-2</v>
      </c>
      <c r="Z8" s="2">
        <f t="shared" si="3"/>
        <v>3.125E-2</v>
      </c>
      <c r="AA8" s="2">
        <f t="shared" si="2"/>
        <v>-1.0333123055982898E-2</v>
      </c>
      <c r="AB8" s="2">
        <f t="shared" si="4"/>
        <v>-2.1652905934304017E-4</v>
      </c>
      <c r="AC8" s="2">
        <f t="shared" si="5"/>
        <v>4.3081376368895083E-4</v>
      </c>
      <c r="AD8" s="2">
        <f t="shared" si="6"/>
        <v>6.25E-2</v>
      </c>
      <c r="AF8" s="2">
        <v>4</v>
      </c>
      <c r="AG8" s="2">
        <f t="shared" si="13"/>
        <v>1625</v>
      </c>
      <c r="AH8" s="2">
        <v>-303.49446155296232</v>
      </c>
      <c r="AI8" s="2">
        <f t="shared" si="14"/>
        <v>2187.5</v>
      </c>
      <c r="AJ8" s="2">
        <v>25.480759682362759</v>
      </c>
      <c r="AK8" s="2">
        <f t="shared" si="9"/>
        <v>1906.25</v>
      </c>
      <c r="AL8" s="2">
        <v>-133.29189247232057</v>
      </c>
      <c r="AM8" s="2">
        <f t="shared" si="10"/>
        <v>40453.351135262281</v>
      </c>
      <c r="AN8" s="2">
        <f t="shared" si="11"/>
        <v>-3396.3786796945383</v>
      </c>
      <c r="AO8" s="2">
        <f t="shared" si="12"/>
        <v>562.5</v>
      </c>
    </row>
    <row r="9" spans="2:41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$C$43 / $C$18</f>
        <v>5248.3897763386867</v>
      </c>
      <c r="H9" s="6" t="s">
        <v>22</v>
      </c>
      <c r="J9" s="6" t="s">
        <v>265</v>
      </c>
      <c r="K9" s="6">
        <f xml:space="preserve"> $C$15 * (G6 + G15 + G27)/3600</f>
        <v>0.62222222222222223</v>
      </c>
      <c r="L9" s="6" t="s">
        <v>106</v>
      </c>
      <c r="N9" s="6" t="s">
        <v>41</v>
      </c>
      <c r="O9" s="6">
        <f xml:space="preserve"> O4 *O8 * PI() * $C$9 * $C$9</f>
        <v>1224.2832419624081</v>
      </c>
      <c r="P9" s="6" t="s">
        <v>22</v>
      </c>
      <c r="U9" s="2">
        <v>5</v>
      </c>
      <c r="V9" s="2">
        <f t="shared" si="7"/>
        <v>0</v>
      </c>
      <c r="W9" s="2">
        <f t="shared" si="0"/>
        <v>2.0954851516809279E-2</v>
      </c>
      <c r="X9" s="2">
        <f t="shared" si="8"/>
        <v>3.125E-2</v>
      </c>
      <c r="Y9" s="2">
        <f t="shared" si="1"/>
        <v>-1.0333123055982898E-2</v>
      </c>
      <c r="Z9" s="2">
        <f t="shared" si="3"/>
        <v>1.5625E-2</v>
      </c>
      <c r="AA9" s="2">
        <f t="shared" si="2"/>
        <v>5.3202838049737876E-3</v>
      </c>
      <c r="AB9" s="2">
        <f t="shared" si="4"/>
        <v>1.1148575716051082E-4</v>
      </c>
      <c r="AC9" s="2">
        <f t="shared" si="5"/>
        <v>-5.497514724954707E-5</v>
      </c>
      <c r="AD9" s="2">
        <f t="shared" si="6"/>
        <v>3.125E-2</v>
      </c>
      <c r="AF9" s="2">
        <v>5</v>
      </c>
      <c r="AG9" s="2">
        <f t="shared" si="13"/>
        <v>1906.25</v>
      </c>
      <c r="AH9" s="2">
        <v>-133.29189247232057</v>
      </c>
      <c r="AI9" s="2">
        <f t="shared" si="14"/>
        <v>2187.5</v>
      </c>
      <c r="AJ9" s="2">
        <v>25.480759682362759</v>
      </c>
      <c r="AK9" s="2">
        <f t="shared" si="9"/>
        <v>2046.875</v>
      </c>
      <c r="AL9" s="2">
        <v>-53.334149143317745</v>
      </c>
      <c r="AM9" s="2">
        <f t="shared" si="10"/>
        <v>7109.0096727138171</v>
      </c>
      <c r="AN9" s="2">
        <f t="shared" si="11"/>
        <v>-1358.9946371841731</v>
      </c>
      <c r="AO9" s="2">
        <f t="shared" si="12"/>
        <v>281.25</v>
      </c>
    </row>
    <row r="10" spans="2:41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>G12/$C$18</f>
        <v>59.263756136593578</v>
      </c>
      <c r="H10" s="6" t="s">
        <v>104</v>
      </c>
      <c r="N10" s="6" t="s">
        <v>42</v>
      </c>
      <c r="O10" s="6">
        <f xml:space="preserve"> O9</f>
        <v>1224.2832419624081</v>
      </c>
      <c r="P10" s="6" t="s">
        <v>22</v>
      </c>
      <c r="U10" s="2">
        <v>6</v>
      </c>
      <c r="V10" s="2">
        <f t="shared" si="7"/>
        <v>1.5625E-2</v>
      </c>
      <c r="W10" s="2">
        <f t="shared" si="0"/>
        <v>5.3202838049737876E-3</v>
      </c>
      <c r="X10" s="2">
        <f t="shared" si="8"/>
        <v>3.125E-2</v>
      </c>
      <c r="Y10" s="2">
        <f t="shared" si="1"/>
        <v>-1.0333123055982898E-2</v>
      </c>
      <c r="Z10" s="2">
        <f t="shared" si="3"/>
        <v>2.34375E-2</v>
      </c>
      <c r="AA10" s="2">
        <f t="shared" si="2"/>
        <v>-2.5041060455588855E-3</v>
      </c>
      <c r="AB10" s="2">
        <f t="shared" si="4"/>
        <v>-1.3322554840123892E-5</v>
      </c>
      <c r="AC10" s="2">
        <f t="shared" si="5"/>
        <v>2.5875235913990683E-5</v>
      </c>
      <c r="AD10" s="2">
        <f t="shared" si="6"/>
        <v>1.5625E-2</v>
      </c>
      <c r="AF10" s="2">
        <v>6</v>
      </c>
      <c r="AG10" s="2">
        <f t="shared" si="13"/>
        <v>2046.875</v>
      </c>
      <c r="AH10" s="2">
        <v>-53.334149143317745</v>
      </c>
      <c r="AI10" s="2">
        <f t="shared" si="14"/>
        <v>2187.5</v>
      </c>
      <c r="AJ10" s="2">
        <v>25.480759682362759</v>
      </c>
      <c r="AK10" s="2">
        <f t="shared" si="9"/>
        <v>2117.1875</v>
      </c>
      <c r="AL10" s="2">
        <v>-13.823239938147253</v>
      </c>
      <c r="AM10" s="2">
        <f t="shared" si="10"/>
        <v>737.250740505012</v>
      </c>
      <c r="AN10" s="2">
        <f t="shared" si="11"/>
        <v>-352.2266548955692</v>
      </c>
      <c r="AO10" s="2">
        <f t="shared" si="12"/>
        <v>140.625</v>
      </c>
    </row>
    <row r="11" spans="2:41" x14ac:dyDescent="0.2">
      <c r="F11" t="s">
        <v>274</v>
      </c>
      <c r="G11" s="6">
        <f xml:space="preserve"> (G9/$C$43*1000) / ($G$10*1000)</f>
        <v>9.0353452744909877</v>
      </c>
      <c r="H11" s="6" t="s">
        <v>275</v>
      </c>
      <c r="J11" s="57" t="s">
        <v>54</v>
      </c>
      <c r="K11" s="57"/>
      <c r="L11" s="57"/>
      <c r="N11" s="6" t="s">
        <v>118</v>
      </c>
      <c r="O11" s="6">
        <f>($O$8*PI()*$C$9^2)/(0.3048^2)/($C$5*2.20462/1000)^(2/3) + 0.85</f>
        <v>4.5638850500816499</v>
      </c>
      <c r="U11" s="2">
        <v>7</v>
      </c>
      <c r="V11" s="2">
        <f t="shared" si="7"/>
        <v>1.5625E-2</v>
      </c>
      <c r="W11" s="2">
        <f t="shared" si="0"/>
        <v>5.3202838049737876E-3</v>
      </c>
      <c r="X11" s="2">
        <f t="shared" si="8"/>
        <v>2.34375E-2</v>
      </c>
      <c r="Y11" s="2">
        <f t="shared" si="1"/>
        <v>-2.5041060455588855E-3</v>
      </c>
      <c r="Z11" s="2">
        <f t="shared" si="3"/>
        <v>1.953125E-2</v>
      </c>
      <c r="AA11" s="2">
        <f t="shared" si="2"/>
        <v>1.4086738194860407E-3</v>
      </c>
      <c r="AB11" s="2">
        <f t="shared" si="4"/>
        <v>7.4945445083021511E-6</v>
      </c>
      <c r="AC11" s="2">
        <f t="shared" si="5"/>
        <v>-3.5274686275955208E-6</v>
      </c>
      <c r="AD11" s="2">
        <f t="shared" si="6"/>
        <v>7.8125E-3</v>
      </c>
      <c r="AF11" s="2">
        <v>7</v>
      </c>
      <c r="AG11" s="2">
        <f t="shared" si="13"/>
        <v>2117.1875</v>
      </c>
      <c r="AH11" s="2">
        <v>-13.823239938147253</v>
      </c>
      <c r="AI11" s="2">
        <f t="shared" si="14"/>
        <v>2187.5</v>
      </c>
      <c r="AJ11" s="2">
        <v>25.480759682362759</v>
      </c>
      <c r="AK11" s="2">
        <f t="shared" si="9"/>
        <v>2152.34375</v>
      </c>
      <c r="AL11" s="2">
        <v>5.8548102429454048</v>
      </c>
      <c r="AM11" s="2">
        <f t="shared" si="10"/>
        <v>-80.932446780556546</v>
      </c>
      <c r="AN11" s="2">
        <f t="shared" si="11"/>
        <v>149.18501278632777</v>
      </c>
      <c r="AO11" s="2">
        <f t="shared" si="12"/>
        <v>70.3125</v>
      </c>
    </row>
    <row r="12" spans="2:41" x14ac:dyDescent="0.2">
      <c r="B12" s="54" t="s">
        <v>12</v>
      </c>
      <c r="C12" s="54"/>
      <c r="D12" s="54"/>
      <c r="F12" s="42" t="s">
        <v>85</v>
      </c>
      <c r="G12" s="43">
        <f xml:space="preserve"> 1/1000 * (($C$5*$C$43)/$C$21 * ( ($G$4/2) + SQRT( ($G$4/2)^2 + ($C$5*$C$43) / (2*$C$40*PI()*$C$9^2 * $C$18) ) ) )</f>
        <v>237.05502454637431</v>
      </c>
      <c r="H12" s="43" t="s">
        <v>104</v>
      </c>
      <c r="J12" s="10" t="s">
        <v>82</v>
      </c>
      <c r="K12" s="6">
        <f>C5</f>
        <v>2141.8739958294282</v>
      </c>
      <c r="L12" s="6" t="s">
        <v>7</v>
      </c>
      <c r="U12" s="2">
        <v>8</v>
      </c>
      <c r="V12" s="2">
        <f t="shared" si="7"/>
        <v>1.953125E-2</v>
      </c>
      <c r="W12" s="2">
        <f t="shared" si="0"/>
        <v>1.4086738194860407E-3</v>
      </c>
      <c r="X12" s="2">
        <f t="shared" si="8"/>
        <v>2.34375E-2</v>
      </c>
      <c r="Y12" s="2">
        <f t="shared" si="1"/>
        <v>-2.5041060455588855E-3</v>
      </c>
      <c r="Z12" s="2">
        <f t="shared" si="3"/>
        <v>2.1484375E-2</v>
      </c>
      <c r="AA12" s="2">
        <f t="shared" si="2"/>
        <v>-5.4757061239861515E-4</v>
      </c>
      <c r="AB12" s="2">
        <f t="shared" si="4"/>
        <v>-7.7134838600586761E-7</v>
      </c>
      <c r="AC12" s="2">
        <f t="shared" si="5"/>
        <v>1.3711748808777534E-6</v>
      </c>
      <c r="AD12" s="2">
        <f t="shared" si="6"/>
        <v>3.90625E-3</v>
      </c>
      <c r="AF12" s="2">
        <v>8</v>
      </c>
      <c r="AG12" s="2">
        <f t="shared" si="13"/>
        <v>2117.1875</v>
      </c>
      <c r="AH12" s="2">
        <v>-13.823239938147253</v>
      </c>
      <c r="AI12" s="2">
        <f t="shared" si="14"/>
        <v>2152.34375</v>
      </c>
      <c r="AJ12" s="2">
        <v>5.8548102429454048</v>
      </c>
      <c r="AK12" s="2">
        <f t="shared" si="9"/>
        <v>2134.765625</v>
      </c>
      <c r="AL12" s="2">
        <v>-3.9777258537349098</v>
      </c>
      <c r="AM12" s="2">
        <f t="shared" si="10"/>
        <v>54.985058884349286</v>
      </c>
      <c r="AN12" s="2">
        <f t="shared" si="11"/>
        <v>-23.288830072075903</v>
      </c>
      <c r="AO12" s="2">
        <f t="shared" si="12"/>
        <v>35.15625</v>
      </c>
    </row>
    <row r="13" spans="2:41" x14ac:dyDescent="0.2">
      <c r="B13" s="6" t="s">
        <v>71</v>
      </c>
      <c r="C13" s="6">
        <f>C24*100</f>
        <v>600</v>
      </c>
      <c r="D13" s="6" t="s">
        <v>7</v>
      </c>
      <c r="J13" s="11" t="s">
        <v>55</v>
      </c>
      <c r="K13" s="6">
        <f xml:space="preserve"> K8 * 1000 / ($C$35 * $C$36 * $C$37)</f>
        <v>767.84643501621451</v>
      </c>
      <c r="L13" s="6" t="s">
        <v>7</v>
      </c>
      <c r="N13" s="57" t="s">
        <v>76</v>
      </c>
      <c r="O13" s="59"/>
      <c r="P13" s="59"/>
      <c r="U13" s="2">
        <v>9</v>
      </c>
      <c r="V13" s="2">
        <f t="shared" si="7"/>
        <v>1.953125E-2</v>
      </c>
      <c r="W13" s="2">
        <f t="shared" si="0"/>
        <v>1.4086738194860407E-3</v>
      </c>
      <c r="X13" s="2">
        <f t="shared" si="8"/>
        <v>2.1484375E-2</v>
      </c>
      <c r="Y13" s="2">
        <f t="shared" si="1"/>
        <v>-5.4757061239861515E-4</v>
      </c>
      <c r="Z13" s="2">
        <f t="shared" si="3"/>
        <v>2.05078125E-2</v>
      </c>
      <c r="AA13" s="2">
        <f t="shared" si="2"/>
        <v>4.3058807581964134E-4</v>
      </c>
      <c r="AB13" s="2">
        <f t="shared" si="4"/>
        <v>6.0655814938999902E-7</v>
      </c>
      <c r="AC13" s="2">
        <f t="shared" si="5"/>
        <v>-2.3577737636810236E-7</v>
      </c>
      <c r="AD13" s="2">
        <f t="shared" si="6"/>
        <v>1.953125E-3</v>
      </c>
      <c r="AF13" s="2">
        <v>9</v>
      </c>
      <c r="AG13" s="2">
        <f t="shared" si="13"/>
        <v>2134.765625</v>
      </c>
      <c r="AH13" s="2">
        <v>-3.9777258537349098</v>
      </c>
      <c r="AI13" s="2">
        <f t="shared" si="14"/>
        <v>2152.34375</v>
      </c>
      <c r="AJ13" s="2">
        <v>5.8548102429454048</v>
      </c>
      <c r="AK13" s="2">
        <f t="shared" si="9"/>
        <v>2143.5546875</v>
      </c>
      <c r="AL13" s="2">
        <v>0.94017598457480744</v>
      </c>
      <c r="AM13" s="2">
        <f t="shared" si="10"/>
        <v>-3.7397623209038855</v>
      </c>
      <c r="AN13" s="2">
        <f t="shared" si="11"/>
        <v>5.5045519846598632</v>
      </c>
      <c r="AO13" s="2">
        <f t="shared" si="12"/>
        <v>17.578125</v>
      </c>
    </row>
    <row r="14" spans="2:41" x14ac:dyDescent="0.2">
      <c r="B14" s="6" t="s">
        <v>13</v>
      </c>
      <c r="C14" s="17">
        <v>96000</v>
      </c>
      <c r="D14" s="6" t="s">
        <v>8</v>
      </c>
      <c r="F14" s="57" t="s">
        <v>89</v>
      </c>
      <c r="G14" s="58"/>
      <c r="H14" s="58"/>
      <c r="J14" s="12" t="s">
        <v>135</v>
      </c>
      <c r="K14" s="6">
        <f xml:space="preserve"> $C$53 * $C$18 * (0.0095 * MAX(G9,O19,G28) - 1.9275)</f>
        <v>153.63889071538432</v>
      </c>
      <c r="L14" s="6" t="s">
        <v>7</v>
      </c>
      <c r="N14" s="6" t="s">
        <v>77</v>
      </c>
      <c r="O14" s="6">
        <f xml:space="preserve"> SQRT( ($C$5*$C$49)^2 + O10^2)</f>
        <v>21027.22246255057</v>
      </c>
      <c r="P14" s="6" t="s">
        <v>22</v>
      </c>
      <c r="U14" s="2">
        <v>10</v>
      </c>
      <c r="V14" s="2">
        <f t="shared" si="7"/>
        <v>2.05078125E-2</v>
      </c>
      <c r="W14" s="2">
        <f t="shared" si="0"/>
        <v>4.3058807581964134E-4</v>
      </c>
      <c r="X14" s="2">
        <f t="shared" si="8"/>
        <v>2.1484375E-2</v>
      </c>
      <c r="Y14" s="2">
        <f t="shared" si="1"/>
        <v>-5.4757061239861515E-4</v>
      </c>
      <c r="Z14" s="2">
        <f t="shared" si="3"/>
        <v>2.099609375E-2</v>
      </c>
      <c r="AA14" s="2">
        <f t="shared" si="2"/>
        <v>-5.8482162029707685E-5</v>
      </c>
      <c r="AB14" s="2">
        <f t="shared" si="4"/>
        <v>-2.5181721618144323E-8</v>
      </c>
      <c r="AC14" s="2">
        <f t="shared" si="5"/>
        <v>3.2023113277002076E-8</v>
      </c>
      <c r="AD14" s="2">
        <f t="shared" si="6"/>
        <v>9.765625E-4</v>
      </c>
      <c r="AF14" s="2">
        <v>10</v>
      </c>
      <c r="AG14" s="2">
        <f t="shared" si="13"/>
        <v>2134.765625</v>
      </c>
      <c r="AH14" s="2">
        <v>-3.9777258537349098</v>
      </c>
      <c r="AI14" s="2">
        <f t="shared" si="14"/>
        <v>2143.5546875</v>
      </c>
      <c r="AJ14" s="2">
        <v>0.94017598457480744</v>
      </c>
      <c r="AK14" s="2">
        <f t="shared" si="9"/>
        <v>2139.16015625</v>
      </c>
      <c r="AL14" s="2">
        <v>-1.5183608313536752</v>
      </c>
      <c r="AM14" s="2">
        <f t="shared" si="10"/>
        <v>6.0396231341739446</v>
      </c>
      <c r="AN14" s="2">
        <f t="shared" si="11"/>
        <v>-1.4275263895577648</v>
      </c>
      <c r="AO14" s="2">
        <f t="shared" si="12"/>
        <v>8.7890625</v>
      </c>
    </row>
    <row r="15" spans="2:41" x14ac:dyDescent="0.2">
      <c r="B15" s="6" t="s">
        <v>263</v>
      </c>
      <c r="C15" s="17">
        <v>1</v>
      </c>
      <c r="F15" s="9" t="s">
        <v>92</v>
      </c>
      <c r="G15" s="6">
        <f xml:space="preserve"> $C$14/$C$8</f>
        <v>1920</v>
      </c>
      <c r="H15" s="6" t="s">
        <v>14</v>
      </c>
      <c r="J15" s="12" t="s">
        <v>136</v>
      </c>
      <c r="K15" s="6">
        <f xml:space="preserve"> $C$53 * $C$18 * ( 0.0037 * $C$19^0.28 * ($C$9*3.28084)^1.5 * ($G$7*3.28084)^0.43 * ( 0.01742 * $C$19^0.66 * ($C$10*$C$9*3.28084) * ($C$9*3.28084)^1.3 * ($G$7*3.28084)^0.67 + 0.5*(K14/$C$18)* 2.20462 * 9.80665*3.28084 )^0.55 ) * 0.453592</f>
        <v>283.73805362131463</v>
      </c>
      <c r="L15" s="6" t="s">
        <v>7</v>
      </c>
      <c r="N15" s="6" t="s">
        <v>78</v>
      </c>
      <c r="O15" s="6">
        <f>$C$5*$C$49/O14</f>
        <v>0.99830355990319009</v>
      </c>
      <c r="U15" s="2">
        <v>11</v>
      </c>
      <c r="V15" s="2">
        <f t="shared" si="7"/>
        <v>2.05078125E-2</v>
      </c>
      <c r="W15" s="2">
        <f t="shared" si="0"/>
        <v>4.3058807581964134E-4</v>
      </c>
      <c r="X15" s="2">
        <f t="shared" si="8"/>
        <v>2.099609375E-2</v>
      </c>
      <c r="Y15" s="2">
        <f t="shared" si="1"/>
        <v>-5.8482162029707685E-5</v>
      </c>
      <c r="Z15" s="2">
        <f t="shared" si="3"/>
        <v>2.0751953125E-2</v>
      </c>
      <c r="AA15" s="2">
        <f t="shared" si="2"/>
        <v>1.8605523495679455E-4</v>
      </c>
      <c r="AB15" s="2">
        <f t="shared" si="4"/>
        <v>8.0113165616217436E-8</v>
      </c>
      <c r="AC15" s="2">
        <f t="shared" si="5"/>
        <v>-1.0880912397218592E-8</v>
      </c>
      <c r="AD15" s="2">
        <f t="shared" si="6"/>
        <v>4.8828125E-4</v>
      </c>
      <c r="AF15" s="2">
        <v>11</v>
      </c>
      <c r="AG15" s="2">
        <f t="shared" si="13"/>
        <v>2139.16015625</v>
      </c>
      <c r="AH15" s="2">
        <v>-1.5183608313536752</v>
      </c>
      <c r="AI15" s="2">
        <f t="shared" si="14"/>
        <v>2143.5546875</v>
      </c>
      <c r="AJ15" s="2">
        <v>0.94017598457480744</v>
      </c>
      <c r="AK15" s="2">
        <f t="shared" si="9"/>
        <v>2141.357421875</v>
      </c>
      <c r="AL15" s="2">
        <v>-0.28899001408694858</v>
      </c>
      <c r="AM15" s="2">
        <f t="shared" si="10"/>
        <v>0.43879111804196952</v>
      </c>
      <c r="AN15" s="2">
        <f t="shared" si="11"/>
        <v>-0.27170147102648434</v>
      </c>
      <c r="AO15" s="2">
        <f t="shared" si="12"/>
        <v>4.39453125</v>
      </c>
    </row>
    <row r="16" spans="2:41" x14ac:dyDescent="0.2">
      <c r="F16" t="s">
        <v>130</v>
      </c>
      <c r="G16" s="8">
        <f>O20*$C$9</f>
        <v>188.49555921538757</v>
      </c>
      <c r="H16" s="6" t="s">
        <v>10</v>
      </c>
      <c r="J16" s="13" t="s">
        <v>56</v>
      </c>
      <c r="K16" s="6">
        <f xml:space="preserve"> $C$53 * 0.2138 * K4</f>
        <v>40.545891398411861</v>
      </c>
      <c r="L16" s="6" t="s">
        <v>7</v>
      </c>
      <c r="U16" s="2">
        <v>12</v>
      </c>
      <c r="V16" s="2">
        <f t="shared" si="7"/>
        <v>2.0751953125E-2</v>
      </c>
      <c r="W16" s="2">
        <f t="shared" si="0"/>
        <v>1.8605523495679455E-4</v>
      </c>
      <c r="X16" s="2">
        <f t="shared" si="8"/>
        <v>2.099609375E-2</v>
      </c>
      <c r="Y16" s="2">
        <f t="shared" si="1"/>
        <v>-5.8482162029707685E-5</v>
      </c>
      <c r="Z16" s="2">
        <f t="shared" si="3"/>
        <v>2.08740234375E-2</v>
      </c>
      <c r="AA16" s="2">
        <f t="shared" si="2"/>
        <v>6.3787105793182419E-5</v>
      </c>
      <c r="AB16" s="2">
        <f t="shared" si="4"/>
        <v>1.1867924955564466E-8</v>
      </c>
      <c r="AC16" s="2">
        <f t="shared" si="5"/>
        <v>-3.7304078564030003E-9</v>
      </c>
      <c r="AD16" s="2">
        <f t="shared" si="6"/>
        <v>2.44140625E-4</v>
      </c>
      <c r="AF16" s="2">
        <v>12</v>
      </c>
      <c r="AG16" s="2">
        <f t="shared" si="13"/>
        <v>2141.357421875</v>
      </c>
      <c r="AH16" s="2">
        <v>-0.28899001408694858</v>
      </c>
      <c r="AI16" s="2">
        <f t="shared" si="14"/>
        <v>2143.5546875</v>
      </c>
      <c r="AJ16" s="2">
        <v>0.94017598457480744</v>
      </c>
      <c r="AK16" s="2">
        <f t="shared" si="9"/>
        <v>2142.4560546875</v>
      </c>
      <c r="AL16" s="2">
        <v>0.3256169902244892</v>
      </c>
      <c r="AM16" s="2">
        <f t="shared" si="10"/>
        <v>-9.4100058591924926E-2</v>
      </c>
      <c r="AN16" s="2">
        <f t="shared" si="11"/>
        <v>0.30613727437859456</v>
      </c>
      <c r="AO16" s="2">
        <f t="shared" si="12"/>
        <v>2.197265625</v>
      </c>
    </row>
    <row r="17" spans="2:41" x14ac:dyDescent="0.2">
      <c r="B17" s="56" t="s">
        <v>115</v>
      </c>
      <c r="C17" s="56"/>
      <c r="D17" s="56"/>
      <c r="F17" s="6" t="s">
        <v>133</v>
      </c>
      <c r="G17" s="6">
        <f>G16/$C$48</f>
        <v>0.56652610777154422</v>
      </c>
      <c r="H17" s="6" t="s">
        <v>131</v>
      </c>
      <c r="J17" s="13" t="s">
        <v>80</v>
      </c>
      <c r="K17" s="6">
        <f xml:space="preserve"> $C$53 * 0.1149 * K4</f>
        <v>21.790097856302726</v>
      </c>
      <c r="L17" s="6" t="s">
        <v>7</v>
      </c>
      <c r="N17" s="57" t="s">
        <v>27</v>
      </c>
      <c r="O17" s="59"/>
      <c r="P17" s="59"/>
      <c r="U17" s="2">
        <v>13</v>
      </c>
      <c r="V17" s="2">
        <f t="shared" si="7"/>
        <v>2.08740234375E-2</v>
      </c>
      <c r="W17" s="2">
        <f t="shared" si="0"/>
        <v>6.3787105793182419E-5</v>
      </c>
      <c r="X17" s="2">
        <f t="shared" si="8"/>
        <v>2.099609375E-2</v>
      </c>
      <c r="Y17" s="2">
        <f t="shared" si="1"/>
        <v>-5.8482162029707685E-5</v>
      </c>
      <c r="Z17" s="2">
        <f t="shared" si="3"/>
        <v>2.093505859375E-2</v>
      </c>
      <c r="AA17" s="2">
        <f t="shared" si="2"/>
        <v>2.6526141908081446E-6</v>
      </c>
      <c r="AB17" s="2">
        <f t="shared" si="4"/>
        <v>1.6920258201757609E-10</v>
      </c>
      <c r="AC17" s="2">
        <f t="shared" si="5"/>
        <v>-1.5513061290914385E-10</v>
      </c>
      <c r="AD17" s="2">
        <f t="shared" si="6"/>
        <v>1.220703125E-4</v>
      </c>
      <c r="AF17" s="2">
        <v>13</v>
      </c>
      <c r="AG17" s="2">
        <f t="shared" si="13"/>
        <v>2141.357421875</v>
      </c>
      <c r="AH17" s="2">
        <v>-0.28899001408694858</v>
      </c>
      <c r="AI17" s="2">
        <f t="shared" si="14"/>
        <v>2142.4560546875</v>
      </c>
      <c r="AJ17" s="2">
        <v>0.3256169902244892</v>
      </c>
      <c r="AK17" s="2">
        <f t="shared" si="9"/>
        <v>2141.90673828125</v>
      </c>
      <c r="AL17" s="2">
        <v>1.8309492692424101E-2</v>
      </c>
      <c r="AM17" s="2">
        <f t="shared" si="10"/>
        <v>-5.2912605511085233E-3</v>
      </c>
      <c r="AN17" s="2">
        <f t="shared" si="11"/>
        <v>5.9618819030444149E-3</v>
      </c>
      <c r="AO17" s="2">
        <f t="shared" si="12"/>
        <v>1.0986328125</v>
      </c>
    </row>
    <row r="18" spans="2:41" x14ac:dyDescent="0.2">
      <c r="B18" s="6" t="s">
        <v>97</v>
      </c>
      <c r="C18" s="17">
        <v>4</v>
      </c>
      <c r="F18" s="9" t="s">
        <v>21</v>
      </c>
      <c r="G18" s="6">
        <f>O19</f>
        <v>5256.8056156376424</v>
      </c>
      <c r="H18" s="6" t="s">
        <v>22</v>
      </c>
      <c r="J18" s="14" t="s">
        <v>63</v>
      </c>
      <c r="K18" s="6">
        <f xml:space="preserve"> $C$54 * (14.86 * ($C$5*2.20462)^0.144 * ($C$25/(PI()*$C$26))^0.778 * ($C$25*3.28084)^0.383 * $C$24^0.455 * 0.453592)</f>
        <v>131.29505949650724</v>
      </c>
      <c r="L18" s="6" t="s">
        <v>7</v>
      </c>
      <c r="N18" s="6" t="s">
        <v>28</v>
      </c>
      <c r="O18" s="6">
        <f xml:space="preserve"> ACOS(O15)/PI()*180</f>
        <v>3.3378614824246751</v>
      </c>
      <c r="P18" s="6" t="s">
        <v>43</v>
      </c>
      <c r="U18" s="2">
        <v>14</v>
      </c>
      <c r="V18" s="2">
        <f t="shared" si="7"/>
        <v>2.093505859375E-2</v>
      </c>
      <c r="W18" s="2">
        <f t="shared" si="0"/>
        <v>2.6526141908081446E-6</v>
      </c>
      <c r="X18" s="2">
        <f t="shared" si="8"/>
        <v>2.099609375E-2</v>
      </c>
      <c r="Y18" s="2">
        <f t="shared" si="1"/>
        <v>-5.8482162029707685E-5</v>
      </c>
      <c r="Z18" s="2">
        <f t="shared" si="3"/>
        <v>2.0965576171875E-2</v>
      </c>
      <c r="AA18" s="2">
        <f t="shared" si="2"/>
        <v>-2.7914738345107687E-5</v>
      </c>
      <c r="AB18" s="2">
        <f t="shared" si="4"/>
        <v>-7.4047031066928919E-11</v>
      </c>
      <c r="AC18" s="2">
        <f t="shared" si="5"/>
        <v>1.6325142509154818E-9</v>
      </c>
      <c r="AD18" s="2">
        <f t="shared" si="6"/>
        <v>6.103515625E-5</v>
      </c>
      <c r="AF18" s="2">
        <v>14</v>
      </c>
      <c r="AG18" s="2">
        <f t="shared" si="13"/>
        <v>2141.357421875</v>
      </c>
      <c r="AH18" s="2">
        <v>-0.28899001408694858</v>
      </c>
      <c r="AI18" s="2">
        <f t="shared" si="14"/>
        <v>2141.90673828125</v>
      </c>
      <c r="AJ18" s="2">
        <v>1.8309492692424101E-2</v>
      </c>
      <c r="AK18" s="2">
        <f t="shared" si="9"/>
        <v>2141.632080078125</v>
      </c>
      <c r="AL18" s="2">
        <v>-0.13534125960245547</v>
      </c>
      <c r="AM18" s="2">
        <f t="shared" si="10"/>
        <v>3.9112272519058973E-2</v>
      </c>
      <c r="AN18" s="2">
        <f t="shared" si="11"/>
        <v>-2.4780298036746317E-3</v>
      </c>
      <c r="AO18" s="2">
        <f t="shared" si="12"/>
        <v>0.54931640625</v>
      </c>
    </row>
    <row r="19" spans="2:41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52.318532942393126</v>
      </c>
      <c r="H19" s="6" t="s">
        <v>104</v>
      </c>
      <c r="J19" s="14" t="s">
        <v>64</v>
      </c>
      <c r="K19" s="6">
        <f xml:space="preserve"> $C$54 * C30 * $C$5</f>
        <v>23.9889887532896</v>
      </c>
      <c r="L19" s="6" t="s">
        <v>7</v>
      </c>
      <c r="N19" s="6" t="s">
        <v>21</v>
      </c>
      <c r="O19" s="6">
        <f xml:space="preserve"> O14 / $C$18</f>
        <v>5256.8056156376424</v>
      </c>
      <c r="P19" s="6" t="s">
        <v>22</v>
      </c>
      <c r="U19" s="2">
        <v>15</v>
      </c>
      <c r="V19" s="2">
        <f t="shared" si="7"/>
        <v>2.093505859375E-2</v>
      </c>
      <c r="W19" s="2">
        <f t="shared" si="0"/>
        <v>2.6526141908081446E-6</v>
      </c>
      <c r="X19" s="2">
        <f t="shared" si="8"/>
        <v>2.0965576171875E-2</v>
      </c>
      <c r="Y19" s="2">
        <f t="shared" si="1"/>
        <v>-2.7914738345107687E-5</v>
      </c>
      <c r="Z19" s="2">
        <f t="shared" si="3"/>
        <v>2.09503173828125E-2</v>
      </c>
      <c r="AA19" s="2">
        <f t="shared" si="2"/>
        <v>-1.2631053183199958E-5</v>
      </c>
      <c r="AB19" s="2">
        <f t="shared" si="4"/>
        <v>-3.3505310918608598E-11</v>
      </c>
      <c r="AC19" s="2">
        <f t="shared" si="5"/>
        <v>3.5259254463216641E-10</v>
      </c>
      <c r="AD19" s="2">
        <f t="shared" si="6"/>
        <v>3.0517578125E-5</v>
      </c>
      <c r="AF19" s="2">
        <v>15</v>
      </c>
      <c r="AG19" s="2">
        <f t="shared" si="13"/>
        <v>2141.632080078125</v>
      </c>
      <c r="AH19" s="2">
        <v>-0.13534125960245547</v>
      </c>
      <c r="AI19" s="2">
        <f t="shared" si="14"/>
        <v>2141.90673828125</v>
      </c>
      <c r="AJ19" s="2">
        <v>1.8309492692424101E-2</v>
      </c>
      <c r="AK19" s="2">
        <f t="shared" si="9"/>
        <v>2141.7694091796875</v>
      </c>
      <c r="AL19" s="2">
        <v>-5.8516133172815898E-2</v>
      </c>
      <c r="AM19" s="2">
        <f t="shared" si="10"/>
        <v>7.9196471706739317E-3</v>
      </c>
      <c r="AN19" s="2">
        <f t="shared" si="11"/>
        <v>-1.0714007127165881E-3</v>
      </c>
      <c r="AO19" s="2">
        <f t="shared" si="12"/>
        <v>0.274658203125</v>
      </c>
    </row>
    <row r="20" spans="2:41" x14ac:dyDescent="0.2">
      <c r="B20" s="6" t="s">
        <v>128</v>
      </c>
      <c r="C20" s="6">
        <f>$C$19*$C$10/PI()</f>
        <v>6.1401977044853208E-2</v>
      </c>
      <c r="F20" t="s">
        <v>274</v>
      </c>
      <c r="G20" s="6">
        <f xml:space="preserve"> (G18/$C$49*1000) / ($G$19*1000)</f>
        <v>10.252168833336414</v>
      </c>
      <c r="H20" s="6" t="s">
        <v>275</v>
      </c>
      <c r="J20" s="14" t="s">
        <v>65</v>
      </c>
      <c r="K20" s="6">
        <f xml:space="preserve"> $C$54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7"/>
        <v>2.093505859375E-2</v>
      </c>
      <c r="W20" s="2">
        <f t="shared" si="0"/>
        <v>2.6526141908081446E-6</v>
      </c>
      <c r="X20" s="2">
        <f t="shared" si="8"/>
        <v>2.09503173828125E-2</v>
      </c>
      <c r="Y20" s="2">
        <f t="shared" si="1"/>
        <v>-1.2631053183199958E-5</v>
      </c>
      <c r="Z20" s="2">
        <f t="shared" si="3"/>
        <v>2.094268798828125E-2</v>
      </c>
      <c r="AA20" s="2">
        <f t="shared" si="2"/>
        <v>-4.9892172726620498E-6</v>
      </c>
      <c r="AB20" s="2">
        <f t="shared" si="4"/>
        <v>-1.3234468538488462E-11</v>
      </c>
      <c r="AC20" s="2">
        <f t="shared" si="5"/>
        <v>6.3019068713534201E-11</v>
      </c>
      <c r="AD20" s="2">
        <f t="shared" si="6"/>
        <v>1.52587890625E-5</v>
      </c>
      <c r="AF20" s="2">
        <v>16</v>
      </c>
      <c r="AG20" s="2">
        <f t="shared" si="13"/>
        <v>2141.7694091796875</v>
      </c>
      <c r="AH20" s="2">
        <v>-5.8516133172815898E-2</v>
      </c>
      <c r="AI20" s="2">
        <f t="shared" si="14"/>
        <v>2141.90673828125</v>
      </c>
      <c r="AJ20" s="2">
        <v>1.8309492692424101E-2</v>
      </c>
      <c r="AK20" s="2">
        <f t="shared" si="9"/>
        <v>2141.8380737304688</v>
      </c>
      <c r="AL20" s="2">
        <v>-2.0103382669049097E-2</v>
      </c>
      <c r="AM20" s="2">
        <f t="shared" si="10"/>
        <v>1.176372217486156E-3</v>
      </c>
      <c r="AN20" s="2">
        <f t="shared" si="11"/>
        <v>-3.6808273807195977E-4</v>
      </c>
      <c r="AO20" s="2">
        <f t="shared" si="12"/>
        <v>0.1373291015625</v>
      </c>
    </row>
    <row r="21" spans="2:41" x14ac:dyDescent="0.2">
      <c r="B21" s="6" t="s">
        <v>129</v>
      </c>
      <c r="C21" s="17">
        <v>0.75</v>
      </c>
      <c r="F21" s="9" t="s">
        <v>276</v>
      </c>
      <c r="G21" s="6">
        <f>O22/ ($C$19*$C$10/PI())</f>
        <v>4.7530501154417627E-2</v>
      </c>
      <c r="J21" s="14" t="s">
        <v>66</v>
      </c>
      <c r="K21" s="6">
        <f xml:space="preserve"> $C$54 * 0</f>
        <v>0</v>
      </c>
      <c r="L21" s="6" t="s">
        <v>7</v>
      </c>
      <c r="N21" s="6" t="s">
        <v>31</v>
      </c>
      <c r="O21" s="6">
        <f xml:space="preserve"> $C$8 * COS(O18/180*PI()) / (O20 * $C$9)</f>
        <v>0.26480824377471462</v>
      </c>
      <c r="U21" s="2">
        <v>17</v>
      </c>
      <c r="V21" s="2">
        <f t="shared" si="7"/>
        <v>2.093505859375E-2</v>
      </c>
      <c r="W21" s="2">
        <f t="shared" si="0"/>
        <v>2.6526141908081446E-6</v>
      </c>
      <c r="X21" s="2">
        <f t="shared" si="8"/>
        <v>2.094268798828125E-2</v>
      </c>
      <c r="Y21" s="2">
        <f t="shared" si="1"/>
        <v>-4.9892172726620498E-6</v>
      </c>
      <c r="Z21" s="2">
        <f t="shared" si="3"/>
        <v>2.0938873291015625E-2</v>
      </c>
      <c r="AA21" s="2">
        <f t="shared" si="2"/>
        <v>-1.1683009850382842E-6</v>
      </c>
      <c r="AB21" s="2">
        <f t="shared" si="4"/>
        <v>-3.0990517720476866E-12</v>
      </c>
      <c r="AC21" s="2">
        <f t="shared" si="5"/>
        <v>5.8289074542210948E-12</v>
      </c>
      <c r="AD21" s="2">
        <f t="shared" si="6"/>
        <v>7.62939453125E-6</v>
      </c>
      <c r="AF21" s="2">
        <v>17</v>
      </c>
      <c r="AG21" s="2">
        <f t="shared" si="13"/>
        <v>2141.8380737304688</v>
      </c>
      <c r="AH21" s="2">
        <v>-2.0103382669049097E-2</v>
      </c>
      <c r="AI21" s="2">
        <f t="shared" si="14"/>
        <v>2141.90673828125</v>
      </c>
      <c r="AJ21" s="2">
        <v>1.8309492692424101E-2</v>
      </c>
      <c r="AK21" s="2">
        <f t="shared" si="9"/>
        <v>2141.8724060058594</v>
      </c>
      <c r="AL21" s="2">
        <v>-8.9030172580351064E-4</v>
      </c>
      <c r="AM21" s="2">
        <f t="shared" si="10"/>
        <v>1.7898076284742798E-5</v>
      </c>
      <c r="AN21" s="2">
        <f t="shared" si="11"/>
        <v>-1.6300972942651944E-5</v>
      </c>
      <c r="AO21" s="2">
        <f t="shared" si="12"/>
        <v>6.866455078125E-2</v>
      </c>
    </row>
    <row r="22" spans="2:41" x14ac:dyDescent="0.2">
      <c r="F22" s="44" t="s">
        <v>225</v>
      </c>
      <c r="G22" s="43">
        <f>$C$18 * G19</f>
        <v>209.27413176957251</v>
      </c>
      <c r="H22" s="43" t="s">
        <v>104</v>
      </c>
      <c r="J22" s="14" t="s">
        <v>117</v>
      </c>
      <c r="K22" s="6">
        <f>$C$54*(0.14*$G$12*1000/745.7)*0.453592</f>
        <v>16.149847689060437</v>
      </c>
      <c r="L22" s="6" t="s">
        <v>7</v>
      </c>
      <c r="N22" s="6" t="s">
        <v>32</v>
      </c>
      <c r="O22" s="6">
        <f xml:space="preserve"> O19 / ($C$46 * PI() * $C$9^2 * O20^2 * $C$9^2)</f>
        <v>2.91846674081392E-3</v>
      </c>
      <c r="U22" s="2">
        <v>18</v>
      </c>
      <c r="V22" s="2">
        <f t="shared" si="7"/>
        <v>2.093505859375E-2</v>
      </c>
      <c r="W22" s="2">
        <f t="shared" si="0"/>
        <v>2.6526141908081446E-6</v>
      </c>
      <c r="X22" s="2">
        <f t="shared" si="8"/>
        <v>2.0938873291015625E-2</v>
      </c>
      <c r="Y22" s="2">
        <f t="shared" si="1"/>
        <v>-1.1683009850382842E-6</v>
      </c>
      <c r="Z22" s="2">
        <f t="shared" si="3"/>
        <v>2.0936965942382812E-2</v>
      </c>
      <c r="AA22" s="2">
        <f t="shared" si="2"/>
        <v>7.4215674185709735E-7</v>
      </c>
      <c r="AB22" s="2">
        <f t="shared" si="4"/>
        <v>1.9686555052540732E-12</v>
      </c>
      <c r="AC22" s="2">
        <f t="shared" si="5"/>
        <v>-8.6706245256445038E-13</v>
      </c>
      <c r="AD22" s="2">
        <f t="shared" si="6"/>
        <v>3.814697265625E-6</v>
      </c>
      <c r="AF22" s="2">
        <v>18</v>
      </c>
      <c r="AG22" s="2">
        <f t="shared" si="13"/>
        <v>2141.8724060058594</v>
      </c>
      <c r="AH22" s="2">
        <v>-8.9030172580351064E-4</v>
      </c>
      <c r="AI22" s="2">
        <f t="shared" si="14"/>
        <v>2141.90673828125</v>
      </c>
      <c r="AJ22" s="2">
        <v>1.8309492692424101E-2</v>
      </c>
      <c r="AK22" s="2">
        <f t="shared" si="9"/>
        <v>2141.8895721435547</v>
      </c>
      <c r="AL22" s="2">
        <v>8.7095916076123103E-3</v>
      </c>
      <c r="AM22" s="2">
        <f t="shared" si="10"/>
        <v>-7.7541644393010132E-6</v>
      </c>
      <c r="AN22" s="2">
        <f t="shared" si="11"/>
        <v>1.5946820389357586E-4</v>
      </c>
      <c r="AO22" s="2">
        <f t="shared" si="12"/>
        <v>3.4332275390625E-2</v>
      </c>
    </row>
    <row r="23" spans="2:41" x14ac:dyDescent="0.2">
      <c r="B23" s="56" t="s">
        <v>107</v>
      </c>
      <c r="C23" s="56"/>
      <c r="D23" s="56"/>
      <c r="J23" s="15" t="s">
        <v>67</v>
      </c>
      <c r="K23" s="6">
        <f xml:space="preserve"> $C$55 * (0.0268 * $C$5)</f>
        <v>45.921778470582943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7"/>
        <v>2.0936965942382812E-2</v>
      </c>
      <c r="W23" s="2">
        <f t="shared" si="0"/>
        <v>7.4215674185709735E-7</v>
      </c>
      <c r="X23" s="2">
        <f t="shared" si="8"/>
        <v>2.0938873291015625E-2</v>
      </c>
      <c r="Y23" s="2">
        <f t="shared" si="1"/>
        <v>-1.1683009850382842E-6</v>
      </c>
      <c r="Z23" s="2">
        <f t="shared" si="3"/>
        <v>2.0937919616699219E-2</v>
      </c>
      <c r="AA23" s="2">
        <f t="shared" si="2"/>
        <v>-2.1307208684581691E-7</v>
      </c>
      <c r="AB23" s="2">
        <f t="shared" si="4"/>
        <v>-1.5813288575418398E-13</v>
      </c>
      <c r="AC23" s="2">
        <f t="shared" si="5"/>
        <v>2.489323289461307E-13</v>
      </c>
      <c r="AD23" s="2">
        <f t="shared" si="6"/>
        <v>1.9073486328125E-6</v>
      </c>
      <c r="AF23" s="2">
        <v>19</v>
      </c>
      <c r="AG23" s="2">
        <f t="shared" si="13"/>
        <v>2141.8724060058594</v>
      </c>
      <c r="AH23" s="2">
        <v>-8.9030172580351064E-4</v>
      </c>
      <c r="AI23" s="2">
        <f t="shared" si="14"/>
        <v>2141.8895721435547</v>
      </c>
      <c r="AJ23" s="2">
        <v>8.7095916076123103E-3</v>
      </c>
      <c r="AK23" s="2">
        <f t="shared" si="9"/>
        <v>2141.880989074707</v>
      </c>
      <c r="AL23" s="2">
        <v>3.9163028684470191E-3</v>
      </c>
      <c r="AM23" s="2">
        <f t="shared" si="10"/>
        <v>-3.4866912025476204E-6</v>
      </c>
      <c r="AN23" s="2">
        <f t="shared" si="11"/>
        <v>3.4109398595894174E-5</v>
      </c>
      <c r="AO23" s="2">
        <f t="shared" si="12"/>
        <v>1.71661376953125E-2</v>
      </c>
    </row>
    <row r="24" spans="2:41" x14ac:dyDescent="0.2">
      <c r="B24" t="s">
        <v>108</v>
      </c>
      <c r="C24" s="1">
        <v>6</v>
      </c>
      <c r="D24"/>
      <c r="F24" s="57" t="s">
        <v>84</v>
      </c>
      <c r="G24" s="58"/>
      <c r="H24" s="58"/>
      <c r="J24" s="15" t="s">
        <v>68</v>
      </c>
      <c r="K24" s="6">
        <f xml:space="preserve"> $C$55 * (11.5 * ($C$5*2.20462/1000)^0.4 * 0.453592)</f>
        <v>7.7643352307157576</v>
      </c>
      <c r="L24" s="6" t="s">
        <v>7</v>
      </c>
      <c r="N24" s="6" t="s">
        <v>33</v>
      </c>
      <c r="O24" s="6">
        <f xml:space="preserve"> ($C$20 * O23 / 8) * (1 + 4.65 *O21^ 2) * ( PI() * $C$46 * O20^3 *$C$9^ 5)</f>
        <v>30755.187163329709</v>
      </c>
      <c r="P24" s="6" t="s">
        <v>20</v>
      </c>
      <c r="U24" s="2">
        <v>20</v>
      </c>
      <c r="V24" s="2">
        <f t="shared" si="7"/>
        <v>2.0936965942382812E-2</v>
      </c>
      <c r="W24" s="2">
        <f t="shared" si="0"/>
        <v>7.4215674185709735E-7</v>
      </c>
      <c r="X24" s="2">
        <f t="shared" si="8"/>
        <v>2.0937919616699219E-2</v>
      </c>
      <c r="Y24" s="2">
        <f t="shared" si="1"/>
        <v>-2.1307208684581691E-7</v>
      </c>
      <c r="Z24" s="2">
        <f t="shared" si="3"/>
        <v>2.0937442779541016E-2</v>
      </c>
      <c r="AA24" s="2">
        <f t="shared" si="2"/>
        <v>2.6454233619313539E-7</v>
      </c>
      <c r="AB24" s="2">
        <f t="shared" si="4"/>
        <v>1.9633187831236225E-13</v>
      </c>
      <c r="AC24" s="2">
        <f t="shared" si="5"/>
        <v>-5.6366587631739036E-14</v>
      </c>
      <c r="AD24" s="2">
        <f t="shared" si="6"/>
        <v>9.5367431640625E-7</v>
      </c>
      <c r="AF24" s="2">
        <v>20</v>
      </c>
      <c r="AG24" s="2">
        <f t="shared" si="13"/>
        <v>2141.8724060058594</v>
      </c>
      <c r="AH24" s="2">
        <v>-8.9030172580351064E-4</v>
      </c>
      <c r="AI24" s="2">
        <f t="shared" si="14"/>
        <v>2141.880989074707</v>
      </c>
      <c r="AJ24" s="2">
        <v>3.9163028684470191E-3</v>
      </c>
      <c r="AK24" s="2">
        <f t="shared" si="9"/>
        <v>2141.8766975402832</v>
      </c>
      <c r="AL24" s="2">
        <v>1.5063414396081498E-3</v>
      </c>
      <c r="AM24" s="2">
        <f t="shared" si="10"/>
        <v>-1.3410983833324805E-6</v>
      </c>
      <c r="AN24" s="2">
        <f t="shared" si="11"/>
        <v>5.8992893007980094E-6</v>
      </c>
      <c r="AO24" s="2">
        <f t="shared" si="12"/>
        <v>8.58306884765625E-3</v>
      </c>
    </row>
    <row r="25" spans="2:41" x14ac:dyDescent="0.2">
      <c r="B25" t="s">
        <v>109</v>
      </c>
      <c r="C25" s="1">
        <v>6.4008000000000003</v>
      </c>
      <c r="D25" t="s">
        <v>8</v>
      </c>
      <c r="F25" t="s">
        <v>88</v>
      </c>
      <c r="G25" s="1">
        <f>300*0.3048/60</f>
        <v>1.524</v>
      </c>
      <c r="H25" t="s">
        <v>10</v>
      </c>
      <c r="J25" s="15" t="s">
        <v>69</v>
      </c>
      <c r="K25" s="6">
        <f xml:space="preserve"> $C$55 * (8 * ($C$5/1000))</f>
        <v>13.707993573308341</v>
      </c>
      <c r="L25" s="6" t="s">
        <v>7</v>
      </c>
      <c r="N25" s="6" t="s">
        <v>34</v>
      </c>
      <c r="O25" s="18">
        <f>Z34</f>
        <v>2.0937706809490919E-2</v>
      </c>
      <c r="U25" s="2">
        <v>21</v>
      </c>
      <c r="V25" s="2">
        <f t="shared" si="7"/>
        <v>2.0937442779541016E-2</v>
      </c>
      <c r="W25" s="2">
        <f t="shared" si="0"/>
        <v>2.6454233619313539E-7</v>
      </c>
      <c r="X25" s="2">
        <f t="shared" si="8"/>
        <v>2.0937919616699219E-2</v>
      </c>
      <c r="Y25" s="2">
        <f t="shared" si="1"/>
        <v>-2.1307208684581691E-7</v>
      </c>
      <c r="Z25" s="2">
        <f t="shared" si="3"/>
        <v>2.0937681198120117E-2</v>
      </c>
      <c r="AA25" s="2">
        <f t="shared" si="2"/>
        <v>2.5735126842063583E-8</v>
      </c>
      <c r="AB25" s="2">
        <f t="shared" si="4"/>
        <v>6.8080305770261666E-15</v>
      </c>
      <c r="AC25" s="2">
        <f t="shared" si="5"/>
        <v>-5.4834371814802852E-15</v>
      </c>
      <c r="AD25" s="2">
        <f t="shared" si="6"/>
        <v>4.76837158203125E-7</v>
      </c>
      <c r="AF25" s="2">
        <v>21</v>
      </c>
      <c r="AG25" s="2">
        <f t="shared" si="13"/>
        <v>2141.8724060058594</v>
      </c>
      <c r="AH25" s="2">
        <v>-8.9030172580351064E-4</v>
      </c>
      <c r="AI25" s="2">
        <f t="shared" si="14"/>
        <v>2141.8766975402832</v>
      </c>
      <c r="AJ25" s="2">
        <v>1.5063414396081498E-3</v>
      </c>
      <c r="AK25" s="2">
        <f t="shared" si="9"/>
        <v>2141.8745517730713</v>
      </c>
      <c r="AL25" s="2">
        <v>3.1467867438550456E-4</v>
      </c>
      <c r="AM25" s="2">
        <f t="shared" si="10"/>
        <v>-2.8015896687897567E-7</v>
      </c>
      <c r="AN25" s="2">
        <f t="shared" si="11"/>
        <v>4.7401352738784514E-7</v>
      </c>
      <c r="AO25" s="2">
        <f t="shared" si="12"/>
        <v>4.291534423828125E-3</v>
      </c>
    </row>
    <row r="26" spans="2:41" x14ac:dyDescent="0.2">
      <c r="B26" t="s">
        <v>110</v>
      </c>
      <c r="C26" s="1">
        <v>2.0560284000000002</v>
      </c>
      <c r="D26" t="s">
        <v>8</v>
      </c>
      <c r="F26" t="s">
        <v>94</v>
      </c>
      <c r="G26" s="1">
        <f>1000*0.3048</f>
        <v>304.8</v>
      </c>
      <c r="H26" t="s">
        <v>8</v>
      </c>
      <c r="J26" s="15" t="s">
        <v>70</v>
      </c>
      <c r="K26" s="6">
        <f xml:space="preserve"> $C$55 * (13 * ($C$5*2.20462/1000)^1.3 * 0.453592)</f>
        <v>35.486624008425729</v>
      </c>
      <c r="L26" s="6" t="s">
        <v>7</v>
      </c>
      <c r="N26" s="6" t="s">
        <v>35</v>
      </c>
      <c r="O26" s="6">
        <f xml:space="preserve"> O20 * $C$9 * O25 - $C$8 * SIN(O18/180*PI())</f>
        <v>1.0354784471756173</v>
      </c>
      <c r="P26" s="6" t="s">
        <v>10</v>
      </c>
      <c r="U26" s="2">
        <v>22</v>
      </c>
      <c r="V26" s="2">
        <f t="shared" si="7"/>
        <v>2.0937681198120117E-2</v>
      </c>
      <c r="W26" s="2">
        <f t="shared" si="0"/>
        <v>2.5735126842063583E-8</v>
      </c>
      <c r="X26" s="2">
        <f t="shared" si="8"/>
        <v>2.0937919616699219E-2</v>
      </c>
      <c r="Y26" s="2">
        <f t="shared" si="1"/>
        <v>-2.1307208684581691E-7</v>
      </c>
      <c r="Z26" s="2">
        <f t="shared" si="3"/>
        <v>2.0937800407409668E-2</v>
      </c>
      <c r="AA26" s="2">
        <f t="shared" si="2"/>
        <v>-9.3668479458908216E-8</v>
      </c>
      <c r="AB26" s="2">
        <f t="shared" si="4"/>
        <v>-2.4105701999782302E-15</v>
      </c>
      <c r="AC26" s="2">
        <f t="shared" si="5"/>
        <v>1.9958138389984109E-14</v>
      </c>
      <c r="AD26" s="2">
        <f t="shared" si="6"/>
        <v>2.384185791015625E-7</v>
      </c>
      <c r="AF26" s="2">
        <v>22</v>
      </c>
      <c r="AG26" s="2">
        <f t="shared" si="13"/>
        <v>2141.8724060058594</v>
      </c>
      <c r="AH26" s="2">
        <v>-8.9030172580351064E-4</v>
      </c>
      <c r="AI26" s="2">
        <f t="shared" si="14"/>
        <v>2141.8745517730713</v>
      </c>
      <c r="AJ26" s="2">
        <v>3.1467867438550456E-4</v>
      </c>
      <c r="AK26" s="2">
        <f t="shared" si="9"/>
        <v>2141.8734788894653</v>
      </c>
      <c r="AL26" s="2">
        <v>-2.9447041561070364E-4</v>
      </c>
      <c r="AM26" s="2">
        <f t="shared" si="10"/>
        <v>2.621675192162865E-7</v>
      </c>
      <c r="AN26" s="2">
        <f t="shared" si="11"/>
        <v>-9.2663560030124813E-8</v>
      </c>
      <c r="AO26" s="2">
        <f t="shared" si="12"/>
        <v>2.1457672119140625E-3</v>
      </c>
    </row>
    <row r="27" spans="2:41" x14ac:dyDescent="0.2">
      <c r="F27" t="s">
        <v>93</v>
      </c>
      <c r="G27" s="8">
        <f>$G$26/$G$25</f>
        <v>200</v>
      </c>
      <c r="H27" t="s">
        <v>14</v>
      </c>
      <c r="J27" s="10" t="s">
        <v>57</v>
      </c>
      <c r="K27" s="10">
        <f>$C$5 - $C$13 - SUM(K13:K26)</f>
        <v>-8.9812601800076663E-11</v>
      </c>
      <c r="L27" s="10" t="s">
        <v>7</v>
      </c>
      <c r="N27" s="6" t="s">
        <v>36</v>
      </c>
      <c r="O27" s="6">
        <f xml:space="preserve"> 1/$C$21 - O24 * SQRT( (2*$C$46*PI()*$C$9^2) / O19^3 )</f>
        <v>0.52081539713722835</v>
      </c>
      <c r="U27" s="2">
        <v>23</v>
      </c>
      <c r="V27" s="2">
        <f t="shared" si="7"/>
        <v>2.0937681198120117E-2</v>
      </c>
      <c r="W27" s="2">
        <f t="shared" si="0"/>
        <v>2.5735126842063583E-8</v>
      </c>
      <c r="X27" s="2">
        <f t="shared" si="8"/>
        <v>2.0937800407409668E-2</v>
      </c>
      <c r="Y27" s="2">
        <f t="shared" si="1"/>
        <v>-9.3668479458908216E-8</v>
      </c>
      <c r="Z27" s="2">
        <f t="shared" si="3"/>
        <v>2.0937740802764893E-2</v>
      </c>
      <c r="AA27" s="2">
        <f t="shared" si="2"/>
        <v>-3.3966676173113886E-8</v>
      </c>
      <c r="AB27" s="2">
        <f t="shared" si="4"/>
        <v>-8.7413671971838468E-16</v>
      </c>
      <c r="AC27" s="2">
        <f t="shared" si="5"/>
        <v>3.1816069094087052E-15</v>
      </c>
      <c r="AD27" s="2">
        <f t="shared" si="6"/>
        <v>1.1920928955078125E-7</v>
      </c>
      <c r="AF27" s="2">
        <v>23</v>
      </c>
      <c r="AG27" s="2">
        <f t="shared" si="13"/>
        <v>2141.8734788894653</v>
      </c>
      <c r="AH27" s="2">
        <v>-2.9447041561070364E-4</v>
      </c>
      <c r="AI27" s="2">
        <f t="shared" si="14"/>
        <v>2141.8745517730713</v>
      </c>
      <c r="AJ27" s="2">
        <v>3.1467867438550456E-4</v>
      </c>
      <c r="AK27" s="2">
        <f t="shared" si="9"/>
        <v>2141.8740153312683</v>
      </c>
      <c r="AL27" s="2">
        <v>1.0104124157805927E-5</v>
      </c>
      <c r="AM27" s="2">
        <f t="shared" si="10"/>
        <v>-2.9753656401312622E-9</v>
      </c>
      <c r="AN27" s="2">
        <f t="shared" si="11"/>
        <v>3.1795523958049219E-9</v>
      </c>
      <c r="AO27" s="2">
        <f t="shared" si="12"/>
        <v>1.0728836059570312E-3</v>
      </c>
    </row>
    <row r="28" spans="2:41" x14ac:dyDescent="0.2">
      <c r="B28" s="56" t="s">
        <v>111</v>
      </c>
      <c r="C28" s="56"/>
      <c r="D28" s="56"/>
      <c r="F28" t="s">
        <v>21</v>
      </c>
      <c r="G28" s="6">
        <f xml:space="preserve"> $C$5 * $C$43 / $C$18</f>
        <v>5248.3897763386867</v>
      </c>
      <c r="H28" t="s">
        <v>22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7"/>
        <v>2.0937681198120117E-2</v>
      </c>
      <c r="W28" s="2">
        <f t="shared" si="0"/>
        <v>2.5735126842063583E-8</v>
      </c>
      <c r="X28" s="2">
        <f t="shared" si="8"/>
        <v>2.0937740802764893E-2</v>
      </c>
      <c r="Y28" s="2">
        <f t="shared" si="1"/>
        <v>-3.3966676173113886E-8</v>
      </c>
      <c r="Z28" s="2">
        <f t="shared" si="3"/>
        <v>2.0937711000442505E-2</v>
      </c>
      <c r="AA28" s="2">
        <f t="shared" si="2"/>
        <v>-4.115774630830682E-9</v>
      </c>
      <c r="AB28" s="2">
        <f t="shared" si="4"/>
        <v>-1.0591998217777502E-16</v>
      </c>
      <c r="AC28" s="2">
        <f t="shared" si="5"/>
        <v>1.3979918408694312E-16</v>
      </c>
      <c r="AD28" s="2">
        <f t="shared" si="6"/>
        <v>5.9604644775390625E-8</v>
      </c>
      <c r="AF28" s="2">
        <v>24</v>
      </c>
      <c r="AG28" s="2">
        <f t="shared" si="13"/>
        <v>2141.8734788894653</v>
      </c>
      <c r="AH28" s="2">
        <v>-2.9447041561070364E-4</v>
      </c>
      <c r="AI28" s="2">
        <f t="shared" si="14"/>
        <v>2141.8740153312683</v>
      </c>
      <c r="AJ28" s="2">
        <v>1.0104124157805927E-5</v>
      </c>
      <c r="AK28" s="2">
        <f t="shared" si="9"/>
        <v>2141.8737471103668</v>
      </c>
      <c r="AL28" s="2">
        <v>-1.4218314777281194E-4</v>
      </c>
      <c r="AM28" s="2">
        <f t="shared" si="10"/>
        <v>4.1868730617498019E-8</v>
      </c>
      <c r="AN28" s="2">
        <f t="shared" si="11"/>
        <v>-1.4366361782441591E-9</v>
      </c>
      <c r="AO28" s="2">
        <f t="shared" si="12"/>
        <v>5.3644180297851562E-4</v>
      </c>
    </row>
    <row r="29" spans="2:41" x14ac:dyDescent="0.2">
      <c r="B29" s="6" t="s">
        <v>124</v>
      </c>
      <c r="C29" s="21" t="s">
        <v>260</v>
      </c>
      <c r="F29" t="s">
        <v>100</v>
      </c>
      <c r="G29" s="6">
        <f>G31/$C$18</f>
        <v>49.586352858473987</v>
      </c>
      <c r="H29" t="s">
        <v>20</v>
      </c>
      <c r="N29" s="6" t="s">
        <v>38</v>
      </c>
      <c r="O29" s="6">
        <f xml:space="preserve"> 1/$C$52 * LN( EXP($C$52 * O27) + EXP($C$52 * O28) )</f>
        <v>1.1500000002115129</v>
      </c>
      <c r="U29" s="2">
        <v>25</v>
      </c>
      <c r="V29" s="2">
        <f t="shared" si="7"/>
        <v>2.0937681198120117E-2</v>
      </c>
      <c r="W29" s="2">
        <f t="shared" si="0"/>
        <v>2.5735126842063583E-8</v>
      </c>
      <c r="X29" s="2">
        <f t="shared" si="8"/>
        <v>2.0937711000442505E-2</v>
      </c>
      <c r="Y29" s="2">
        <f t="shared" si="1"/>
        <v>-4.115774630830682E-9</v>
      </c>
      <c r="Z29" s="2">
        <f t="shared" si="3"/>
        <v>2.0937696099281311E-2</v>
      </c>
      <c r="AA29" s="2">
        <f t="shared" si="2"/>
        <v>1.0809676116024791E-8</v>
      </c>
      <c r="AB29" s="2">
        <f t="shared" si="4"/>
        <v>2.7818838596752319E-16</v>
      </c>
      <c r="AC29" s="2">
        <f t="shared" si="5"/>
        <v>-4.4490190725831177E-17</v>
      </c>
      <c r="AD29" s="2">
        <f t="shared" si="6"/>
        <v>2.9802322387695312E-8</v>
      </c>
      <c r="AF29" s="2">
        <v>25</v>
      </c>
      <c r="AG29" s="2">
        <f t="shared" si="13"/>
        <v>2141.8737471103668</v>
      </c>
      <c r="AH29" s="2">
        <v>-1.4218314777281194E-4</v>
      </c>
      <c r="AI29" s="2">
        <f t="shared" si="14"/>
        <v>2141.8740153312683</v>
      </c>
      <c r="AJ29" s="2">
        <v>1.0104124157805927E-5</v>
      </c>
      <c r="AK29" s="2">
        <f t="shared" si="9"/>
        <v>2141.8738812208176</v>
      </c>
      <c r="AL29" s="2">
        <v>-5.9380636912464979E-5</v>
      </c>
      <c r="AM29" s="2">
        <f t="shared" si="10"/>
        <v>8.4429258729686999E-9</v>
      </c>
      <c r="AN29" s="2">
        <f t="shared" si="11"/>
        <v>-5.9998932793313975E-10</v>
      </c>
      <c r="AO29" s="2">
        <f t="shared" si="12"/>
        <v>2.6822090148925781E-4</v>
      </c>
    </row>
    <row r="30" spans="2:41" x14ac:dyDescent="0.2">
      <c r="B30" s="6" t="s">
        <v>126</v>
      </c>
      <c r="C30" s="6">
        <f>IF(C29="wheeled",0.0325,0.014)</f>
        <v>1.4E-2</v>
      </c>
      <c r="F30" t="s">
        <v>274</v>
      </c>
      <c r="G30" s="6">
        <f xml:space="preserve"> (G28/$C$43*1000) / (G29*1000)</f>
        <v>10.798707065342253</v>
      </c>
      <c r="H30" s="6" t="s">
        <v>275</v>
      </c>
      <c r="J30" s="54" t="s">
        <v>116</v>
      </c>
      <c r="K30" s="54"/>
      <c r="L30" s="54"/>
      <c r="U30" s="2">
        <v>26</v>
      </c>
      <c r="V30" s="2">
        <f t="shared" si="7"/>
        <v>2.0937696099281311E-2</v>
      </c>
      <c r="W30" s="2">
        <f t="shared" si="0"/>
        <v>1.0809676116024791E-8</v>
      </c>
      <c r="X30" s="2">
        <f t="shared" si="8"/>
        <v>2.0937711000442505E-2</v>
      </c>
      <c r="Y30" s="2">
        <f t="shared" si="1"/>
        <v>-4.115774630830682E-9</v>
      </c>
      <c r="Z30" s="2">
        <f t="shared" si="3"/>
        <v>2.0937703549861908E-2</v>
      </c>
      <c r="AA30" s="2">
        <f t="shared" si="2"/>
        <v>3.3469507443317781E-9</v>
      </c>
      <c r="AB30" s="2">
        <f t="shared" si="4"/>
        <v>3.6179453522514618E-17</v>
      </c>
      <c r="AC30" s="2">
        <f t="shared" si="5"/>
        <v>-1.37752949641606E-17</v>
      </c>
      <c r="AD30" s="2">
        <f t="shared" si="6"/>
        <v>1.4901161193847656E-8</v>
      </c>
      <c r="AF30" s="2">
        <v>26</v>
      </c>
      <c r="AG30" s="2">
        <f t="shared" si="13"/>
        <v>2141.8738812208176</v>
      </c>
      <c r="AH30" s="2">
        <v>-5.9380636912464979E-5</v>
      </c>
      <c r="AI30" s="2">
        <f t="shared" si="14"/>
        <v>2141.8740153312683</v>
      </c>
      <c r="AJ30" s="2">
        <v>1.0104124157805927E-5</v>
      </c>
      <c r="AK30" s="2">
        <f t="shared" si="9"/>
        <v>2141.8739482760429</v>
      </c>
      <c r="AL30" s="2">
        <v>-2.4638256491016364E-5</v>
      </c>
      <c r="AM30" s="2">
        <f t="shared" si="10"/>
        <v>1.4630353628492261E-9</v>
      </c>
      <c r="AN30" s="2">
        <f t="shared" si="11"/>
        <v>-2.4894800261709713E-10</v>
      </c>
      <c r="AO30" s="2">
        <f t="shared" si="12"/>
        <v>1.3411045074462891E-4</v>
      </c>
    </row>
    <row r="31" spans="2:41" x14ac:dyDescent="0.2">
      <c r="B31" t="s">
        <v>261</v>
      </c>
      <c r="C31" s="1">
        <v>2.8540374719999999</v>
      </c>
      <c r="D31" t="s">
        <v>8</v>
      </c>
      <c r="F31" s="42" t="s">
        <v>86</v>
      </c>
      <c r="G31" s="43">
        <f xml:space="preserve"> 1/1000 * IF($G$25&gt;= 2*SQRT(($C$5*$C$43)/(2*$C$40*$C$18*PI()*$C$9*$C$9)), ($C$5*$C$43)/$C$21 * ( ($G$25/2) - SQRT( ($G$25/2)^2 - ($C$5*$C$43)/(2*$C$40*$C$18*PI()*$C$9*$C$9 ) ) ), 1/$C$21 * SQRT(($C$5*$C$43)^3/(2*$C$40*$C$18*PI()*$C$9*$C$9)) )</f>
        <v>198.34541143389595</v>
      </c>
      <c r="H31" s="42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7"/>
        <v>2.0937703549861908E-2</v>
      </c>
      <c r="W31" s="2">
        <f t="shared" si="0"/>
        <v>3.3469507443317781E-9</v>
      </c>
      <c r="X31" s="2">
        <f t="shared" si="8"/>
        <v>2.0937711000442505E-2</v>
      </c>
      <c r="Y31" s="2">
        <f t="shared" si="1"/>
        <v>-4.115774630830682E-9</v>
      </c>
      <c r="Z31" s="2">
        <f t="shared" si="3"/>
        <v>2.0937707275152206E-2</v>
      </c>
      <c r="AA31" s="2">
        <f t="shared" si="2"/>
        <v>-3.8441194324945194E-10</v>
      </c>
      <c r="AB31" s="2">
        <f t="shared" si="4"/>
        <v>-1.2866078395887785E-18</v>
      </c>
      <c r="AC31" s="2">
        <f t="shared" si="5"/>
        <v>1.5821529238144182E-18</v>
      </c>
      <c r="AD31" s="2">
        <f t="shared" si="6"/>
        <v>7.4505805969238281E-9</v>
      </c>
      <c r="AF31" s="2">
        <v>27</v>
      </c>
      <c r="AG31" s="2">
        <f t="shared" si="13"/>
        <v>2141.8739482760429</v>
      </c>
      <c r="AH31" s="2">
        <v>-2.4638256491016364E-5</v>
      </c>
      <c r="AI31" s="2">
        <f t="shared" si="14"/>
        <v>2141.8740153312683</v>
      </c>
      <c r="AJ31" s="2">
        <v>1.0104124157805927E-5</v>
      </c>
      <c r="AK31" s="2">
        <f t="shared" si="9"/>
        <v>2141.8739818036556</v>
      </c>
      <c r="AL31" s="2">
        <v>-7.2670659392315429E-6</v>
      </c>
      <c r="AM31" s="2">
        <f t="shared" si="10"/>
        <v>1.7904783454791549E-10</v>
      </c>
      <c r="AN31" s="2">
        <f t="shared" si="11"/>
        <v>-7.3427336512958052E-11</v>
      </c>
      <c r="AO31" s="2">
        <f t="shared" si="12"/>
        <v>6.7055225372314453E-5</v>
      </c>
    </row>
    <row r="32" spans="2:41" x14ac:dyDescent="0.2">
      <c r="B32" t="s">
        <v>262</v>
      </c>
      <c r="C32" s="1">
        <f>(0.750222528+0.849998808)/2</f>
        <v>0.80011066800000008</v>
      </c>
      <c r="D32"/>
      <c r="J32" s="11" t="s">
        <v>55</v>
      </c>
      <c r="K32" s="6">
        <f>ROUND(K13,2)</f>
        <v>767.85</v>
      </c>
      <c r="L32" s="6" t="s">
        <v>7</v>
      </c>
      <c r="U32" s="2">
        <v>28</v>
      </c>
      <c r="V32" s="2">
        <f t="shared" si="7"/>
        <v>2.0937703549861908E-2</v>
      </c>
      <c r="W32" s="2">
        <f t="shared" si="0"/>
        <v>3.3469507443317781E-9</v>
      </c>
      <c r="X32" s="2">
        <f t="shared" si="8"/>
        <v>2.0937707275152206E-2</v>
      </c>
      <c r="Y32" s="2">
        <f t="shared" si="1"/>
        <v>-3.8441194324945194E-10</v>
      </c>
      <c r="Z32" s="2">
        <f t="shared" si="3"/>
        <v>2.0937705412507057E-2</v>
      </c>
      <c r="AA32" s="2">
        <f t="shared" si="2"/>
        <v>1.4812694022758865E-9</v>
      </c>
      <c r="AB32" s="2">
        <f t="shared" si="4"/>
        <v>4.9577357285031668E-18</v>
      </c>
      <c r="AC32" s="2">
        <f t="shared" si="5"/>
        <v>-5.6941764940482766E-19</v>
      </c>
      <c r="AD32" s="2">
        <f t="shared" si="6"/>
        <v>3.7252902984619141E-9</v>
      </c>
      <c r="AF32" s="2">
        <v>28</v>
      </c>
      <c r="AG32" s="2">
        <f t="shared" si="13"/>
        <v>2141.8739818036556</v>
      </c>
      <c r="AH32" s="2">
        <v>-7.2670659392315429E-6</v>
      </c>
      <c r="AI32" s="2">
        <f t="shared" si="14"/>
        <v>2141.8740153312683</v>
      </c>
      <c r="AJ32" s="2">
        <v>1.0104124157805927E-5</v>
      </c>
      <c r="AK32" s="2">
        <f t="shared" si="9"/>
        <v>2141.873998567462</v>
      </c>
      <c r="AL32" s="2">
        <v>1.4185297914082184E-6</v>
      </c>
      <c r="AM32" s="2">
        <f t="shared" si="10"/>
        <v>-1.030854953092789E-11</v>
      </c>
      <c r="AN32" s="2">
        <f t="shared" si="11"/>
        <v>1.4333001133935183E-11</v>
      </c>
      <c r="AO32" s="2">
        <f t="shared" si="12"/>
        <v>3.3527612686157227E-5</v>
      </c>
    </row>
    <row r="33" spans="2:41" x14ac:dyDescent="0.2">
      <c r="J33" s="19" t="s">
        <v>81</v>
      </c>
      <c r="K33" s="6">
        <f>ROUND(SUM(K14:K17),2)</f>
        <v>499.71</v>
      </c>
      <c r="L33" s="6" t="s">
        <v>7</v>
      </c>
      <c r="U33" s="2">
        <v>29</v>
      </c>
      <c r="V33" s="2">
        <f t="shared" si="7"/>
        <v>2.0937705412507057E-2</v>
      </c>
      <c r="W33" s="2">
        <f t="shared" si="0"/>
        <v>1.4812694022758865E-9</v>
      </c>
      <c r="X33" s="2">
        <f t="shared" si="8"/>
        <v>2.0937707275152206E-2</v>
      </c>
      <c r="Y33" s="2">
        <f t="shared" si="1"/>
        <v>-3.8441194324945194E-10</v>
      </c>
      <c r="Z33" s="2">
        <f t="shared" si="3"/>
        <v>2.0937706343829632E-2</v>
      </c>
      <c r="AA33" s="2">
        <f t="shared" si="2"/>
        <v>5.4842872951321731E-10</v>
      </c>
      <c r="AB33" s="2">
        <f t="shared" si="4"/>
        <v>8.1237069635696727E-19</v>
      </c>
      <c r="AC33" s="2">
        <f t="shared" si="5"/>
        <v>-2.1082255364600391E-19</v>
      </c>
      <c r="AD33" s="2">
        <f t="shared" si="6"/>
        <v>1.862645149230957E-9</v>
      </c>
      <c r="AF33" s="2">
        <v>29</v>
      </c>
      <c r="AG33" s="2">
        <f t="shared" si="13"/>
        <v>2141.8739818036556</v>
      </c>
      <c r="AH33" s="2">
        <v>-7.2670659392315429E-6</v>
      </c>
      <c r="AI33" s="2">
        <f t="shared" si="14"/>
        <v>2141.873998567462</v>
      </c>
      <c r="AJ33" s="2">
        <v>1.4185297914082184E-6</v>
      </c>
      <c r="AK33" s="2">
        <f t="shared" si="9"/>
        <v>2141.8739901855588</v>
      </c>
      <c r="AL33" s="2">
        <v>-2.9242680739116622E-6</v>
      </c>
      <c r="AM33" s="2">
        <f t="shared" si="10"/>
        <v>2.1250848917105668E-11</v>
      </c>
      <c r="AN33" s="2">
        <f t="shared" si="11"/>
        <v>-4.1481613809076229E-12</v>
      </c>
      <c r="AO33" s="2">
        <f t="shared" si="12"/>
        <v>1.6763806343078613E-5</v>
      </c>
    </row>
    <row r="34" spans="2:41" x14ac:dyDescent="0.2">
      <c r="B34" s="54" t="s">
        <v>2</v>
      </c>
      <c r="C34" s="54"/>
      <c r="D34" s="54"/>
      <c r="F34" s="9"/>
      <c r="J34" s="20" t="s">
        <v>72</v>
      </c>
      <c r="K34" s="6">
        <f>ROUND(SUM(K18:K22),2)</f>
        <v>171.43</v>
      </c>
      <c r="L34" s="6" t="s">
        <v>7</v>
      </c>
      <c r="U34" s="2">
        <v>30</v>
      </c>
      <c r="V34" s="2">
        <f t="shared" si="7"/>
        <v>2.0937706343829632E-2</v>
      </c>
      <c r="W34" s="2">
        <f t="shared" si="0"/>
        <v>5.4842872951321731E-10</v>
      </c>
      <c r="X34" s="2">
        <f t="shared" si="8"/>
        <v>2.0937707275152206E-2</v>
      </c>
      <c r="Y34" s="2">
        <f t="shared" si="1"/>
        <v>-3.8441194324945194E-10</v>
      </c>
      <c r="Z34" s="2">
        <f t="shared" si="3"/>
        <v>2.0937706809490919E-2</v>
      </c>
      <c r="AA34" s="2">
        <f t="shared" si="2"/>
        <v>8.2008393131882684E-11</v>
      </c>
      <c r="AB34" s="2">
        <f t="shared" si="4"/>
        <v>4.4975758854738876E-20</v>
      </c>
      <c r="AC34" s="2">
        <f t="shared" si="5"/>
        <v>-3.152500576659203E-20</v>
      </c>
      <c r="AD34" s="2">
        <f>X34-V34</f>
        <v>9.3132257461547852E-10</v>
      </c>
      <c r="AF34" s="2">
        <v>30</v>
      </c>
      <c r="AG34" s="2">
        <f t="shared" si="13"/>
        <v>2141.8739901855588</v>
      </c>
      <c r="AH34" s="2">
        <v>-2.9242680739116622E-6</v>
      </c>
      <c r="AI34" s="2">
        <f t="shared" si="14"/>
        <v>2141.873998567462</v>
      </c>
      <c r="AJ34" s="2">
        <v>1.4185297914082184E-6</v>
      </c>
      <c r="AK34" s="2">
        <f t="shared" si="9"/>
        <v>2141.8739943765104</v>
      </c>
      <c r="AL34" s="2">
        <v>-7.5286948231223505E-7</v>
      </c>
      <c r="AM34" s="2">
        <f t="shared" si="10"/>
        <v>2.2015921909480698E-12</v>
      </c>
      <c r="AN34" s="2">
        <f t="shared" si="11"/>
        <v>-1.0679677897019882E-12</v>
      </c>
      <c r="AO34" s="2">
        <f t="shared" si="12"/>
        <v>8.3819031715393066E-6</v>
      </c>
    </row>
    <row r="35" spans="2:41" x14ac:dyDescent="0.2">
      <c r="B35" s="6" t="s">
        <v>3</v>
      </c>
      <c r="C35" s="17">
        <v>250</v>
      </c>
      <c r="D35" s="6" t="s">
        <v>4</v>
      </c>
      <c r="J35" s="15" t="s">
        <v>73</v>
      </c>
      <c r="K35" s="6">
        <f>ROUND(SUM(K23:K26),2)</f>
        <v>102.88</v>
      </c>
      <c r="L35" s="6" t="s">
        <v>7</v>
      </c>
      <c r="AF35" s="2">
        <v>31</v>
      </c>
      <c r="AG35" s="2">
        <f t="shared" si="13"/>
        <v>2141.8739943765104</v>
      </c>
      <c r="AH35" s="2">
        <v>-7.5286948231223505E-7</v>
      </c>
      <c r="AI35" s="2">
        <f t="shared" si="14"/>
        <v>2141.873998567462</v>
      </c>
      <c r="AJ35" s="2">
        <v>1.4185297914082184E-6</v>
      </c>
      <c r="AK35" s="2">
        <f t="shared" si="9"/>
        <v>2141.8739964719862</v>
      </c>
      <c r="AL35" s="2">
        <v>3.328291313664522E-7</v>
      </c>
      <c r="AM35" s="2">
        <f t="shared" si="10"/>
        <v>-2.5057689583029174E-13</v>
      </c>
      <c r="AN35" s="2">
        <f t="shared" si="11"/>
        <v>4.7212803829183198E-13</v>
      </c>
      <c r="AO35" s="2">
        <f t="shared" si="12"/>
        <v>4.1909515857696533E-6</v>
      </c>
    </row>
    <row r="36" spans="2:41" x14ac:dyDescent="0.2">
      <c r="B36" s="6" t="s">
        <v>5</v>
      </c>
      <c r="C36" s="17">
        <v>0.85</v>
      </c>
      <c r="J36" s="10" t="s">
        <v>62</v>
      </c>
      <c r="K36" s="10">
        <f>SUM(K31:K35)</f>
        <v>2141.87</v>
      </c>
      <c r="L36" s="6" t="s">
        <v>7</v>
      </c>
      <c r="AF36" s="2">
        <v>32</v>
      </c>
      <c r="AG36" s="2">
        <f t="shared" si="13"/>
        <v>2141.8739943765104</v>
      </c>
      <c r="AH36" s="2">
        <v>-7.5286948231223505E-7</v>
      </c>
      <c r="AI36" s="2">
        <f t="shared" si="14"/>
        <v>2141.8739964719862</v>
      </c>
      <c r="AJ36" s="2">
        <v>3.328291313664522E-7</v>
      </c>
      <c r="AK36" s="2">
        <f t="shared" si="9"/>
        <v>2141.8739954242483</v>
      </c>
      <c r="AL36" s="2">
        <v>-2.1001983441237826E-7</v>
      </c>
      <c r="AM36" s="2">
        <f t="shared" si="10"/>
        <v>1.5811752400934855E-13</v>
      </c>
      <c r="AN36" s="2">
        <f t="shared" si="11"/>
        <v>-6.9900719057197982E-14</v>
      </c>
      <c r="AO36" s="2">
        <f t="shared" si="12"/>
        <v>2.0954757928848267E-6</v>
      </c>
    </row>
    <row r="37" spans="2:41" x14ac:dyDescent="0.2">
      <c r="B37" s="6" t="s">
        <v>6</v>
      </c>
      <c r="C37" s="17">
        <v>0.8</v>
      </c>
      <c r="AF37" s="2">
        <v>33</v>
      </c>
      <c r="AG37" s="2">
        <f t="shared" si="13"/>
        <v>2141.8739954242483</v>
      </c>
      <c r="AH37" s="2">
        <v>-2.1001983441237826E-7</v>
      </c>
      <c r="AI37" s="2">
        <f t="shared" si="14"/>
        <v>2141.8739964719862</v>
      </c>
      <c r="AJ37" s="2">
        <v>3.328291313664522E-7</v>
      </c>
      <c r="AK37" s="2">
        <f t="shared" si="9"/>
        <v>2141.8739959481172</v>
      </c>
      <c r="AL37" s="2">
        <v>6.1405444284901023E-8</v>
      </c>
      <c r="AM37" s="2">
        <f t="shared" si="10"/>
        <v>-1.2896361240733432E-14</v>
      </c>
      <c r="AN37" s="2">
        <f t="shared" si="11"/>
        <v>2.0437520682514684E-14</v>
      </c>
      <c r="AO37" s="2">
        <f t="shared" si="12"/>
        <v>1.0477378964424133E-6</v>
      </c>
    </row>
    <row r="38" spans="2:41" x14ac:dyDescent="0.2">
      <c r="J38" s="54" t="s">
        <v>59</v>
      </c>
      <c r="K38" s="54"/>
      <c r="L38" s="54"/>
      <c r="AF38" s="2">
        <v>34</v>
      </c>
      <c r="AG38" s="2">
        <f t="shared" si="13"/>
        <v>2141.8739954242483</v>
      </c>
      <c r="AH38" s="2">
        <v>-2.1001983441237826E-7</v>
      </c>
      <c r="AI38" s="2">
        <f t="shared" si="14"/>
        <v>2141.8739959481172</v>
      </c>
      <c r="AJ38" s="2">
        <v>6.1405444284901023E-8</v>
      </c>
      <c r="AK38" s="2">
        <f t="shared" si="9"/>
        <v>2141.8739956861828</v>
      </c>
      <c r="AL38" s="2">
        <v>-7.4307536124251783E-8</v>
      </c>
      <c r="AM38" s="2">
        <f t="shared" si="10"/>
        <v>1.5606056432407175E-14</v>
      </c>
      <c r="AN38" s="2">
        <f t="shared" si="11"/>
        <v>-4.5628872694260129E-15</v>
      </c>
      <c r="AO38" s="2">
        <f t="shared" si="12"/>
        <v>5.2386894822120667E-7</v>
      </c>
    </row>
    <row r="39" spans="2:41" x14ac:dyDescent="0.2">
      <c r="B39" s="54" t="s">
        <v>272</v>
      </c>
      <c r="C39" s="55"/>
      <c r="D39" s="55"/>
      <c r="J39" s="6" t="s">
        <v>60</v>
      </c>
      <c r="K39" s="6">
        <f>ROUND($C$13/$C$5 * 100, 2)</f>
        <v>28.01</v>
      </c>
      <c r="L39" s="6" t="s">
        <v>61</v>
      </c>
      <c r="AF39" s="2">
        <v>35</v>
      </c>
      <c r="AG39" s="2">
        <f t="shared" si="13"/>
        <v>2141.8739956861828</v>
      </c>
      <c r="AH39" s="2">
        <v>-7.4307536124251783E-8</v>
      </c>
      <c r="AI39" s="2">
        <f t="shared" si="14"/>
        <v>2141.8739959481172</v>
      </c>
      <c r="AJ39" s="2">
        <v>6.1405444284901023E-8</v>
      </c>
      <c r="AK39" s="2">
        <f t="shared" si="9"/>
        <v>2141.87399581715</v>
      </c>
      <c r="AL39" s="2">
        <v>-6.4508185459999368E-9</v>
      </c>
      <c r="AM39" s="2">
        <f t="shared" si="10"/>
        <v>4.7934443213788366E-16</v>
      </c>
      <c r="AN39" s="2">
        <f t="shared" si="11"/>
        <v>-3.9611537881840534E-16</v>
      </c>
      <c r="AO39" s="2">
        <f t="shared" si="12"/>
        <v>2.6193447411060333E-7</v>
      </c>
    </row>
    <row r="40" spans="2:41" x14ac:dyDescent="0.2">
      <c r="B40" s="6" t="s">
        <v>15</v>
      </c>
      <c r="C40" s="17">
        <v>1.0397562309141399</v>
      </c>
      <c r="D40" s="6" t="s">
        <v>16</v>
      </c>
      <c r="J40" s="11" t="s">
        <v>55</v>
      </c>
      <c r="K40" s="6">
        <f>ROUND(K13/$C$5 * 100, 2)</f>
        <v>35.85</v>
      </c>
      <c r="L40" s="6" t="s">
        <v>61</v>
      </c>
      <c r="AF40" s="2">
        <v>36</v>
      </c>
      <c r="AG40" s="2">
        <f t="shared" si="13"/>
        <v>2141.87399581715</v>
      </c>
      <c r="AH40" s="2">
        <v>-6.4508185459999368E-9</v>
      </c>
      <c r="AI40" s="2">
        <f t="shared" si="14"/>
        <v>2141.8739959481172</v>
      </c>
      <c r="AJ40" s="2">
        <v>6.1405444284901023E-8</v>
      </c>
      <c r="AK40" s="2">
        <f t="shared" si="9"/>
        <v>2141.8739958826336</v>
      </c>
      <c r="AL40" s="2">
        <v>2.7477426556288265E-8</v>
      </c>
      <c r="AM40" s="2">
        <f t="shared" si="10"/>
        <v>-1.7725189282565551E-16</v>
      </c>
      <c r="AN40" s="2">
        <f t="shared" si="11"/>
        <v>1.6872635854946188E-15</v>
      </c>
      <c r="AO40" s="2">
        <f t="shared" si="12"/>
        <v>1.3096723705530167E-7</v>
      </c>
    </row>
    <row r="41" spans="2:41" x14ac:dyDescent="0.2">
      <c r="B41" s="6" t="s">
        <v>214</v>
      </c>
      <c r="C41" s="41">
        <v>1.7363179204150701E-5</v>
      </c>
      <c r="D41" s="6" t="s">
        <v>210</v>
      </c>
      <c r="J41" s="19" t="s">
        <v>81</v>
      </c>
      <c r="K41" s="6">
        <f>ROUND(SUM(K14:K17)/$C$5 * 100, 2)</f>
        <v>23.33</v>
      </c>
      <c r="L41" s="6" t="s">
        <v>61</v>
      </c>
      <c r="AF41" s="2">
        <v>37</v>
      </c>
      <c r="AG41" s="2">
        <f t="shared" si="13"/>
        <v>2141.87399581715</v>
      </c>
      <c r="AH41" s="2">
        <v>-6.4508185459999368E-9</v>
      </c>
      <c r="AI41" s="2">
        <f t="shared" si="14"/>
        <v>2141.8739958826336</v>
      </c>
      <c r="AJ41" s="2">
        <v>2.7477426556288265E-8</v>
      </c>
      <c r="AK41" s="2">
        <f t="shared" si="9"/>
        <v>2141.8739958498918</v>
      </c>
      <c r="AL41" s="2">
        <v>1.0513076631468721E-8</v>
      </c>
      <c r="AM41" s="2">
        <f t="shared" si="10"/>
        <v>-6.7817949709796966E-17</v>
      </c>
      <c r="AN41" s="2">
        <f t="shared" si="11"/>
        <v>2.888722910218122E-16</v>
      </c>
      <c r="AO41" s="2">
        <f t="shared" si="12"/>
        <v>6.5483618527650833E-8</v>
      </c>
    </row>
    <row r="42" spans="2:41" x14ac:dyDescent="0.2">
      <c r="B42" s="6" t="s">
        <v>132</v>
      </c>
      <c r="C42" s="17">
        <v>333.91694458017901</v>
      </c>
      <c r="D42" s="6" t="s">
        <v>10</v>
      </c>
      <c r="J42" s="20" t="s">
        <v>72</v>
      </c>
      <c r="K42" s="6">
        <f>ROUND(SUM(K18:K22)/$C$5 * 100, 2)</f>
        <v>8</v>
      </c>
      <c r="L42" s="6" t="s">
        <v>61</v>
      </c>
      <c r="AF42" s="2">
        <v>38</v>
      </c>
      <c r="AG42" s="2">
        <f t="shared" si="13"/>
        <v>2141.87399581715</v>
      </c>
      <c r="AH42" s="2">
        <v>-6.4508185459999368E-9</v>
      </c>
      <c r="AI42" s="2">
        <f t="shared" si="14"/>
        <v>2141.8739958498918</v>
      </c>
      <c r="AJ42" s="2">
        <v>1.0513076631468721E-8</v>
      </c>
      <c r="AK42" s="2">
        <f t="shared" si="9"/>
        <v>2141.8739958335209</v>
      </c>
      <c r="AL42" s="2">
        <v>2.0309016690589488E-9</v>
      </c>
      <c r="AM42" s="2">
        <f t="shared" si="10"/>
        <v>-1.3100978151867693E-17</v>
      </c>
      <c r="AN42" s="2">
        <f t="shared" si="11"/>
        <v>2.1351024877794456E-17</v>
      </c>
      <c r="AO42" s="2">
        <f t="shared" si="12"/>
        <v>3.2741809263825417E-8</v>
      </c>
    </row>
    <row r="43" spans="2:41" x14ac:dyDescent="0.2">
      <c r="B43" s="6" t="s">
        <v>17</v>
      </c>
      <c r="C43" s="1">
        <v>9.80149119240094</v>
      </c>
      <c r="D43" s="6" t="s">
        <v>18</v>
      </c>
      <c r="J43" s="15" t="s">
        <v>73</v>
      </c>
      <c r="K43" s="6">
        <f>ROUND(SUM(K23:K26)/$C$5*100, 2)</f>
        <v>4.8</v>
      </c>
      <c r="L43" s="6" t="s">
        <v>61</v>
      </c>
      <c r="AF43" s="2">
        <v>39</v>
      </c>
      <c r="AG43" s="2">
        <f t="shared" si="13"/>
        <v>2141.87399581715</v>
      </c>
      <c r="AH43" s="2">
        <v>-6.4508185459999368E-9</v>
      </c>
      <c r="AI43" s="2">
        <f t="shared" si="14"/>
        <v>2141.8739958335209</v>
      </c>
      <c r="AJ43" s="2">
        <v>2.0309016690589488E-9</v>
      </c>
      <c r="AK43" s="2">
        <f t="shared" si="9"/>
        <v>2141.8739958253354</v>
      </c>
      <c r="AL43" s="2">
        <v>-2.2105268726591021E-9</v>
      </c>
      <c r="AM43" s="2">
        <f t="shared" si="10"/>
        <v>1.4259707746580576E-17</v>
      </c>
      <c r="AN43" s="2">
        <f t="shared" si="11"/>
        <v>-4.4893627151830287E-18</v>
      </c>
      <c r="AO43" s="2">
        <f t="shared" si="12"/>
        <v>1.6370904631912708E-8</v>
      </c>
    </row>
    <row r="44" spans="2:41" x14ac:dyDescent="0.2">
      <c r="J44" s="10" t="s">
        <v>62</v>
      </c>
      <c r="K44" s="10">
        <f>SUM(K39:K43)</f>
        <v>99.99</v>
      </c>
      <c r="L44" s="10" t="s">
        <v>61</v>
      </c>
      <c r="AF44" s="2">
        <v>40</v>
      </c>
      <c r="AG44" s="2">
        <f t="shared" si="13"/>
        <v>2141.8739958253354</v>
      </c>
      <c r="AH44" s="2">
        <v>-2.2105268726591021E-9</v>
      </c>
      <c r="AI44" s="2">
        <f t="shared" si="14"/>
        <v>2141.8739958335209</v>
      </c>
      <c r="AJ44" s="2">
        <v>2.0309016690589488E-9</v>
      </c>
      <c r="AK44" s="5">
        <f>(AG44+AI44)/2</f>
        <v>2141.8739958294282</v>
      </c>
      <c r="AL44" s="2">
        <v>-8.9812601800076663E-11</v>
      </c>
      <c r="AM44" s="2">
        <f t="shared" si="10"/>
        <v>1.9853316978250071E-19</v>
      </c>
      <c r="AN44" s="2">
        <f t="shared" si="11"/>
        <v>-1.8240056289830244E-19</v>
      </c>
      <c r="AO44" s="2">
        <f t="shared" si="12"/>
        <v>8.1854523159563541E-9</v>
      </c>
    </row>
    <row r="45" spans="2:41" x14ac:dyDescent="0.2">
      <c r="B45" s="54" t="s">
        <v>273</v>
      </c>
      <c r="C45" s="55"/>
      <c r="D45" s="55"/>
    </row>
    <row r="46" spans="2:41" x14ac:dyDescent="0.2">
      <c r="B46" s="6" t="s">
        <v>15</v>
      </c>
      <c r="C46" s="17">
        <v>1.00854450666398</v>
      </c>
      <c r="D46" s="6" t="s">
        <v>16</v>
      </c>
      <c r="J46" s="54" t="s">
        <v>59</v>
      </c>
      <c r="K46" s="54"/>
      <c r="L46" s="54"/>
    </row>
    <row r="47" spans="2:41" x14ac:dyDescent="0.2">
      <c r="B47" s="6" t="s">
        <v>214</v>
      </c>
      <c r="C47" s="41">
        <v>1.7265641515845801E-5</v>
      </c>
      <c r="D47" s="6" t="s">
        <v>210</v>
      </c>
      <c r="J47" s="6" t="s">
        <v>60</v>
      </c>
      <c r="K47" s="6">
        <f>ROUND($C$13/$C$5 * 100, 2)</f>
        <v>28.01</v>
      </c>
      <c r="L47" s="6" t="s">
        <v>61</v>
      </c>
    </row>
    <row r="48" spans="2:41" x14ac:dyDescent="0.2">
      <c r="B48" s="6" t="s">
        <v>132</v>
      </c>
      <c r="C48" s="17">
        <v>332.721752148093</v>
      </c>
      <c r="D48" s="6" t="s">
        <v>10</v>
      </c>
      <c r="J48" s="11" t="s">
        <v>55</v>
      </c>
      <c r="K48" s="6">
        <f>ROUND(K13/$C$5 * 100, 2)</f>
        <v>35.85</v>
      </c>
      <c r="L48" s="6" t="s">
        <v>61</v>
      </c>
    </row>
    <row r="49" spans="2:12" x14ac:dyDescent="0.2">
      <c r="B49" s="6" t="s">
        <v>17</v>
      </c>
      <c r="C49" s="1">
        <v>9.8005536647414697</v>
      </c>
      <c r="D49" s="6" t="s">
        <v>18</v>
      </c>
      <c r="J49" s="20" t="s">
        <v>277</v>
      </c>
      <c r="K49" s="6">
        <f>ROUND(SUM(K14:K26)/$C$5 * 100, 2)</f>
        <v>36.14</v>
      </c>
      <c r="L49" s="6" t="s">
        <v>61</v>
      </c>
    </row>
    <row r="50" spans="2:12" x14ac:dyDescent="0.2">
      <c r="J50" s="10" t="s">
        <v>62</v>
      </c>
      <c r="K50" s="10">
        <f>SUM(K47:K49)</f>
        <v>100</v>
      </c>
      <c r="L50" s="10" t="s">
        <v>61</v>
      </c>
    </row>
    <row r="51" spans="2:12" x14ac:dyDescent="0.2">
      <c r="B51" s="54" t="s">
        <v>74</v>
      </c>
      <c r="C51" s="54"/>
      <c r="D51" s="54"/>
    </row>
    <row r="52" spans="2:12" x14ac:dyDescent="0.2">
      <c r="B52" s="6" t="s">
        <v>264</v>
      </c>
      <c r="C52" s="17">
        <v>30</v>
      </c>
    </row>
    <row r="53" spans="2:12" x14ac:dyDescent="0.2">
      <c r="B53" s="6" t="s">
        <v>266</v>
      </c>
      <c r="C53" s="17">
        <v>0.8</v>
      </c>
    </row>
    <row r="54" spans="2:12" x14ac:dyDescent="0.2">
      <c r="B54" s="6" t="s">
        <v>267</v>
      </c>
      <c r="C54" s="17">
        <v>0.8</v>
      </c>
    </row>
    <row r="55" spans="2:12" x14ac:dyDescent="0.2">
      <c r="B55" s="6" t="s">
        <v>268</v>
      </c>
      <c r="C55" s="17">
        <v>0.8</v>
      </c>
    </row>
  </sheetData>
  <mergeCells count="22">
    <mergeCell ref="N17:P17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3:P13"/>
    <mergeCell ref="B17:D17"/>
    <mergeCell ref="B45:D45"/>
    <mergeCell ref="J46:L46"/>
    <mergeCell ref="B51:D51"/>
    <mergeCell ref="B23:D23"/>
    <mergeCell ref="F24:H24"/>
    <mergeCell ref="B28:D28"/>
    <mergeCell ref="J30:L30"/>
    <mergeCell ref="B34:D34"/>
    <mergeCell ref="B39:D39"/>
    <mergeCell ref="J38:L38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AB6-557E-EC41-AEF7-F524A5AEEAA8}">
  <dimension ref="B1:AS68"/>
  <sheetViews>
    <sheetView workbookViewId="0">
      <selection activeCell="E1" sqref="E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6" style="6" customWidth="1"/>
    <col min="15" max="15" width="12.83203125" style="6" customWidth="1"/>
    <col min="16" max="16" width="6.1640625" style="6" customWidth="1"/>
    <col min="17" max="17" width="6" style="6" customWidth="1"/>
    <col min="18" max="18" width="15.33203125" style="6" customWidth="1"/>
    <col min="19" max="19" width="11.1640625" style="6" customWidth="1"/>
    <col min="20" max="20" width="6.33203125" style="6" customWidth="1"/>
    <col min="21" max="21" width="6" style="6" customWidth="1"/>
    <col min="22" max="24" width="3.83203125" style="6" customWidth="1"/>
    <col min="25" max="25" width="5.5" style="6" customWidth="1"/>
    <col min="26" max="26" width="8.83203125" style="6" customWidth="1"/>
    <col min="27" max="27" width="9.1640625" style="6" customWidth="1"/>
    <col min="28" max="28" width="6.6640625" style="6" customWidth="1"/>
    <col min="29" max="29" width="9.5" style="6" customWidth="1"/>
    <col min="30" max="30" width="14.6640625" style="6" customWidth="1"/>
    <col min="31" max="31" width="9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36" width="5.1640625" style="6" customWidth="1"/>
    <col min="37" max="37" width="11.83203125" style="6" bestFit="1" customWidth="1"/>
    <col min="38" max="38" width="16.5" style="6" bestFit="1" customWidth="1"/>
    <col min="39" max="39" width="11.83203125" style="6" bestFit="1" customWidth="1"/>
    <col min="40" max="40" width="14.1640625" style="6" bestFit="1" customWidth="1"/>
    <col min="41" max="41" width="18.33203125" style="6" customWidth="1"/>
    <col min="42" max="45" width="11.83203125" style="6" bestFit="1" customWidth="1"/>
    <col min="46" max="16384" width="10.83203125" style="6"/>
  </cols>
  <sheetData>
    <row r="1" spans="2:45" x14ac:dyDescent="0.2">
      <c r="B1" s="60" t="s">
        <v>0</v>
      </c>
      <c r="C1" s="60"/>
      <c r="D1" s="60"/>
    </row>
    <row r="2" spans="2:45" x14ac:dyDescent="0.2">
      <c r="Y2" s="16" t="s">
        <v>278</v>
      </c>
      <c r="AJ2" s="16" t="s">
        <v>79</v>
      </c>
    </row>
    <row r="3" spans="2:45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279</v>
      </c>
      <c r="O3" s="54"/>
      <c r="P3" s="54"/>
      <c r="R3" s="54" t="s">
        <v>95</v>
      </c>
      <c r="S3" s="54"/>
      <c r="T3" s="54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MAX(G14,G24,G33)</f>
        <v>266.85218659368223</v>
      </c>
      <c r="L4" s="6" t="s">
        <v>104</v>
      </c>
      <c r="N4" s="6" t="s">
        <v>25</v>
      </c>
      <c r="O4" s="6">
        <f xml:space="preserve"> 0.5 * $C$40 * $G$4^2</f>
        <v>3.3540456496828326</v>
      </c>
      <c r="P4" s="6" t="s">
        <v>26</v>
      </c>
      <c r="R4" s="6" t="s">
        <v>25</v>
      </c>
      <c r="S4" s="6">
        <f xml:space="preserve"> 0.5 * $C$46 * $C$8^2</f>
        <v>1260.6806333299751</v>
      </c>
      <c r="T4" s="6" t="s">
        <v>26</v>
      </c>
      <c r="Y4" s="2">
        <v>0</v>
      </c>
      <c r="Z4" s="53">
        <v>1.0000000000000001E-15</v>
      </c>
      <c r="AA4" s="37">
        <f xml:space="preserve"> $O$21 * TAN($O$18/180*PI()) + $O$22 / (2 * SQRT($O$21^2 + Z4^2)) - Z4</f>
        <v>1808981543736.5398</v>
      </c>
      <c r="AB4" s="3">
        <v>1</v>
      </c>
      <c r="AC4" s="37">
        <f xml:space="preserve"> $O$21 * TAN($O$18/180*PI()) + $O$22 / (2 * SQRT($O$21^2 + AB4^2)) - AB4</f>
        <v>-0.98303150934740424</v>
      </c>
      <c r="AD4" s="2">
        <f xml:space="preserve"> (Z4 + AB4)/2</f>
        <v>0.50000000000000056</v>
      </c>
      <c r="AE4" s="37">
        <f xml:space="preserve"> $O$21 * TAN($O$18/180*PI()) + $O$22 / (2 * SQRT($O$21^2 + AD4^2)) - AD4</f>
        <v>-0.48122252702431212</v>
      </c>
      <c r="AF4" s="2">
        <f>AA4*AE4</f>
        <v>-870522669817.23889</v>
      </c>
      <c r="AG4" s="2">
        <f>AC4*AE4</f>
        <v>0.47305690707268155</v>
      </c>
      <c r="AH4" s="2">
        <f>AB4-Z4</f>
        <v>0.999999999999999</v>
      </c>
      <c r="AJ4" s="2">
        <v>0</v>
      </c>
      <c r="AK4" s="2"/>
      <c r="AL4" s="2">
        <f>K27</f>
        <v>-3.205968823749572E-10</v>
      </c>
      <c r="AM4" s="2"/>
      <c r="AN4" s="2">
        <f>K27</f>
        <v>-3.205968823749572E-10</v>
      </c>
      <c r="AO4" s="2"/>
      <c r="AP4" s="2">
        <f>K27</f>
        <v>-3.205968823749572E-10</v>
      </c>
      <c r="AQ4" s="2"/>
      <c r="AR4" s="2"/>
      <c r="AS4" s="2"/>
    </row>
    <row r="5" spans="2:45" x14ac:dyDescent="0.2">
      <c r="B5" s="10" t="s">
        <v>40</v>
      </c>
      <c r="C5" s="10">
        <f>AO44</f>
        <v>2166.3605791468399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66.713046648420558</v>
      </c>
      <c r="L5" s="6" t="s">
        <v>104</v>
      </c>
      <c r="N5" s="6" t="s">
        <v>119</v>
      </c>
      <c r="O5" s="6">
        <v>0</v>
      </c>
      <c r="P5" s="6" t="s">
        <v>120</v>
      </c>
      <c r="R5" s="6" t="s">
        <v>119</v>
      </c>
      <c r="S5" s="6">
        <f xml:space="preserve"> $C$18 * 0.85 * ($C$5/$C$18 *2.20462/1000)^(2/3) * 0.3048^2</f>
        <v>0.35550455776431877</v>
      </c>
      <c r="T5" s="6" t="s">
        <v>120</v>
      </c>
      <c r="Y5" s="2">
        <v>1</v>
      </c>
      <c r="Z5" s="2">
        <f>IF(AF4&gt;0, AD4, Z4)</f>
        <v>1.0000000000000001E-15</v>
      </c>
      <c r="AA5" s="37">
        <f t="shared" ref="AA5:AA34" si="0" xml:space="preserve"> $O$21 * TAN($O$18/180*PI()) + $O$22 / (2 * SQRT($O$21^2 + Z5^2)) - Z5</f>
        <v>1808981543736.5398</v>
      </c>
      <c r="AB5" s="2">
        <f>IF(AG4&gt;0, AD4, AB4)</f>
        <v>0.50000000000000056</v>
      </c>
      <c r="AC5" s="37">
        <f t="shared" ref="AC5:AC34" si="1" xml:space="preserve"> $O$21 * TAN($O$18/180*PI()) + $O$22 / (2 * SQRT($O$21^2 + AB5^2)) - AB5</f>
        <v>-0.48122252702431212</v>
      </c>
      <c r="AD5" s="2">
        <f t="shared" ref="AD5:AD33" si="2" xml:space="preserve"> (Z5 + AB5)/2</f>
        <v>0.25000000000000078</v>
      </c>
      <c r="AE5" s="37">
        <f t="shared" ref="AE5:AE33" si="3" xml:space="preserve"> $O$21 * TAN($O$18/180*PI()) + $O$22 / (2 * SQRT($O$21^2 + AD5^2)) - AD5</f>
        <v>-0.2276045623781269</v>
      </c>
      <c r="AF5" s="2">
        <f t="shared" ref="AF5:AF34" si="4">AA5*AE5</f>
        <v>-411732452612.26355</v>
      </c>
      <c r="AG5" s="2">
        <f t="shared" ref="AG5:AG34" si="5">AC5*AE5</f>
        <v>0.1095284426698649</v>
      </c>
      <c r="AH5" s="2">
        <f t="shared" ref="AH5:AH33" si="6">AB5-Z5</f>
        <v>0.49999999999999956</v>
      </c>
      <c r="AJ5" s="2">
        <v>1</v>
      </c>
      <c r="AK5" s="3">
        <v>500</v>
      </c>
      <c r="AL5" s="2">
        <f t="dataTable" ref="AL5:AL44" dt2D="0" dtr="0" r1="C5"/>
        <v>-1009.6130808661763</v>
      </c>
      <c r="AM5" s="3">
        <v>5000</v>
      </c>
      <c r="AN5" s="2">
        <f t="dataTable" ref="AN5:AN44" dt2D="0" dtr="0" r1="C5" ca="1"/>
        <v>1426.289526487813</v>
      </c>
      <c r="AO5" s="2">
        <f>(AK5+AM5)/2</f>
        <v>2750</v>
      </c>
      <c r="AP5" s="2">
        <f t="dataTable" ref="AP5:AP44" dt2D="0" dtr="0" r1="C5" ca="1"/>
        <v>326.58730281622024</v>
      </c>
      <c r="AQ5" s="2">
        <f>AL5*AP5</f>
        <v>-329726.81296805898</v>
      </c>
      <c r="AR5" s="2">
        <f>AN5*AP5</f>
        <v>465808.04949067876</v>
      </c>
      <c r="AS5" s="2">
        <f>AM5-AK5</f>
        <v>4500</v>
      </c>
    </row>
    <row r="6" spans="2:45" x14ac:dyDescent="0.2">
      <c r="B6" s="6" t="s">
        <v>270</v>
      </c>
      <c r="C6" s="22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v>0</v>
      </c>
      <c r="R6" t="s">
        <v>121</v>
      </c>
      <c r="S6">
        <f xml:space="preserve"> S5 / (PI() * $C$9^2)</f>
        <v>7.0725384574861971E-3</v>
      </c>
      <c r="Y6" s="2">
        <v>2</v>
      </c>
      <c r="Z6" s="2">
        <f t="shared" ref="Z6:Z34" si="7">IF(AF5&gt;0, AD5, Z5)</f>
        <v>1.0000000000000001E-15</v>
      </c>
      <c r="AA6" s="37">
        <f t="shared" si="0"/>
        <v>1808981543736.5398</v>
      </c>
      <c r="AB6" s="2">
        <f t="shared" ref="AB6:AB34" si="8">IF(AG5&gt;0, AD5, AB5)</f>
        <v>0.25000000000000078</v>
      </c>
      <c r="AC6" s="37">
        <f t="shared" si="1"/>
        <v>-0.2276045623781269</v>
      </c>
      <c r="AD6" s="2">
        <f t="shared" si="2"/>
        <v>0.12500000000000089</v>
      </c>
      <c r="AE6" s="37">
        <f t="shared" si="3"/>
        <v>-9.5368633085756216E-2</v>
      </c>
      <c r="AF6" s="2">
        <f t="shared" si="4"/>
        <v>-172520097103.51492</v>
      </c>
      <c r="AG6" s="2">
        <f t="shared" si="5"/>
        <v>2.1706335998083699E-2</v>
      </c>
      <c r="AH6" s="2">
        <f t="shared" si="6"/>
        <v>0.24999999999999978</v>
      </c>
      <c r="AJ6" s="2">
        <v>2</v>
      </c>
      <c r="AK6" s="2">
        <f>IF(AQ5&gt;0, AO5, AK5)</f>
        <v>500</v>
      </c>
      <c r="AL6" s="2">
        <v>-1009.6130808661763</v>
      </c>
      <c r="AM6" s="2">
        <f>IF(AR5&gt;0, AO5, AM5)</f>
        <v>2750</v>
      </c>
      <c r="AN6" s="2">
        <v>326.58730281622024</v>
      </c>
      <c r="AO6" s="2">
        <f t="shared" ref="AO6:AO43" si="9">(AK6+AM6)/2</f>
        <v>1625</v>
      </c>
      <c r="AP6" s="2">
        <v>-315.08648554159913</v>
      </c>
      <c r="AQ6" s="2">
        <f t="shared" ref="AQ6:AQ44" si="10">AL6*AP6</f>
        <v>318115.43740694982</v>
      </c>
      <c r="AR6" s="2">
        <f t="shared" ref="AR6:AR44" si="11">AN6*AP6</f>
        <v>-102903.24546687283</v>
      </c>
      <c r="AS6" s="2">
        <f t="shared" ref="AS6:AS44" si="12">AM6-AK6</f>
        <v>2250</v>
      </c>
    </row>
    <row r="7" spans="2:45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167.55160819145564</v>
      </c>
      <c r="H7" s="6" t="s">
        <v>10</v>
      </c>
      <c r="J7" s="54" t="s">
        <v>23</v>
      </c>
      <c r="K7" s="54"/>
      <c r="L7" s="54"/>
      <c r="N7" t="s">
        <v>123</v>
      </c>
      <c r="O7" s="17">
        <v>0</v>
      </c>
      <c r="R7" t="s">
        <v>123</v>
      </c>
      <c r="S7" s="17">
        <f>0.01230085</f>
        <v>1.230085E-2</v>
      </c>
      <c r="Y7" s="2">
        <v>3</v>
      </c>
      <c r="Z7" s="2">
        <f t="shared" si="7"/>
        <v>1.0000000000000001E-15</v>
      </c>
      <c r="AA7" s="37">
        <f t="shared" si="0"/>
        <v>1808981543736.5398</v>
      </c>
      <c r="AB7" s="2">
        <f t="shared" si="8"/>
        <v>0.12500000000000089</v>
      </c>
      <c r="AC7" s="37">
        <f t="shared" si="1"/>
        <v>-9.5368633085756216E-2</v>
      </c>
      <c r="AD7" s="2">
        <f t="shared" si="2"/>
        <v>6.2500000000000944E-2</v>
      </c>
      <c r="AE7" s="37">
        <f t="shared" si="3"/>
        <v>-1.8396774501014859E-2</v>
      </c>
      <c r="AF7" s="2">
        <f t="shared" si="4"/>
        <v>-33279425536.61887</v>
      </c>
      <c r="AG7" s="2">
        <f t="shared" si="5"/>
        <v>1.7544752373486821E-3</v>
      </c>
      <c r="AH7" s="2">
        <f t="shared" si="6"/>
        <v>0.12499999999999989</v>
      </c>
      <c r="AJ7" s="2">
        <v>3</v>
      </c>
      <c r="AK7" s="2">
        <f t="shared" ref="AK7:AK44" si="13">IF(AQ6&gt;0, AO6, AK6)</f>
        <v>1625</v>
      </c>
      <c r="AL7" s="2">
        <v>-315.08648554159913</v>
      </c>
      <c r="AM7" s="2">
        <f t="shared" ref="AM7:AM44" si="14">IF(AR6&gt;0, AO6, AM6)</f>
        <v>2750</v>
      </c>
      <c r="AN7" s="2">
        <v>326.58730281622024</v>
      </c>
      <c r="AO7" s="2">
        <f t="shared" si="9"/>
        <v>2187.5</v>
      </c>
      <c r="AP7" s="2">
        <v>12.077348108726028</v>
      </c>
      <c r="AQ7" s="2">
        <f t="shared" si="10"/>
        <v>-3805.4091702409632</v>
      </c>
      <c r="AR7" s="2">
        <f t="shared" si="11"/>
        <v>3944.308544001412</v>
      </c>
      <c r="AS7" s="2">
        <f t="shared" si="12"/>
        <v>1125</v>
      </c>
    </row>
    <row r="8" spans="2:45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6">
        <f>G7/C42</f>
        <v>0.50177629770214827</v>
      </c>
      <c r="H8" s="6" t="s">
        <v>131</v>
      </c>
      <c r="J8" s="6" t="s">
        <v>99</v>
      </c>
      <c r="K8" s="6">
        <f xml:space="preserve"> $C$15 * (G14*G6 + G24*G17 + G33*G29)/3600</f>
        <v>132.1139791226216</v>
      </c>
      <c r="L8" s="6" t="s">
        <v>105</v>
      </c>
      <c r="N8" s="6" t="s">
        <v>122</v>
      </c>
      <c r="O8" s="6">
        <f xml:space="preserve"> $O$7 + O6</f>
        <v>0</v>
      </c>
      <c r="R8" s="6" t="s">
        <v>122</v>
      </c>
      <c r="S8" s="6">
        <f xml:space="preserve"> $S$7 + S6</f>
        <v>1.9373388457486197E-2</v>
      </c>
      <c r="Y8" s="2">
        <v>4</v>
      </c>
      <c r="Z8" s="2">
        <f t="shared" si="7"/>
        <v>1.0000000000000001E-15</v>
      </c>
      <c r="AA8" s="37">
        <f t="shared" si="0"/>
        <v>1808981543736.5398</v>
      </c>
      <c r="AB8" s="2">
        <f t="shared" si="8"/>
        <v>6.2500000000000944E-2</v>
      </c>
      <c r="AC8" s="37">
        <f t="shared" si="1"/>
        <v>-1.8396774501014859E-2</v>
      </c>
      <c r="AD8" s="2">
        <f t="shared" si="2"/>
        <v>3.1250000000000971E-2</v>
      </c>
      <c r="AE8" s="37">
        <f t="shared" si="3"/>
        <v>4.179694266846723E-2</v>
      </c>
      <c r="AF8" s="2">
        <f t="shared" si="4"/>
        <v>75609897871.87149</v>
      </c>
      <c r="AG8" s="2">
        <f t="shared" si="5"/>
        <v>-7.6892892910363788E-4</v>
      </c>
      <c r="AH8" s="2">
        <f t="shared" si="6"/>
        <v>6.2499999999999944E-2</v>
      </c>
      <c r="AJ8" s="2">
        <v>4</v>
      </c>
      <c r="AK8" s="2">
        <f t="shared" si="13"/>
        <v>1625</v>
      </c>
      <c r="AL8" s="2">
        <v>-315.08648554159913</v>
      </c>
      <c r="AM8" s="2">
        <f t="shared" si="14"/>
        <v>2187.5</v>
      </c>
      <c r="AN8" s="2">
        <v>12.077348108726028</v>
      </c>
      <c r="AO8" s="2">
        <f t="shared" si="9"/>
        <v>1906.25</v>
      </c>
      <c r="AP8" s="2">
        <v>-150.04099932745362</v>
      </c>
      <c r="AQ8" s="2">
        <f t="shared" si="10"/>
        <v>47275.891165236797</v>
      </c>
      <c r="AR8" s="2">
        <f t="shared" si="11"/>
        <v>-1812.0973794587851</v>
      </c>
      <c r="AS8" s="2">
        <f t="shared" si="12"/>
        <v>562.5</v>
      </c>
    </row>
    <row r="9" spans="2:45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$C$43 / $C$18</f>
        <v>5308.3910340180873</v>
      </c>
      <c r="H9" s="6" t="s">
        <v>22</v>
      </c>
      <c r="J9" s="6" t="s">
        <v>265</v>
      </c>
      <c r="K9" s="6">
        <f xml:space="preserve"> $C$15 * (G6 + G17 + G29)/3600</f>
        <v>0.62222222222222223</v>
      </c>
      <c r="L9" s="6" t="s">
        <v>106</v>
      </c>
      <c r="N9" s="6" t="s">
        <v>41</v>
      </c>
      <c r="O9" s="6">
        <f xml:space="preserve"> O4 *O8 * PI() * $C$9 * $C$9</f>
        <v>0</v>
      </c>
      <c r="P9" s="6" t="s">
        <v>22</v>
      </c>
      <c r="R9" s="6" t="s">
        <v>41</v>
      </c>
      <c r="S9" s="6">
        <f xml:space="preserve"> S4 *S8 * PI() * $C$9 * $C$9</f>
        <v>1227.6668336328942</v>
      </c>
      <c r="T9" s="6" t="s">
        <v>22</v>
      </c>
      <c r="Y9" s="2">
        <v>5</v>
      </c>
      <c r="Z9" s="2">
        <f t="shared" si="7"/>
        <v>3.1250000000000971E-2</v>
      </c>
      <c r="AA9" s="37">
        <f t="shared" si="0"/>
        <v>4.179694266846723E-2</v>
      </c>
      <c r="AB9" s="2">
        <f t="shared" si="8"/>
        <v>6.2500000000000944E-2</v>
      </c>
      <c r="AC9" s="37">
        <f t="shared" si="1"/>
        <v>-1.8396774501014859E-2</v>
      </c>
      <c r="AD9" s="2">
        <f t="shared" si="2"/>
        <v>4.6875000000000958E-2</v>
      </c>
      <c r="AE9" s="37">
        <f t="shared" si="3"/>
        <v>6.8761312221459342E-3</v>
      </c>
      <c r="AF9" s="2">
        <f t="shared" si="4"/>
        <v>2.8740126247289114E-4</v>
      </c>
      <c r="AG9" s="2">
        <f t="shared" si="5"/>
        <v>-1.2649863553320647E-4</v>
      </c>
      <c r="AH9" s="2">
        <f t="shared" si="6"/>
        <v>3.1249999999999972E-2</v>
      </c>
      <c r="AJ9" s="2">
        <v>5</v>
      </c>
      <c r="AK9" s="2">
        <f t="shared" si="13"/>
        <v>1906.25</v>
      </c>
      <c r="AL9" s="2">
        <v>-150.04099932745362</v>
      </c>
      <c r="AM9" s="2">
        <f t="shared" si="14"/>
        <v>2187.5</v>
      </c>
      <c r="AN9" s="2">
        <v>12.077348108726028</v>
      </c>
      <c r="AO9" s="2">
        <f t="shared" si="9"/>
        <v>2046.875</v>
      </c>
      <c r="AP9" s="2">
        <v>-68.598058934961955</v>
      </c>
      <c r="AQ9" s="2">
        <f t="shared" si="10"/>
        <v>10292.521314525251</v>
      </c>
      <c r="AR9" s="2">
        <f t="shared" si="11"/>
        <v>-828.4826373404394</v>
      </c>
      <c r="AS9" s="2">
        <f t="shared" si="12"/>
        <v>281.25</v>
      </c>
    </row>
    <row r="10" spans="2:45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 xml:space="preserve"> 1/1000 * (O24 + O19 * (O26 * O29 + $G$4 * SIN(O18/180*PI())))</f>
        <v>66.713046648420558</v>
      </c>
      <c r="H10" s="6" t="s">
        <v>104</v>
      </c>
      <c r="N10" s="6" t="s">
        <v>42</v>
      </c>
      <c r="O10" s="6">
        <f xml:space="preserve"> O9</f>
        <v>0</v>
      </c>
      <c r="P10" s="6" t="s">
        <v>22</v>
      </c>
      <c r="R10" s="6" t="s">
        <v>42</v>
      </c>
      <c r="S10" s="6">
        <f xml:space="preserve"> S9</f>
        <v>1227.6668336328942</v>
      </c>
      <c r="T10" s="6" t="s">
        <v>22</v>
      </c>
      <c r="Y10" s="2">
        <v>6</v>
      </c>
      <c r="Z10" s="2">
        <f t="shared" si="7"/>
        <v>4.6875000000000958E-2</v>
      </c>
      <c r="AA10" s="37">
        <f t="shared" si="0"/>
        <v>6.8761312221459342E-3</v>
      </c>
      <c r="AB10" s="2">
        <f t="shared" si="8"/>
        <v>6.2500000000000944E-2</v>
      </c>
      <c r="AC10" s="37">
        <f t="shared" si="1"/>
        <v>-1.8396774501014859E-2</v>
      </c>
      <c r="AD10" s="2">
        <f t="shared" si="2"/>
        <v>5.4687500000000951E-2</v>
      </c>
      <c r="AE10" s="37">
        <f t="shared" si="3"/>
        <v>-6.4494577625173674E-3</v>
      </c>
      <c r="AF10" s="2">
        <f t="shared" si="4"/>
        <v>-4.4347317886757127E-5</v>
      </c>
      <c r="AG10" s="2">
        <f t="shared" si="5"/>
        <v>1.1864922011085185E-4</v>
      </c>
      <c r="AH10" s="2">
        <f t="shared" si="6"/>
        <v>1.5624999999999986E-2</v>
      </c>
      <c r="AJ10" s="2">
        <v>6</v>
      </c>
      <c r="AK10" s="2">
        <f t="shared" si="13"/>
        <v>2046.875</v>
      </c>
      <c r="AL10" s="2">
        <v>-68.598058934961955</v>
      </c>
      <c r="AM10" s="2">
        <f t="shared" si="14"/>
        <v>2187.5</v>
      </c>
      <c r="AN10" s="2">
        <v>12.077348108726028</v>
      </c>
      <c r="AO10" s="2">
        <f t="shared" si="9"/>
        <v>2117.1875</v>
      </c>
      <c r="AP10" s="2">
        <v>-28.162577901620125</v>
      </c>
      <c r="AQ10" s="2">
        <f t="shared" si="10"/>
        <v>1931.8981786557945</v>
      </c>
      <c r="AR10" s="2">
        <f t="shared" si="11"/>
        <v>-340.12925695698124</v>
      </c>
      <c r="AS10" s="2">
        <f t="shared" si="12"/>
        <v>140.625</v>
      </c>
    </row>
    <row r="11" spans="2:45" x14ac:dyDescent="0.2">
      <c r="F11" t="s">
        <v>274</v>
      </c>
      <c r="G11" s="6">
        <f xml:space="preserve"> (G9/$C$43*1000) / ($G$10*1000)</f>
        <v>8.1182043392637073</v>
      </c>
      <c r="H11" s="6" t="s">
        <v>275</v>
      </c>
      <c r="J11" s="57" t="s">
        <v>54</v>
      </c>
      <c r="K11" s="57"/>
      <c r="L11" s="57"/>
      <c r="N11" s="6" t="s">
        <v>118</v>
      </c>
      <c r="O11" s="6" t="s">
        <v>280</v>
      </c>
      <c r="R11" s="6" t="s">
        <v>118</v>
      </c>
      <c r="S11" s="6">
        <f>($S$8*PI()*$C$9^2)/(0.3048^2)/($C$5*2.20462/1000)^(2/3) + 0.85</f>
        <v>4.5460331558597051</v>
      </c>
      <c r="Y11" s="2">
        <v>7</v>
      </c>
      <c r="Z11" s="2">
        <f t="shared" si="7"/>
        <v>4.6875000000000958E-2</v>
      </c>
      <c r="AA11" s="37">
        <f t="shared" si="0"/>
        <v>6.8761312221459342E-3</v>
      </c>
      <c r="AB11" s="2">
        <f t="shared" si="8"/>
        <v>5.4687500000000951E-2</v>
      </c>
      <c r="AC11" s="37">
        <f t="shared" si="1"/>
        <v>-6.4494577625173674E-3</v>
      </c>
      <c r="AD11" s="2">
        <f t="shared" si="2"/>
        <v>5.0781250000000958E-2</v>
      </c>
      <c r="AE11" s="37">
        <f t="shared" si="3"/>
        <v>1.2948457887712594E-6</v>
      </c>
      <c r="AF11" s="2">
        <f t="shared" si="4"/>
        <v>8.9035295560342359E-9</v>
      </c>
      <c r="AG11" s="2">
        <f t="shared" si="5"/>
        <v>-8.3510532236537228E-9</v>
      </c>
      <c r="AH11" s="2">
        <f t="shared" si="6"/>
        <v>7.8124999999999931E-3</v>
      </c>
      <c r="AJ11" s="2">
        <v>7</v>
      </c>
      <c r="AK11" s="2">
        <f t="shared" si="13"/>
        <v>2117.1875</v>
      </c>
      <c r="AL11" s="2">
        <v>-28.162577901620125</v>
      </c>
      <c r="AM11" s="2">
        <f t="shared" si="14"/>
        <v>2187.5</v>
      </c>
      <c r="AN11" s="2">
        <v>12.077348108726028</v>
      </c>
      <c r="AO11" s="2">
        <f t="shared" si="9"/>
        <v>2152.34375</v>
      </c>
      <c r="AP11" s="2">
        <v>-8.0179612032407022</v>
      </c>
      <c r="AQ11" s="2">
        <f t="shared" si="10"/>
        <v>225.8064569984341</v>
      </c>
      <c r="AR11" s="2">
        <f t="shared" si="11"/>
        <v>-96.83570857379776</v>
      </c>
      <c r="AS11" s="2">
        <f t="shared" si="12"/>
        <v>70.3125</v>
      </c>
    </row>
    <row r="12" spans="2:45" x14ac:dyDescent="0.2">
      <c r="B12" s="54" t="s">
        <v>12</v>
      </c>
      <c r="C12" s="54"/>
      <c r="D12" s="54"/>
      <c r="F12" t="s">
        <v>281</v>
      </c>
      <c r="G12" s="6">
        <f>G13/G14</f>
        <v>0.67703423282024655</v>
      </c>
      <c r="J12" s="10" t="s">
        <v>82</v>
      </c>
      <c r="K12" s="6">
        <f>C5</f>
        <v>2166.3605791468399</v>
      </c>
      <c r="L12" s="6" t="s">
        <v>7</v>
      </c>
      <c r="Y12" s="2">
        <v>8</v>
      </c>
      <c r="Z12" s="2">
        <f t="shared" si="7"/>
        <v>5.0781250000000958E-2</v>
      </c>
      <c r="AA12" s="37">
        <f t="shared" si="0"/>
        <v>1.2948457887712594E-6</v>
      </c>
      <c r="AB12" s="2">
        <f t="shared" si="8"/>
        <v>5.4687500000000951E-2</v>
      </c>
      <c r="AC12" s="37">
        <f t="shared" si="1"/>
        <v>-6.4494577625173674E-3</v>
      </c>
      <c r="AD12" s="2">
        <f t="shared" si="2"/>
        <v>5.2734375000000958E-2</v>
      </c>
      <c r="AE12" s="37">
        <f t="shared" si="3"/>
        <v>-3.2712018770366391E-3</v>
      </c>
      <c r="AF12" s="2">
        <f t="shared" si="4"/>
        <v>-4.2357019747015313E-9</v>
      </c>
      <c r="AG12" s="2">
        <f t="shared" si="5"/>
        <v>2.1097478338615335E-5</v>
      </c>
      <c r="AH12" s="2">
        <f t="shared" si="6"/>
        <v>3.9062499999999931E-3</v>
      </c>
      <c r="AJ12" s="2">
        <v>8</v>
      </c>
      <c r="AK12" s="2">
        <f t="shared" si="13"/>
        <v>2152.34375</v>
      </c>
      <c r="AL12" s="2">
        <v>-8.0179612032407022</v>
      </c>
      <c r="AM12" s="2">
        <f t="shared" si="14"/>
        <v>2187.5</v>
      </c>
      <c r="AN12" s="2">
        <v>12.077348108726028</v>
      </c>
      <c r="AO12" s="2">
        <f t="shared" si="9"/>
        <v>2169.921875</v>
      </c>
      <c r="AP12" s="2">
        <v>2.0358863331875909</v>
      </c>
      <c r="AQ12" s="2">
        <f t="shared" si="10"/>
        <v>-16.323657633706077</v>
      </c>
      <c r="AR12" s="2">
        <f t="shared" si="11"/>
        <v>24.58810795570432</v>
      </c>
      <c r="AS12" s="2">
        <f t="shared" si="12"/>
        <v>35.15625</v>
      </c>
    </row>
    <row r="13" spans="2:45" x14ac:dyDescent="0.2">
      <c r="B13" s="6" t="s">
        <v>71</v>
      </c>
      <c r="C13" s="6">
        <f>C24*100</f>
        <v>600</v>
      </c>
      <c r="D13" s="6" t="s">
        <v>7</v>
      </c>
      <c r="F13" t="s">
        <v>282</v>
      </c>
      <c r="G13" s="6">
        <f xml:space="preserve"> 1/1000 * (($C$5*$C$43) * ( ($G$4/2) + SQRT( ($G$4/2)^2 + ($C$5*$C$43) / (2*$C$40*PI()*$C$9^2 * $C$18) ) ) )</f>
        <v>180.66806542685893</v>
      </c>
      <c r="H13" s="6" t="s">
        <v>104</v>
      </c>
      <c r="J13" s="11" t="s">
        <v>55</v>
      </c>
      <c r="K13" s="6">
        <f xml:space="preserve"> K8 * 1000 / ($C$35 * $C$36 * $C$37)</f>
        <v>777.14105366247998</v>
      </c>
      <c r="L13" s="6" t="s">
        <v>7</v>
      </c>
      <c r="N13" s="57" t="s">
        <v>76</v>
      </c>
      <c r="O13" s="59"/>
      <c r="P13" s="59"/>
      <c r="R13" s="57" t="s">
        <v>76</v>
      </c>
      <c r="S13" s="59"/>
      <c r="T13" s="59"/>
      <c r="Y13" s="2">
        <v>9</v>
      </c>
      <c r="Z13" s="2">
        <f t="shared" si="7"/>
        <v>5.0781250000000958E-2</v>
      </c>
      <c r="AA13" s="37">
        <f t="shared" si="0"/>
        <v>1.2948457887712594E-6</v>
      </c>
      <c r="AB13" s="2">
        <f t="shared" si="8"/>
        <v>5.2734375000000958E-2</v>
      </c>
      <c r="AC13" s="37">
        <f t="shared" si="1"/>
        <v>-3.2712018770366391E-3</v>
      </c>
      <c r="AD13" s="2">
        <f t="shared" si="2"/>
        <v>5.1757812500000958E-2</v>
      </c>
      <c r="AE13" s="37">
        <f t="shared" si="3"/>
        <v>-1.6474004186694535E-3</v>
      </c>
      <c r="AF13" s="2">
        <f t="shared" si="4"/>
        <v>-2.1331294945341517E-9</v>
      </c>
      <c r="AG13" s="2">
        <f t="shared" si="5"/>
        <v>5.3889793417824618E-6</v>
      </c>
      <c r="AH13" s="2">
        <f t="shared" si="6"/>
        <v>1.953125E-3</v>
      </c>
      <c r="AJ13" s="2">
        <v>9</v>
      </c>
      <c r="AK13" s="2">
        <f t="shared" si="13"/>
        <v>2152.34375</v>
      </c>
      <c r="AL13" s="2">
        <v>-8.0179612032407022</v>
      </c>
      <c r="AM13" s="2">
        <f t="shared" si="14"/>
        <v>2169.921875</v>
      </c>
      <c r="AN13" s="2">
        <v>2.0358863331875909</v>
      </c>
      <c r="AO13" s="2">
        <f t="shared" si="9"/>
        <v>2161.1328125</v>
      </c>
      <c r="AP13" s="2">
        <v>-2.9894894494066193</v>
      </c>
      <c r="AQ13" s="2">
        <f t="shared" si="10"/>
        <v>23.969610422839683</v>
      </c>
      <c r="AR13" s="2">
        <f t="shared" si="11"/>
        <v>-6.0862607132554327</v>
      </c>
      <c r="AS13" s="2">
        <f t="shared" si="12"/>
        <v>17.578125</v>
      </c>
    </row>
    <row r="14" spans="2:45" x14ac:dyDescent="0.2">
      <c r="B14" s="6" t="s">
        <v>13</v>
      </c>
      <c r="C14" s="17">
        <v>96000</v>
      </c>
      <c r="D14" s="6" t="s">
        <v>8</v>
      </c>
      <c r="F14" s="42" t="s">
        <v>85</v>
      </c>
      <c r="G14" s="43">
        <f xml:space="preserve"> $C$18 * G10</f>
        <v>266.85218659368223</v>
      </c>
      <c r="H14" s="43" t="s">
        <v>104</v>
      </c>
      <c r="J14" s="12" t="s">
        <v>135</v>
      </c>
      <c r="K14" s="6">
        <f xml:space="preserve"> $C$53 * $C$18 * (0.0095 * MAX(G9,S19,G30) - 1.9275)</f>
        <v>155.46117769841845</v>
      </c>
      <c r="L14" s="6" t="s">
        <v>7</v>
      </c>
      <c r="N14" s="6" t="s">
        <v>77</v>
      </c>
      <c r="O14" s="6">
        <f xml:space="preserve"> SQRT( ($C$5*$C$43)^2 + O10^2)</f>
        <v>21233.564136072349</v>
      </c>
      <c r="P14" s="6" t="s">
        <v>22</v>
      </c>
      <c r="R14" s="6" t="s">
        <v>77</v>
      </c>
      <c r="S14" s="6">
        <f xml:space="preserve"> SQRT( ($C$5*$C$49)^2 + S10^2)</f>
        <v>21266.997065581374</v>
      </c>
      <c r="T14" s="6" t="s">
        <v>22</v>
      </c>
      <c r="Y14" s="2">
        <v>10</v>
      </c>
      <c r="Z14" s="2">
        <f t="shared" si="7"/>
        <v>5.0781250000000958E-2</v>
      </c>
      <c r="AA14" s="37">
        <f t="shared" si="0"/>
        <v>1.2948457887712594E-6</v>
      </c>
      <c r="AB14" s="2">
        <f t="shared" si="8"/>
        <v>5.1757812500000958E-2</v>
      </c>
      <c r="AC14" s="37">
        <f t="shared" si="1"/>
        <v>-1.6474004186694535E-3</v>
      </c>
      <c r="AD14" s="2">
        <f t="shared" si="2"/>
        <v>5.1269531250000958E-2</v>
      </c>
      <c r="AE14" s="37">
        <f t="shared" si="3"/>
        <v>-8.2625341865204954E-4</v>
      </c>
      <c r="AF14" s="2">
        <f t="shared" si="4"/>
        <v>-1.0698707595994628E-9</v>
      </c>
      <c r="AG14" s="2">
        <f t="shared" si="5"/>
        <v>1.3611702278144536E-6</v>
      </c>
      <c r="AH14" s="2">
        <f t="shared" si="6"/>
        <v>9.765625E-4</v>
      </c>
      <c r="AJ14" s="2">
        <v>10</v>
      </c>
      <c r="AK14" s="2">
        <f t="shared" si="13"/>
        <v>2161.1328125</v>
      </c>
      <c r="AL14" s="2">
        <v>-2.9894894494066193</v>
      </c>
      <c r="AM14" s="2">
        <f t="shared" si="14"/>
        <v>2169.921875</v>
      </c>
      <c r="AN14" s="2">
        <v>2.0358863331875909</v>
      </c>
      <c r="AO14" s="2">
        <f t="shared" si="9"/>
        <v>2165.52734375</v>
      </c>
      <c r="AP14" s="2">
        <v>-0.4764161668010729</v>
      </c>
      <c r="AQ14" s="2">
        <f t="shared" si="10"/>
        <v>1.4242411041785517</v>
      </c>
      <c r="AR14" s="2">
        <f t="shared" si="11"/>
        <v>-0.96992916289992404</v>
      </c>
      <c r="AS14" s="2">
        <f t="shared" si="12"/>
        <v>8.7890625</v>
      </c>
    </row>
    <row r="15" spans="2:45" x14ac:dyDescent="0.2">
      <c r="B15" s="6" t="s">
        <v>263</v>
      </c>
      <c r="C15" s="17">
        <v>1</v>
      </c>
      <c r="J15" s="12" t="s">
        <v>136</v>
      </c>
      <c r="K15" s="6">
        <f xml:space="preserve"> $C$53 * $C$18 * ( 0.0037 * $C$19^0.28 * ($C$9*3.28084)^1.5 * ($G$7*3.28084)^0.43 * ( 0.01742 * $C$19^0.66 * ($C$10*$C$9*3.28084) * ($C$9*3.28084)^1.3 * ($G$7*3.28084)^0.67 + 0.5*(K14/$C$18)* 2.20462 * 9.80665*3.28084 )^0.55 ) * 0.453592</f>
        <v>285.50753794043641</v>
      </c>
      <c r="L15" s="6" t="s">
        <v>7</v>
      </c>
      <c r="N15" s="6" t="s">
        <v>78</v>
      </c>
      <c r="O15" s="6">
        <v>0</v>
      </c>
      <c r="R15" s="6" t="s">
        <v>78</v>
      </c>
      <c r="S15" s="6">
        <f>$C$5*$C$49/S14</f>
        <v>0.99833244193512605</v>
      </c>
      <c r="Y15" s="2">
        <v>11</v>
      </c>
      <c r="Z15" s="2">
        <f t="shared" si="7"/>
        <v>5.0781250000000958E-2</v>
      </c>
      <c r="AA15" s="37">
        <f t="shared" si="0"/>
        <v>1.2948457887712594E-6</v>
      </c>
      <c r="AB15" s="2">
        <f t="shared" si="8"/>
        <v>5.1269531250000958E-2</v>
      </c>
      <c r="AC15" s="37">
        <f t="shared" si="1"/>
        <v>-8.2625341865204954E-4</v>
      </c>
      <c r="AD15" s="2">
        <f t="shared" si="2"/>
        <v>5.1025390625000958E-2</v>
      </c>
      <c r="AE15" s="37">
        <f t="shared" si="3"/>
        <v>-4.132909300068599E-4</v>
      </c>
      <c r="AF15" s="2">
        <f t="shared" si="4"/>
        <v>-5.3514802025673993E-10</v>
      </c>
      <c r="AG15" s="2">
        <f t="shared" si="5"/>
        <v>3.4148304381605291E-7</v>
      </c>
      <c r="AH15" s="2">
        <f t="shared" si="6"/>
        <v>4.8828125E-4</v>
      </c>
      <c r="AJ15" s="2">
        <v>11</v>
      </c>
      <c r="AK15" s="2">
        <f t="shared" si="13"/>
        <v>2165.52734375</v>
      </c>
      <c r="AL15" s="2">
        <v>-0.4764161668010729</v>
      </c>
      <c r="AM15" s="2">
        <f t="shared" si="14"/>
        <v>2169.921875</v>
      </c>
      <c r="AN15" s="2">
        <v>2.0358863331875909</v>
      </c>
      <c r="AO15" s="2">
        <f t="shared" si="9"/>
        <v>2167.724609375</v>
      </c>
      <c r="AP15" s="2">
        <v>0.77983767592218101</v>
      </c>
      <c r="AQ15" s="2">
        <f t="shared" si="10"/>
        <v>-0.37152727628990284</v>
      </c>
      <c r="AR15" s="2">
        <f t="shared" si="11"/>
        <v>1.587660866514742</v>
      </c>
      <c r="AS15" s="2">
        <f t="shared" si="12"/>
        <v>4.39453125</v>
      </c>
    </row>
    <row r="16" spans="2:45" x14ac:dyDescent="0.2">
      <c r="F16" s="57" t="s">
        <v>89</v>
      </c>
      <c r="G16" s="58"/>
      <c r="H16" s="58"/>
      <c r="J16" s="13" t="s">
        <v>56</v>
      </c>
      <c r="K16" s="6">
        <f xml:space="preserve"> $C$53 * 0.2138 * K4</f>
        <v>45.642397994983412</v>
      </c>
      <c r="L16" s="6" t="s">
        <v>7</v>
      </c>
      <c r="Y16" s="2">
        <v>12</v>
      </c>
      <c r="Z16" s="2">
        <f t="shared" si="7"/>
        <v>5.0781250000000958E-2</v>
      </c>
      <c r="AA16" s="37">
        <f t="shared" si="0"/>
        <v>1.2948457887712594E-6</v>
      </c>
      <c r="AB16" s="2">
        <f t="shared" si="8"/>
        <v>5.1025390625000958E-2</v>
      </c>
      <c r="AC16" s="37">
        <f t="shared" si="1"/>
        <v>-4.132909300068599E-4</v>
      </c>
      <c r="AD16" s="2">
        <f t="shared" si="2"/>
        <v>5.0903320312500958E-2</v>
      </c>
      <c r="AE16" s="37">
        <f t="shared" si="3"/>
        <v>-2.0620241279344781E-4</v>
      </c>
      <c r="AF16" s="2">
        <f t="shared" si="4"/>
        <v>-2.6700032584006877E-10</v>
      </c>
      <c r="AG16" s="2">
        <f t="shared" si="5"/>
        <v>8.5221586953062468E-8</v>
      </c>
      <c r="AH16" s="2">
        <f t="shared" si="6"/>
        <v>2.44140625E-4</v>
      </c>
      <c r="AJ16" s="2">
        <v>12</v>
      </c>
      <c r="AK16" s="2">
        <f t="shared" si="13"/>
        <v>2165.52734375</v>
      </c>
      <c r="AL16" s="2">
        <v>-0.4764161668010729</v>
      </c>
      <c r="AM16" s="2">
        <f t="shared" si="14"/>
        <v>2167.724609375</v>
      </c>
      <c r="AN16" s="2">
        <v>0.77983767592218101</v>
      </c>
      <c r="AO16" s="2">
        <f t="shared" si="9"/>
        <v>2166.6259765625</v>
      </c>
      <c r="AP16" s="2">
        <v>0.15173364832412517</v>
      </c>
      <c r="AQ16" s="2">
        <f t="shared" si="10"/>
        <v>-7.2288363109321754E-2</v>
      </c>
      <c r="AR16" s="2">
        <f t="shared" si="11"/>
        <v>0.1183276156682793</v>
      </c>
      <c r="AS16" s="2">
        <f t="shared" si="12"/>
        <v>2.197265625</v>
      </c>
    </row>
    <row r="17" spans="2:45" x14ac:dyDescent="0.2">
      <c r="B17" s="56" t="s">
        <v>115</v>
      </c>
      <c r="C17" s="56"/>
      <c r="D17" s="56"/>
      <c r="F17" s="9" t="s">
        <v>92</v>
      </c>
      <c r="G17" s="6">
        <f xml:space="preserve"> $C$14/$C$8</f>
        <v>1920</v>
      </c>
      <c r="H17" s="6" t="s">
        <v>14</v>
      </c>
      <c r="J17" s="13" t="s">
        <v>80</v>
      </c>
      <c r="K17" s="6">
        <f xml:space="preserve"> $C$53 * 0.1149 * K4</f>
        <v>24.52905299169127</v>
      </c>
      <c r="L17" s="6" t="s">
        <v>7</v>
      </c>
      <c r="N17" s="57" t="s">
        <v>27</v>
      </c>
      <c r="O17" s="59"/>
      <c r="P17" s="59"/>
      <c r="R17" s="57" t="s">
        <v>27</v>
      </c>
      <c r="S17" s="59"/>
      <c r="T17" s="59"/>
      <c r="Y17" s="2">
        <v>13</v>
      </c>
      <c r="Z17" s="2">
        <f t="shared" si="7"/>
        <v>5.0781250000000958E-2</v>
      </c>
      <c r="AA17" s="37">
        <f t="shared" si="0"/>
        <v>1.2948457887712594E-6</v>
      </c>
      <c r="AB17" s="2">
        <f t="shared" si="8"/>
        <v>5.0903320312500958E-2</v>
      </c>
      <c r="AC17" s="37">
        <f t="shared" si="1"/>
        <v>-2.0620241279344781E-4</v>
      </c>
      <c r="AD17" s="2">
        <f t="shared" si="2"/>
        <v>5.0842285156250958E-2</v>
      </c>
      <c r="AE17" s="37">
        <f t="shared" si="3"/>
        <v>-1.025050601806618E-4</v>
      </c>
      <c r="AF17" s="2">
        <f t="shared" si="4"/>
        <v>-1.3272824550267446E-10</v>
      </c>
      <c r="AG17" s="2">
        <f t="shared" si="5"/>
        <v>2.1136790732790035E-8</v>
      </c>
      <c r="AH17" s="2">
        <f t="shared" si="6"/>
        <v>1.220703125E-4</v>
      </c>
      <c r="AJ17" s="2">
        <v>13</v>
      </c>
      <c r="AK17" s="2">
        <f t="shared" si="13"/>
        <v>2165.52734375</v>
      </c>
      <c r="AL17" s="2">
        <v>-0.4764161668010729</v>
      </c>
      <c r="AM17" s="2">
        <f t="shared" si="14"/>
        <v>2166.6259765625</v>
      </c>
      <c r="AN17" s="2">
        <v>0.15173364832412517</v>
      </c>
      <c r="AO17" s="2">
        <f t="shared" si="9"/>
        <v>2166.07666015625</v>
      </c>
      <c r="AP17" s="2">
        <v>-0.16233117234514793</v>
      </c>
      <c r="AQ17" s="2">
        <f t="shared" si="10"/>
        <v>7.7337194880999716E-2</v>
      </c>
      <c r="AR17" s="2">
        <f t="shared" si="11"/>
        <v>-2.4631101016661629E-2</v>
      </c>
      <c r="AS17" s="2">
        <f t="shared" si="12"/>
        <v>1.0986328125</v>
      </c>
    </row>
    <row r="18" spans="2:45" x14ac:dyDescent="0.2">
      <c r="B18" s="6" t="s">
        <v>97</v>
      </c>
      <c r="C18" s="17">
        <v>4</v>
      </c>
      <c r="F18" t="s">
        <v>130</v>
      </c>
      <c r="G18" s="8">
        <f>S20*$C$9</f>
        <v>188.49555921538757</v>
      </c>
      <c r="H18" s="6" t="s">
        <v>10</v>
      </c>
      <c r="J18" s="14" t="s">
        <v>63</v>
      </c>
      <c r="K18" s="6">
        <f xml:space="preserve"> $C$54 * (14.86 * ($C$5*2.20462)^0.144 * ($C$25/(PI()*$C$26))^0.778 * ($C$25*3.28084)^0.383 * $C$24^0.455 * 0.453592)</f>
        <v>131.51015428986514</v>
      </c>
      <c r="L18" s="6" t="s">
        <v>7</v>
      </c>
      <c r="N18" s="6" t="s">
        <v>28</v>
      </c>
      <c r="O18" s="6">
        <f xml:space="preserve"> ACOS(O15)/PI()*180</f>
        <v>90</v>
      </c>
      <c r="P18" s="6" t="s">
        <v>43</v>
      </c>
      <c r="R18" s="6" t="s">
        <v>28</v>
      </c>
      <c r="S18" s="6">
        <f xml:space="preserve"> ACOS(S15)/PI()*180</f>
        <v>3.3093178527328106</v>
      </c>
      <c r="T18" s="6" t="s">
        <v>43</v>
      </c>
      <c r="Y18" s="2">
        <v>14</v>
      </c>
      <c r="Z18" s="2">
        <f t="shared" si="7"/>
        <v>5.0781250000000958E-2</v>
      </c>
      <c r="AA18" s="37">
        <f t="shared" si="0"/>
        <v>1.2948457887712594E-6</v>
      </c>
      <c r="AB18" s="2">
        <f t="shared" si="8"/>
        <v>5.0842285156250958E-2</v>
      </c>
      <c r="AC18" s="37">
        <f t="shared" si="1"/>
        <v>-1.025050601806618E-4</v>
      </c>
      <c r="AD18" s="2">
        <f t="shared" si="2"/>
        <v>5.0811767578125958E-2</v>
      </c>
      <c r="AE18" s="37">
        <f t="shared" si="3"/>
        <v>-5.0617949463128975E-5</v>
      </c>
      <c r="AF18" s="2">
        <f t="shared" si="4"/>
        <v>-6.554243869856898E-11</v>
      </c>
      <c r="AG18" s="2">
        <f t="shared" si="5"/>
        <v>5.1885959559397329E-9</v>
      </c>
      <c r="AH18" s="2">
        <f t="shared" si="6"/>
        <v>6.103515625E-5</v>
      </c>
      <c r="AJ18" s="2">
        <v>14</v>
      </c>
      <c r="AK18" s="2">
        <f t="shared" si="13"/>
        <v>2166.07666015625</v>
      </c>
      <c r="AL18" s="2">
        <v>-0.16233117234514793</v>
      </c>
      <c r="AM18" s="2">
        <f t="shared" si="14"/>
        <v>2166.6259765625</v>
      </c>
      <c r="AN18" s="2">
        <v>0.15173364832412517</v>
      </c>
      <c r="AO18" s="2">
        <f t="shared" si="9"/>
        <v>2166.351318359375</v>
      </c>
      <c r="AP18" s="2">
        <v>-5.3006106522843766E-3</v>
      </c>
      <c r="AQ18" s="2">
        <f t="shared" si="10"/>
        <v>8.6045434133050214E-4</v>
      </c>
      <c r="AR18" s="2">
        <f t="shared" si="11"/>
        <v>-8.0428099261682933E-4</v>
      </c>
      <c r="AS18" s="2">
        <f t="shared" si="12"/>
        <v>0.54931640625</v>
      </c>
    </row>
    <row r="19" spans="2:45" x14ac:dyDescent="0.2">
      <c r="B19" t="s">
        <v>114</v>
      </c>
      <c r="C19" s="1">
        <v>3</v>
      </c>
      <c r="D19"/>
      <c r="F19" s="6" t="s">
        <v>133</v>
      </c>
      <c r="G19" s="6">
        <f>G18/$C$48</f>
        <v>0.56652610777154422</v>
      </c>
      <c r="H19" s="6" t="s">
        <v>131</v>
      </c>
      <c r="J19" s="14" t="s">
        <v>64</v>
      </c>
      <c r="K19" s="6">
        <f xml:space="preserve"> $C$54 * C30 * $C$5</f>
        <v>24.26323848644461</v>
      </c>
      <c r="L19" s="6" t="s">
        <v>7</v>
      </c>
      <c r="N19" s="6" t="s">
        <v>21</v>
      </c>
      <c r="O19" s="6">
        <f xml:space="preserve"> O14 / $C$18</f>
        <v>5308.3910340180873</v>
      </c>
      <c r="P19" s="6" t="s">
        <v>22</v>
      </c>
      <c r="R19" s="6" t="s">
        <v>21</v>
      </c>
      <c r="S19" s="6">
        <f xml:space="preserve"> S14 / $C$18</f>
        <v>5316.7492663953435</v>
      </c>
      <c r="T19" s="6" t="s">
        <v>22</v>
      </c>
      <c r="Y19" s="2">
        <v>15</v>
      </c>
      <c r="Z19" s="2">
        <f t="shared" si="7"/>
        <v>5.0781250000000958E-2</v>
      </c>
      <c r="AA19" s="37">
        <f t="shared" si="0"/>
        <v>1.2948457887712594E-6</v>
      </c>
      <c r="AB19" s="2">
        <f t="shared" si="8"/>
        <v>5.0811767578125958E-2</v>
      </c>
      <c r="AC19" s="37">
        <f t="shared" si="1"/>
        <v>-5.0617949463128975E-5</v>
      </c>
      <c r="AD19" s="2">
        <f t="shared" si="2"/>
        <v>5.0796508789063458E-2</v>
      </c>
      <c r="AE19" s="37">
        <f t="shared" si="3"/>
        <v>-2.4664765297242874E-5</v>
      </c>
      <c r="AF19" s="2">
        <f t="shared" si="4"/>
        <v>-3.1937067476166437E-11</v>
      </c>
      <c r="AG19" s="2">
        <f t="shared" si="5"/>
        <v>1.2484798433357772E-9</v>
      </c>
      <c r="AH19" s="2">
        <f t="shared" si="6"/>
        <v>3.0517578125E-5</v>
      </c>
      <c r="AJ19" s="2">
        <v>15</v>
      </c>
      <c r="AK19" s="2">
        <f t="shared" si="13"/>
        <v>2166.351318359375</v>
      </c>
      <c r="AL19" s="2">
        <v>-5.3006106522843766E-3</v>
      </c>
      <c r="AM19" s="2">
        <f t="shared" si="14"/>
        <v>2166.6259765625</v>
      </c>
      <c r="AN19" s="2">
        <v>0.15173364832412517</v>
      </c>
      <c r="AO19" s="2">
        <f t="shared" si="9"/>
        <v>2166.4886474609375</v>
      </c>
      <c r="AP19" s="2">
        <v>7.3216307746406528E-2</v>
      </c>
      <c r="AQ19" s="2">
        <f t="shared" si="10"/>
        <v>-3.8809114076153358E-4</v>
      </c>
      <c r="AR19" s="2">
        <f t="shared" si="11"/>
        <v>1.110937749118417E-2</v>
      </c>
      <c r="AS19" s="2">
        <f t="shared" si="12"/>
        <v>0.274658203125</v>
      </c>
    </row>
    <row r="20" spans="2:45" x14ac:dyDescent="0.2">
      <c r="B20" s="6" t="s">
        <v>128</v>
      </c>
      <c r="C20" s="6">
        <f>$C$19*$C$10/PI()</f>
        <v>6.1401977044853208E-2</v>
      </c>
      <c r="F20" s="9" t="s">
        <v>21</v>
      </c>
      <c r="G20" s="6">
        <f>S19</f>
        <v>5316.7492663953435</v>
      </c>
      <c r="H20" s="6" t="s">
        <v>22</v>
      </c>
      <c r="J20" s="14" t="s">
        <v>65</v>
      </c>
      <c r="K20" s="6">
        <f xml:space="preserve"> $C$54 * 0</f>
        <v>0</v>
      </c>
      <c r="L20" s="6" t="s">
        <v>7</v>
      </c>
      <c r="N20" s="6" t="s">
        <v>29</v>
      </c>
      <c r="O20" s="6">
        <f>$C$6*2*PI()/60</f>
        <v>41.887902047863911</v>
      </c>
      <c r="P20" s="6" t="s">
        <v>30</v>
      </c>
      <c r="R20" s="6" t="s">
        <v>29</v>
      </c>
      <c r="S20" s="6">
        <f>$C$7*2*PI()/60</f>
        <v>47.123889803846893</v>
      </c>
      <c r="T20" s="6" t="s">
        <v>30</v>
      </c>
      <c r="Y20" s="2">
        <v>16</v>
      </c>
      <c r="Z20" s="2">
        <f t="shared" si="7"/>
        <v>5.0781250000000958E-2</v>
      </c>
      <c r="AA20" s="37">
        <f t="shared" si="0"/>
        <v>1.2948457887712594E-6</v>
      </c>
      <c r="AB20" s="2">
        <f t="shared" si="8"/>
        <v>5.0796508789063458E-2</v>
      </c>
      <c r="AC20" s="37">
        <f t="shared" si="1"/>
        <v>-2.4664765297242874E-5</v>
      </c>
      <c r="AD20" s="2">
        <f t="shared" si="2"/>
        <v>5.0788879394532208E-2</v>
      </c>
      <c r="AE20" s="37">
        <f t="shared" si="3"/>
        <v>-1.1685763481296407E-5</v>
      </c>
      <c r="AF20" s="2">
        <f t="shared" si="4"/>
        <v>-1.5131261632333626E-11</v>
      </c>
      <c r="AG20" s="2">
        <f t="shared" si="5"/>
        <v>2.8822661358526769E-10</v>
      </c>
      <c r="AH20" s="2">
        <f t="shared" si="6"/>
        <v>1.52587890625E-5</v>
      </c>
      <c r="AJ20" s="2">
        <v>16</v>
      </c>
      <c r="AK20" s="2">
        <f t="shared" si="13"/>
        <v>2166.351318359375</v>
      </c>
      <c r="AL20" s="2">
        <v>-5.3006106522843766E-3</v>
      </c>
      <c r="AM20" s="2">
        <f t="shared" si="14"/>
        <v>2166.4886474609375</v>
      </c>
      <c r="AN20" s="2">
        <v>7.3216307746406528E-2</v>
      </c>
      <c r="AO20" s="2">
        <f t="shared" si="9"/>
        <v>2166.4199829101562</v>
      </c>
      <c r="AP20" s="2">
        <v>3.3965535156085025E-2</v>
      </c>
      <c r="AQ20" s="2">
        <f t="shared" si="10"/>
        <v>-1.8003807745888378E-4</v>
      </c>
      <c r="AR20" s="2">
        <f t="shared" si="11"/>
        <v>2.4868310747593113E-3</v>
      </c>
      <c r="AS20" s="2">
        <f t="shared" si="12"/>
        <v>0.1373291015625</v>
      </c>
    </row>
    <row r="21" spans="2:45" x14ac:dyDescent="0.2">
      <c r="B21" s="6" t="s">
        <v>129</v>
      </c>
      <c r="C21" s="17">
        <v>0.75</v>
      </c>
      <c r="F21" s="9" t="s">
        <v>100</v>
      </c>
      <c r="G21" s="6">
        <f xml:space="preserve"> 1/1000 * (S24 + S19 * (S26 * S29 + $C$8 * SIN(S18/180*PI())))</f>
        <v>52.504788449770025</v>
      </c>
      <c r="H21" s="6" t="s">
        <v>104</v>
      </c>
      <c r="J21" s="14" t="s">
        <v>66</v>
      </c>
      <c r="K21" s="6">
        <f xml:space="preserve"> $C$54 * 0</f>
        <v>0</v>
      </c>
      <c r="L21" s="6" t="s">
        <v>7</v>
      </c>
      <c r="N21" s="6" t="s">
        <v>31</v>
      </c>
      <c r="O21" s="6">
        <f xml:space="preserve"> $G$4 * COS(O18/180*PI()) / (O20 * $C$9)</f>
        <v>9.2825216761867626E-19</v>
      </c>
      <c r="R21" s="6" t="s">
        <v>31</v>
      </c>
      <c r="S21" s="6">
        <f xml:space="preserve"> $C$8 * COS(S18/180*PI()) / (S20 * $C$9)</f>
        <v>0.26481590497162982</v>
      </c>
      <c r="Y21" s="2">
        <v>17</v>
      </c>
      <c r="Z21" s="2">
        <f t="shared" si="7"/>
        <v>5.0781250000000958E-2</v>
      </c>
      <c r="AA21" s="37">
        <f t="shared" si="0"/>
        <v>1.2948457887712594E-6</v>
      </c>
      <c r="AB21" s="2">
        <f t="shared" si="8"/>
        <v>5.0788879394532208E-2</v>
      </c>
      <c r="AC21" s="37">
        <f t="shared" si="1"/>
        <v>-1.1685763481296407E-5</v>
      </c>
      <c r="AD21" s="2">
        <f t="shared" si="2"/>
        <v>5.0785064697266583E-2</v>
      </c>
      <c r="AE21" s="37">
        <f t="shared" si="3"/>
        <v>-5.1956598233066087E-6</v>
      </c>
      <c r="AF21" s="2">
        <f t="shared" si="4"/>
        <v>-6.7275782420965882E-12</v>
      </c>
      <c r="AG21" s="2">
        <f t="shared" si="5"/>
        <v>6.0715251824435307E-11</v>
      </c>
      <c r="AH21" s="2">
        <f t="shared" si="6"/>
        <v>7.62939453125E-6</v>
      </c>
      <c r="AJ21" s="2">
        <v>17</v>
      </c>
      <c r="AK21" s="2">
        <f t="shared" si="13"/>
        <v>2166.351318359375</v>
      </c>
      <c r="AL21" s="2">
        <v>-5.3006106522843766E-3</v>
      </c>
      <c r="AM21" s="2">
        <f t="shared" si="14"/>
        <v>2166.4199829101562</v>
      </c>
      <c r="AN21" s="2">
        <v>3.3965535156085025E-2</v>
      </c>
      <c r="AO21" s="2">
        <f t="shared" si="9"/>
        <v>2166.3856506347656</v>
      </c>
      <c r="AP21" s="2">
        <v>1.4325714113510912E-2</v>
      </c>
      <c r="AQ21" s="2">
        <f t="shared" si="10"/>
        <v>-7.593503283165658E-5</v>
      </c>
      <c r="AR21" s="2">
        <f t="shared" si="11"/>
        <v>4.8658054635847828E-4</v>
      </c>
      <c r="AS21" s="2">
        <f t="shared" si="12"/>
        <v>6.866455078125E-2</v>
      </c>
    </row>
    <row r="22" spans="2:45" x14ac:dyDescent="0.2">
      <c r="F22" t="s">
        <v>274</v>
      </c>
      <c r="G22" s="6">
        <f xml:space="preserve"> (G20/$C$49*1000) / ($G$21*1000)</f>
        <v>10.33229163206359</v>
      </c>
      <c r="H22" s="6" t="s">
        <v>275</v>
      </c>
      <c r="J22" s="14" t="s">
        <v>117</v>
      </c>
      <c r="K22" s="6">
        <f>$C$54*(0.14*$G$14*1000/745.7)*0.453592</f>
        <v>18.179838951853249</v>
      </c>
      <c r="L22" s="6" t="s">
        <v>7</v>
      </c>
      <c r="N22" s="6" t="s">
        <v>32</v>
      </c>
      <c r="O22" s="6">
        <f xml:space="preserve"> O19 / ($C$40 * PI() * $C$9^2 * O20^2 * $C$9^2)</f>
        <v>3.6179646461854359E-3</v>
      </c>
      <c r="R22" s="6" t="s">
        <v>32</v>
      </c>
      <c r="S22" s="6">
        <f xml:space="preserve"> S19 / ($C$46 * PI() * $C$9^2 * S20^2 * $C$9^2)</f>
        <v>2.9517461815714218E-3</v>
      </c>
      <c r="Y22" s="2">
        <v>18</v>
      </c>
      <c r="Z22" s="2">
        <f t="shared" si="7"/>
        <v>5.0781250000000958E-2</v>
      </c>
      <c r="AA22" s="37">
        <f t="shared" si="0"/>
        <v>1.2948457887712594E-6</v>
      </c>
      <c r="AB22" s="2">
        <f t="shared" si="8"/>
        <v>5.0785064697266583E-2</v>
      </c>
      <c r="AC22" s="37">
        <f t="shared" si="1"/>
        <v>-5.1956598233066087E-6</v>
      </c>
      <c r="AD22" s="2">
        <f t="shared" si="2"/>
        <v>5.078315734863377E-2</v>
      </c>
      <c r="AE22" s="37">
        <f t="shared" si="3"/>
        <v>-1.9504572671899534E-6</v>
      </c>
      <c r="AF22" s="2">
        <f t="shared" si="4"/>
        <v>-2.5255413785992104E-12</v>
      </c>
      <c r="AG22" s="2">
        <f t="shared" si="5"/>
        <v>1.0133912460215244E-11</v>
      </c>
      <c r="AH22" s="2">
        <f t="shared" si="6"/>
        <v>3.814697265625E-6</v>
      </c>
      <c r="AJ22" s="2">
        <v>18</v>
      </c>
      <c r="AK22" s="2">
        <f t="shared" si="13"/>
        <v>2166.351318359375</v>
      </c>
      <c r="AL22" s="2">
        <v>-5.3006106522843766E-3</v>
      </c>
      <c r="AM22" s="2">
        <f t="shared" si="14"/>
        <v>2166.3856506347656</v>
      </c>
      <c r="AN22" s="2">
        <v>1.4325714113510912E-2</v>
      </c>
      <c r="AO22" s="2">
        <f t="shared" si="9"/>
        <v>2166.3684844970703</v>
      </c>
      <c r="AP22" s="2">
        <v>4.5125484430172946E-3</v>
      </c>
      <c r="AQ22" s="2">
        <f t="shared" si="10"/>
        <v>-2.3919262346006751E-5</v>
      </c>
      <c r="AR22" s="2">
        <f t="shared" si="11"/>
        <v>6.4645478918034545E-5</v>
      </c>
      <c r="AS22" s="2">
        <f t="shared" si="12"/>
        <v>3.4332275390625E-2</v>
      </c>
    </row>
    <row r="23" spans="2:45" x14ac:dyDescent="0.2">
      <c r="B23" s="56" t="s">
        <v>107</v>
      </c>
      <c r="C23" s="56"/>
      <c r="D23" s="56"/>
      <c r="F23" s="9" t="s">
        <v>276</v>
      </c>
      <c r="G23" s="6">
        <f>S22/ ($C$19*$C$10/PI())</f>
        <v>4.8072494138343726E-2</v>
      </c>
      <c r="J23" s="15" t="s">
        <v>67</v>
      </c>
      <c r="K23" s="6">
        <f xml:space="preserve"> $C$55 * (0.0268 * $C$5)</f>
        <v>46.446770816908248</v>
      </c>
      <c r="L23" s="6" t="s">
        <v>7</v>
      </c>
      <c r="N23" s="6" t="s">
        <v>1</v>
      </c>
      <c r="O23" s="17">
        <v>8.8999999999999999E-3</v>
      </c>
      <c r="R23" s="6" t="s">
        <v>1</v>
      </c>
      <c r="S23" s="17">
        <v>8.8999999999999999E-3</v>
      </c>
      <c r="Y23" s="2">
        <v>19</v>
      </c>
      <c r="Z23" s="2">
        <f t="shared" si="7"/>
        <v>5.0781250000000958E-2</v>
      </c>
      <c r="AA23" s="37">
        <f t="shared" si="0"/>
        <v>1.2948457887712594E-6</v>
      </c>
      <c r="AB23" s="2">
        <f t="shared" si="8"/>
        <v>5.078315734863377E-2</v>
      </c>
      <c r="AC23" s="37">
        <f t="shared" si="1"/>
        <v>-1.9504572671899534E-6</v>
      </c>
      <c r="AD23" s="2">
        <f t="shared" si="2"/>
        <v>5.0782203674317364E-2</v>
      </c>
      <c r="AE23" s="37">
        <f t="shared" si="3"/>
        <v>-3.2781830239941856E-7</v>
      </c>
      <c r="AF23" s="2">
        <f t="shared" si="4"/>
        <v>-4.2447414834403039E-13</v>
      </c>
      <c r="AG23" s="2">
        <f t="shared" si="5"/>
        <v>6.3939559023281962E-13</v>
      </c>
      <c r="AH23" s="2">
        <f t="shared" si="6"/>
        <v>1.9073486328125E-6</v>
      </c>
      <c r="AJ23" s="2">
        <v>19</v>
      </c>
      <c r="AK23" s="2">
        <f t="shared" si="13"/>
        <v>2166.351318359375</v>
      </c>
      <c r="AL23" s="2">
        <v>-5.3006106522843766E-3</v>
      </c>
      <c r="AM23" s="2">
        <f t="shared" si="14"/>
        <v>2166.3684844970703</v>
      </c>
      <c r="AN23" s="2">
        <v>4.5125484430172946E-3</v>
      </c>
      <c r="AO23" s="2">
        <f t="shared" si="9"/>
        <v>2166.3599014282227</v>
      </c>
      <c r="AP23" s="2">
        <v>-3.8729712355234369E-4</v>
      </c>
      <c r="AQ23" s="2">
        <f t="shared" si="10"/>
        <v>2.0529112587006511E-6</v>
      </c>
      <c r="AR23" s="2">
        <f t="shared" si="11"/>
        <v>-1.7476970318712053E-6</v>
      </c>
      <c r="AS23" s="2">
        <f t="shared" si="12"/>
        <v>1.71661376953125E-2</v>
      </c>
    </row>
    <row r="24" spans="2:45" x14ac:dyDescent="0.2">
      <c r="B24" t="s">
        <v>108</v>
      </c>
      <c r="C24" s="1">
        <v>6</v>
      </c>
      <c r="D24"/>
      <c r="F24" s="44" t="s">
        <v>225</v>
      </c>
      <c r="G24" s="43">
        <f>$C$18 * G21</f>
        <v>210.0191537990801</v>
      </c>
      <c r="H24" s="43" t="s">
        <v>104</v>
      </c>
      <c r="J24" s="15" t="s">
        <v>68</v>
      </c>
      <c r="K24" s="6">
        <f xml:space="preserve"> $C$55 * (11.5 * ($C$5*2.20462/1000)^0.4 * 0.453592)</f>
        <v>7.7997199317222217</v>
      </c>
      <c r="L24" s="6" t="s">
        <v>7</v>
      </c>
      <c r="N24" s="6" t="s">
        <v>33</v>
      </c>
      <c r="O24" s="6">
        <f xml:space="preserve"> ($C$20 * O23 / 8) * (1 + 4.65 *O21^ 2) * ( PI() * $C$40 * O20^3 *$C$9^ 5)</f>
        <v>16793.04931981819</v>
      </c>
      <c r="P24" s="6" t="s">
        <v>20</v>
      </c>
      <c r="R24" s="6" t="s">
        <v>33</v>
      </c>
      <c r="S24" s="6">
        <f xml:space="preserve"> ($C$20 * S23 / 8) * (1 + 4.65 *S21^ 2) * ( PI() * $C$46 * S20^3 *$C$9^ 5)</f>
        <v>30755.624753970169</v>
      </c>
      <c r="T24" s="6" t="s">
        <v>20</v>
      </c>
      <c r="Y24" s="2">
        <v>20</v>
      </c>
      <c r="Z24" s="2">
        <f t="shared" si="7"/>
        <v>5.0781250000000958E-2</v>
      </c>
      <c r="AA24" s="37">
        <f t="shared" si="0"/>
        <v>1.2948457887712594E-6</v>
      </c>
      <c r="AB24" s="2">
        <f t="shared" si="8"/>
        <v>5.0782203674317364E-2</v>
      </c>
      <c r="AC24" s="37">
        <f t="shared" si="1"/>
        <v>-3.2781830239941856E-7</v>
      </c>
      <c r="AD24" s="2">
        <f t="shared" si="2"/>
        <v>5.0781726837159161E-2</v>
      </c>
      <c r="AE24" s="37">
        <f t="shared" si="3"/>
        <v>4.8351060229906428E-7</v>
      </c>
      <c r="AF24" s="2">
        <f t="shared" si="4"/>
        <v>6.2607166721319862E-13</v>
      </c>
      <c r="AG24" s="2">
        <f t="shared" si="5"/>
        <v>-1.5850362483779965E-13</v>
      </c>
      <c r="AH24" s="2">
        <f t="shared" si="6"/>
        <v>9.5367431640625E-7</v>
      </c>
      <c r="AJ24" s="2">
        <v>20</v>
      </c>
      <c r="AK24" s="2">
        <f t="shared" si="13"/>
        <v>2166.3599014282227</v>
      </c>
      <c r="AL24" s="2">
        <v>-3.8729712355234369E-4</v>
      </c>
      <c r="AM24" s="2">
        <f t="shared" si="14"/>
        <v>2166.3684844970703</v>
      </c>
      <c r="AN24" s="2">
        <v>4.5125484430172946E-3</v>
      </c>
      <c r="AO24" s="2">
        <f t="shared" si="9"/>
        <v>2166.3641929626465</v>
      </c>
      <c r="AP24" s="2">
        <v>2.0703646450783708E-3</v>
      </c>
      <c r="AQ24" s="2">
        <f t="shared" si="10"/>
        <v>-8.0184627174332194E-7</v>
      </c>
      <c r="AR24" s="2">
        <f t="shared" si="11"/>
        <v>9.3426207556264564E-6</v>
      </c>
      <c r="AS24" s="2">
        <f t="shared" si="12"/>
        <v>8.58306884765625E-3</v>
      </c>
    </row>
    <row r="25" spans="2:45" x14ac:dyDescent="0.2">
      <c r="B25" t="s">
        <v>109</v>
      </c>
      <c r="C25" s="1">
        <v>6.4008000000000003</v>
      </c>
      <c r="D25" t="s">
        <v>8</v>
      </c>
      <c r="J25" s="15" t="s">
        <v>69</v>
      </c>
      <c r="K25" s="6">
        <f xml:space="preserve"> $C$55 * (8 * ($C$5/1000))</f>
        <v>13.864707706539775</v>
      </c>
      <c r="L25" s="6" t="s">
        <v>7</v>
      </c>
      <c r="N25" s="6" t="s">
        <v>34</v>
      </c>
      <c r="O25" s="18">
        <f>AD34</f>
        <v>5.0782011356205706E-2</v>
      </c>
      <c r="R25" s="6" t="s">
        <v>34</v>
      </c>
      <c r="S25" s="18">
        <f>AD68</f>
        <v>2.0868378225713968E-2</v>
      </c>
      <c r="Y25" s="2">
        <v>21</v>
      </c>
      <c r="Z25" s="2">
        <f t="shared" si="7"/>
        <v>5.0781726837159161E-2</v>
      </c>
      <c r="AA25" s="37">
        <f t="shared" si="0"/>
        <v>4.8351060229906428E-7</v>
      </c>
      <c r="AB25" s="2">
        <f t="shared" si="8"/>
        <v>5.0782203674317364E-2</v>
      </c>
      <c r="AC25" s="37">
        <f t="shared" si="1"/>
        <v>-3.2781830239941856E-7</v>
      </c>
      <c r="AD25" s="2">
        <f t="shared" si="2"/>
        <v>5.0781965255738262E-2</v>
      </c>
      <c r="AE25" s="37">
        <f t="shared" si="3"/>
        <v>7.7845364744588696E-8</v>
      </c>
      <c r="AF25" s="2">
        <f t="shared" si="4"/>
        <v>3.7639059193846427E-14</v>
      </c>
      <c r="AG25" s="2">
        <f t="shared" si="5"/>
        <v>-2.5519135320234613E-14</v>
      </c>
      <c r="AH25" s="2">
        <f t="shared" si="6"/>
        <v>4.76837158203125E-7</v>
      </c>
      <c r="AJ25" s="2">
        <v>21</v>
      </c>
      <c r="AK25" s="2">
        <f t="shared" si="13"/>
        <v>2166.3599014282227</v>
      </c>
      <c r="AL25" s="2">
        <v>-3.8729712355234369E-4</v>
      </c>
      <c r="AM25" s="2">
        <f t="shared" si="14"/>
        <v>2166.3641929626465</v>
      </c>
      <c r="AN25" s="2">
        <v>2.0703646450783708E-3</v>
      </c>
      <c r="AO25" s="2">
        <f t="shared" si="9"/>
        <v>2166.3620471954346</v>
      </c>
      <c r="AP25" s="2">
        <v>8.3479889781301608E-4</v>
      </c>
      <c r="AQ25" s="2">
        <f t="shared" si="10"/>
        <v>-3.2331521186764804E-7</v>
      </c>
      <c r="AR25" s="2">
        <f t="shared" si="11"/>
        <v>1.7283381237824602E-6</v>
      </c>
      <c r="AS25" s="2">
        <f t="shared" si="12"/>
        <v>4.291534423828125E-3</v>
      </c>
    </row>
    <row r="26" spans="2:45" x14ac:dyDescent="0.2">
      <c r="B26" t="s">
        <v>110</v>
      </c>
      <c r="C26" s="1">
        <v>2.0560284000000002</v>
      </c>
      <c r="D26" t="s">
        <v>8</v>
      </c>
      <c r="F26" s="57" t="s">
        <v>84</v>
      </c>
      <c r="G26" s="58"/>
      <c r="H26" s="58"/>
      <c r="J26" s="15" t="s">
        <v>70</v>
      </c>
      <c r="K26" s="6">
        <f xml:space="preserve"> $C$55 * (13 * ($C$5*2.20462/1000)^1.3 * 0.453592)</f>
        <v>36.014928675817764</v>
      </c>
      <c r="L26" s="6" t="s">
        <v>7</v>
      </c>
      <c r="N26" s="6" t="s">
        <v>35</v>
      </c>
      <c r="O26" s="6">
        <f xml:space="preserve"> O20 * $C$9 * O25 - $G$4 * SIN(O18/180*PI())</f>
        <v>5.9686076699290291</v>
      </c>
      <c r="P26" s="6" t="s">
        <v>10</v>
      </c>
      <c r="R26" s="6" t="s">
        <v>35</v>
      </c>
      <c r="S26" s="6">
        <f xml:space="preserve"> S20 * $C$9 * S25 - $C$8 * SIN(S18/180*PI())</f>
        <v>1.0472774365090252</v>
      </c>
      <c r="T26" s="6" t="s">
        <v>10</v>
      </c>
      <c r="Y26" s="2">
        <v>22</v>
      </c>
      <c r="Z26" s="2">
        <f t="shared" si="7"/>
        <v>5.0781965255738262E-2</v>
      </c>
      <c r="AA26" s="37">
        <f t="shared" si="0"/>
        <v>7.7845364744588696E-8</v>
      </c>
      <c r="AB26" s="2">
        <f t="shared" si="8"/>
        <v>5.0782203674317364E-2</v>
      </c>
      <c r="AC26" s="37">
        <f t="shared" si="1"/>
        <v>-3.2781830239941856E-7</v>
      </c>
      <c r="AD26" s="2">
        <f t="shared" si="2"/>
        <v>5.0782084465027813E-2</v>
      </c>
      <c r="AE26" s="37">
        <f t="shared" si="3"/>
        <v>-1.2498666512872347E-7</v>
      </c>
      <c r="AF26" s="2">
        <f t="shared" si="4"/>
        <v>-9.7296325351552437E-15</v>
      </c>
      <c r="AG26" s="2">
        <f t="shared" si="5"/>
        <v>4.0972916385062736E-14</v>
      </c>
      <c r="AH26" s="2">
        <f t="shared" si="6"/>
        <v>2.384185791015625E-7</v>
      </c>
      <c r="AJ26" s="2">
        <v>22</v>
      </c>
      <c r="AK26" s="2">
        <f t="shared" si="13"/>
        <v>2166.3599014282227</v>
      </c>
      <c r="AL26" s="2">
        <v>-3.8729712355234369E-4</v>
      </c>
      <c r="AM26" s="2">
        <f t="shared" si="14"/>
        <v>2166.3620471954346</v>
      </c>
      <c r="AN26" s="2">
        <v>8.3479889781301608E-4</v>
      </c>
      <c r="AO26" s="2">
        <f t="shared" si="9"/>
        <v>2166.3609743118286</v>
      </c>
      <c r="AP26" s="2">
        <v>2.2375087564796559E-4</v>
      </c>
      <c r="AQ26" s="2">
        <f t="shared" si="10"/>
        <v>-8.665807053077522E-8</v>
      </c>
      <c r="AR26" s="2">
        <f t="shared" si="11"/>
        <v>1.8678698437561889E-7</v>
      </c>
      <c r="AS26" s="2">
        <f t="shared" si="12"/>
        <v>2.1457672119140625E-3</v>
      </c>
    </row>
    <row r="27" spans="2:45" x14ac:dyDescent="0.2">
      <c r="F27" t="s">
        <v>88</v>
      </c>
      <c r="G27" s="1">
        <f>300*0.3048/60</f>
        <v>1.524</v>
      </c>
      <c r="H27" t="s">
        <v>10</v>
      </c>
      <c r="J27" s="10" t="s">
        <v>57</v>
      </c>
      <c r="K27" s="10">
        <f>$C$5 - $C$13 - SUM(K13:K26)</f>
        <v>-3.205968823749572E-10</v>
      </c>
      <c r="L27" s="10" t="s">
        <v>7</v>
      </c>
      <c r="N27" s="6" t="s">
        <v>36</v>
      </c>
      <c r="O27" s="6">
        <f xml:space="preserve"> 1/$C$21 - O24 * SQRT( (2*$C$40*PI()*$C$9^2) / O19^3 )</f>
        <v>0.88941723539312845</v>
      </c>
      <c r="R27" s="6" t="s">
        <v>36</v>
      </c>
      <c r="S27" s="6">
        <f xml:space="preserve"> 1/$C$21 - S24 * SQRT( (2*$C$46*PI()*$C$9^2) / S19^3 )</f>
        <v>0.53450631869268006</v>
      </c>
      <c r="Y27" s="2">
        <v>23</v>
      </c>
      <c r="Z27" s="2">
        <f t="shared" si="7"/>
        <v>5.0781965255738262E-2</v>
      </c>
      <c r="AA27" s="37">
        <f t="shared" si="0"/>
        <v>7.7845364744588696E-8</v>
      </c>
      <c r="AB27" s="2">
        <f t="shared" si="8"/>
        <v>5.0782084465027813E-2</v>
      </c>
      <c r="AC27" s="37">
        <f t="shared" si="1"/>
        <v>-1.2498666512872347E-7</v>
      </c>
      <c r="AD27" s="2">
        <f t="shared" si="2"/>
        <v>5.0782024860383038E-2</v>
      </c>
      <c r="AE27" s="37">
        <f t="shared" si="3"/>
        <v>-2.3570699267394524E-8</v>
      </c>
      <c r="AF27" s="2">
        <f t="shared" si="4"/>
        <v>-1.8348696817553364E-15</v>
      </c>
      <c r="AG27" s="2">
        <f t="shared" si="5"/>
        <v>2.9460230961836869E-15</v>
      </c>
      <c r="AH27" s="2">
        <f t="shared" si="6"/>
        <v>1.1920928955078125E-7</v>
      </c>
      <c r="AJ27" s="2">
        <v>23</v>
      </c>
      <c r="AK27" s="2">
        <f t="shared" si="13"/>
        <v>2166.3599014282227</v>
      </c>
      <c r="AL27" s="2">
        <v>-3.8729712355234369E-4</v>
      </c>
      <c r="AM27" s="2">
        <f t="shared" si="14"/>
        <v>2166.3609743118286</v>
      </c>
      <c r="AN27" s="2">
        <v>2.2375087564796559E-4</v>
      </c>
      <c r="AO27" s="2">
        <f t="shared" si="9"/>
        <v>2166.3604378700256</v>
      </c>
      <c r="AP27" s="2">
        <v>-8.7503566874147509E-5</v>
      </c>
      <c r="AQ27" s="2">
        <f t="shared" si="10"/>
        <v>3.3889879750927476E-8</v>
      </c>
      <c r="AR27" s="2">
        <f t="shared" si="11"/>
        <v>-1.957899971041082E-8</v>
      </c>
      <c r="AS27" s="2">
        <f t="shared" si="12"/>
        <v>1.0728836059570312E-3</v>
      </c>
    </row>
    <row r="28" spans="2:45" x14ac:dyDescent="0.2">
      <c r="B28" s="56" t="s">
        <v>111</v>
      </c>
      <c r="C28" s="56"/>
      <c r="D28" s="56"/>
      <c r="F28" t="s">
        <v>94</v>
      </c>
      <c r="G28" s="1">
        <f>1000*0.3048</f>
        <v>304.8</v>
      </c>
      <c r="H28" t="s">
        <v>8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R28" s="6" t="s">
        <v>37</v>
      </c>
      <c r="S28" s="17">
        <v>1.1499999999999999</v>
      </c>
      <c r="Y28" s="2">
        <v>24</v>
      </c>
      <c r="Z28" s="2">
        <f t="shared" si="7"/>
        <v>5.0781965255738262E-2</v>
      </c>
      <c r="AA28" s="37">
        <f t="shared" si="0"/>
        <v>7.7845364744588696E-8</v>
      </c>
      <c r="AB28" s="2">
        <f t="shared" si="8"/>
        <v>5.0782024860383038E-2</v>
      </c>
      <c r="AC28" s="37">
        <f t="shared" si="1"/>
        <v>-2.3570699267394524E-8</v>
      </c>
      <c r="AD28" s="2">
        <f t="shared" si="2"/>
        <v>5.078199505806065E-2</v>
      </c>
      <c r="AE28" s="37">
        <f t="shared" si="3"/>
        <v>2.7137320467163217E-8</v>
      </c>
      <c r="AF28" s="2">
        <f t="shared" si="4"/>
        <v>2.1125146099571128E-15</v>
      </c>
      <c r="AG28" s="2">
        <f t="shared" si="5"/>
        <v>-6.3964561965441448E-16</v>
      </c>
      <c r="AH28" s="2">
        <f t="shared" si="6"/>
        <v>5.9604644775390625E-8</v>
      </c>
      <c r="AJ28" s="2">
        <v>24</v>
      </c>
      <c r="AK28" s="2">
        <f t="shared" si="13"/>
        <v>2166.3604378700256</v>
      </c>
      <c r="AL28" s="2">
        <v>-8.7503566874147509E-5</v>
      </c>
      <c r="AM28" s="2">
        <f t="shared" si="14"/>
        <v>2166.3609743118286</v>
      </c>
      <c r="AN28" s="2">
        <v>2.2375087564796559E-4</v>
      </c>
      <c r="AO28" s="2">
        <f t="shared" si="9"/>
        <v>2166.3607060909271</v>
      </c>
      <c r="AP28" s="2">
        <v>6.8123653136353823E-5</v>
      </c>
      <c r="AQ28" s="2">
        <f t="shared" si="10"/>
        <v>-5.9610626379281655E-9</v>
      </c>
      <c r="AR28" s="2">
        <f t="shared" si="11"/>
        <v>1.5242727041597446E-8</v>
      </c>
      <c r="AS28" s="2">
        <f t="shared" si="12"/>
        <v>5.3644180297851562E-4</v>
      </c>
    </row>
    <row r="29" spans="2:45" x14ac:dyDescent="0.2">
      <c r="B29" s="6" t="s">
        <v>124</v>
      </c>
      <c r="C29" s="21" t="s">
        <v>260</v>
      </c>
      <c r="F29" t="s">
        <v>93</v>
      </c>
      <c r="G29" s="8">
        <f>$G$28/$G$27</f>
        <v>200</v>
      </c>
      <c r="H29" t="s">
        <v>14</v>
      </c>
      <c r="N29" s="6" t="s">
        <v>38</v>
      </c>
      <c r="O29" s="6">
        <f xml:space="preserve"> 1/$C$52 * LN( EXP($C$52 * O27) + EXP($C$52 * O28) )</f>
        <v>1.1500134184275819</v>
      </c>
      <c r="R29" s="6" t="s">
        <v>38</v>
      </c>
      <c r="S29" s="6">
        <f xml:space="preserve"> 1/$C$52 * LN( EXP($C$52 * S27) + EXP($C$52 * S28) )</f>
        <v>1.1500000003189432</v>
      </c>
      <c r="Y29" s="2">
        <v>25</v>
      </c>
      <c r="Z29" s="2">
        <f t="shared" si="7"/>
        <v>5.078199505806065E-2</v>
      </c>
      <c r="AA29" s="37">
        <f t="shared" si="0"/>
        <v>2.7137320467163217E-8</v>
      </c>
      <c r="AB29" s="2">
        <f t="shared" si="8"/>
        <v>5.0782024860383038E-2</v>
      </c>
      <c r="AC29" s="37">
        <f t="shared" si="1"/>
        <v>-2.3570699267394524E-8</v>
      </c>
      <c r="AD29" s="2">
        <f t="shared" si="2"/>
        <v>5.0782009959221844E-2</v>
      </c>
      <c r="AE29" s="37">
        <f t="shared" si="3"/>
        <v>1.7833075294237943E-9</v>
      </c>
      <c r="AF29" s="2">
        <f t="shared" si="4"/>
        <v>4.8394187917478608E-17</v>
      </c>
      <c r="AG29" s="2">
        <f t="shared" si="5"/>
        <v>-4.2033805477328568E-17</v>
      </c>
      <c r="AH29" s="2">
        <f t="shared" si="6"/>
        <v>2.9802322387695312E-8</v>
      </c>
      <c r="AJ29" s="2">
        <v>25</v>
      </c>
      <c r="AK29" s="2">
        <f t="shared" si="13"/>
        <v>2166.3604378700256</v>
      </c>
      <c r="AL29" s="2">
        <v>-8.7503566874147509E-5</v>
      </c>
      <c r="AM29" s="2">
        <f t="shared" si="14"/>
        <v>2166.3607060909271</v>
      </c>
      <c r="AN29" s="2">
        <v>6.8123653136353823E-5</v>
      </c>
      <c r="AO29" s="2">
        <f t="shared" si="9"/>
        <v>2166.3605719804764</v>
      </c>
      <c r="AP29" s="2">
        <v>-3.9595161069883034E-6</v>
      </c>
      <c r="AQ29" s="2">
        <f t="shared" si="10"/>
        <v>3.4647178245711521E-10</v>
      </c>
      <c r="AR29" s="2">
        <f t="shared" si="11"/>
        <v>-2.6973670186027721E-10</v>
      </c>
      <c r="AS29" s="2">
        <f t="shared" si="12"/>
        <v>2.6822090148925781E-4</v>
      </c>
    </row>
    <row r="30" spans="2:45" x14ac:dyDescent="0.2">
      <c r="B30" s="6" t="s">
        <v>126</v>
      </c>
      <c r="C30" s="6">
        <f>IF(C29="wheeled",0.0325,0.014)</f>
        <v>1.4E-2</v>
      </c>
      <c r="F30" t="s">
        <v>21</v>
      </c>
      <c r="G30" s="6">
        <f xml:space="preserve"> $C$5 * $C$43 / $C$18</f>
        <v>5308.3910340180873</v>
      </c>
      <c r="H30" t="s">
        <v>22</v>
      </c>
      <c r="J30" s="54" t="s">
        <v>116</v>
      </c>
      <c r="K30" s="54"/>
      <c r="L30" s="54"/>
      <c r="Y30" s="2">
        <v>26</v>
      </c>
      <c r="Z30" s="2">
        <f t="shared" si="7"/>
        <v>5.0782009959221844E-2</v>
      </c>
      <c r="AA30" s="37">
        <f t="shared" si="0"/>
        <v>1.7833075294237943E-9</v>
      </c>
      <c r="AB30" s="2">
        <f t="shared" si="8"/>
        <v>5.0782024860383038E-2</v>
      </c>
      <c r="AC30" s="37">
        <f t="shared" si="1"/>
        <v>-2.3570699267394524E-8</v>
      </c>
      <c r="AD30" s="2">
        <f t="shared" si="2"/>
        <v>5.0782017409802441E-2</v>
      </c>
      <c r="AE30" s="37">
        <f t="shared" si="3"/>
        <v>-1.0893696632263694E-8</v>
      </c>
      <c r="AF30" s="2">
        <f t="shared" si="4"/>
        <v>-1.9426811227574478E-17</v>
      </c>
      <c r="AG30" s="2">
        <f t="shared" si="5"/>
        <v>2.5677204722931604E-16</v>
      </c>
      <c r="AH30" s="2">
        <f t="shared" si="6"/>
        <v>1.4901161193847656E-8</v>
      </c>
      <c r="AJ30" s="2">
        <v>26</v>
      </c>
      <c r="AK30" s="2">
        <f t="shared" si="13"/>
        <v>2166.3605719804764</v>
      </c>
      <c r="AL30" s="2">
        <v>-3.9595161069883034E-6</v>
      </c>
      <c r="AM30" s="2">
        <f t="shared" si="14"/>
        <v>2166.3607060909271</v>
      </c>
      <c r="AN30" s="2">
        <v>6.8123653136353823E-5</v>
      </c>
      <c r="AO30" s="2">
        <f t="shared" si="9"/>
        <v>2166.3606390357018</v>
      </c>
      <c r="AP30" s="2">
        <v>3.3086433177231811E-5</v>
      </c>
      <c r="AQ30" s="2">
        <f t="shared" si="10"/>
        <v>-1.3100626508804154E-10</v>
      </c>
      <c r="AR30" s="2">
        <f t="shared" si="11"/>
        <v>2.2539686972848891E-9</v>
      </c>
      <c r="AS30" s="2">
        <f t="shared" si="12"/>
        <v>1.3411045074462891E-4</v>
      </c>
    </row>
    <row r="31" spans="2:45" x14ac:dyDescent="0.2">
      <c r="B31" t="s">
        <v>261</v>
      </c>
      <c r="C31" s="1">
        <v>2.8540374719999999</v>
      </c>
      <c r="D31" t="s">
        <v>8</v>
      </c>
      <c r="F31" t="s">
        <v>100</v>
      </c>
      <c r="G31" s="6">
        <f>G33/$C$18</f>
        <v>50.439108944952643</v>
      </c>
      <c r="H31" t="s">
        <v>20</v>
      </c>
      <c r="J31" s="6" t="s">
        <v>60</v>
      </c>
      <c r="K31" s="6">
        <f>ROUND($C$13,2)</f>
        <v>600</v>
      </c>
      <c r="L31" s="6" t="s">
        <v>7</v>
      </c>
      <c r="Y31" s="2">
        <v>27</v>
      </c>
      <c r="Z31" s="2">
        <f t="shared" si="7"/>
        <v>5.0782009959221844E-2</v>
      </c>
      <c r="AA31" s="37">
        <f t="shared" si="0"/>
        <v>1.7833075294237943E-9</v>
      </c>
      <c r="AB31" s="2">
        <f t="shared" si="8"/>
        <v>5.0782017409802441E-2</v>
      </c>
      <c r="AC31" s="37">
        <f t="shared" si="1"/>
        <v>-1.0893696632263694E-8</v>
      </c>
      <c r="AD31" s="2">
        <f t="shared" si="2"/>
        <v>5.0782013684512142E-2</v>
      </c>
      <c r="AE31" s="37">
        <f t="shared" si="3"/>
        <v>-4.5551947422395322E-9</v>
      </c>
      <c r="AF31" s="2">
        <f t="shared" si="4"/>
        <v>-8.1233130818274373E-18</v>
      </c>
      <c r="AG31" s="2">
        <f t="shared" si="5"/>
        <v>4.9622909622840079E-17</v>
      </c>
      <c r="AH31" s="2">
        <f t="shared" si="6"/>
        <v>7.4505805969238281E-9</v>
      </c>
      <c r="AJ31" s="2">
        <v>27</v>
      </c>
      <c r="AK31" s="2">
        <f t="shared" si="13"/>
        <v>2166.3605719804764</v>
      </c>
      <c r="AL31" s="2">
        <v>-3.9595161069883034E-6</v>
      </c>
      <c r="AM31" s="2">
        <f t="shared" si="14"/>
        <v>2166.3606390357018</v>
      </c>
      <c r="AN31" s="2">
        <v>3.3086433177231811E-5</v>
      </c>
      <c r="AO31" s="2">
        <f t="shared" si="9"/>
        <v>2166.3606055080891</v>
      </c>
      <c r="AP31" s="2">
        <v>1.4563456943506026E-5</v>
      </c>
      <c r="AQ31" s="2">
        <f t="shared" si="10"/>
        <v>-5.7664242341242754E-11</v>
      </c>
      <c r="AR31" s="2">
        <f t="shared" si="11"/>
        <v>4.8185284499080475E-10</v>
      </c>
      <c r="AS31" s="2">
        <f t="shared" si="12"/>
        <v>6.7055225372314453E-5</v>
      </c>
    </row>
    <row r="32" spans="2:45" x14ac:dyDescent="0.2">
      <c r="B32" t="s">
        <v>262</v>
      </c>
      <c r="C32" s="1">
        <f>(0.750222528+0.849998808)/2</f>
        <v>0.80011066800000008</v>
      </c>
      <c r="D32"/>
      <c r="F32" t="s">
        <v>274</v>
      </c>
      <c r="G32" s="6">
        <f xml:space="preserve"> (G30/$C$43*1000) / (G31*1000)</f>
        <v>10.737504212807986</v>
      </c>
      <c r="H32" s="6" t="s">
        <v>275</v>
      </c>
      <c r="J32" s="11" t="s">
        <v>55</v>
      </c>
      <c r="K32" s="6">
        <f>ROUND(K13,2)</f>
        <v>777.14</v>
      </c>
      <c r="L32" s="6" t="s">
        <v>7</v>
      </c>
      <c r="Y32" s="2">
        <v>28</v>
      </c>
      <c r="Z32" s="2">
        <f t="shared" si="7"/>
        <v>5.0782009959221844E-2</v>
      </c>
      <c r="AA32" s="37">
        <f t="shared" si="0"/>
        <v>1.7833075294237943E-9</v>
      </c>
      <c r="AB32" s="2">
        <f t="shared" si="8"/>
        <v>5.0782013684512142E-2</v>
      </c>
      <c r="AC32" s="37">
        <f t="shared" si="1"/>
        <v>-4.5551947422395322E-9</v>
      </c>
      <c r="AD32" s="2">
        <f t="shared" si="2"/>
        <v>5.0782011821866993E-2</v>
      </c>
      <c r="AE32" s="37">
        <f t="shared" si="3"/>
        <v>-1.3859436515106793E-9</v>
      </c>
      <c r="AF32" s="2">
        <f t="shared" si="4"/>
        <v>-2.4715637490961017E-18</v>
      </c>
      <c r="AG32" s="2">
        <f t="shared" si="5"/>
        <v>6.3132432344017051E-18</v>
      </c>
      <c r="AH32" s="2">
        <f t="shared" si="6"/>
        <v>3.7252902984619141E-9</v>
      </c>
      <c r="AJ32" s="2">
        <v>28</v>
      </c>
      <c r="AK32" s="2">
        <f t="shared" si="13"/>
        <v>2166.3605719804764</v>
      </c>
      <c r="AL32" s="2">
        <v>-3.9595161069883034E-6</v>
      </c>
      <c r="AM32" s="2">
        <f t="shared" si="14"/>
        <v>2166.3606055080891</v>
      </c>
      <c r="AN32" s="2">
        <v>1.4563456943506026E-5</v>
      </c>
      <c r="AO32" s="2">
        <f t="shared" si="9"/>
        <v>2166.3605887442827</v>
      </c>
      <c r="AP32" s="2">
        <v>5.3019709866930498E-6</v>
      </c>
      <c r="AQ32" s="2">
        <f t="shared" si="10"/>
        <v>-2.0993239520595798E-11</v>
      </c>
      <c r="AR32" s="2">
        <f t="shared" si="11"/>
        <v>7.721502618042239E-11</v>
      </c>
      <c r="AS32" s="2">
        <f t="shared" si="12"/>
        <v>3.3527612686157227E-5</v>
      </c>
    </row>
    <row r="33" spans="2:45" x14ac:dyDescent="0.2">
      <c r="F33" s="42" t="s">
        <v>86</v>
      </c>
      <c r="G33" s="43">
        <f xml:space="preserve"> 1/1000 * IF($G$27&gt;= 2*SQRT(($C$5*$C$43)/(2*$C$40*$C$18*PI()*$C$9*$C$9)), ($C$5*$C$43)/$C$21 * ( ($G$27/2) - SQRT( ($G$27/2)^2 - ($C$5*$C$43)/(2*$C$40*$C$18*PI()*$C$9*$C$9 ) ) ), 1/$C$21 * SQRT(($C$5*$C$43)^3/(2*$C$40*$C$18*PI()*$C$9*$C$9)) )</f>
        <v>201.75643577981057</v>
      </c>
      <c r="H33" s="42" t="s">
        <v>104</v>
      </c>
      <c r="J33" s="19" t="s">
        <v>81</v>
      </c>
      <c r="K33" s="6">
        <f>ROUND(SUM(K14:K17),2)</f>
        <v>511.14</v>
      </c>
      <c r="L33" s="6" t="s">
        <v>7</v>
      </c>
      <c r="Y33" s="2">
        <v>29</v>
      </c>
      <c r="Z33" s="2">
        <f t="shared" si="7"/>
        <v>5.0782009959221844E-2</v>
      </c>
      <c r="AA33" s="37">
        <f t="shared" si="0"/>
        <v>1.7833075294237943E-9</v>
      </c>
      <c r="AB33" s="2">
        <f t="shared" si="8"/>
        <v>5.0782011821866993E-2</v>
      </c>
      <c r="AC33" s="37">
        <f t="shared" si="1"/>
        <v>-1.3859436515106793E-9</v>
      </c>
      <c r="AD33" s="2">
        <f t="shared" si="2"/>
        <v>5.0782010890544418E-2</v>
      </c>
      <c r="AE33" s="37">
        <f t="shared" si="3"/>
        <v>1.9868192507876969E-10</v>
      </c>
      <c r="AF33" s="2">
        <f t="shared" si="4"/>
        <v>3.5431097295338419E-19</v>
      </c>
      <c r="AG33" s="2">
        <f t="shared" si="5"/>
        <v>-2.7536195273284129E-19</v>
      </c>
      <c r="AH33" s="2">
        <f t="shared" si="6"/>
        <v>1.862645149230957E-9</v>
      </c>
      <c r="AJ33" s="2">
        <v>29</v>
      </c>
      <c r="AK33" s="2">
        <f t="shared" si="13"/>
        <v>2166.3605719804764</v>
      </c>
      <c r="AL33" s="2">
        <v>-3.9595161069883034E-6</v>
      </c>
      <c r="AM33" s="2">
        <f t="shared" si="14"/>
        <v>2166.3605887442827</v>
      </c>
      <c r="AN33" s="2">
        <v>5.3019709866930498E-6</v>
      </c>
      <c r="AO33" s="2">
        <f t="shared" si="9"/>
        <v>2166.3605803623796</v>
      </c>
      <c r="AP33" s="2">
        <v>6.7122709879186004E-7</v>
      </c>
      <c r="AQ33" s="2">
        <f t="shared" si="10"/>
        <v>-2.657734509113399E-12</v>
      </c>
      <c r="AR33" s="2">
        <f t="shared" si="11"/>
        <v>3.5588266032765914E-12</v>
      </c>
      <c r="AS33" s="2">
        <f t="shared" si="12"/>
        <v>1.6763806343078613E-5</v>
      </c>
    </row>
    <row r="34" spans="2:45" x14ac:dyDescent="0.2">
      <c r="B34" s="54" t="s">
        <v>2</v>
      </c>
      <c r="C34" s="54"/>
      <c r="D34" s="54"/>
      <c r="J34" s="20" t="s">
        <v>72</v>
      </c>
      <c r="K34" s="6">
        <f>ROUND(SUM(K18:K22),2)</f>
        <v>173.95</v>
      </c>
      <c r="L34" s="6" t="s">
        <v>7</v>
      </c>
      <c r="Y34" s="2">
        <v>30</v>
      </c>
      <c r="Z34" s="2">
        <f t="shared" si="7"/>
        <v>5.0782010890544418E-2</v>
      </c>
      <c r="AA34" s="37">
        <f t="shared" si="0"/>
        <v>1.9868192507876969E-10</v>
      </c>
      <c r="AB34" s="2">
        <f t="shared" si="8"/>
        <v>5.0782011821866993E-2</v>
      </c>
      <c r="AC34" s="37">
        <f t="shared" si="1"/>
        <v>-1.3859436515106793E-9</v>
      </c>
      <c r="AD34" s="5">
        <f xml:space="preserve"> (Z34 + AB34)/2</f>
        <v>5.0782011356205706E-2</v>
      </c>
      <c r="AE34" s="37">
        <f xml:space="preserve"> $O$21 * TAN($O$18/180*PI()) + $O$22 / (2 * SQRT($O$21^2 + AD34^2)) - AD34</f>
        <v>-5.9363086668540177E-10</v>
      </c>
      <c r="AF34" s="2">
        <f t="shared" si="4"/>
        <v>-1.1794372337923412E-19</v>
      </c>
      <c r="AG34" s="2">
        <f t="shared" si="5"/>
        <v>8.2273893102341501E-19</v>
      </c>
      <c r="AH34" s="2">
        <f>AB34-Z34</f>
        <v>9.3132257461547852E-10</v>
      </c>
      <c r="AJ34" s="2">
        <v>30</v>
      </c>
      <c r="AK34" s="2">
        <f t="shared" si="13"/>
        <v>2166.3605719804764</v>
      </c>
      <c r="AL34" s="2">
        <v>-3.9595161069883034E-6</v>
      </c>
      <c r="AM34" s="2">
        <f t="shared" si="14"/>
        <v>2166.3605803623796</v>
      </c>
      <c r="AN34" s="2">
        <v>6.7122709879186004E-7</v>
      </c>
      <c r="AO34" s="2">
        <f t="shared" si="9"/>
        <v>2166.360576171428</v>
      </c>
      <c r="AP34" s="2">
        <v>-1.6441447314718971E-6</v>
      </c>
      <c r="AQ34" s="2">
        <f t="shared" si="10"/>
        <v>6.5100175464829354E-12</v>
      </c>
      <c r="AR34" s="2">
        <f t="shared" si="11"/>
        <v>-1.1035944980998033E-12</v>
      </c>
      <c r="AS34" s="2">
        <f t="shared" si="12"/>
        <v>8.3819031715393066E-6</v>
      </c>
    </row>
    <row r="35" spans="2:45" x14ac:dyDescent="0.2">
      <c r="B35" s="6" t="s">
        <v>3</v>
      </c>
      <c r="C35" s="17">
        <v>250</v>
      </c>
      <c r="D35" s="6" t="s">
        <v>4</v>
      </c>
      <c r="J35" s="15" t="s">
        <v>73</v>
      </c>
      <c r="K35" s="6">
        <f>ROUND(SUM(K23:K26),2)</f>
        <v>104.13</v>
      </c>
      <c r="L35" s="6" t="s">
        <v>7</v>
      </c>
      <c r="AJ35" s="2">
        <v>31</v>
      </c>
      <c r="AK35" s="2">
        <f t="shared" si="13"/>
        <v>2166.360576171428</v>
      </c>
      <c r="AL35" s="2">
        <v>-1.6441447314718971E-6</v>
      </c>
      <c r="AM35" s="2">
        <f t="shared" si="14"/>
        <v>2166.3605803623796</v>
      </c>
      <c r="AN35" s="2">
        <v>6.7122709879186004E-7</v>
      </c>
      <c r="AO35" s="2">
        <f t="shared" si="9"/>
        <v>2166.3605782669038</v>
      </c>
      <c r="AP35" s="2">
        <v>-4.8645870265318081E-7</v>
      </c>
      <c r="AQ35" s="2">
        <f t="shared" si="10"/>
        <v>7.998085130458814E-13</v>
      </c>
      <c r="AR35" s="2">
        <f t="shared" si="11"/>
        <v>-3.2652426366394666E-13</v>
      </c>
      <c r="AS35" s="2">
        <f t="shared" si="12"/>
        <v>4.1909515857696533E-6</v>
      </c>
    </row>
    <row r="36" spans="2:45" x14ac:dyDescent="0.2">
      <c r="B36" s="6" t="s">
        <v>5</v>
      </c>
      <c r="C36" s="17">
        <v>0.85</v>
      </c>
      <c r="F36" s="9"/>
      <c r="J36" s="10" t="s">
        <v>62</v>
      </c>
      <c r="K36" s="10">
        <f>SUM(K31:K35)</f>
        <v>2166.3599999999997</v>
      </c>
      <c r="L36" s="6" t="s">
        <v>7</v>
      </c>
      <c r="Y36" s="16" t="s">
        <v>96</v>
      </c>
      <c r="AJ36" s="2">
        <v>32</v>
      </c>
      <c r="AK36" s="2">
        <f t="shared" si="13"/>
        <v>2166.3605782669038</v>
      </c>
      <c r="AL36" s="2">
        <v>-4.8645870265318081E-7</v>
      </c>
      <c r="AM36" s="2">
        <f t="shared" si="14"/>
        <v>2166.3605803623796</v>
      </c>
      <c r="AN36" s="2">
        <v>6.7122709879186004E-7</v>
      </c>
      <c r="AO36" s="2">
        <f t="shared" si="9"/>
        <v>2166.3605793146417</v>
      </c>
      <c r="AP36" s="2">
        <v>9.2383743321988732E-8</v>
      </c>
      <c r="AQ36" s="2">
        <f t="shared" si="10"/>
        <v>-4.4940875922659095E-14</v>
      </c>
      <c r="AR36" s="2">
        <f t="shared" si="11"/>
        <v>6.2010472005550371E-14</v>
      </c>
      <c r="AS36" s="2">
        <f t="shared" si="12"/>
        <v>2.0954757928848267E-6</v>
      </c>
    </row>
    <row r="37" spans="2:45" x14ac:dyDescent="0.2">
      <c r="B37" s="6" t="s">
        <v>6</v>
      </c>
      <c r="C37" s="17">
        <v>0.8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2166.3605782669038</v>
      </c>
      <c r="AL37" s="2">
        <v>-4.8645870265318081E-7</v>
      </c>
      <c r="AM37" s="2">
        <f t="shared" si="14"/>
        <v>2166.3605793146417</v>
      </c>
      <c r="AN37" s="2">
        <v>9.2383743321988732E-8</v>
      </c>
      <c r="AO37" s="2">
        <f t="shared" si="9"/>
        <v>2166.3605787907727</v>
      </c>
      <c r="AP37" s="2">
        <v>-1.9703702491824515E-7</v>
      </c>
      <c r="AQ37" s="2">
        <f t="shared" si="10"/>
        <v>9.5850375516371996E-14</v>
      </c>
      <c r="AR37" s="2">
        <f t="shared" si="11"/>
        <v>-1.8203017934975458E-14</v>
      </c>
      <c r="AS37" s="2">
        <f t="shared" si="12"/>
        <v>1.0477378964424133E-6</v>
      </c>
    </row>
    <row r="38" spans="2:45" x14ac:dyDescent="0.2">
      <c r="J38" s="54" t="s">
        <v>59</v>
      </c>
      <c r="K38" s="54"/>
      <c r="L38" s="54"/>
      <c r="Y38" s="2">
        <v>0</v>
      </c>
      <c r="Z38" s="3">
        <v>0</v>
      </c>
      <c r="AA38" s="2">
        <f t="shared" ref="AA38:AA68" si="15" xml:space="preserve"> $S$21 * TAN($S$18/180*PI()) + $S$22 / (2 * SQRT($S$21^2 + Z38^2)) - Z38</f>
        <v>2.0885602978451087E-2</v>
      </c>
      <c r="AB38" s="3">
        <v>1</v>
      </c>
      <c r="AC38" s="2">
        <f t="shared" ref="AC38:AC68" si="16" xml:space="preserve"> $S$21 * TAN($S$18/180*PI()) + $S$22 / (2 * SQRT($S$21^2 + AB38^2)) - AB38</f>
        <v>-0.98326090573938807</v>
      </c>
      <c r="AD38" s="2">
        <f xml:space="preserve"> (Z38 + AB38)/2</f>
        <v>0.5</v>
      </c>
      <c r="AE38" s="2">
        <f t="shared" ref="AE38:AE68" si="17" xml:space="preserve"> $S$21 * TAN($S$18/180*PI()) + $S$22 / (2 * SQRT($S$21^2 + AD38^2)) - AD38</f>
        <v>-0.48207912091570992</v>
      </c>
      <c r="AF38" s="2">
        <f>AA38*AE38</f>
        <v>-1.0068513123646233E-2</v>
      </c>
      <c r="AG38" s="2">
        <f>AC38*AE38</f>
        <v>0.47400955306962894</v>
      </c>
      <c r="AH38" s="2">
        <f>AB38-Z38</f>
        <v>1</v>
      </c>
      <c r="AJ38" s="2">
        <v>34</v>
      </c>
      <c r="AK38" s="2">
        <f t="shared" si="13"/>
        <v>2166.3605787907727</v>
      </c>
      <c r="AL38" s="2">
        <v>-1.9703702491824515E-7</v>
      </c>
      <c r="AM38" s="2">
        <f t="shared" si="14"/>
        <v>2166.3605793146417</v>
      </c>
      <c r="AN38" s="2">
        <v>9.2383743321988732E-8</v>
      </c>
      <c r="AO38" s="2">
        <f t="shared" si="9"/>
        <v>2166.3605790527072</v>
      </c>
      <c r="AP38" s="2">
        <v>-5.232595867710188E-8</v>
      </c>
      <c r="AQ38" s="2">
        <f t="shared" si="10"/>
        <v>1.0310151223731189E-14</v>
      </c>
      <c r="AR38" s="2">
        <f t="shared" si="11"/>
        <v>-4.8340679355023692E-15</v>
      </c>
      <c r="AS38" s="2">
        <f t="shared" si="12"/>
        <v>5.2386894822120667E-7</v>
      </c>
    </row>
    <row r="39" spans="2:45" x14ac:dyDescent="0.2">
      <c r="B39" s="54" t="s">
        <v>272</v>
      </c>
      <c r="C39" s="55"/>
      <c r="D39" s="55"/>
      <c r="J39" s="6" t="s">
        <v>60</v>
      </c>
      <c r="K39" s="6">
        <f>ROUND($C$13/$C$5 * 100, 2)</f>
        <v>27.7</v>
      </c>
      <c r="L39" s="6" t="s">
        <v>61</v>
      </c>
      <c r="Y39" s="2">
        <v>1</v>
      </c>
      <c r="Z39" s="2">
        <f>IF(AF38&gt;0, AD38, Z38)</f>
        <v>0</v>
      </c>
      <c r="AA39" s="2">
        <f t="shared" si="15"/>
        <v>2.0885602978451087E-2</v>
      </c>
      <c r="AB39" s="2">
        <f>IF(AG38&gt;0, AD38, AB38)</f>
        <v>0.5</v>
      </c>
      <c r="AC39" s="2">
        <f t="shared" si="16"/>
        <v>-0.48207912091570992</v>
      </c>
      <c r="AD39" s="2">
        <f t="shared" ref="AD39:AD68" si="18" xml:space="preserve"> (Z39 + AB39)/2</f>
        <v>0.25</v>
      </c>
      <c r="AE39" s="2">
        <f t="shared" si="17"/>
        <v>-0.23063501473619247</v>
      </c>
      <c r="AF39" s="2">
        <f t="shared" ref="AF39:AF68" si="19">AA39*AE39</f>
        <v>-4.8169513507093321E-3</v>
      </c>
      <c r="AG39" s="2">
        <f t="shared" ref="AG39:AG68" si="20">AC39*AE39</f>
        <v>0.11118432515640547</v>
      </c>
      <c r="AH39" s="2">
        <f t="shared" ref="AH39:AH67" si="21">AB39-Z39</f>
        <v>0.5</v>
      </c>
      <c r="AJ39" s="2">
        <v>35</v>
      </c>
      <c r="AK39" s="2">
        <f t="shared" si="13"/>
        <v>2166.3605790527072</v>
      </c>
      <c r="AL39" s="2">
        <v>-5.232595867710188E-8</v>
      </c>
      <c r="AM39" s="2">
        <f t="shared" si="14"/>
        <v>2166.3605793146417</v>
      </c>
      <c r="AN39" s="2">
        <v>9.2383743321988732E-8</v>
      </c>
      <c r="AO39" s="2">
        <f t="shared" si="9"/>
        <v>2166.3605791836744</v>
      </c>
      <c r="AP39" s="2">
        <v>2.0028892322443426E-8</v>
      </c>
      <c r="AQ39" s="2">
        <f t="shared" si="10"/>
        <v>-1.0480309920122978E-15</v>
      </c>
      <c r="AR39" s="2">
        <f t="shared" si="11"/>
        <v>1.8503440473403642E-15</v>
      </c>
      <c r="AS39" s="2">
        <f t="shared" si="12"/>
        <v>2.6193447411060333E-7</v>
      </c>
    </row>
    <row r="40" spans="2:45" x14ac:dyDescent="0.2">
      <c r="B40" s="6" t="s">
        <v>15</v>
      </c>
      <c r="C40" s="17">
        <v>1.0397562309141399</v>
      </c>
      <c r="D40" s="6" t="s">
        <v>16</v>
      </c>
      <c r="J40" s="11" t="s">
        <v>55</v>
      </c>
      <c r="K40" s="6">
        <f>ROUND(K13/$C$5 * 100, 2)</f>
        <v>35.869999999999997</v>
      </c>
      <c r="L40" s="6" t="s">
        <v>61</v>
      </c>
      <c r="Y40" s="2">
        <v>2</v>
      </c>
      <c r="Z40" s="2">
        <f t="shared" ref="Z40:Z68" si="22">IF(AF39&gt;0, AD39, Z39)</f>
        <v>0</v>
      </c>
      <c r="AA40" s="2">
        <f t="shared" si="15"/>
        <v>2.0885602978451087E-2</v>
      </c>
      <c r="AB40" s="2">
        <f t="shared" ref="AB40:AB68" si="23">IF(AG39&gt;0, AD39, AB39)</f>
        <v>0.25</v>
      </c>
      <c r="AC40" s="2">
        <f t="shared" si="16"/>
        <v>-0.23063501473619247</v>
      </c>
      <c r="AD40" s="2">
        <f t="shared" si="18"/>
        <v>0.125</v>
      </c>
      <c r="AE40" s="2">
        <f t="shared" si="17"/>
        <v>-0.10464765712546281</v>
      </c>
      <c r="AF40" s="2">
        <f t="shared" si="19"/>
        <v>-2.1856294193474944E-3</v>
      </c>
      <c r="AG40" s="2">
        <f t="shared" si="20"/>
        <v>2.4135413943239131E-2</v>
      </c>
      <c r="AH40" s="2">
        <f t="shared" si="21"/>
        <v>0.25</v>
      </c>
      <c r="AJ40" s="2">
        <v>36</v>
      </c>
      <c r="AK40" s="2">
        <f t="shared" si="13"/>
        <v>2166.3605790527072</v>
      </c>
      <c r="AL40" s="2">
        <v>-5.232595867710188E-8</v>
      </c>
      <c r="AM40" s="2">
        <f t="shared" si="14"/>
        <v>2166.3605791836744</v>
      </c>
      <c r="AN40" s="2">
        <v>2.0028892322443426E-8</v>
      </c>
      <c r="AO40" s="2">
        <f t="shared" si="9"/>
        <v>2166.3605791181908</v>
      </c>
      <c r="AP40" s="2">
        <v>-1.6148078429978341E-8</v>
      </c>
      <c r="AQ40" s="2">
        <f t="shared" si="10"/>
        <v>8.4496368464164687E-16</v>
      </c>
      <c r="AR40" s="2">
        <f t="shared" si="11"/>
        <v>-3.2342812408840748E-16</v>
      </c>
      <c r="AS40" s="2">
        <f t="shared" si="12"/>
        <v>1.3096723705530167E-7</v>
      </c>
    </row>
    <row r="41" spans="2:45" x14ac:dyDescent="0.2">
      <c r="B41" s="6" t="s">
        <v>214</v>
      </c>
      <c r="C41" s="41">
        <v>1.7363179204150701E-5</v>
      </c>
      <c r="D41" s="6" t="s">
        <v>210</v>
      </c>
      <c r="J41" s="19" t="s">
        <v>81</v>
      </c>
      <c r="K41" s="6">
        <f>ROUND(SUM(K14:K17)/$C$5 * 100, 2)</f>
        <v>23.59</v>
      </c>
      <c r="L41" s="6" t="s">
        <v>61</v>
      </c>
      <c r="Y41" s="2">
        <v>3</v>
      </c>
      <c r="Z41" s="2">
        <f t="shared" si="22"/>
        <v>0</v>
      </c>
      <c r="AA41" s="2">
        <f t="shared" si="15"/>
        <v>2.0885602978451087E-2</v>
      </c>
      <c r="AB41" s="2">
        <f t="shared" si="23"/>
        <v>0.125</v>
      </c>
      <c r="AC41" s="2">
        <f t="shared" si="16"/>
        <v>-0.10464765712546281</v>
      </c>
      <c r="AD41" s="2">
        <f t="shared" si="18"/>
        <v>6.25E-2</v>
      </c>
      <c r="AE41" s="2">
        <f t="shared" si="17"/>
        <v>-4.1763419206994792E-2</v>
      </c>
      <c r="AF41" s="2">
        <f t="shared" si="19"/>
        <v>-8.722541925799118E-4</v>
      </c>
      <c r="AG41" s="2">
        <f t="shared" si="20"/>
        <v>4.3704439735605593E-3</v>
      </c>
      <c r="AH41" s="2">
        <f t="shared" si="21"/>
        <v>0.125</v>
      </c>
      <c r="AJ41" s="2">
        <v>37</v>
      </c>
      <c r="AK41" s="2">
        <f t="shared" si="13"/>
        <v>2166.3605791181908</v>
      </c>
      <c r="AL41" s="2">
        <v>-1.6148078429978341E-8</v>
      </c>
      <c r="AM41" s="2">
        <f t="shared" si="14"/>
        <v>2166.3605791836744</v>
      </c>
      <c r="AN41" s="2">
        <v>2.0028892322443426E-8</v>
      </c>
      <c r="AO41" s="2">
        <f t="shared" si="9"/>
        <v>2166.3605791509326</v>
      </c>
      <c r="AP41" s="2">
        <v>1.9392700778553262E-9</v>
      </c>
      <c r="AQ41" s="2">
        <f t="shared" si="10"/>
        <v>-3.1315485314118011E-17</v>
      </c>
      <c r="AR41" s="2">
        <f t="shared" si="11"/>
        <v>3.8841431573500808E-17</v>
      </c>
      <c r="AS41" s="2">
        <f t="shared" si="12"/>
        <v>6.5483618527650833E-8</v>
      </c>
    </row>
    <row r="42" spans="2:45" x14ac:dyDescent="0.2">
      <c r="B42" s="6" t="s">
        <v>132</v>
      </c>
      <c r="C42" s="17">
        <v>333.91694458017901</v>
      </c>
      <c r="D42" s="6" t="s">
        <v>10</v>
      </c>
      <c r="J42" s="20" t="s">
        <v>72</v>
      </c>
      <c r="K42" s="6">
        <f>ROUND(SUM(K18:K22)/$C$5 * 100, 2)</f>
        <v>8.0299999999999994</v>
      </c>
      <c r="L42" s="6" t="s">
        <v>61</v>
      </c>
      <c r="Y42" s="2">
        <v>4</v>
      </c>
      <c r="Z42" s="2">
        <f t="shared" si="22"/>
        <v>0</v>
      </c>
      <c r="AA42" s="2">
        <f t="shared" si="15"/>
        <v>2.0885602978451087E-2</v>
      </c>
      <c r="AB42" s="2">
        <f t="shared" si="23"/>
        <v>6.25E-2</v>
      </c>
      <c r="AC42" s="2">
        <f t="shared" si="16"/>
        <v>-4.1763419206994792E-2</v>
      </c>
      <c r="AD42" s="2">
        <f t="shared" si="18"/>
        <v>3.125E-2</v>
      </c>
      <c r="AE42" s="2">
        <f t="shared" si="17"/>
        <v>-1.0402801310120981E-2</v>
      </c>
      <c r="AF42" s="2">
        <f t="shared" si="19"/>
        <v>-2.1726877802689764E-4</v>
      </c>
      <c r="AG42" s="2">
        <f t="shared" si="20"/>
        <v>4.3445655204165718E-4</v>
      </c>
      <c r="AH42" s="2">
        <f t="shared" si="21"/>
        <v>6.25E-2</v>
      </c>
      <c r="AJ42" s="2">
        <v>38</v>
      </c>
      <c r="AK42" s="2">
        <f t="shared" si="13"/>
        <v>2166.3605791181908</v>
      </c>
      <c r="AL42" s="2">
        <v>-1.6148078429978341E-8</v>
      </c>
      <c r="AM42" s="2">
        <f t="shared" si="14"/>
        <v>2166.3605791509326</v>
      </c>
      <c r="AN42" s="2">
        <v>1.9392700778553262E-9</v>
      </c>
      <c r="AO42" s="2">
        <f t="shared" si="9"/>
        <v>2166.3605791345617</v>
      </c>
      <c r="AP42" s="2">
        <v>-7.1042904892237857E-9</v>
      </c>
      <c r="AQ42" s="2">
        <f t="shared" si="10"/>
        <v>1.1472064000933489E-16</v>
      </c>
      <c r="AR42" s="2">
        <f t="shared" si="11"/>
        <v>-1.3777137970143865E-17</v>
      </c>
      <c r="AS42" s="2">
        <f t="shared" si="12"/>
        <v>3.2741809263825417E-8</v>
      </c>
    </row>
    <row r="43" spans="2:45" x14ac:dyDescent="0.2">
      <c r="B43" s="6" t="s">
        <v>17</v>
      </c>
      <c r="C43" s="1">
        <v>9.80149119240094</v>
      </c>
      <c r="D43" s="6" t="s">
        <v>18</v>
      </c>
      <c r="J43" s="15" t="s">
        <v>73</v>
      </c>
      <c r="K43" s="6">
        <f>ROUND(SUM(K23:K26)/$C$5*100, 2)</f>
        <v>4.8099999999999996</v>
      </c>
      <c r="L43" s="6" t="s">
        <v>61</v>
      </c>
      <c r="Y43" s="2">
        <v>5</v>
      </c>
      <c r="Z43" s="2">
        <f t="shared" si="22"/>
        <v>0</v>
      </c>
      <c r="AA43" s="2">
        <f t="shared" si="15"/>
        <v>2.0885602978451087E-2</v>
      </c>
      <c r="AB43" s="2">
        <f t="shared" si="23"/>
        <v>3.125E-2</v>
      </c>
      <c r="AC43" s="2">
        <f t="shared" si="16"/>
        <v>-1.0402801310120981E-2</v>
      </c>
      <c r="AD43" s="2">
        <f t="shared" si="18"/>
        <v>1.5625E-2</v>
      </c>
      <c r="AE43" s="2">
        <f t="shared" si="17"/>
        <v>5.2509270038352714E-3</v>
      </c>
      <c r="AF43" s="2">
        <f t="shared" si="19"/>
        <v>1.0966877667093119E-4</v>
      </c>
      <c r="AG43" s="2">
        <f t="shared" si="20"/>
        <v>-5.4624350314847196E-5</v>
      </c>
      <c r="AH43" s="2">
        <f t="shared" si="21"/>
        <v>3.125E-2</v>
      </c>
      <c r="AJ43" s="2">
        <v>39</v>
      </c>
      <c r="AK43" s="2">
        <f t="shared" si="13"/>
        <v>2166.3605791345617</v>
      </c>
      <c r="AL43" s="2">
        <v>-7.1042904892237857E-9</v>
      </c>
      <c r="AM43" s="2">
        <f t="shared" si="14"/>
        <v>2166.3605791509326</v>
      </c>
      <c r="AN43" s="2">
        <v>1.9392700778553262E-9</v>
      </c>
      <c r="AO43" s="2">
        <f t="shared" si="9"/>
        <v>2166.3605791427472</v>
      </c>
      <c r="AP43" s="2">
        <v>-2.5822828320087865E-9</v>
      </c>
      <c r="AQ43" s="2">
        <f t="shared" si="10"/>
        <v>1.8345287363925885E-17</v>
      </c>
      <c r="AR43" s="2">
        <f t="shared" si="11"/>
        <v>-5.0077438286741517E-18</v>
      </c>
      <c r="AS43" s="2">
        <f t="shared" si="12"/>
        <v>1.6370904631912708E-8</v>
      </c>
    </row>
    <row r="44" spans="2:45" x14ac:dyDescent="0.2">
      <c r="J44" s="10" t="s">
        <v>62</v>
      </c>
      <c r="K44" s="10">
        <f>SUM(K39:K43)</f>
        <v>100</v>
      </c>
      <c r="L44" s="10" t="s">
        <v>61</v>
      </c>
      <c r="Y44" s="2">
        <v>6</v>
      </c>
      <c r="Z44" s="2">
        <f t="shared" si="22"/>
        <v>1.5625E-2</v>
      </c>
      <c r="AA44" s="2">
        <f t="shared" si="15"/>
        <v>5.2509270038352714E-3</v>
      </c>
      <c r="AB44" s="2">
        <f t="shared" si="23"/>
        <v>3.125E-2</v>
      </c>
      <c r="AC44" s="2">
        <f t="shared" si="16"/>
        <v>-1.0402801310120981E-2</v>
      </c>
      <c r="AD44" s="2">
        <f t="shared" si="18"/>
        <v>2.34375E-2</v>
      </c>
      <c r="AE44" s="2">
        <f t="shared" si="17"/>
        <v>-2.5735973895332914E-3</v>
      </c>
      <c r="AF44" s="2">
        <f t="shared" si="19"/>
        <v>-1.3513772029700322E-5</v>
      </c>
      <c r="AG44" s="2">
        <f t="shared" si="20"/>
        <v>2.677262229556086E-5</v>
      </c>
      <c r="AH44" s="2">
        <f t="shared" si="21"/>
        <v>1.5625E-2</v>
      </c>
      <c r="AJ44" s="2">
        <v>40</v>
      </c>
      <c r="AK44" s="2">
        <f t="shared" si="13"/>
        <v>2166.3605791427472</v>
      </c>
      <c r="AL44" s="2">
        <v>-2.5822828320087865E-9</v>
      </c>
      <c r="AM44" s="2">
        <f t="shared" si="14"/>
        <v>2166.3605791509326</v>
      </c>
      <c r="AN44" s="2">
        <v>1.9392700778553262E-9</v>
      </c>
      <c r="AO44" s="5">
        <f>(AK44+AM44)/2</f>
        <v>2166.3605791468399</v>
      </c>
      <c r="AP44" s="2">
        <v>-3.205968823749572E-10</v>
      </c>
      <c r="AQ44" s="2">
        <f t="shared" si="10"/>
        <v>8.278718253523923E-19</v>
      </c>
      <c r="AR44" s="2">
        <f t="shared" si="11"/>
        <v>-6.2172394104345812E-19</v>
      </c>
      <c r="AS44" s="2">
        <f t="shared" si="12"/>
        <v>8.1854523159563541E-9</v>
      </c>
    </row>
    <row r="45" spans="2:45" x14ac:dyDescent="0.2">
      <c r="B45" s="54" t="s">
        <v>273</v>
      </c>
      <c r="C45" s="55"/>
      <c r="D45" s="55"/>
      <c r="Y45" s="2">
        <v>7</v>
      </c>
      <c r="Z45" s="2">
        <f t="shared" si="22"/>
        <v>1.5625E-2</v>
      </c>
      <c r="AA45" s="2">
        <f t="shared" si="15"/>
        <v>5.2509270038352714E-3</v>
      </c>
      <c r="AB45" s="2">
        <f t="shared" si="23"/>
        <v>2.34375E-2</v>
      </c>
      <c r="AC45" s="2">
        <f t="shared" si="16"/>
        <v>-2.5735973895332914E-3</v>
      </c>
      <c r="AD45" s="2">
        <f t="shared" si="18"/>
        <v>1.953125E-2</v>
      </c>
      <c r="AE45" s="2">
        <f t="shared" si="17"/>
        <v>1.3392563665305876E-3</v>
      </c>
      <c r="AF45" s="2">
        <f t="shared" si="19"/>
        <v>7.03233742007377E-6</v>
      </c>
      <c r="AG45" s="2">
        <f t="shared" si="20"/>
        <v>-3.4467066888189611E-6</v>
      </c>
      <c r="AH45" s="2">
        <f t="shared" si="21"/>
        <v>7.8125E-3</v>
      </c>
    </row>
    <row r="46" spans="2:45" x14ac:dyDescent="0.2">
      <c r="B46" s="6" t="s">
        <v>15</v>
      </c>
      <c r="C46" s="17">
        <v>1.00854450666398</v>
      </c>
      <c r="D46" s="6" t="s">
        <v>16</v>
      </c>
      <c r="J46" s="54" t="s">
        <v>59</v>
      </c>
      <c r="K46" s="54"/>
      <c r="L46" s="54"/>
      <c r="Y46" s="2">
        <v>8</v>
      </c>
      <c r="Z46" s="2">
        <f t="shared" si="22"/>
        <v>1.953125E-2</v>
      </c>
      <c r="AA46" s="2">
        <f t="shared" si="15"/>
        <v>1.3392563665305876E-3</v>
      </c>
      <c r="AB46" s="2">
        <f t="shared" si="23"/>
        <v>2.34375E-2</v>
      </c>
      <c r="AC46" s="2">
        <f t="shared" si="16"/>
        <v>-2.5735973895332914E-3</v>
      </c>
      <c r="AD46" s="2">
        <f t="shared" si="18"/>
        <v>2.1484375E-2</v>
      </c>
      <c r="AE46" s="2">
        <f t="shared" si="17"/>
        <v>-6.1702336423024445E-4</v>
      </c>
      <c r="AF46" s="2">
        <f t="shared" si="19"/>
        <v>-8.2635246884347656E-7</v>
      </c>
      <c r="AG46" s="2">
        <f t="shared" si="20"/>
        <v>1.5879697194640064E-6</v>
      </c>
      <c r="AH46" s="2">
        <f t="shared" si="21"/>
        <v>3.90625E-3</v>
      </c>
    </row>
    <row r="47" spans="2:45" x14ac:dyDescent="0.2">
      <c r="B47" s="6" t="s">
        <v>214</v>
      </c>
      <c r="C47" s="41">
        <v>1.7265641515845801E-5</v>
      </c>
      <c r="D47" s="6" t="s">
        <v>210</v>
      </c>
      <c r="J47" s="6" t="s">
        <v>60</v>
      </c>
      <c r="K47" s="6">
        <f>ROUND($C$13/$C$5 * 100, 2)</f>
        <v>27.7</v>
      </c>
      <c r="L47" s="6" t="s">
        <v>61</v>
      </c>
      <c r="Y47" s="2">
        <v>9</v>
      </c>
      <c r="Z47" s="2">
        <f t="shared" si="22"/>
        <v>1.953125E-2</v>
      </c>
      <c r="AA47" s="2">
        <f t="shared" si="15"/>
        <v>1.3392563665305876E-3</v>
      </c>
      <c r="AB47" s="2">
        <f t="shared" si="23"/>
        <v>2.1484375E-2</v>
      </c>
      <c r="AC47" s="2">
        <f t="shared" si="16"/>
        <v>-6.1702336423024445E-4</v>
      </c>
      <c r="AD47" s="2">
        <f t="shared" si="18"/>
        <v>2.05078125E-2</v>
      </c>
      <c r="AE47" s="2">
        <f t="shared" si="17"/>
        <v>3.6115338617779408E-4</v>
      </c>
      <c r="AF47" s="2">
        <f t="shared" si="19"/>
        <v>4.8367697173269062E-7</v>
      </c>
      <c r="AG47" s="2">
        <f t="shared" si="20"/>
        <v>-2.2284007734256717E-7</v>
      </c>
      <c r="AH47" s="2">
        <f t="shared" si="21"/>
        <v>1.953125E-3</v>
      </c>
    </row>
    <row r="48" spans="2:45" x14ac:dyDescent="0.2">
      <c r="B48" s="6" t="s">
        <v>132</v>
      </c>
      <c r="C48" s="17">
        <v>332.721752148093</v>
      </c>
      <c r="D48" s="6" t="s">
        <v>10</v>
      </c>
      <c r="J48" s="11" t="s">
        <v>55</v>
      </c>
      <c r="K48" s="6">
        <f>ROUND(K13/$C$5 * 100, 2)</f>
        <v>35.869999999999997</v>
      </c>
      <c r="L48" s="6" t="s">
        <v>61</v>
      </c>
      <c r="Y48" s="2">
        <v>10</v>
      </c>
      <c r="Z48" s="2">
        <f t="shared" si="22"/>
        <v>2.05078125E-2</v>
      </c>
      <c r="AA48" s="2">
        <f t="shared" si="15"/>
        <v>3.6115338617779408E-4</v>
      </c>
      <c r="AB48" s="2">
        <f t="shared" si="23"/>
        <v>2.1484375E-2</v>
      </c>
      <c r="AC48" s="2">
        <f t="shared" si="16"/>
        <v>-6.1702336423024445E-4</v>
      </c>
      <c r="AD48" s="2">
        <f t="shared" si="18"/>
        <v>2.099609375E-2</v>
      </c>
      <c r="AE48" s="2">
        <f t="shared" si="17"/>
        <v>-1.2792577971147343E-4</v>
      </c>
      <c r="AF48" s="2">
        <f t="shared" si="19"/>
        <v>-4.6200828522233177E-8</v>
      </c>
      <c r="AG48" s="2">
        <f t="shared" si="20"/>
        <v>7.8933194969350485E-8</v>
      </c>
      <c r="AH48" s="2">
        <f t="shared" si="21"/>
        <v>9.765625E-4</v>
      </c>
    </row>
    <row r="49" spans="2:34" x14ac:dyDescent="0.2">
      <c r="B49" s="6" t="s">
        <v>17</v>
      </c>
      <c r="C49" s="1">
        <v>9.8005536647414697</v>
      </c>
      <c r="D49" s="6" t="s">
        <v>18</v>
      </c>
      <c r="J49" s="20" t="s">
        <v>277</v>
      </c>
      <c r="K49" s="6">
        <f>ROUND(SUM(K14:K26)/$C$5 * 100, 2)</f>
        <v>36.43</v>
      </c>
      <c r="L49" s="6" t="s">
        <v>61</v>
      </c>
      <c r="Y49" s="2">
        <v>11</v>
      </c>
      <c r="Z49" s="2">
        <f t="shared" si="22"/>
        <v>2.05078125E-2</v>
      </c>
      <c r="AA49" s="2">
        <f t="shared" si="15"/>
        <v>3.6115338617779408E-4</v>
      </c>
      <c r="AB49" s="2">
        <f t="shared" si="23"/>
        <v>2.099609375E-2</v>
      </c>
      <c r="AC49" s="2">
        <f t="shared" si="16"/>
        <v>-1.2792577971147343E-4</v>
      </c>
      <c r="AD49" s="2">
        <f t="shared" si="18"/>
        <v>2.0751953125E-2</v>
      </c>
      <c r="AE49" s="2">
        <f t="shared" si="17"/>
        <v>1.1661610707558445E-4</v>
      </c>
      <c r="AF49" s="2">
        <f t="shared" si="19"/>
        <v>4.2116301953219537E-8</v>
      </c>
      <c r="AG49" s="2">
        <f t="shared" si="20"/>
        <v>-1.4918206424560813E-8</v>
      </c>
      <c r="AH49" s="2">
        <f t="shared" si="21"/>
        <v>4.8828125E-4</v>
      </c>
    </row>
    <row r="50" spans="2:34" x14ac:dyDescent="0.2">
      <c r="J50" s="10" t="s">
        <v>62</v>
      </c>
      <c r="K50" s="10">
        <f>SUM(K47:K49)</f>
        <v>100</v>
      </c>
      <c r="L50" s="10" t="s">
        <v>61</v>
      </c>
      <c r="Y50" s="2">
        <v>12</v>
      </c>
      <c r="Z50" s="2">
        <f t="shared" si="22"/>
        <v>2.0751953125E-2</v>
      </c>
      <c r="AA50" s="2">
        <f t="shared" si="15"/>
        <v>1.1661610707558445E-4</v>
      </c>
      <c r="AB50" s="2">
        <f t="shared" si="23"/>
        <v>2.099609375E-2</v>
      </c>
      <c r="AC50" s="2">
        <f t="shared" si="16"/>
        <v>-1.2792577971147343E-4</v>
      </c>
      <c r="AD50" s="2">
        <f t="shared" si="18"/>
        <v>2.08740234375E-2</v>
      </c>
      <c r="AE50" s="2">
        <f t="shared" si="17"/>
        <v>-5.6542605452458705E-6</v>
      </c>
      <c r="AF50" s="2">
        <f t="shared" si="19"/>
        <v>-6.5937785317764492E-10</v>
      </c>
      <c r="AG50" s="2">
        <f t="shared" si="20"/>
        <v>7.2332568894239887E-10</v>
      </c>
      <c r="AH50" s="2">
        <f t="shared" si="21"/>
        <v>2.44140625E-4</v>
      </c>
    </row>
    <row r="51" spans="2:34" x14ac:dyDescent="0.2">
      <c r="B51" s="54" t="s">
        <v>74</v>
      </c>
      <c r="C51" s="54"/>
      <c r="D51" s="54"/>
      <c r="Y51" s="2">
        <v>13</v>
      </c>
      <c r="Z51" s="2">
        <f t="shared" si="22"/>
        <v>2.0751953125E-2</v>
      </c>
      <c r="AA51" s="2">
        <f t="shared" si="15"/>
        <v>1.1661610707558445E-4</v>
      </c>
      <c r="AB51" s="2">
        <f t="shared" si="23"/>
        <v>2.08740234375E-2</v>
      </c>
      <c r="AC51" s="2">
        <f t="shared" si="16"/>
        <v>-5.6542605452458705E-6</v>
      </c>
      <c r="AD51" s="2">
        <f t="shared" si="18"/>
        <v>2.081298828125E-2</v>
      </c>
      <c r="AE51" s="2">
        <f t="shared" si="17"/>
        <v>5.5481067231914066E-5</v>
      </c>
      <c r="AF51" s="2">
        <f t="shared" si="19"/>
        <v>6.4699860769845902E-9</v>
      </c>
      <c r="AG51" s="2">
        <f t="shared" si="20"/>
        <v>-3.137044094575452E-10</v>
      </c>
      <c r="AH51" s="2">
        <f t="shared" si="21"/>
        <v>1.220703125E-4</v>
      </c>
    </row>
    <row r="52" spans="2:34" x14ac:dyDescent="0.2">
      <c r="B52" s="6" t="s">
        <v>264</v>
      </c>
      <c r="C52" s="17">
        <v>30</v>
      </c>
      <c r="Y52" s="2">
        <v>14</v>
      </c>
      <c r="Z52" s="2">
        <f t="shared" si="22"/>
        <v>2.081298828125E-2</v>
      </c>
      <c r="AA52" s="2">
        <f t="shared" si="15"/>
        <v>5.5481067231914066E-5</v>
      </c>
      <c r="AB52" s="2">
        <f t="shared" si="23"/>
        <v>2.08740234375E-2</v>
      </c>
      <c r="AC52" s="2">
        <f t="shared" si="16"/>
        <v>-5.6542605452458705E-6</v>
      </c>
      <c r="AD52" s="2">
        <f t="shared" si="18"/>
        <v>2.0843505859375E-2</v>
      </c>
      <c r="AE52" s="2">
        <f t="shared" si="17"/>
        <v>2.4913439332079068E-5</v>
      </c>
      <c r="AF52" s="2">
        <f t="shared" si="19"/>
        <v>1.382224202561291E-9</v>
      </c>
      <c r="AG52" s="2">
        <f t="shared" si="20"/>
        <v>-1.4086707706175132E-10</v>
      </c>
      <c r="AH52" s="2">
        <f t="shared" si="21"/>
        <v>6.103515625E-5</v>
      </c>
    </row>
    <row r="53" spans="2:34" x14ac:dyDescent="0.2">
      <c r="B53" s="6" t="s">
        <v>266</v>
      </c>
      <c r="C53" s="17">
        <v>0.8</v>
      </c>
      <c r="Y53" s="2">
        <v>15</v>
      </c>
      <c r="Z53" s="2">
        <f t="shared" si="22"/>
        <v>2.0843505859375E-2</v>
      </c>
      <c r="AA53" s="2">
        <f t="shared" si="15"/>
        <v>2.4913439332079068E-5</v>
      </c>
      <c r="AB53" s="2">
        <f t="shared" si="23"/>
        <v>2.08740234375E-2</v>
      </c>
      <c r="AC53" s="2">
        <f t="shared" si="16"/>
        <v>-5.6542605452458705E-6</v>
      </c>
      <c r="AD53" s="2">
        <f t="shared" si="18"/>
        <v>2.08587646484375E-2</v>
      </c>
      <c r="AE53" s="2">
        <f t="shared" si="17"/>
        <v>9.6295983902337789E-6</v>
      </c>
      <c r="AF53" s="2">
        <f t="shared" si="19"/>
        <v>2.3990641528737553E-10</v>
      </c>
      <c r="AG53" s="2">
        <f t="shared" si="20"/>
        <v>-5.4448258244462004E-11</v>
      </c>
      <c r="AH53" s="2">
        <f t="shared" si="21"/>
        <v>3.0517578125E-5</v>
      </c>
    </row>
    <row r="54" spans="2:34" x14ac:dyDescent="0.2">
      <c r="B54" s="6" t="s">
        <v>267</v>
      </c>
      <c r="C54" s="17">
        <v>0.8</v>
      </c>
      <c r="Y54" s="2">
        <v>16</v>
      </c>
      <c r="Z54" s="2">
        <f t="shared" si="22"/>
        <v>2.08587646484375E-2</v>
      </c>
      <c r="AA54" s="2">
        <f t="shared" si="15"/>
        <v>9.6295983902337789E-6</v>
      </c>
      <c r="AB54" s="2">
        <f t="shared" si="23"/>
        <v>2.08740234375E-2</v>
      </c>
      <c r="AC54" s="2">
        <f t="shared" si="16"/>
        <v>-5.6542605452458705E-6</v>
      </c>
      <c r="AD54" s="2">
        <f t="shared" si="18"/>
        <v>2.086639404296875E-2</v>
      </c>
      <c r="AE54" s="2">
        <f t="shared" si="17"/>
        <v>1.9876711716514117E-6</v>
      </c>
      <c r="AF54" s="2">
        <f t="shared" si="19"/>
        <v>1.9140475114848523E-11</v>
      </c>
      <c r="AG54" s="2">
        <f t="shared" si="20"/>
        <v>-1.123881068279121E-11</v>
      </c>
      <c r="AH54" s="2">
        <f t="shared" si="21"/>
        <v>1.52587890625E-5</v>
      </c>
    </row>
    <row r="55" spans="2:34" x14ac:dyDescent="0.2">
      <c r="B55" s="6" t="s">
        <v>268</v>
      </c>
      <c r="C55" s="17">
        <v>0.8</v>
      </c>
      <c r="Y55" s="2">
        <v>17</v>
      </c>
      <c r="Z55" s="2">
        <f t="shared" si="22"/>
        <v>2.086639404296875E-2</v>
      </c>
      <c r="AA55" s="2">
        <f t="shared" si="15"/>
        <v>1.9876711716514117E-6</v>
      </c>
      <c r="AB55" s="2">
        <f t="shared" si="23"/>
        <v>2.08740234375E-2</v>
      </c>
      <c r="AC55" s="2">
        <f t="shared" si="16"/>
        <v>-5.6542605452458705E-6</v>
      </c>
      <c r="AD55" s="2">
        <f t="shared" si="18"/>
        <v>2.0870208740234375E-2</v>
      </c>
      <c r="AE55" s="2">
        <f t="shared" si="17"/>
        <v>-1.8332941245126355E-6</v>
      </c>
      <c r="AF55" s="2">
        <f t="shared" si="19"/>
        <v>-3.6439858804516794E-12</v>
      </c>
      <c r="AG55" s="2">
        <f t="shared" si="20"/>
        <v>1.0365922636062865E-11</v>
      </c>
      <c r="AH55" s="2">
        <f t="shared" si="21"/>
        <v>7.62939453125E-6</v>
      </c>
    </row>
    <row r="56" spans="2:34" x14ac:dyDescent="0.2">
      <c r="Y56" s="2">
        <v>18</v>
      </c>
      <c r="Z56" s="2">
        <f t="shared" si="22"/>
        <v>2.086639404296875E-2</v>
      </c>
      <c r="AA56" s="2">
        <f t="shared" si="15"/>
        <v>1.9876711716514117E-6</v>
      </c>
      <c r="AB56" s="2">
        <f t="shared" si="23"/>
        <v>2.0870208740234375E-2</v>
      </c>
      <c r="AC56" s="2">
        <f t="shared" si="16"/>
        <v>-1.8332941245126355E-6</v>
      </c>
      <c r="AD56" s="2">
        <f t="shared" si="18"/>
        <v>2.0868301391601562E-2</v>
      </c>
      <c r="AE56" s="2">
        <f t="shared" si="17"/>
        <v>7.7188664140970253E-8</v>
      </c>
      <c r="AF56" s="2">
        <f t="shared" si="19"/>
        <v>1.5342568249128966E-13</v>
      </c>
      <c r="AG56" s="2">
        <f t="shared" si="20"/>
        <v>-1.4150952444861993E-13</v>
      </c>
      <c r="AH56" s="2">
        <f t="shared" si="21"/>
        <v>3.814697265625E-6</v>
      </c>
    </row>
    <row r="57" spans="2:34" x14ac:dyDescent="0.2">
      <c r="Y57" s="2">
        <v>19</v>
      </c>
      <c r="Z57" s="2">
        <f t="shared" si="22"/>
        <v>2.0868301391601562E-2</v>
      </c>
      <c r="AA57" s="2">
        <f t="shared" si="15"/>
        <v>7.7188664140970253E-8</v>
      </c>
      <c r="AB57" s="2">
        <f t="shared" si="23"/>
        <v>2.0870208740234375E-2</v>
      </c>
      <c r="AC57" s="2">
        <f t="shared" si="16"/>
        <v>-1.8332941245126355E-6</v>
      </c>
      <c r="AD57" s="2">
        <f t="shared" si="18"/>
        <v>2.0869255065917969E-2</v>
      </c>
      <c r="AE57" s="2">
        <f t="shared" si="17"/>
        <v>-8.7805269504553918E-7</v>
      </c>
      <c r="AF57" s="2">
        <f t="shared" si="19"/>
        <v>-6.7775714575943905E-14</v>
      </c>
      <c r="AG57" s="2">
        <f t="shared" si="20"/>
        <v>1.6097288468394719E-12</v>
      </c>
      <c r="AH57" s="2">
        <f t="shared" si="21"/>
        <v>1.9073486328125E-6</v>
      </c>
    </row>
    <row r="58" spans="2:34" x14ac:dyDescent="0.2">
      <c r="Y58" s="2">
        <v>20</v>
      </c>
      <c r="Z58" s="2">
        <f t="shared" si="22"/>
        <v>2.0868301391601562E-2</v>
      </c>
      <c r="AA58" s="2">
        <f t="shared" si="15"/>
        <v>7.7188664140970253E-8</v>
      </c>
      <c r="AB58" s="2">
        <f t="shared" si="23"/>
        <v>2.0869255065917969E-2</v>
      </c>
      <c r="AC58" s="2">
        <f t="shared" si="16"/>
        <v>-8.7805269504553918E-7</v>
      </c>
      <c r="AD58" s="2">
        <f t="shared" si="18"/>
        <v>2.0868778228759766E-2</v>
      </c>
      <c r="AE58" s="2">
        <f t="shared" si="17"/>
        <v>-4.0043200666417533E-7</v>
      </c>
      <c r="AF58" s="2">
        <f t="shared" si="19"/>
        <v>-3.0908811673695793E-14</v>
      </c>
      <c r="AG58" s="2">
        <f t="shared" si="20"/>
        <v>3.5160040263397245E-13</v>
      </c>
      <c r="AH58" s="2">
        <f t="shared" si="21"/>
        <v>9.5367431640625E-7</v>
      </c>
    </row>
    <row r="59" spans="2:34" x14ac:dyDescent="0.2">
      <c r="Y59" s="2">
        <v>21</v>
      </c>
      <c r="Z59" s="2">
        <f t="shared" si="22"/>
        <v>2.0868301391601562E-2</v>
      </c>
      <c r="AA59" s="2">
        <f t="shared" si="15"/>
        <v>7.7188664140970253E-8</v>
      </c>
      <c r="AB59" s="2">
        <f t="shared" si="23"/>
        <v>2.0868778228759766E-2</v>
      </c>
      <c r="AC59" s="2">
        <f t="shared" si="16"/>
        <v>-4.0043200666417533E-7</v>
      </c>
      <c r="AD59" s="2">
        <f t="shared" si="18"/>
        <v>2.0868539810180664E-2</v>
      </c>
      <c r="AE59" s="2">
        <f t="shared" si="17"/>
        <v>-1.6162166906544262E-7</v>
      </c>
      <c r="AF59" s="2">
        <f t="shared" si="19"/>
        <v>-1.2475360731395492E-14</v>
      </c>
      <c r="AG59" s="2">
        <f t="shared" si="20"/>
        <v>6.4718489264288461E-14</v>
      </c>
      <c r="AH59" s="2">
        <f t="shared" si="21"/>
        <v>4.76837158203125E-7</v>
      </c>
    </row>
    <row r="60" spans="2:34" x14ac:dyDescent="0.2">
      <c r="Y60" s="2">
        <v>22</v>
      </c>
      <c r="Z60" s="2">
        <f t="shared" si="22"/>
        <v>2.0868301391601562E-2</v>
      </c>
      <c r="AA60" s="2">
        <f t="shared" si="15"/>
        <v>7.7188664140970253E-8</v>
      </c>
      <c r="AB60" s="2">
        <f t="shared" si="23"/>
        <v>2.0868539810180664E-2</v>
      </c>
      <c r="AC60" s="2">
        <f t="shared" si="16"/>
        <v>-1.6162166906544262E-7</v>
      </c>
      <c r="AD60" s="2">
        <f t="shared" si="18"/>
        <v>2.0868420600891113E-2</v>
      </c>
      <c r="AE60" s="2">
        <f t="shared" si="17"/>
        <v>-4.2216501912328841E-8</v>
      </c>
      <c r="AF60" s="2">
        <f t="shared" si="19"/>
        <v>-3.2586353873173792E-15</v>
      </c>
      <c r="AG60" s="2">
        <f t="shared" si="20"/>
        <v>6.8231015011750372E-15</v>
      </c>
      <c r="AH60" s="2">
        <f t="shared" si="21"/>
        <v>2.384185791015625E-7</v>
      </c>
    </row>
    <row r="61" spans="2:34" x14ac:dyDescent="0.2">
      <c r="Y61" s="2">
        <v>23</v>
      </c>
      <c r="Z61" s="2">
        <f t="shared" si="22"/>
        <v>2.0868301391601562E-2</v>
      </c>
      <c r="AA61" s="2">
        <f t="shared" si="15"/>
        <v>7.7188664140970253E-8</v>
      </c>
      <c r="AB61" s="2">
        <f t="shared" si="23"/>
        <v>2.0868420600891113E-2</v>
      </c>
      <c r="AC61" s="2">
        <f t="shared" si="16"/>
        <v>-4.2216501912328841E-8</v>
      </c>
      <c r="AD61" s="2">
        <f t="shared" si="18"/>
        <v>2.0868360996246338E-2</v>
      </c>
      <c r="AE61" s="2">
        <f t="shared" si="17"/>
        <v>1.7486081249629137E-8</v>
      </c>
      <c r="AF61" s="2">
        <f t="shared" si="19"/>
        <v>1.3497272527193408E-15</v>
      </c>
      <c r="AG61" s="2">
        <f t="shared" si="20"/>
        <v>-7.3820118251410595E-16</v>
      </c>
      <c r="AH61" s="2">
        <f t="shared" si="21"/>
        <v>1.1920928955078125E-7</v>
      </c>
    </row>
    <row r="62" spans="2:34" x14ac:dyDescent="0.2">
      <c r="Y62" s="2">
        <v>24</v>
      </c>
      <c r="Z62" s="2">
        <f t="shared" si="22"/>
        <v>2.0868360996246338E-2</v>
      </c>
      <c r="AA62" s="2">
        <f t="shared" si="15"/>
        <v>1.7486081249629137E-8</v>
      </c>
      <c r="AB62" s="2">
        <f t="shared" si="23"/>
        <v>2.0868420600891113E-2</v>
      </c>
      <c r="AC62" s="2">
        <f t="shared" si="16"/>
        <v>-4.2216501912328841E-8</v>
      </c>
      <c r="AD62" s="2">
        <f t="shared" si="18"/>
        <v>2.0868390798568726E-2</v>
      </c>
      <c r="AE62" s="2">
        <f t="shared" si="17"/>
        <v>-1.2365210296655382E-8</v>
      </c>
      <c r="AF62" s="2">
        <f t="shared" si="19"/>
        <v>-2.1621907191606683E-16</v>
      </c>
      <c r="AG62" s="2">
        <f t="shared" si="20"/>
        <v>5.2201592413510019E-16</v>
      </c>
      <c r="AH62" s="2">
        <f t="shared" si="21"/>
        <v>5.9604644775390625E-8</v>
      </c>
    </row>
    <row r="63" spans="2:34" x14ac:dyDescent="0.2">
      <c r="Y63" s="2">
        <v>25</v>
      </c>
      <c r="Z63" s="2">
        <f t="shared" si="22"/>
        <v>2.0868360996246338E-2</v>
      </c>
      <c r="AA63" s="2">
        <f t="shared" si="15"/>
        <v>1.7486081249629137E-8</v>
      </c>
      <c r="AB63" s="2">
        <f t="shared" si="23"/>
        <v>2.0868390798568726E-2</v>
      </c>
      <c r="AC63" s="2">
        <f t="shared" si="16"/>
        <v>-1.2365210296655382E-8</v>
      </c>
      <c r="AD63" s="2">
        <f t="shared" si="18"/>
        <v>2.0868375897407532E-2</v>
      </c>
      <c r="AE63" s="2">
        <f t="shared" si="17"/>
        <v>2.5604354851604949E-9</v>
      </c>
      <c r="AF63" s="2">
        <f t="shared" si="19"/>
        <v>4.4771982927950014E-17</v>
      </c>
      <c r="AG63" s="2">
        <f t="shared" si="20"/>
        <v>-3.1660323225028373E-17</v>
      </c>
      <c r="AH63" s="2">
        <f t="shared" si="21"/>
        <v>2.9802322387695312E-8</v>
      </c>
    </row>
    <row r="64" spans="2:34" x14ac:dyDescent="0.2">
      <c r="Y64" s="2">
        <v>26</v>
      </c>
      <c r="Z64" s="2">
        <f t="shared" si="22"/>
        <v>2.0868375897407532E-2</v>
      </c>
      <c r="AA64" s="2">
        <f t="shared" si="15"/>
        <v>2.5604354851604949E-9</v>
      </c>
      <c r="AB64" s="2">
        <f t="shared" si="23"/>
        <v>2.0868390798568726E-2</v>
      </c>
      <c r="AC64" s="2">
        <f t="shared" si="16"/>
        <v>-1.2365210296655382E-8</v>
      </c>
      <c r="AD64" s="2">
        <f t="shared" si="18"/>
        <v>2.0868383347988129E-2</v>
      </c>
      <c r="AE64" s="2">
        <f t="shared" si="17"/>
        <v>-4.9023874022779967E-9</v>
      </c>
      <c r="AF64" s="2">
        <f t="shared" si="19"/>
        <v>-1.2552246666796361E-17</v>
      </c>
      <c r="AG64" s="2">
        <f t="shared" si="20"/>
        <v>6.0619051184841517E-17</v>
      </c>
      <c r="AH64" s="2">
        <f t="shared" si="21"/>
        <v>1.4901161193847656E-8</v>
      </c>
    </row>
    <row r="65" spans="25:34" x14ac:dyDescent="0.2">
      <c r="Y65" s="2">
        <v>27</v>
      </c>
      <c r="Z65" s="2">
        <f t="shared" si="22"/>
        <v>2.0868375897407532E-2</v>
      </c>
      <c r="AA65" s="2">
        <f t="shared" si="15"/>
        <v>2.5604354851604949E-9</v>
      </c>
      <c r="AB65" s="2">
        <f t="shared" si="23"/>
        <v>2.0868383347988129E-2</v>
      </c>
      <c r="AC65" s="2">
        <f t="shared" si="16"/>
        <v>-4.9023874022779967E-9</v>
      </c>
      <c r="AD65" s="2">
        <f t="shared" si="18"/>
        <v>2.086837962269783E-2</v>
      </c>
      <c r="AE65" s="2">
        <f t="shared" si="17"/>
        <v>-1.1709759585587509E-9</v>
      </c>
      <c r="AF65" s="2">
        <f t="shared" si="19"/>
        <v>-2.998208396563651E-18</v>
      </c>
      <c r="AG65" s="2">
        <f t="shared" si="20"/>
        <v>5.7405777876088217E-18</v>
      </c>
      <c r="AH65" s="2">
        <f t="shared" si="21"/>
        <v>7.4505805969238281E-9</v>
      </c>
    </row>
    <row r="66" spans="25:34" x14ac:dyDescent="0.2">
      <c r="Y66" s="2">
        <v>28</v>
      </c>
      <c r="Z66" s="2">
        <f t="shared" si="22"/>
        <v>2.0868375897407532E-2</v>
      </c>
      <c r="AA66" s="2">
        <f t="shared" si="15"/>
        <v>2.5604354851604949E-9</v>
      </c>
      <c r="AB66" s="2">
        <f t="shared" si="23"/>
        <v>2.086837962269783E-2</v>
      </c>
      <c r="AC66" s="2">
        <f t="shared" si="16"/>
        <v>-1.1709759585587509E-9</v>
      </c>
      <c r="AD66" s="2">
        <f t="shared" si="18"/>
        <v>2.0868377760052681E-2</v>
      </c>
      <c r="AE66" s="2">
        <f t="shared" si="17"/>
        <v>6.9472976330087199E-10</v>
      </c>
      <c r="AF66" s="2">
        <f t="shared" si="19"/>
        <v>1.7788107385527041E-18</v>
      </c>
      <c r="AG66" s="2">
        <f t="shared" si="20"/>
        <v>-8.1351185052053275E-19</v>
      </c>
      <c r="AH66" s="2">
        <f t="shared" si="21"/>
        <v>3.7252902984619141E-9</v>
      </c>
    </row>
    <row r="67" spans="25:34" x14ac:dyDescent="0.2">
      <c r="Y67" s="2">
        <v>29</v>
      </c>
      <c r="Z67" s="2">
        <f t="shared" si="22"/>
        <v>2.0868377760052681E-2</v>
      </c>
      <c r="AA67" s="2">
        <f t="shared" si="15"/>
        <v>6.9472976330087199E-10</v>
      </c>
      <c r="AB67" s="2">
        <f t="shared" si="23"/>
        <v>2.086837962269783E-2</v>
      </c>
      <c r="AC67" s="2">
        <f t="shared" si="16"/>
        <v>-1.1709759585587509E-9</v>
      </c>
      <c r="AD67" s="2">
        <f t="shared" si="18"/>
        <v>2.0868378691375256E-2</v>
      </c>
      <c r="AE67" s="2">
        <f t="shared" si="17"/>
        <v>-2.3812309762893946E-10</v>
      </c>
      <c r="AF67" s="2">
        <f t="shared" si="19"/>
        <v>-1.6543120325222355E-19</v>
      </c>
      <c r="AG67" s="2">
        <f t="shared" si="20"/>
        <v>2.7883642250102644E-19</v>
      </c>
      <c r="AH67" s="2">
        <f t="shared" si="21"/>
        <v>1.862645149230957E-9</v>
      </c>
    </row>
    <row r="68" spans="25:34" x14ac:dyDescent="0.2">
      <c r="Y68" s="2">
        <v>30</v>
      </c>
      <c r="Z68" s="2">
        <f t="shared" si="22"/>
        <v>2.0868377760052681E-2</v>
      </c>
      <c r="AA68" s="2">
        <f t="shared" si="15"/>
        <v>6.9472976330087199E-10</v>
      </c>
      <c r="AB68" s="2">
        <f t="shared" si="23"/>
        <v>2.0868378691375256E-2</v>
      </c>
      <c r="AC68" s="2">
        <f t="shared" si="16"/>
        <v>-2.3812309762893946E-10</v>
      </c>
      <c r="AD68" s="5">
        <f t="shared" si="18"/>
        <v>2.0868378225713968E-2</v>
      </c>
      <c r="AE68" s="2">
        <f t="shared" si="17"/>
        <v>2.2830333457068974E-10</v>
      </c>
      <c r="AF68" s="2">
        <f t="shared" si="19"/>
        <v>1.5860912158709507E-19</v>
      </c>
      <c r="AG68" s="2">
        <f t="shared" si="20"/>
        <v>-5.4364297226988783E-20</v>
      </c>
      <c r="AH68" s="2">
        <f>AB68-Z68</f>
        <v>9.3132257461547852E-10</v>
      </c>
    </row>
  </sheetData>
  <mergeCells count="25">
    <mergeCell ref="R13:T13"/>
    <mergeCell ref="B17:D17"/>
    <mergeCell ref="R17:T17"/>
    <mergeCell ref="B1:D1"/>
    <mergeCell ref="B3:D3"/>
    <mergeCell ref="F3:H3"/>
    <mergeCell ref="J3:L3"/>
    <mergeCell ref="R3:T3"/>
    <mergeCell ref="J7:L7"/>
    <mergeCell ref="B45:D45"/>
    <mergeCell ref="J46:L46"/>
    <mergeCell ref="B51:D51"/>
    <mergeCell ref="N3:P3"/>
    <mergeCell ref="N17:P17"/>
    <mergeCell ref="N13:P13"/>
    <mergeCell ref="B23:D23"/>
    <mergeCell ref="F26:H26"/>
    <mergeCell ref="B28:D28"/>
    <mergeCell ref="J30:L30"/>
    <mergeCell ref="B34:D34"/>
    <mergeCell ref="B39:D39"/>
    <mergeCell ref="J38:L38"/>
    <mergeCell ref="B12:D12"/>
    <mergeCell ref="J11:L11"/>
    <mergeCell ref="F16:H16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I136"/>
  <sheetViews>
    <sheetView workbookViewId="0">
      <selection activeCell="C5" sqref="C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43" width="10.83203125" style="6"/>
    <col min="44" max="44" width="11.33203125" style="6" bestFit="1" customWidth="1"/>
    <col min="45" max="45" width="10.83203125" style="6"/>
    <col min="46" max="46" width="3.5" style="6" customWidth="1"/>
    <col min="47" max="47" width="12.33203125" style="6" customWidth="1"/>
    <col min="48" max="48" width="13" style="6" bestFit="1" customWidth="1"/>
    <col min="49" max="49" width="12" style="6" customWidth="1"/>
    <col min="50" max="50" width="14.1640625" style="6" bestFit="1" customWidth="1"/>
    <col min="51" max="51" width="13.6640625" style="6" bestFit="1" customWidth="1"/>
    <col min="52" max="53" width="14.1640625" style="6" bestFit="1" customWidth="1"/>
    <col min="54" max="54" width="13.6640625" style="6" bestFit="1" customWidth="1"/>
    <col min="55" max="55" width="14.1640625" style="6" bestFit="1" customWidth="1"/>
    <col min="56" max="56" width="13.6640625" style="6" bestFit="1" customWidth="1"/>
    <col min="57" max="57" width="10.83203125" style="6"/>
    <col min="58" max="58" width="3.33203125" style="6" customWidth="1"/>
    <col min="59" max="59" width="10.83203125" style="6"/>
    <col min="60" max="60" width="14.5" style="6" bestFit="1" customWidth="1"/>
    <col min="61" max="61" width="10.83203125" style="6"/>
    <col min="62" max="62" width="3.33203125" style="6" customWidth="1"/>
    <col min="63" max="63" width="10.83203125" style="6"/>
    <col min="64" max="64" width="13.5" style="6" bestFit="1" customWidth="1"/>
    <col min="65" max="65" width="10.83203125" style="6"/>
    <col min="66" max="66" width="3" style="6" customWidth="1"/>
    <col min="67" max="68" width="11" style="6" bestFit="1" customWidth="1"/>
    <col min="69" max="69" width="14.5" style="6" bestFit="1" customWidth="1"/>
    <col min="70" max="70" width="11" style="6" bestFit="1" customWidth="1"/>
    <col min="71" max="71" width="14.5" style="6" bestFit="1" customWidth="1"/>
    <col min="72" max="72" width="11" style="6" bestFit="1" customWidth="1"/>
    <col min="73" max="73" width="14.5" style="6" bestFit="1" customWidth="1"/>
    <col min="74" max="76" width="11" style="6" bestFit="1" customWidth="1"/>
    <col min="77" max="77" width="2.83203125" style="6" customWidth="1"/>
    <col min="78" max="79" width="11" style="6" bestFit="1" customWidth="1"/>
    <col min="80" max="80" width="14.5" style="6" bestFit="1" customWidth="1"/>
    <col min="81" max="81" width="11" style="6" bestFit="1" customWidth="1"/>
    <col min="82" max="16384" width="10.83203125" style="6"/>
  </cols>
  <sheetData>
    <row r="1" spans="2:87" x14ac:dyDescent="0.2">
      <c r="B1" s="60" t="s">
        <v>0</v>
      </c>
      <c r="C1" s="60"/>
      <c r="D1" s="60"/>
    </row>
    <row r="2" spans="2:87" x14ac:dyDescent="0.2">
      <c r="U2" s="16" t="s">
        <v>96</v>
      </c>
      <c r="AF2" s="16" t="s">
        <v>79</v>
      </c>
      <c r="AQ2" s="61" t="s">
        <v>137</v>
      </c>
      <c r="AR2" s="61"/>
      <c r="AS2" s="61"/>
      <c r="AT2"/>
      <c r="AU2" s="61" t="s">
        <v>138</v>
      </c>
      <c r="AV2" s="61"/>
      <c r="AW2" s="61"/>
      <c r="AX2"/>
      <c r="AY2" s="61" t="s">
        <v>139</v>
      </c>
      <c r="AZ2" s="61"/>
      <c r="BA2" s="61"/>
      <c r="BB2" s="61"/>
      <c r="BC2" s="61"/>
      <c r="BD2" s="61"/>
      <c r="BE2" s="61"/>
      <c r="BF2"/>
      <c r="BG2" s="61" t="s">
        <v>140</v>
      </c>
      <c r="BH2" s="61"/>
      <c r="BI2" s="61"/>
      <c r="BJ2" s="61"/>
      <c r="BK2" s="61"/>
      <c r="BL2" s="61"/>
      <c r="BM2" s="61"/>
      <c r="BN2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Y2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T3"/>
      <c r="AU3" s="2" t="s">
        <v>145</v>
      </c>
      <c r="AV3" s="2">
        <f>0.5*AR9</f>
        <v>4</v>
      </c>
      <c r="AW3" s="26" t="s">
        <v>8</v>
      </c>
      <c r="AX3"/>
      <c r="AY3" s="63" t="s">
        <v>146</v>
      </c>
      <c r="AZ3" s="63"/>
      <c r="BA3" s="63"/>
      <c r="BB3"/>
      <c r="BC3" s="63" t="s">
        <v>147</v>
      </c>
      <c r="BD3" s="63"/>
      <c r="BE3" s="63"/>
      <c r="BF3"/>
      <c r="BG3" s="63" t="s">
        <v>146</v>
      </c>
      <c r="BH3" s="63"/>
      <c r="BI3" s="63"/>
      <c r="BJ3" s="2"/>
      <c r="BK3" s="63" t="s">
        <v>147</v>
      </c>
      <c r="BL3" s="63"/>
      <c r="BM3" s="63"/>
      <c r="BN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Y3"/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MAX(G13,G20,G27)</f>
        <v>335.71270139476854</v>
      </c>
      <c r="L4" s="6" t="s">
        <v>104</v>
      </c>
      <c r="N4" s="6" t="s">
        <v>25</v>
      </c>
      <c r="O4" s="6">
        <f xml:space="preserve"> 0.5 * $C$46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2.0795807996794057E-2</v>
      </c>
      <c r="X4" s="3">
        <v>1</v>
      </c>
      <c r="Y4" s="2">
        <f t="shared" ref="Y4:Y34" si="1" xml:space="preserve"> $O$21 * TAN($O$18/180*PI()) + $O$22 / (2 * SQRT($O$21^2 + X4^2)) - X4</f>
        <v>-0.98341411923442246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-0.48221421784669743</v>
      </c>
      <c r="AB4" s="2">
        <f>W4*AA4</f>
        <v>-1.0028034287664142E-2</v>
      </c>
      <c r="AC4" s="2">
        <f>Y4*AA4</f>
        <v>0.47421627032602587</v>
      </c>
      <c r="AD4" s="2">
        <f>X4-V4</f>
        <v>1</v>
      </c>
      <c r="AF4" s="2">
        <v>0</v>
      </c>
      <c r="AG4" s="2"/>
      <c r="AH4" s="2">
        <f>K27</f>
        <v>-6.2857723826255096E-3</v>
      </c>
      <c r="AI4" s="2"/>
      <c r="AJ4" s="2">
        <f>K27</f>
        <v>-6.2857723826255096E-3</v>
      </c>
      <c r="AK4" s="2"/>
      <c r="AL4" s="2">
        <f>K27</f>
        <v>-6.2857723826255096E-3</v>
      </c>
      <c r="AM4" s="2"/>
      <c r="AN4" s="2"/>
      <c r="AO4" s="2"/>
      <c r="AQ4" s="2" t="s">
        <v>151</v>
      </c>
      <c r="AR4" s="2">
        <f>$C$6</f>
        <v>354.79736193083227</v>
      </c>
      <c r="AS4" s="26" t="s">
        <v>134</v>
      </c>
      <c r="AT4"/>
      <c r="AU4" s="2" t="s">
        <v>152</v>
      </c>
      <c r="AV4" s="2">
        <f>PI()*AV3^2</f>
        <v>50.26548245743669</v>
      </c>
      <c r="AW4" s="26" t="s">
        <v>11</v>
      </c>
      <c r="AX4"/>
      <c r="AY4" s="2" t="s">
        <v>153</v>
      </c>
      <c r="AZ4" s="2">
        <f>2*($AR$19 - $AR$10)</f>
        <v>0.43999999999999995</v>
      </c>
      <c r="BA4" s="26" t="s">
        <v>8</v>
      </c>
      <c r="BB4"/>
      <c r="BC4" s="2" t="s">
        <v>153</v>
      </c>
      <c r="BD4" s="2">
        <f>$AR$20-$AR$19</f>
        <v>0.43999999999999995</v>
      </c>
      <c r="BE4" s="26" t="s">
        <v>8</v>
      </c>
      <c r="BF4"/>
      <c r="BG4" s="28" t="s">
        <v>154</v>
      </c>
      <c r="BH4" s="29">
        <f>BT34</f>
        <v>0.21164098863565509</v>
      </c>
      <c r="BI4" s="5" t="s">
        <v>155</v>
      </c>
      <c r="BJ4" s="2"/>
      <c r="BK4" s="28" t="s">
        <v>154</v>
      </c>
      <c r="BL4" s="29">
        <f>CE34</f>
        <v>0.1667616280594027</v>
      </c>
      <c r="BM4" s="5" t="s">
        <v>155</v>
      </c>
      <c r="BN4"/>
      <c r="BO4" s="30">
        <v>0</v>
      </c>
      <c r="BP4" s="30"/>
      <c r="BQ4" s="30">
        <f>$BH$20</f>
        <v>4.4552320092178244E-6</v>
      </c>
      <c r="BR4" s="30"/>
      <c r="BS4" s="30">
        <f>$BH$20</f>
        <v>4.4552320092178244E-6</v>
      </c>
      <c r="BT4" s="30"/>
      <c r="BU4" s="30">
        <f>$BH$20</f>
        <v>4.4552320092178244E-6</v>
      </c>
      <c r="BV4" s="30"/>
      <c r="BW4" s="30"/>
      <c r="BX4" s="30"/>
      <c r="BY4"/>
      <c r="BZ4" s="30">
        <v>0</v>
      </c>
      <c r="CA4" s="30"/>
      <c r="CB4" s="30">
        <f>$BL$20</f>
        <v>1.7018258988484025E-5</v>
      </c>
      <c r="CC4" s="30"/>
      <c r="CD4" s="30">
        <f>$BL$20</f>
        <v>1.7018258988484025E-5</v>
      </c>
      <c r="CE4" s="30"/>
      <c r="CF4" s="30">
        <f>$BL$20</f>
        <v>1.7018258988484025E-5</v>
      </c>
      <c r="CG4" s="30"/>
      <c r="CH4" s="30"/>
      <c r="CI4" s="30"/>
    </row>
    <row r="5" spans="2:87" x14ac:dyDescent="0.2">
      <c r="B5" s="10" t="s">
        <v>40</v>
      </c>
      <c r="C5" s="10">
        <f>AK44</f>
        <v>2199.6879577800428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83.928175348692136</v>
      </c>
      <c r="L5" s="6" t="s">
        <v>104</v>
      </c>
      <c r="N5" s="6" t="s">
        <v>119</v>
      </c>
      <c r="O5" s="6">
        <f xml:space="preserve"> $C$18 * 0.85 * ($C$5/$C$18 *2.20462/1000)^(2/3) * 0.3048^2</f>
        <v>0.35914133689755418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2.0795807996794057E-2</v>
      </c>
      <c r="X5" s="2">
        <f>IF(AC4&gt;0, Z4, X4)</f>
        <v>0.5</v>
      </c>
      <c r="Y5" s="2">
        <f t="shared" si="1"/>
        <v>-0.48221421784669743</v>
      </c>
      <c r="Z5" s="2">
        <f t="shared" ref="Z5:Z34" si="3" xml:space="preserve"> (V5 + X5)/2</f>
        <v>0.25</v>
      </c>
      <c r="AA5" s="2">
        <f t="shared" si="2"/>
        <v>-0.23074801187109811</v>
      </c>
      <c r="AB5" s="2">
        <f t="shared" ref="AB5:AB34" si="4">W5*AA5</f>
        <v>-4.7985913505133124E-3</v>
      </c>
      <c r="AC5" s="2">
        <f t="shared" ref="AC5:AC34" si="5">Y5*AA5</f>
        <v>0.11126997206410204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-1109.6188797172792</v>
      </c>
      <c r="AI5" s="3">
        <v>5000</v>
      </c>
      <c r="AJ5" s="2">
        <f t="dataTable" ref="AJ5:AJ44" dt2D="0" dtr="0" r1="C5" ca="1"/>
        <v>1577.2507888034902</v>
      </c>
      <c r="AK5" s="2">
        <f>(AG5+AI5)/2</f>
        <v>2750</v>
      </c>
      <c r="AL5" s="2">
        <f t="dataTable" ref="AL5:AL44" dt2D="0" dtr="0" r1="C5" ca="1"/>
        <v>350.03992354626484</v>
      </c>
      <c r="AM5" s="2">
        <f>AH5*AL5</f>
        <v>-388410.9078217285</v>
      </c>
      <c r="AN5" s="2">
        <f>AJ5*AL5</f>
        <v>552100.74552605965</v>
      </c>
      <c r="AO5" s="2">
        <f>AI5-AG5</f>
        <v>4500</v>
      </c>
      <c r="AQ5" s="2" t="s">
        <v>157</v>
      </c>
      <c r="AR5" s="3">
        <v>7.86457790243273</v>
      </c>
      <c r="AS5" s="26" t="s">
        <v>43</v>
      </c>
      <c r="AT5"/>
      <c r="AU5" s="2" t="s">
        <v>29</v>
      </c>
      <c r="AV5" s="2">
        <f>AR4*2*PI()/60</f>
        <v>37.154292858498053</v>
      </c>
      <c r="AW5" s="26" t="s">
        <v>30</v>
      </c>
      <c r="AX5"/>
      <c r="AY5" s="2" t="s">
        <v>158</v>
      </c>
      <c r="AZ5" s="2">
        <f>(1+$BH$18)*$AR$3</f>
        <v>5.4138960968243328</v>
      </c>
      <c r="BA5" s="26" t="s">
        <v>10</v>
      </c>
      <c r="BB5"/>
      <c r="BC5" s="2" t="s">
        <v>158</v>
      </c>
      <c r="BD5" s="2">
        <f>(1+$BL$18)*$AR$3</f>
        <v>6.9729122563735713</v>
      </c>
      <c r="BE5" s="26" t="s">
        <v>10</v>
      </c>
      <c r="BF5"/>
      <c r="BG5" s="2" t="s">
        <v>159</v>
      </c>
      <c r="BH5" s="2">
        <f>($AR$35+$AR$5)/180*PI()</f>
        <v>0.25769049706464925</v>
      </c>
      <c r="BI5" s="2" t="s">
        <v>155</v>
      </c>
      <c r="BJ5" s="2"/>
      <c r="BK5" s="2" t="s">
        <v>159</v>
      </c>
      <c r="BL5" s="2">
        <f>($AR$36+$AR$5)/180*PI()</f>
        <v>0.23465215093832409</v>
      </c>
      <c r="BM5" s="2" t="s">
        <v>155</v>
      </c>
      <c r="BN5"/>
      <c r="BO5" s="2">
        <v>1</v>
      </c>
      <c r="BP5" s="3">
        <f>0.01*PI()</f>
        <v>3.1415926535897934E-2</v>
      </c>
      <c r="BQ5" s="2">
        <f t="dataTable" ref="BQ5:BQ34" dt2D="0" dtr="0" r1="BH4"/>
        <v>-2.3673164638564672</v>
      </c>
      <c r="BR5" s="3">
        <f>0.9*PI()</f>
        <v>2.8274333882308138</v>
      </c>
      <c r="BS5" s="2">
        <f t="dataTable" ref="BS5:BS34" dt2D="0" dtr="0" r1="BH4" ca="1"/>
        <v>0.54184398238897513</v>
      </c>
      <c r="BT5" s="2">
        <f t="shared" ref="BT5:BT34" si="7">(BP5+BR5)/2</f>
        <v>1.4294246573833558</v>
      </c>
      <c r="BU5" s="2">
        <f t="dataTable" ref="BU5:BU34" dt2D="0" dtr="0" r1="BH4" ca="1"/>
        <v>1.0861844780316876</v>
      </c>
      <c r="BV5" s="2">
        <f t="shared" ref="BV5:BV34" si="8">BQ5*BU5</f>
        <v>-2.5713423976297571</v>
      </c>
      <c r="BW5" s="2">
        <f t="shared" ref="BW5:BW34" si="9">BS5*BU5</f>
        <v>0.58854252318577993</v>
      </c>
      <c r="BX5" s="2">
        <f t="shared" ref="BX5:BX34" si="10">BR5-BP5</f>
        <v>2.7960174616949161</v>
      </c>
      <c r="BY5"/>
      <c r="BZ5" s="2">
        <v>1</v>
      </c>
      <c r="CA5" s="3">
        <f>0.01*PI()</f>
        <v>3.1415926535897934E-2</v>
      </c>
      <c r="CB5" s="2">
        <f t="dataTable" ref="CB5:CB34" dt2D="0" dtr="0" r1="BL4"/>
        <v>-1.321416303284445</v>
      </c>
      <c r="CC5" s="3">
        <f>0.9*PI()</f>
        <v>2.8274333882308138</v>
      </c>
      <c r="CD5" s="2">
        <f t="dataTable" ref="CD5:CD34" dt2D="0" dtr="0" r1="BL4" ca="1"/>
        <v>0.4399104118341654</v>
      </c>
      <c r="CE5" s="2">
        <f t="shared" ref="CE5:CE34" si="11">(CA5+CC5)/2</f>
        <v>1.4294246573833558</v>
      </c>
      <c r="CF5" s="2">
        <f t="dataTable" ref="CF5:CF34" dt2D="0" dtr="0" r1="BL4" ca="1"/>
        <v>1.0341452959055291</v>
      </c>
      <c r="CG5" s="2">
        <f t="shared" ref="CG5:CG34" si="12">CB5*CF5</f>
        <v>-1.3665364539744826</v>
      </c>
      <c r="CH5" s="2">
        <f t="shared" ref="CH5:CH34" si="13">CD5*CF5</f>
        <v>0.45493128301816615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f>AK79</f>
        <v>354.79736193083227</v>
      </c>
      <c r="D6" s="10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7.144889879484681E-3</v>
      </c>
      <c r="U6" s="2">
        <v>2</v>
      </c>
      <c r="V6" s="2">
        <f t="shared" ref="V6:V34" si="15">IF(AB5&gt;0, Z5, V5)</f>
        <v>0</v>
      </c>
      <c r="W6" s="2">
        <f t="shared" si="0"/>
        <v>2.0795807996794057E-2</v>
      </c>
      <c r="X6" s="2">
        <f t="shared" ref="X6:X34" si="16">IF(AC5&gt;0, Z5, X5)</f>
        <v>0.25</v>
      </c>
      <c r="Y6" s="2">
        <f t="shared" si="1"/>
        <v>-0.23074801187109811</v>
      </c>
      <c r="Z6" s="2">
        <f t="shared" si="3"/>
        <v>0.125</v>
      </c>
      <c r="AA6" s="2">
        <f t="shared" si="2"/>
        <v>-0.1047455791946753</v>
      </c>
      <c r="AB6" s="2">
        <f t="shared" si="4"/>
        <v>-2.1782689534454538E-3</v>
      </c>
      <c r="AC6" s="2">
        <f t="shared" si="5"/>
        <v>2.4169834151457983E-2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-1109.6188797172792</v>
      </c>
      <c r="AI6" s="2">
        <f>IF(AN5&gt;0, AK5, AI5)</f>
        <v>2750</v>
      </c>
      <c r="AJ6" s="2">
        <v>350.03992247617589</v>
      </c>
      <c r="AK6" s="2">
        <f t="shared" ref="AK6:AK43" si="17">(AG6+AI6)/2</f>
        <v>1625</v>
      </c>
      <c r="AL6" s="2">
        <v>-373.94126201247195</v>
      </c>
      <c r="AM6" s="2">
        <f t="shared" ref="AM6:AM44" si="18">AH6*AL6</f>
        <v>414932.28423434473</v>
      </c>
      <c r="AN6" s="2">
        <f t="shared" ref="AN6:AN44" si="19">AJ6*AL6</f>
        <v>-130894.37036548906</v>
      </c>
      <c r="AO6" s="2">
        <f t="shared" ref="AO6:AO44" si="20">AI6-AG6</f>
        <v>2250</v>
      </c>
      <c r="AQ6" s="2"/>
      <c r="AR6" s="2"/>
      <c r="AS6" s="26"/>
      <c r="AT6"/>
      <c r="AU6" s="2" t="s">
        <v>161</v>
      </c>
      <c r="AV6" s="33">
        <f>$AR$4/60</f>
        <v>5.9132893655138714</v>
      </c>
      <c r="AW6" s="26" t="s">
        <v>162</v>
      </c>
      <c r="AX6"/>
      <c r="AY6" s="2" t="s">
        <v>163</v>
      </c>
      <c r="AZ6" s="2">
        <f>(1-$BH$19)*$AV$5*$AR$19</f>
        <v>25.198624767955796</v>
      </c>
      <c r="BA6" s="26" t="s">
        <v>10</v>
      </c>
      <c r="BB6"/>
      <c r="BC6" s="2" t="s">
        <v>163</v>
      </c>
      <c r="BD6" s="2">
        <f>(1-$BL$19)*$AV$5*$AR$20</f>
        <v>41.436986986795482</v>
      </c>
      <c r="BE6" s="26" t="s">
        <v>10</v>
      </c>
      <c r="BF6"/>
      <c r="BG6" s="2" t="s">
        <v>28</v>
      </c>
      <c r="BH6" s="2">
        <f>BH5-BH4</f>
        <v>4.6049508428994163E-2</v>
      </c>
      <c r="BI6" s="2" t="s">
        <v>155</v>
      </c>
      <c r="BJ6" s="2"/>
      <c r="BK6" s="2" t="s">
        <v>28</v>
      </c>
      <c r="BL6" s="2">
        <f>BL5-BL4</f>
        <v>6.7890522878921389E-2</v>
      </c>
      <c r="BM6" s="2" t="s">
        <v>155</v>
      </c>
      <c r="BN6"/>
      <c r="BO6" s="2">
        <v>2</v>
      </c>
      <c r="BP6" s="2">
        <f t="shared" ref="BP6:BP34" si="21">IF(BV5&gt;0,BT5,BP5)</f>
        <v>3.1415926535897934E-2</v>
      </c>
      <c r="BQ6" s="2">
        <v>-2.3673164638564672</v>
      </c>
      <c r="BR6" s="2">
        <f t="shared" ref="BR6:BR34" si="22">IF(BW5&gt;0,BT5,BR5)</f>
        <v>1.4294246573833558</v>
      </c>
      <c r="BS6" s="2">
        <v>1.086183473893839</v>
      </c>
      <c r="BT6" s="2">
        <f t="shared" si="7"/>
        <v>0.73042029195962688</v>
      </c>
      <c r="BU6" s="2">
        <v>0.68978834714983872</v>
      </c>
      <c r="BV6" s="2">
        <f t="shared" si="8"/>
        <v>-1.6329473107841534</v>
      </c>
      <c r="BW6" s="2">
        <f t="shared" si="9"/>
        <v>0.74923670315870117</v>
      </c>
      <c r="BX6" s="2">
        <f t="shared" si="10"/>
        <v>1.3980087308474578</v>
      </c>
      <c r="BY6"/>
      <c r="BZ6" s="2">
        <v>2</v>
      </c>
      <c r="CA6" s="2">
        <f t="shared" ref="CA6:CA34" si="23">IF(CG5&gt;0,CE5,CA5)</f>
        <v>3.1415926535897934E-2</v>
      </c>
      <c r="CB6" s="2">
        <v>-1.321416303284445</v>
      </c>
      <c r="CC6" s="2">
        <f t="shared" ref="CC6:CC34" si="24">IF(CH5&gt;0,CE5,CC5)</f>
        <v>1.4294246573833558</v>
      </c>
      <c r="CD6" s="2">
        <v>1.0341452959055291</v>
      </c>
      <c r="CE6" s="2">
        <f t="shared" si="11"/>
        <v>0.73042029195962688</v>
      </c>
      <c r="CF6" s="2">
        <v>0.66885502767382687</v>
      </c>
      <c r="CG6" s="2">
        <f t="shared" si="12"/>
        <v>-0.88383593810196348</v>
      </c>
      <c r="CH6" s="2">
        <f t="shared" si="13"/>
        <v>0.69169328051165058</v>
      </c>
      <c r="CI6" s="2">
        <f t="shared" si="14"/>
        <v>1.3980087308474578</v>
      </c>
    </row>
    <row r="7" spans="2:87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$C$6*2*PI()*$C$9/60</f>
        <v>148.61717143399221</v>
      </c>
      <c r="H7" s="6" t="s">
        <v>10</v>
      </c>
      <c r="J7" s="54" t="s">
        <v>23</v>
      </c>
      <c r="K7" s="54"/>
      <c r="L7" s="54"/>
      <c r="N7" t="s">
        <v>123</v>
      </c>
      <c r="O7" s="17">
        <v>1.230085E-2</v>
      </c>
      <c r="U7" s="2">
        <v>3</v>
      </c>
      <c r="V7" s="2">
        <f t="shared" si="15"/>
        <v>0</v>
      </c>
      <c r="W7" s="2">
        <f t="shared" si="0"/>
        <v>2.0795807996794057E-2</v>
      </c>
      <c r="X7" s="2">
        <f t="shared" si="16"/>
        <v>0.125</v>
      </c>
      <c r="Y7" s="2">
        <f t="shared" si="1"/>
        <v>-0.1047455791946753</v>
      </c>
      <c r="Z7" s="2">
        <f t="shared" si="3"/>
        <v>6.25E-2</v>
      </c>
      <c r="AA7" s="2">
        <f t="shared" si="2"/>
        <v>-4.1855484202688566E-2</v>
      </c>
      <c r="AB7" s="2">
        <f t="shared" si="4"/>
        <v>-8.7041861309195814E-4</v>
      </c>
      <c r="AC7" s="2">
        <f t="shared" si="5"/>
        <v>4.3841769352841956E-3</v>
      </c>
      <c r="AD7" s="2">
        <f t="shared" si="6"/>
        <v>0.125</v>
      </c>
      <c r="AF7" s="2">
        <v>3</v>
      </c>
      <c r="AG7" s="2">
        <f t="shared" ref="AG7:AG44" si="25">IF(AM6&gt;0, AK6, AG6)</f>
        <v>1625</v>
      </c>
      <c r="AH7" s="2">
        <v>-373.88307053509789</v>
      </c>
      <c r="AI7" s="2">
        <f t="shared" ref="AI7:AI44" si="26">IF(AN6&gt;0, AK6, AI6)</f>
        <v>2750</v>
      </c>
      <c r="AJ7" s="2">
        <v>350.03992247617589</v>
      </c>
      <c r="AK7" s="2">
        <f t="shared" si="17"/>
        <v>2187.5</v>
      </c>
      <c r="AL7" s="2">
        <v>-7.8552328094324366</v>
      </c>
      <c r="AM7" s="2">
        <f t="shared" si="18"/>
        <v>2936.9385625586428</v>
      </c>
      <c r="AN7" s="2">
        <f t="shared" si="19"/>
        <v>-2749.6450836460435</v>
      </c>
      <c r="AO7" s="2">
        <f t="shared" si="20"/>
        <v>1125</v>
      </c>
      <c r="AQ7" s="61" t="s">
        <v>165</v>
      </c>
      <c r="AR7" s="61"/>
      <c r="AS7" s="61"/>
      <c r="AT7"/>
      <c r="AU7" s="2" t="s">
        <v>166</v>
      </c>
      <c r="AV7" s="33">
        <f>$AR$3/(AV6*AR9)</f>
        <v>5.3692620194041342E-2</v>
      </c>
      <c r="AW7"/>
      <c r="AX7"/>
      <c r="AY7" s="2" t="s">
        <v>167</v>
      </c>
      <c r="AZ7" s="2">
        <f>SQRT(AZ5^2 + AZ6^2)</f>
        <v>25.773648580351306</v>
      </c>
      <c r="BA7" s="26" t="s">
        <v>10</v>
      </c>
      <c r="BB7"/>
      <c r="BC7" s="2" t="s">
        <v>167</v>
      </c>
      <c r="BD7" s="2">
        <f>SQRT(BD5^2 + BD6^2)</f>
        <v>42.019583480550388</v>
      </c>
      <c r="BE7" s="26" t="s">
        <v>10</v>
      </c>
      <c r="BF7"/>
      <c r="BG7" s="2" t="s">
        <v>168</v>
      </c>
      <c r="BH7" s="2">
        <f>BH6/PI()*180</f>
        <v>2.6384424816334753</v>
      </c>
      <c r="BI7" s="2" t="s">
        <v>43</v>
      </c>
      <c r="BJ7" s="2"/>
      <c r="BK7" s="2" t="s">
        <v>168</v>
      </c>
      <c r="BL7" s="2">
        <f>BL6/PI()*180</f>
        <v>3.8898404298985509</v>
      </c>
      <c r="BM7" s="2" t="s">
        <v>43</v>
      </c>
      <c r="BN7"/>
      <c r="BO7" s="2">
        <v>3</v>
      </c>
      <c r="BP7" s="2">
        <f t="shared" si="21"/>
        <v>3.1415926535897934E-2</v>
      </c>
      <c r="BQ7" s="2">
        <v>-2.3673164638564672</v>
      </c>
      <c r="BR7" s="2">
        <f t="shared" si="22"/>
        <v>0.73042029195962688</v>
      </c>
      <c r="BS7" s="2">
        <v>0.68978194590795927</v>
      </c>
      <c r="BT7" s="2">
        <f t="shared" si="7"/>
        <v>0.38091810924776243</v>
      </c>
      <c r="BU7" s="2">
        <v>0.38800161724793342</v>
      </c>
      <c r="BV7" s="2">
        <f t="shared" si="8"/>
        <v>-0.91852261651396816</v>
      </c>
      <c r="BW7" s="2">
        <f t="shared" si="9"/>
        <v>0.26763651056071475</v>
      </c>
      <c r="BX7" s="2">
        <f t="shared" si="10"/>
        <v>0.6990043654237289</v>
      </c>
      <c r="BY7"/>
      <c r="BZ7" s="2">
        <v>3</v>
      </c>
      <c r="CA7" s="2">
        <f t="shared" si="23"/>
        <v>3.1415926535897934E-2</v>
      </c>
      <c r="CB7" s="2">
        <v>-1.321416303284445</v>
      </c>
      <c r="CC7" s="2">
        <f t="shared" si="24"/>
        <v>0.73042029195962688</v>
      </c>
      <c r="CD7" s="2">
        <v>0.66885502767382687</v>
      </c>
      <c r="CE7" s="2">
        <f t="shared" si="11"/>
        <v>0.38091810924776243</v>
      </c>
      <c r="CF7" s="2">
        <v>0.38245873209169545</v>
      </c>
      <c r="CG7" s="2">
        <f t="shared" si="12"/>
        <v>-0.50538720391946412</v>
      </c>
      <c r="CH7" s="2">
        <f t="shared" si="13"/>
        <v>0.25580944583728771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G7/$C$42</f>
        <v>0.44507226676035533</v>
      </c>
      <c r="H8" s="6" t="s">
        <v>131</v>
      </c>
      <c r="J8" s="6" t="s">
        <v>99</v>
      </c>
      <c r="K8" s="6">
        <f xml:space="preserve"> $C$15 * (G13*G6 + G20*G16 + G27*G25)/3600</f>
        <v>135.21477337177515</v>
      </c>
      <c r="L8" s="6" t="s">
        <v>105</v>
      </c>
      <c r="N8" s="6" t="s">
        <v>122</v>
      </c>
      <c r="O8" s="6">
        <f xml:space="preserve"> $O$7 + O6</f>
        <v>1.9445739879484683E-2</v>
      </c>
      <c r="U8" s="2">
        <v>4</v>
      </c>
      <c r="V8" s="2">
        <f t="shared" si="15"/>
        <v>0</v>
      </c>
      <c r="W8" s="2">
        <f t="shared" si="0"/>
        <v>2.0795807996794057E-2</v>
      </c>
      <c r="X8" s="2">
        <f t="shared" si="16"/>
        <v>6.25E-2</v>
      </c>
      <c r="Y8" s="2">
        <f t="shared" si="1"/>
        <v>-4.1855484202688566E-2</v>
      </c>
      <c r="Z8" s="2">
        <f t="shared" si="3"/>
        <v>3.125E-2</v>
      </c>
      <c r="AA8" s="2">
        <f t="shared" si="2"/>
        <v>-1.0493181206501466E-2</v>
      </c>
      <c r="AB8" s="2">
        <f t="shared" si="4"/>
        <v>-2.1821418164597229E-4</v>
      </c>
      <c r="AC8" s="2">
        <f t="shared" si="5"/>
        <v>4.3919718022467064E-4</v>
      </c>
      <c r="AD8" s="2">
        <f t="shared" si="6"/>
        <v>6.25E-2</v>
      </c>
      <c r="AF8" s="2">
        <v>4</v>
      </c>
      <c r="AG8" s="2">
        <f t="shared" si="25"/>
        <v>2187.5</v>
      </c>
      <c r="AH8" s="2">
        <v>-7.7954455940168828</v>
      </c>
      <c r="AI8" s="2">
        <f t="shared" si="26"/>
        <v>2750</v>
      </c>
      <c r="AJ8" s="2">
        <v>350.03992247617589</v>
      </c>
      <c r="AK8" s="2">
        <f t="shared" si="17"/>
        <v>2468.75</v>
      </c>
      <c r="AL8" s="2">
        <v>172.23566764846282</v>
      </c>
      <c r="AM8" s="2">
        <f t="shared" si="18"/>
        <v>-1342.6537765027656</v>
      </c>
      <c r="AN8" s="2">
        <f t="shared" si="19"/>
        <v>60289.359751300319</v>
      </c>
      <c r="AO8" s="2">
        <f t="shared" si="20"/>
        <v>562.5</v>
      </c>
      <c r="AQ8" s="2" t="s">
        <v>169</v>
      </c>
      <c r="AR8" s="2">
        <f>$C$19</f>
        <v>3</v>
      </c>
      <c r="AS8" s="26"/>
      <c r="AT8"/>
      <c r="AU8"/>
      <c r="AV8"/>
      <c r="AW8"/>
      <c r="AX8"/>
      <c r="AY8" s="2" t="s">
        <v>170</v>
      </c>
      <c r="AZ8" s="37">
        <f>$AR$45*AZ7*$AR$27/$AR$46</f>
        <v>441257.74584956892</v>
      </c>
      <c r="BA8" s="26"/>
      <c r="BB8"/>
      <c r="BC8" s="2" t="s">
        <v>170</v>
      </c>
      <c r="BD8" s="37">
        <f>$AR$45*BD7*$AR$28/$AR$46</f>
        <v>698763.00999629532</v>
      </c>
      <c r="BE8" s="26"/>
      <c r="BF8"/>
      <c r="BG8" s="2" t="s">
        <v>171</v>
      </c>
      <c r="BH8" s="2">
        <f xml:space="preserve"> $AR$8*$AR$27 / (2*PI()*$AR$19)</f>
        <v>0.19501027812845517</v>
      </c>
      <c r="BI8" s="2"/>
      <c r="BJ8" s="2"/>
      <c r="BK8" s="2" t="s">
        <v>171</v>
      </c>
      <c r="BL8" s="2">
        <f xml:space="preserve"> $AR$8*$AR$28 / (2*PI()*$AR$20)</f>
        <v>0.11630875709636668</v>
      </c>
      <c r="BM8" s="2"/>
      <c r="BN8"/>
      <c r="BO8" s="2">
        <v>4</v>
      </c>
      <c r="BP8" s="2">
        <f t="shared" si="21"/>
        <v>3.1415926535897934E-2</v>
      </c>
      <c r="BQ8" s="2">
        <v>-2.3673164638564672</v>
      </c>
      <c r="BR8" s="2">
        <f t="shared" si="22"/>
        <v>0.38091810924776243</v>
      </c>
      <c r="BS8" s="2">
        <v>0.38799329776794356</v>
      </c>
      <c r="BT8" s="2">
        <f t="shared" si="7"/>
        <v>0.20616701789183017</v>
      </c>
      <c r="BU8" s="2">
        <v>-1.7612025330633441E-2</v>
      </c>
      <c r="BV8" s="2">
        <f t="shared" si="8"/>
        <v>4.1693237527065684E-2</v>
      </c>
      <c r="BW8" s="2">
        <f t="shared" si="9"/>
        <v>-6.8333477884050253E-3</v>
      </c>
      <c r="BX8" s="2">
        <f t="shared" si="10"/>
        <v>0.34950218271186451</v>
      </c>
      <c r="BY8"/>
      <c r="BZ8" s="2">
        <v>4</v>
      </c>
      <c r="CA8" s="2">
        <f t="shared" si="23"/>
        <v>3.1415926535897934E-2</v>
      </c>
      <c r="CB8" s="2">
        <v>-1.321416303284445</v>
      </c>
      <c r="CC8" s="2">
        <f t="shared" si="24"/>
        <v>0.38091810924776243</v>
      </c>
      <c r="CD8" s="2">
        <v>0.38245873209169545</v>
      </c>
      <c r="CE8" s="2">
        <f t="shared" si="11"/>
        <v>0.20616701789183017</v>
      </c>
      <c r="CF8" s="2">
        <v>9.7824844308406572E-2</v>
      </c>
      <c r="CG8" s="2">
        <f t="shared" si="12"/>
        <v>-0.12926734413539098</v>
      </c>
      <c r="CH8" s="2">
        <f t="shared" si="13"/>
        <v>3.7413965921260686E-2</v>
      </c>
      <c r="CI8" s="2">
        <f t="shared" si="14"/>
        <v>0.34950218271186451</v>
      </c>
    </row>
    <row r="9" spans="2:87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$C$43 / $C$18</f>
        <v>5390.0555360528751</v>
      </c>
      <c r="H9" s="6" t="s">
        <v>22</v>
      </c>
      <c r="J9" s="6" t="s">
        <v>265</v>
      </c>
      <c r="K9" s="6">
        <f xml:space="preserve"> $C$15 * (G6 + G16 + G25)/60</f>
        <v>37.333333333333336</v>
      </c>
      <c r="L9" s="6" t="s">
        <v>106</v>
      </c>
      <c r="N9" s="6" t="s">
        <v>41</v>
      </c>
      <c r="O9" s="6">
        <f xml:space="preserve"> O4 *O8 * PI() * $C$9 * $C$9</f>
        <v>1232.2516506538627</v>
      </c>
      <c r="P9" s="6" t="s">
        <v>22</v>
      </c>
      <c r="U9" s="2">
        <v>5</v>
      </c>
      <c r="V9" s="2">
        <f t="shared" si="15"/>
        <v>0</v>
      </c>
      <c r="W9" s="2">
        <f t="shared" si="0"/>
        <v>2.0795807996794057E-2</v>
      </c>
      <c r="X9" s="2">
        <f t="shared" si="16"/>
        <v>3.125E-2</v>
      </c>
      <c r="Y9" s="2">
        <f t="shared" si="1"/>
        <v>-1.0493181206501466E-2</v>
      </c>
      <c r="Z9" s="2">
        <f t="shared" si="3"/>
        <v>1.5625E-2</v>
      </c>
      <c r="AA9" s="2">
        <f t="shared" si="2"/>
        <v>5.160984658456623E-3</v>
      </c>
      <c r="AB9" s="2">
        <f t="shared" si="4"/>
        <v>1.0732684603166368E-4</v>
      </c>
      <c r="AC9" s="2">
        <f t="shared" si="5"/>
        <v>-5.4155147225159424E-5</v>
      </c>
      <c r="AD9" s="2">
        <f t="shared" si="6"/>
        <v>3.125E-2</v>
      </c>
      <c r="AF9" s="2">
        <v>5</v>
      </c>
      <c r="AG9" s="2">
        <f t="shared" si="25"/>
        <v>2187.5</v>
      </c>
      <c r="AH9" s="2">
        <v>-7.7954455940168828</v>
      </c>
      <c r="AI9" s="2">
        <f t="shared" si="26"/>
        <v>2468.75</v>
      </c>
      <c r="AJ9" s="2">
        <v>172.23566657837409</v>
      </c>
      <c r="AK9" s="2">
        <f t="shared" si="17"/>
        <v>2328.125</v>
      </c>
      <c r="AL9" s="2">
        <v>82.464397779629962</v>
      </c>
      <c r="AM9" s="2">
        <f t="shared" si="18"/>
        <v>-642.84672633447201</v>
      </c>
      <c r="AN9" s="2">
        <f t="shared" si="19"/>
        <v>14203.31052055876</v>
      </c>
      <c r="AO9" s="2">
        <f t="shared" si="20"/>
        <v>281.25</v>
      </c>
      <c r="AQ9" s="2" t="s">
        <v>172</v>
      </c>
      <c r="AR9" s="2">
        <f>2*$C$9</f>
        <v>8</v>
      </c>
      <c r="AS9" s="26" t="s">
        <v>8</v>
      </c>
      <c r="AT9"/>
      <c r="AU9" s="61" t="s">
        <v>173</v>
      </c>
      <c r="AV9" s="61"/>
      <c r="AW9" s="61"/>
      <c r="AX9"/>
      <c r="AY9" s="2" t="s">
        <v>174</v>
      </c>
      <c r="AZ9" s="33">
        <f xml:space="preserve"> $BH$8 * PI() * $AR$45 * AZ7^2 *$BH$14 * $AR$19 * AZ4</f>
        <v>58.385555270915141</v>
      </c>
      <c r="BA9" s="26" t="s">
        <v>22</v>
      </c>
      <c r="BB9"/>
      <c r="BC9" s="2" t="s">
        <v>174</v>
      </c>
      <c r="BD9" s="33">
        <f xml:space="preserve"> $BL$8 * PI() * $AR$45 * BD7^2 * $BL$14 * $AR$20 * BD4</f>
        <v>202.00400623806394</v>
      </c>
      <c r="BE9" s="26" t="s">
        <v>22</v>
      </c>
      <c r="BF9"/>
      <c r="BG9" s="2" t="s">
        <v>175</v>
      </c>
      <c r="BH9" s="2">
        <f>IF(-$AR$8*($AV$3-$AR$19)/(2*$AR$19*SIN(BH4))&gt;500, 1, 2*ACOS(MIN(1, EXP(-$AR$8*($AV$3-$AR$19)/(2*$AR$19*SIN(BH4)))))/PI() )</f>
        <v>0.99999999999999845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0.99999999990922206</v>
      </c>
      <c r="BM9" s="2"/>
      <c r="BN9"/>
      <c r="BO9" s="2">
        <v>5</v>
      </c>
      <c r="BP9" s="2">
        <f t="shared" si="21"/>
        <v>0.20616701789183017</v>
      </c>
      <c r="BQ9" s="2">
        <v>-1.7612025330633441E-2</v>
      </c>
      <c r="BR9" s="2">
        <f t="shared" si="22"/>
        <v>0.38091810924776243</v>
      </c>
      <c r="BS9" s="2">
        <v>0.38799329776794356</v>
      </c>
      <c r="BT9" s="2">
        <f t="shared" si="7"/>
        <v>0.2935425635697963</v>
      </c>
      <c r="BU9" s="2">
        <v>0.21621991542801755</v>
      </c>
      <c r="BV9" s="2">
        <f t="shared" si="8"/>
        <v>-3.8080706275056653E-3</v>
      </c>
      <c r="BW9" s="2">
        <f t="shared" si="9"/>
        <v>8.389187803002239E-2</v>
      </c>
      <c r="BX9" s="2">
        <f t="shared" si="10"/>
        <v>0.17475109135593225</v>
      </c>
      <c r="BY9"/>
      <c r="BZ9" s="2">
        <v>5</v>
      </c>
      <c r="CA9" s="2">
        <f t="shared" si="23"/>
        <v>3.1415926535897934E-2</v>
      </c>
      <c r="CB9" s="2">
        <v>-1.321416303284445</v>
      </c>
      <c r="CC9" s="2">
        <f t="shared" si="24"/>
        <v>0.20616701789183017</v>
      </c>
      <c r="CD9" s="2">
        <v>9.7824844308406572E-2</v>
      </c>
      <c r="CE9" s="2">
        <f t="shared" si="11"/>
        <v>0.11879147221386405</v>
      </c>
      <c r="CF9" s="2">
        <v>-0.16823332952957701</v>
      </c>
      <c r="CG9" s="2">
        <f t="shared" si="12"/>
        <v>0.22230626439620751</v>
      </c>
      <c r="CH9" s="2">
        <f t="shared" si="13"/>
        <v>-1.6457399268715728E-2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(0.071475+0.069425+0.067375+0.065325+0.063275+0.061225+0.059175+0.057125)/8</f>
        <v>6.4299999999999982E-2</v>
      </c>
      <c r="F10" s="6" t="s">
        <v>215</v>
      </c>
      <c r="G10" s="6">
        <f>AV10</f>
        <v>5390.4395214222222</v>
      </c>
      <c r="H10" s="6" t="s">
        <v>22</v>
      </c>
      <c r="N10" s="6" t="s">
        <v>42</v>
      </c>
      <c r="O10" s="6">
        <f xml:space="preserve"> O9</f>
        <v>1232.2516506538627</v>
      </c>
      <c r="P10" s="6" t="s">
        <v>22</v>
      </c>
      <c r="U10" s="2">
        <v>6</v>
      </c>
      <c r="V10" s="2">
        <f t="shared" si="15"/>
        <v>1.5625E-2</v>
      </c>
      <c r="W10" s="2">
        <f t="shared" si="0"/>
        <v>5.160984658456623E-3</v>
      </c>
      <c r="X10" s="2">
        <f t="shared" si="16"/>
        <v>3.125E-2</v>
      </c>
      <c r="Y10" s="2">
        <f t="shared" si="1"/>
        <v>-1.0493181206501466E-2</v>
      </c>
      <c r="Z10" s="2">
        <f t="shared" si="3"/>
        <v>2.34375E-2</v>
      </c>
      <c r="AA10" s="2">
        <f t="shared" si="2"/>
        <v>-2.6637228701285216E-3</v>
      </c>
      <c r="AB10" s="2">
        <f t="shared" si="4"/>
        <v>-1.3747432867113343E-5</v>
      </c>
      <c r="AC10" s="2">
        <f t="shared" si="5"/>
        <v>2.7950926760160748E-5</v>
      </c>
      <c r="AD10" s="2">
        <f t="shared" si="6"/>
        <v>1.5625E-2</v>
      </c>
      <c r="AF10" s="2">
        <v>6</v>
      </c>
      <c r="AG10" s="2">
        <f t="shared" si="25"/>
        <v>2187.5</v>
      </c>
      <c r="AH10" s="2">
        <v>-7.7954455940168828</v>
      </c>
      <c r="AI10" s="2">
        <f t="shared" si="26"/>
        <v>2328.125</v>
      </c>
      <c r="AJ10" s="2">
        <v>82.464396709541234</v>
      </c>
      <c r="AK10" s="2">
        <f t="shared" si="17"/>
        <v>2257.8125</v>
      </c>
      <c r="AL10" s="2">
        <v>37.371450462188704</v>
      </c>
      <c r="AM10" s="2">
        <f t="shared" si="18"/>
        <v>-291.32710884748911</v>
      </c>
      <c r="AN10" s="2">
        <f t="shared" si="19"/>
        <v>3081.8141165248976</v>
      </c>
      <c r="AO10" s="2">
        <f t="shared" si="20"/>
        <v>140.625</v>
      </c>
      <c r="AQ10" s="2" t="s">
        <v>176</v>
      </c>
      <c r="AR10" s="3">
        <f>0.12*($AR$9/2)</f>
        <v>0.48</v>
      </c>
      <c r="AS10" s="26" t="s">
        <v>8</v>
      </c>
      <c r="AT10"/>
      <c r="AU10" s="4" t="s">
        <v>177</v>
      </c>
      <c r="AV10" s="38">
        <f>AZ9+BD9+AZ18+BD18+AZ27+BD27+AZ36+BD36</f>
        <v>5390.4395214222222</v>
      </c>
      <c r="AW10" s="26" t="s">
        <v>22</v>
      </c>
      <c r="AX10"/>
      <c r="AY10" s="2" t="s">
        <v>178</v>
      </c>
      <c r="AZ10" s="33">
        <f xml:space="preserve"> $BH$8 * PI() * $AR$45 * AZ7^2 * $BH$15 * $AR$19^2 * AZ4</f>
        <v>11.509735753034045</v>
      </c>
      <c r="BA10" s="26" t="s">
        <v>179</v>
      </c>
      <c r="BB10"/>
      <c r="BC10" s="2" t="s">
        <v>178</v>
      </c>
      <c r="BD10" s="33">
        <f xml:space="preserve"> $BL$8 * PI() * $AR$45 * BD7^2 * $BL$15 * $AR$20^2 * BD4</f>
        <v>47.722693239783048</v>
      </c>
      <c r="BE10" s="26" t="s">
        <v>179</v>
      </c>
      <c r="BF10"/>
      <c r="BG10" s="2" t="s">
        <v>180</v>
      </c>
      <c r="BH10" s="2">
        <f>IF(-$AR$8*($AR$19-$AR$10)/(2*$AR$19*SIN(BH4))&gt;500, 1, 2*ACOS(MIN(1, EXP(-$AR$8*($AR$19-$AR$10)/(2*$AR$19*SIN(BH4)))))/PI() )</f>
        <v>0.93238395246476602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0.9965978654991321</v>
      </c>
      <c r="BM10" s="2"/>
      <c r="BN10"/>
      <c r="BO10" s="2">
        <v>6</v>
      </c>
      <c r="BP10" s="2">
        <f t="shared" si="21"/>
        <v>0.20616701789183017</v>
      </c>
      <c r="BQ10" s="2">
        <v>-1.7612025330633441E-2</v>
      </c>
      <c r="BR10" s="2">
        <f t="shared" si="22"/>
        <v>0.2935425635697963</v>
      </c>
      <c r="BS10" s="2">
        <v>0.21621110083877476</v>
      </c>
      <c r="BT10" s="2">
        <f t="shared" si="7"/>
        <v>0.24985479073081324</v>
      </c>
      <c r="BU10" s="2">
        <v>0.11021296612260326</v>
      </c>
      <c r="BV10" s="2">
        <f t="shared" si="8"/>
        <v>-1.9410735511155338E-3</v>
      </c>
      <c r="BW10" s="2">
        <f t="shared" si="9"/>
        <v>2.3829266732074639E-2</v>
      </c>
      <c r="BX10" s="2">
        <f t="shared" si="10"/>
        <v>8.7375545677966127E-2</v>
      </c>
      <c r="BY10"/>
      <c r="BZ10" s="2">
        <v>6</v>
      </c>
      <c r="CA10" s="2">
        <f t="shared" si="23"/>
        <v>0.11879147221386405</v>
      </c>
      <c r="CB10" s="2">
        <v>-0.16822758619491671</v>
      </c>
      <c r="CC10" s="2">
        <f t="shared" si="24"/>
        <v>0.20616701789183017</v>
      </c>
      <c r="CD10" s="2">
        <v>9.7824844308406572E-2</v>
      </c>
      <c r="CE10" s="2">
        <f t="shared" si="11"/>
        <v>0.16247924505284711</v>
      </c>
      <c r="CF10" s="2">
        <v>-1.2256055495416258E-2</v>
      </c>
      <c r="CG10" s="2">
        <f t="shared" si="12"/>
        <v>2.061806632264821E-3</v>
      </c>
      <c r="CH10" s="2">
        <f t="shared" si="13"/>
        <v>-1.1989467206742863E-3</v>
      </c>
      <c r="CI10" s="2">
        <f t="shared" si="14"/>
        <v>8.7375545677966127E-2</v>
      </c>
    </row>
    <row r="11" spans="2:87" x14ac:dyDescent="0.2">
      <c r="F11" s="6" t="s">
        <v>216</v>
      </c>
      <c r="G11" s="6">
        <f>G9-G10</f>
        <v>-0.38398536934710137</v>
      </c>
      <c r="H11" s="6" t="s">
        <v>22</v>
      </c>
      <c r="J11" s="57" t="s">
        <v>54</v>
      </c>
      <c r="K11" s="57"/>
      <c r="L11" s="57"/>
      <c r="N11" s="6" t="s">
        <v>118</v>
      </c>
      <c r="O11" s="6">
        <f>($O$8*PI()*$C$9^2)/(0.3048^2)/($C$5*2.20462/1000)^(2/3) + 0.85</f>
        <v>4.522269299094817</v>
      </c>
      <c r="U11" s="2">
        <v>7</v>
      </c>
      <c r="V11" s="2">
        <f t="shared" si="15"/>
        <v>1.5625E-2</v>
      </c>
      <c r="W11" s="2">
        <f t="shared" si="0"/>
        <v>5.160984658456623E-3</v>
      </c>
      <c r="X11" s="2">
        <f t="shared" si="16"/>
        <v>2.34375E-2</v>
      </c>
      <c r="Y11" s="2">
        <f t="shared" si="1"/>
        <v>-2.6637228701285216E-3</v>
      </c>
      <c r="Z11" s="2">
        <f t="shared" si="3"/>
        <v>1.953125E-2</v>
      </c>
      <c r="AA11" s="2">
        <f t="shared" si="2"/>
        <v>1.2492314639168459E-3</v>
      </c>
      <c r="AB11" s="2">
        <f t="shared" si="4"/>
        <v>6.4472644201361497E-6</v>
      </c>
      <c r="AC11" s="2">
        <f t="shared" si="5"/>
        <v>-3.3276064205194355E-6</v>
      </c>
      <c r="AD11" s="2">
        <f t="shared" si="6"/>
        <v>7.8125E-3</v>
      </c>
      <c r="AF11" s="2">
        <v>7</v>
      </c>
      <c r="AG11" s="2">
        <f t="shared" si="25"/>
        <v>2187.5</v>
      </c>
      <c r="AH11" s="2">
        <v>-7.7954455940168828</v>
      </c>
      <c r="AI11" s="2">
        <f t="shared" si="26"/>
        <v>2257.8125</v>
      </c>
      <c r="AJ11" s="2">
        <v>37.371449392099976</v>
      </c>
      <c r="AK11" s="2">
        <f t="shared" si="17"/>
        <v>2222.65625</v>
      </c>
      <c r="AL11" s="2">
        <v>14.774599115457704</v>
      </c>
      <c r="AM11" s="2">
        <f t="shared" si="18"/>
        <v>-115.17458357796049</v>
      </c>
      <c r="AN11" s="2">
        <f t="shared" si="19"/>
        <v>552.14818313189267</v>
      </c>
      <c r="AO11" s="2">
        <f t="shared" si="20"/>
        <v>70.3125</v>
      </c>
      <c r="AQ11" s="67" t="s">
        <v>181</v>
      </c>
      <c r="AR11" s="3" t="s">
        <v>219</v>
      </c>
      <c r="AS11" s="26"/>
      <c r="AT11"/>
      <c r="AU11" s="4" t="s">
        <v>182</v>
      </c>
      <c r="AV11" s="38">
        <f>AZ10+BD10+AZ19+BD19+AZ28+BD28+AZ37+BD37</f>
        <v>2258.9092374421493</v>
      </c>
      <c r="AW11" s="26" t="s">
        <v>179</v>
      </c>
      <c r="AX11"/>
      <c r="AY11"/>
      <c r="AZ11" s="33"/>
      <c r="BA11"/>
      <c r="BB11"/>
      <c r="BC11"/>
      <c r="BD11"/>
      <c r="BE11"/>
      <c r="BF11"/>
      <c r="BG11" s="2" t="s">
        <v>183</v>
      </c>
      <c r="BH11" s="2">
        <f>IF(BH4=0,1,BH9*BH10)</f>
        <v>0.93238395246476458</v>
      </c>
      <c r="BI11" s="2"/>
      <c r="BJ11" s="2"/>
      <c r="BK11" s="2" t="s">
        <v>183</v>
      </c>
      <c r="BL11" s="2">
        <f>IF(BL4=0,1,BL9*BL10)</f>
        <v>0.99659786540866302</v>
      </c>
      <c r="BM11" s="2"/>
      <c r="BN11"/>
      <c r="BO11" s="2">
        <v>7</v>
      </c>
      <c r="BP11" s="2">
        <f t="shared" si="21"/>
        <v>0.20616701789183017</v>
      </c>
      <c r="BQ11" s="2">
        <v>-1.7612025330633441E-2</v>
      </c>
      <c r="BR11" s="2">
        <f t="shared" si="22"/>
        <v>0.24985479073081324</v>
      </c>
      <c r="BS11" s="2">
        <v>0.11020392791459765</v>
      </c>
      <c r="BT11" s="2">
        <f t="shared" si="7"/>
        <v>0.2280109043113217</v>
      </c>
      <c r="BU11" s="2">
        <v>4.9711459288147353E-2</v>
      </c>
      <c r="BV11" s="2">
        <f t="shared" si="8"/>
        <v>-8.7551948020560418E-4</v>
      </c>
      <c r="BW11" s="2">
        <f t="shared" si="9"/>
        <v>5.4783980759204468E-3</v>
      </c>
      <c r="BX11" s="2">
        <f t="shared" si="10"/>
        <v>4.3687772838983063E-2</v>
      </c>
      <c r="BY11"/>
      <c r="BZ11" s="2">
        <v>7</v>
      </c>
      <c r="CA11" s="2">
        <f t="shared" si="23"/>
        <v>0.16247924505284711</v>
      </c>
      <c r="CB11" s="2">
        <v>-1.2250392710115354E-2</v>
      </c>
      <c r="CC11" s="2">
        <f t="shared" si="24"/>
        <v>0.20616701789183017</v>
      </c>
      <c r="CD11" s="2">
        <v>9.7824844308406572E-2</v>
      </c>
      <c r="CE11" s="2">
        <f t="shared" si="11"/>
        <v>0.18432313147233864</v>
      </c>
      <c r="CF11" s="2">
        <v>4.6586885560083995E-2</v>
      </c>
      <c r="CG11" s="2">
        <f t="shared" si="12"/>
        <v>-5.7070764325223126E-4</v>
      </c>
      <c r="CH11" s="2">
        <f t="shared" si="13"/>
        <v>4.557354826728771E-3</v>
      </c>
      <c r="CI11" s="2">
        <f t="shared" si="14"/>
        <v>4.3687772838983063E-2</v>
      </c>
    </row>
    <row r="12" spans="2:87" x14ac:dyDescent="0.2">
      <c r="B12" s="54" t="s">
        <v>12</v>
      </c>
      <c r="C12" s="54"/>
      <c r="D12" s="54"/>
      <c r="F12" s="6" t="s">
        <v>217</v>
      </c>
      <c r="G12" s="4" t="str">
        <f>IF(ABS(G11)&lt;1, "TRUE", "FALSE")</f>
        <v>TRUE</v>
      </c>
      <c r="J12" s="10" t="s">
        <v>82</v>
      </c>
      <c r="K12" s="6">
        <f>C5</f>
        <v>2199.6879577800428</v>
      </c>
      <c r="L12" s="6" t="s">
        <v>7</v>
      </c>
      <c r="U12" s="2">
        <v>8</v>
      </c>
      <c r="V12" s="2">
        <f t="shared" si="15"/>
        <v>1.953125E-2</v>
      </c>
      <c r="W12" s="2">
        <f t="shared" si="0"/>
        <v>1.2492314639168459E-3</v>
      </c>
      <c r="X12" s="2">
        <f t="shared" si="16"/>
        <v>2.34375E-2</v>
      </c>
      <c r="Y12" s="2">
        <f t="shared" si="1"/>
        <v>-2.6637228701285216E-3</v>
      </c>
      <c r="Z12" s="2">
        <f t="shared" si="3"/>
        <v>2.1484375E-2</v>
      </c>
      <c r="AA12" s="2">
        <f t="shared" si="2"/>
        <v>-7.07096314494636E-4</v>
      </c>
      <c r="AB12" s="2">
        <f t="shared" si="4"/>
        <v>-8.8332696408634056E-7</v>
      </c>
      <c r="AC12" s="2">
        <f t="shared" si="5"/>
        <v>1.8835086243029515E-6</v>
      </c>
      <c r="AD12" s="2">
        <f t="shared" si="6"/>
        <v>3.90625E-3</v>
      </c>
      <c r="AF12" s="2">
        <v>8</v>
      </c>
      <c r="AG12" s="2">
        <f t="shared" si="25"/>
        <v>2187.5</v>
      </c>
      <c r="AH12" s="2">
        <v>-7.7954455940168828</v>
      </c>
      <c r="AI12" s="2">
        <f t="shared" si="26"/>
        <v>2222.65625</v>
      </c>
      <c r="AJ12" s="2">
        <v>14.774598045368975</v>
      </c>
      <c r="AK12" s="2">
        <f t="shared" si="17"/>
        <v>2205.078125</v>
      </c>
      <c r="AL12" s="2">
        <v>3.463771765022102</v>
      </c>
      <c r="AM12" s="2">
        <f t="shared" si="18"/>
        <v>-27.001644344321626</v>
      </c>
      <c r="AN12" s="2">
        <f t="shared" si="19"/>
        <v>51.175835549099794</v>
      </c>
      <c r="AO12" s="2">
        <f t="shared" si="20"/>
        <v>35.15625</v>
      </c>
      <c r="AQ12" s="67"/>
      <c r="AR12" s="3" t="s">
        <v>219</v>
      </c>
      <c r="AS12" s="26"/>
      <c r="AT12"/>
      <c r="AU12" s="4" t="s">
        <v>184</v>
      </c>
      <c r="AV12" s="38">
        <f>AV11*AV5/1000</f>
        <v>83.928175348692136</v>
      </c>
      <c r="AW12" s="26" t="s">
        <v>104</v>
      </c>
      <c r="AX12"/>
      <c r="AY12" s="63" t="s">
        <v>185</v>
      </c>
      <c r="AZ12" s="63"/>
      <c r="BA12" s="63"/>
      <c r="BB12"/>
      <c r="BC12" s="63" t="s">
        <v>186</v>
      </c>
      <c r="BD12" s="63"/>
      <c r="BE12" s="63"/>
      <c r="BF1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0.46449186231689388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0.61267375589284745</v>
      </c>
      <c r="BM12" s="2"/>
      <c r="BN12"/>
      <c r="BO12" s="2">
        <v>8</v>
      </c>
      <c r="BP12" s="2">
        <f t="shared" si="21"/>
        <v>0.20616701789183017</v>
      </c>
      <c r="BQ12" s="2">
        <v>-1.7612025330633441E-2</v>
      </c>
      <c r="BR12" s="2">
        <f t="shared" si="22"/>
        <v>0.2280109043113217</v>
      </c>
      <c r="BS12" s="2">
        <v>4.9702316093310731E-2</v>
      </c>
      <c r="BT12" s="2">
        <f t="shared" si="7"/>
        <v>0.21708896110157594</v>
      </c>
      <c r="BU12" s="2">
        <v>1.7019186381009035E-2</v>
      </c>
      <c r="BV12" s="2">
        <f t="shared" si="8"/>
        <v>-2.9974234164910281E-4</v>
      </c>
      <c r="BW12" s="2">
        <f t="shared" si="9"/>
        <v>8.4589298115988023E-4</v>
      </c>
      <c r="BX12" s="2">
        <f t="shared" si="10"/>
        <v>2.1843886419491532E-2</v>
      </c>
      <c r="BY12"/>
      <c r="BZ12" s="2">
        <v>8</v>
      </c>
      <c r="CA12" s="2">
        <f t="shared" si="23"/>
        <v>0.16247924505284711</v>
      </c>
      <c r="CB12" s="2">
        <v>-1.2250392710115354E-2</v>
      </c>
      <c r="CC12" s="2">
        <f t="shared" si="24"/>
        <v>0.18432313147233864</v>
      </c>
      <c r="CD12" s="2">
        <v>4.6586885560083995E-2</v>
      </c>
      <c r="CE12" s="2">
        <f t="shared" si="11"/>
        <v>0.17340118826259288</v>
      </c>
      <c r="CF12" s="2">
        <v>1.8284012615479128E-2</v>
      </c>
      <c r="CG12" s="2">
        <f t="shared" si="12"/>
        <v>-2.2398633485632268E-4</v>
      </c>
      <c r="CH12" s="2">
        <f t="shared" si="13"/>
        <v>8.5179520329645814E-4</v>
      </c>
      <c r="CI12" s="2">
        <f t="shared" si="14"/>
        <v>2.1843886419491532E-2</v>
      </c>
    </row>
    <row r="13" spans="2:87" x14ac:dyDescent="0.2">
      <c r="B13" s="6" t="s">
        <v>71</v>
      </c>
      <c r="C13" s="6">
        <f>C24*100</f>
        <v>600</v>
      </c>
      <c r="D13" s="6" t="s">
        <v>7</v>
      </c>
      <c r="F13" s="42" t="s">
        <v>85</v>
      </c>
      <c r="G13" s="43">
        <f>$C$18 * AV12</f>
        <v>335.71270139476854</v>
      </c>
      <c r="H13" s="43" t="s">
        <v>104</v>
      </c>
      <c r="J13" s="11" t="s">
        <v>55</v>
      </c>
      <c r="K13" s="6">
        <f xml:space="preserve"> K8 * 1000 / ($C$35 * $C$36 * $C$37)</f>
        <v>795.38101983397144</v>
      </c>
      <c r="L13" s="6" t="s">
        <v>7</v>
      </c>
      <c r="N13" s="57" t="s">
        <v>76</v>
      </c>
      <c r="O13" s="59"/>
      <c r="P13" s="59"/>
      <c r="U13" s="2">
        <v>9</v>
      </c>
      <c r="V13" s="2">
        <f t="shared" si="15"/>
        <v>1.953125E-2</v>
      </c>
      <c r="W13" s="2">
        <f t="shared" si="0"/>
        <v>1.2492314639168459E-3</v>
      </c>
      <c r="X13" s="2">
        <f t="shared" si="16"/>
        <v>2.1484375E-2</v>
      </c>
      <c r="Y13" s="2">
        <f t="shared" si="1"/>
        <v>-7.07096314494636E-4</v>
      </c>
      <c r="Z13" s="2">
        <f t="shared" si="3"/>
        <v>2.05078125E-2</v>
      </c>
      <c r="AA13" s="2">
        <f t="shared" si="2"/>
        <v>2.7110502156207916E-4</v>
      </c>
      <c r="AB13" s="2">
        <f t="shared" si="4"/>
        <v>3.3867292296120421E-7</v>
      </c>
      <c r="AC13" s="2">
        <f t="shared" si="5"/>
        <v>-1.9169736158753499E-7</v>
      </c>
      <c r="AD13" s="2">
        <f t="shared" si="6"/>
        <v>1.953125E-3</v>
      </c>
      <c r="AF13" s="2">
        <v>9</v>
      </c>
      <c r="AG13" s="2">
        <f t="shared" si="25"/>
        <v>2187.5</v>
      </c>
      <c r="AH13" s="2">
        <v>-7.7954455940168828</v>
      </c>
      <c r="AI13" s="2">
        <f t="shared" si="26"/>
        <v>2205.078125</v>
      </c>
      <c r="AJ13" s="2">
        <v>3.4637706949333733</v>
      </c>
      <c r="AK13" s="2">
        <f t="shared" si="17"/>
        <v>2196.2890625</v>
      </c>
      <c r="AL13" s="2">
        <v>-2.1947087547528099</v>
      </c>
      <c r="AM13" s="2">
        <f t="shared" si="18"/>
        <v>17.10873269238807</v>
      </c>
      <c r="AN13" s="2">
        <f t="shared" si="19"/>
        <v>-7.6019678686264989</v>
      </c>
      <c r="AO13" s="2">
        <f t="shared" si="20"/>
        <v>17.578125</v>
      </c>
      <c r="AQ13" s="67"/>
      <c r="AR13" s="3" t="s">
        <v>219</v>
      </c>
      <c r="AS13" s="26"/>
      <c r="AT13"/>
      <c r="AU13"/>
      <c r="AV13"/>
      <c r="AW13"/>
      <c r="AX13"/>
      <c r="AY13" s="2" t="s">
        <v>153</v>
      </c>
      <c r="AZ13" s="2">
        <f>$AR$21-$AR$20</f>
        <v>0.44000000000000017</v>
      </c>
      <c r="BA13" s="26" t="s">
        <v>8</v>
      </c>
      <c r="BB13"/>
      <c r="BC13" s="2" t="s">
        <v>153</v>
      </c>
      <c r="BD13" s="2">
        <f>$AR$22-$AR$21</f>
        <v>0.43999999999999995</v>
      </c>
      <c r="BE13" s="26" t="s">
        <v>8</v>
      </c>
      <c r="BF13"/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2.9240369836282861E-2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2.3034827088340405E-2</v>
      </c>
      <c r="BM13" s="2"/>
      <c r="BN13"/>
      <c r="BO13" s="2">
        <v>9</v>
      </c>
      <c r="BP13" s="2">
        <f t="shared" si="21"/>
        <v>0.20616701789183017</v>
      </c>
      <c r="BQ13" s="2">
        <v>-1.7612025330633441E-2</v>
      </c>
      <c r="BR13" s="2">
        <f t="shared" si="22"/>
        <v>0.21708896110157594</v>
      </c>
      <c r="BS13" s="2">
        <v>1.7009992400963278E-2</v>
      </c>
      <c r="BT13" s="2">
        <f t="shared" si="7"/>
        <v>0.21162798949670306</v>
      </c>
      <c r="BU13" s="2">
        <v>-3.6746040797050461E-5</v>
      </c>
      <c r="BV13" s="2">
        <f t="shared" si="8"/>
        <v>6.4717220131814259E-7</v>
      </c>
      <c r="BW13" s="2">
        <f t="shared" si="9"/>
        <v>-6.2504987472331491E-7</v>
      </c>
      <c r="BX13" s="2">
        <f t="shared" si="10"/>
        <v>1.0921943209745766E-2</v>
      </c>
      <c r="BY13"/>
      <c r="BZ13" s="2">
        <v>9</v>
      </c>
      <c r="CA13" s="2">
        <f t="shared" si="23"/>
        <v>0.16247924505284711</v>
      </c>
      <c r="CB13" s="2">
        <v>-1.2250392710115354E-2</v>
      </c>
      <c r="CC13" s="2">
        <f t="shared" si="24"/>
        <v>0.17340118826259288</v>
      </c>
      <c r="CD13" s="2">
        <v>1.8284012615479128E-2</v>
      </c>
      <c r="CE13" s="2">
        <f t="shared" si="11"/>
        <v>0.16794021665771999</v>
      </c>
      <c r="CF13" s="2">
        <v>3.3192307684503444E-3</v>
      </c>
      <c r="CG13" s="2">
        <f t="shared" si="12"/>
        <v>-4.0661880409014683E-5</v>
      </c>
      <c r="CH13" s="2">
        <f t="shared" si="13"/>
        <v>6.0688857244032581E-5</v>
      </c>
      <c r="CI13" s="2">
        <f t="shared" si="14"/>
        <v>1.0921943209745766E-2</v>
      </c>
    </row>
    <row r="14" spans="2:87" x14ac:dyDescent="0.2">
      <c r="B14" s="6" t="s">
        <v>13</v>
      </c>
      <c r="C14" s="17">
        <v>96000</v>
      </c>
      <c r="D14" s="6" t="s">
        <v>8</v>
      </c>
      <c r="J14" s="12" t="s">
        <v>135</v>
      </c>
      <c r="K14" s="6">
        <f xml:space="preserve"> $C$53 * $C$18 * (0.0095 * MAX(G9,O19,G26) - 1.9275)</f>
        <v>157.94144893846862</v>
      </c>
      <c r="L14" s="6" t="s">
        <v>7</v>
      </c>
      <c r="N14" s="6" t="s">
        <v>77</v>
      </c>
      <c r="O14" s="6">
        <f xml:space="preserve"> SQRT( ($C$5*$C$49)^2 + O10^2)</f>
        <v>21593.348544535344</v>
      </c>
      <c r="P14" s="6" t="s">
        <v>22</v>
      </c>
      <c r="U14" s="2">
        <v>10</v>
      </c>
      <c r="V14" s="2">
        <f t="shared" si="15"/>
        <v>2.05078125E-2</v>
      </c>
      <c r="W14" s="2">
        <f t="shared" si="0"/>
        <v>2.7110502156207916E-4</v>
      </c>
      <c r="X14" s="2">
        <f t="shared" si="16"/>
        <v>2.1484375E-2</v>
      </c>
      <c r="Y14" s="2">
        <f t="shared" si="1"/>
        <v>-7.07096314494636E-4</v>
      </c>
      <c r="Z14" s="2">
        <f t="shared" si="3"/>
        <v>2.099609375E-2</v>
      </c>
      <c r="AA14" s="2">
        <f t="shared" si="2"/>
        <v>-2.1798629687666549E-4</v>
      </c>
      <c r="AB14" s="2">
        <f t="shared" si="4"/>
        <v>-5.9097179714986186E-8</v>
      </c>
      <c r="AC14" s="2">
        <f t="shared" si="5"/>
        <v>1.5413730713182374E-7</v>
      </c>
      <c r="AD14" s="2">
        <f t="shared" si="6"/>
        <v>9.765625E-4</v>
      </c>
      <c r="AF14" s="2">
        <v>10</v>
      </c>
      <c r="AG14" s="2">
        <f t="shared" si="25"/>
        <v>2196.2890625</v>
      </c>
      <c r="AH14" s="2">
        <v>-2.1348980664204191</v>
      </c>
      <c r="AI14" s="2">
        <f t="shared" si="26"/>
        <v>2205.078125</v>
      </c>
      <c r="AJ14" s="2">
        <v>3.4637706949333733</v>
      </c>
      <c r="AK14" s="2">
        <f t="shared" si="17"/>
        <v>2200.68359375</v>
      </c>
      <c r="AL14" s="2">
        <v>0.63479452096134992</v>
      </c>
      <c r="AM14" s="2">
        <f t="shared" si="18"/>
        <v>-1.3552215953746622</v>
      </c>
      <c r="AN14" s="2">
        <f t="shared" si="19"/>
        <v>2.1987826590101927</v>
      </c>
      <c r="AO14" s="2">
        <f t="shared" si="20"/>
        <v>8.7890625</v>
      </c>
      <c r="AQ14" s="67"/>
      <c r="AR14" s="3" t="s">
        <v>219</v>
      </c>
      <c r="AS14" s="26"/>
      <c r="AT14"/>
      <c r="AU14" s="61" t="s">
        <v>189</v>
      </c>
      <c r="AV14" s="61"/>
      <c r="AW14" s="61"/>
      <c r="AX14"/>
      <c r="AY14" s="2" t="s">
        <v>158</v>
      </c>
      <c r="AZ14" s="2">
        <f>(1+$BH$37)*$AR$3</f>
        <v>8.0425949772406877</v>
      </c>
      <c r="BA14" s="26" t="s">
        <v>10</v>
      </c>
      <c r="BB14"/>
      <c r="BC14" s="2" t="s">
        <v>158</v>
      </c>
      <c r="BD14" s="2">
        <f>(1+$BL$37)*$AR$3</f>
        <v>8.7313406915771985</v>
      </c>
      <c r="BE14" s="26" t="s">
        <v>10</v>
      </c>
      <c r="BF14"/>
      <c r="BG14" s="2" t="s">
        <v>190</v>
      </c>
      <c r="BH14" s="2">
        <f xml:space="preserve"> BH12*COS(BH4) - BH13*SIN(BH4)</f>
        <v>0.44798553055579793</v>
      </c>
      <c r="BI14" s="2"/>
      <c r="BJ14" s="2"/>
      <c r="BK14" s="2" t="s">
        <v>190</v>
      </c>
      <c r="BL14" s="2">
        <f xml:space="preserve"> BL12*COS(BL4) - BL13*SIN(BL4)</f>
        <v>0.60035087708754642</v>
      </c>
      <c r="BM14" s="2"/>
      <c r="BN14"/>
      <c r="BO14" s="2">
        <v>10</v>
      </c>
      <c r="BP14" s="2">
        <f t="shared" si="21"/>
        <v>0.21162798949670306</v>
      </c>
      <c r="BQ14" s="2">
        <v>-3.6746040797050461E-5</v>
      </c>
      <c r="BR14" s="2">
        <f t="shared" si="22"/>
        <v>0.21708896110157594</v>
      </c>
      <c r="BS14" s="2">
        <v>1.7009992400963278E-2</v>
      </c>
      <c r="BT14" s="2">
        <f t="shared" si="7"/>
        <v>0.21435847529913948</v>
      </c>
      <c r="BU14" s="2">
        <v>8.5538336493624911E-3</v>
      </c>
      <c r="BV14" s="2">
        <f t="shared" si="8"/>
        <v>-3.1431952025065714E-7</v>
      </c>
      <c r="BW14" s="2">
        <f t="shared" si="9"/>
        <v>1.4550064537475997E-4</v>
      </c>
      <c r="BX14" s="2">
        <f t="shared" si="10"/>
        <v>5.4609716048728829E-3</v>
      </c>
      <c r="BY14"/>
      <c r="BZ14" s="2">
        <v>10</v>
      </c>
      <c r="CA14" s="2">
        <f t="shared" si="23"/>
        <v>0.16247924505284711</v>
      </c>
      <c r="CB14" s="2">
        <v>-1.2250392710115354E-2</v>
      </c>
      <c r="CC14" s="2">
        <f t="shared" si="24"/>
        <v>0.16794021665771999</v>
      </c>
      <c r="CD14" s="2">
        <v>3.3192307684503444E-3</v>
      </c>
      <c r="CE14" s="2">
        <f t="shared" si="11"/>
        <v>0.16520973085528357</v>
      </c>
      <c r="CF14" s="2">
        <v>-4.3885416259619864E-3</v>
      </c>
      <c r="CG14" s="2">
        <f t="shared" si="12"/>
        <v>5.3761358342722502E-5</v>
      </c>
      <c r="CH14" s="2">
        <f t="shared" si="13"/>
        <v>-1.4566582393518129E-5</v>
      </c>
      <c r="CI14" s="2">
        <f t="shared" si="14"/>
        <v>5.4609716048728829E-3</v>
      </c>
    </row>
    <row r="15" spans="2:87" x14ac:dyDescent="0.2">
      <c r="B15" s="6" t="s">
        <v>263</v>
      </c>
      <c r="C15" s="17">
        <v>1</v>
      </c>
      <c r="F15" s="57" t="s">
        <v>89</v>
      </c>
      <c r="G15" s="58"/>
      <c r="H15" s="58"/>
      <c r="J15" s="12" t="s">
        <v>136</v>
      </c>
      <c r="K15" s="6">
        <f xml:space="preserve"> $C$53 * C18 * 0.0037 * C19^0.28 * (C9*3.28084)^1.5 * (G7*3.28084)^0.43 * (0.01742 * C19^0.66 * (C10*C9)*3.28084 * (C9*3.28084)^1.3 * (G7*3.28084)^0.67 + 9.80665*3.28084 * 0.5*(K14/C18)*2.20462)^0.55 * 0.453592</f>
        <v>272.96190371578854</v>
      </c>
      <c r="L15" s="6" t="s">
        <v>7</v>
      </c>
      <c r="N15" s="6" t="s">
        <v>78</v>
      </c>
      <c r="O15" s="6">
        <f>$C$5*$C$49/O14</f>
        <v>0.99837039315352638</v>
      </c>
      <c r="U15" s="2">
        <v>11</v>
      </c>
      <c r="V15" s="2">
        <f t="shared" si="15"/>
        <v>2.05078125E-2</v>
      </c>
      <c r="W15" s="2">
        <f t="shared" si="0"/>
        <v>2.7110502156207916E-4</v>
      </c>
      <c r="X15" s="2">
        <f t="shared" si="16"/>
        <v>2.099609375E-2</v>
      </c>
      <c r="Y15" s="2">
        <f t="shared" si="1"/>
        <v>-2.1798629687666549E-4</v>
      </c>
      <c r="Z15" s="2">
        <f t="shared" si="3"/>
        <v>2.0751953125E-2</v>
      </c>
      <c r="AA15" s="2">
        <f t="shared" si="2"/>
        <v>2.6561701276787975E-5</v>
      </c>
      <c r="AB15" s="2">
        <f t="shared" si="4"/>
        <v>7.2010105973691094E-9</v>
      </c>
      <c r="AC15" s="2">
        <f t="shared" si="5"/>
        <v>-5.7900869000712083E-9</v>
      </c>
      <c r="AD15" s="2">
        <f t="shared" si="6"/>
        <v>4.8828125E-4</v>
      </c>
      <c r="AF15" s="2">
        <v>11</v>
      </c>
      <c r="AG15" s="2">
        <f t="shared" si="25"/>
        <v>2196.2890625</v>
      </c>
      <c r="AH15" s="2">
        <v>-2.1348980664204191</v>
      </c>
      <c r="AI15" s="2">
        <f t="shared" si="26"/>
        <v>2200.68359375</v>
      </c>
      <c r="AJ15" s="2">
        <v>0.63479345087284855</v>
      </c>
      <c r="AK15" s="2">
        <f t="shared" si="17"/>
        <v>2198.486328125</v>
      </c>
      <c r="AL15" s="2">
        <v>-0.77989359309776773</v>
      </c>
      <c r="AM15" s="2">
        <f t="shared" si="18"/>
        <v>1.6649933239180974</v>
      </c>
      <c r="AN15" s="2">
        <f t="shared" si="19"/>
        <v>-0.49507134527615715</v>
      </c>
      <c r="AO15" s="2">
        <f t="shared" si="20"/>
        <v>4.39453125</v>
      </c>
      <c r="AQ15" s="67"/>
      <c r="AR15" s="3" t="s">
        <v>219</v>
      </c>
      <c r="AS15" s="26"/>
      <c r="AT15"/>
      <c r="AU15" s="2" t="s">
        <v>191</v>
      </c>
      <c r="AV15" s="2">
        <f>AV10*(AR3/2 + SQRT( (AR3/2)^2 + AV10/(2*AR45*PI()*AV3^2) ) )/1000</f>
        <v>46.156314316044984</v>
      </c>
      <c r="AW15" s="26" t="s">
        <v>104</v>
      </c>
      <c r="AX15"/>
      <c r="AY15" s="2" t="s">
        <v>163</v>
      </c>
      <c r="AZ15" s="2">
        <f>(1-$BH$38)*$AV$5*$AR$21</f>
        <v>57.747752494319499</v>
      </c>
      <c r="BA15" s="26" t="s">
        <v>10</v>
      </c>
      <c r="BB15"/>
      <c r="BC15" s="2" t="s">
        <v>163</v>
      </c>
      <c r="BD15" s="2">
        <f>(1-$BL$38)*$AV$5*$AR$22</f>
        <v>74.101866366329475</v>
      </c>
      <c r="BE15" s="26" t="s">
        <v>10</v>
      </c>
      <c r="BF15"/>
      <c r="BG15" s="2" t="s">
        <v>192</v>
      </c>
      <c r="BH15" s="2">
        <f xml:space="preserve"> BH12*SIN(BH4) + BH13*COS(BH4)</f>
        <v>0.12616122145659153</v>
      </c>
      <c r="BI15" s="2"/>
      <c r="BJ15" s="2"/>
      <c r="BK15" s="2" t="s">
        <v>192</v>
      </c>
      <c r="BL15" s="2">
        <f xml:space="preserve"> BL12*SIN(BL4) + BL13*COS(BL4)</f>
        <v>0.12441285624505166</v>
      </c>
      <c r="BM15" s="2"/>
      <c r="BN15"/>
      <c r="BO15" s="2">
        <v>11</v>
      </c>
      <c r="BP15" s="2">
        <f t="shared" si="21"/>
        <v>0.21162798949670306</v>
      </c>
      <c r="BQ15" s="2">
        <v>-3.6746040797050461E-5</v>
      </c>
      <c r="BR15" s="2">
        <f t="shared" si="22"/>
        <v>0.21435847529913948</v>
      </c>
      <c r="BS15" s="2">
        <v>8.5446271479634184E-3</v>
      </c>
      <c r="BT15" s="2">
        <f t="shared" si="7"/>
        <v>0.21299323239792128</v>
      </c>
      <c r="BU15" s="2">
        <v>4.2744757988899401E-3</v>
      </c>
      <c r="BV15" s="2">
        <f t="shared" si="8"/>
        <v>-1.5707006209201459E-7</v>
      </c>
      <c r="BW15" s="2">
        <f t="shared" si="9"/>
        <v>3.6523801954507605E-5</v>
      </c>
      <c r="BX15" s="2">
        <f t="shared" si="10"/>
        <v>2.7304858024364276E-3</v>
      </c>
      <c r="BY15"/>
      <c r="BZ15" s="2">
        <v>11</v>
      </c>
      <c r="CA15" s="2">
        <f t="shared" si="23"/>
        <v>0.16520973085528357</v>
      </c>
      <c r="CB15" s="2">
        <v>-4.3828840633256885E-3</v>
      </c>
      <c r="CC15" s="2">
        <f t="shared" si="24"/>
        <v>0.16794021665771999</v>
      </c>
      <c r="CD15" s="2">
        <v>3.3192307684503444E-3</v>
      </c>
      <c r="CE15" s="2">
        <f t="shared" si="11"/>
        <v>0.16657497375650177</v>
      </c>
      <c r="CF15" s="2">
        <v>-5.1515006984066691E-4</v>
      </c>
      <c r="CG15" s="2">
        <f t="shared" si="12"/>
        <v>2.2578430313257745E-6</v>
      </c>
      <c r="CH15" s="2">
        <f t="shared" si="13"/>
        <v>-1.7099019621844855E-6</v>
      </c>
      <c r="CI15" s="2">
        <f t="shared" si="14"/>
        <v>2.7304858024364276E-3</v>
      </c>
    </row>
    <row r="16" spans="2:87" x14ac:dyDescent="0.2">
      <c r="F16" s="9" t="s">
        <v>92</v>
      </c>
      <c r="G16" s="6">
        <f xml:space="preserve"> $C$14/$C$8</f>
        <v>1920</v>
      </c>
      <c r="H16" s="6" t="s">
        <v>14</v>
      </c>
      <c r="J16" s="13" t="s">
        <v>56</v>
      </c>
      <c r="K16" s="6">
        <f xml:space="preserve"> $C$53 * 0.2138 * K4</f>
        <v>57.420300446561214</v>
      </c>
      <c r="L16" s="6" t="s">
        <v>7</v>
      </c>
      <c r="O16" s="6">
        <f>O18/180*PI()</f>
        <v>5.7097279129426852E-2</v>
      </c>
      <c r="U16" s="2">
        <v>12</v>
      </c>
      <c r="V16" s="2">
        <f t="shared" si="15"/>
        <v>2.0751953125E-2</v>
      </c>
      <c r="W16" s="2">
        <f t="shared" si="0"/>
        <v>2.6561701276787975E-5</v>
      </c>
      <c r="X16" s="2">
        <f t="shared" si="16"/>
        <v>2.099609375E-2</v>
      </c>
      <c r="Y16" s="2">
        <f t="shared" si="1"/>
        <v>-2.1798629687666549E-4</v>
      </c>
      <c r="Z16" s="2">
        <f t="shared" si="3"/>
        <v>2.08740234375E-2</v>
      </c>
      <c r="AA16" s="2">
        <f t="shared" si="2"/>
        <v>-9.5711713257173869E-5</v>
      </c>
      <c r="AB16" s="2">
        <f t="shared" si="4"/>
        <v>-2.5422659362266397E-9</v>
      </c>
      <c r="AC16" s="2">
        <f t="shared" si="5"/>
        <v>2.0863841940652584E-8</v>
      </c>
      <c r="AD16" s="2">
        <f t="shared" si="6"/>
        <v>2.44140625E-4</v>
      </c>
      <c r="AF16" s="2">
        <v>12</v>
      </c>
      <c r="AG16" s="2">
        <f t="shared" si="25"/>
        <v>2198.486328125</v>
      </c>
      <c r="AH16" s="2">
        <v>-0.72007704270936301</v>
      </c>
      <c r="AI16" s="2">
        <f t="shared" si="26"/>
        <v>2200.68359375</v>
      </c>
      <c r="AJ16" s="2">
        <v>0.63479345087284855</v>
      </c>
      <c r="AK16" s="2">
        <f t="shared" si="17"/>
        <v>2199.5849609375</v>
      </c>
      <c r="AL16" s="2">
        <v>-7.2538718929308743E-2</v>
      </c>
      <c r="AM16" s="2">
        <f t="shared" si="18"/>
        <v>5.2233466208542328E-2</v>
      </c>
      <c r="AN16" s="2">
        <f t="shared" si="19"/>
        <v>-4.6047103711031517E-2</v>
      </c>
      <c r="AO16" s="2">
        <f t="shared" si="20"/>
        <v>2.197265625</v>
      </c>
      <c r="AQ16" s="67"/>
      <c r="AR16" s="3" t="s">
        <v>219</v>
      </c>
      <c r="AS16" s="26"/>
      <c r="AT16"/>
      <c r="AU16" s="2" t="s">
        <v>193</v>
      </c>
      <c r="AV16" s="2">
        <f>AV15/AV12</f>
        <v>0.54995017018160686</v>
      </c>
      <c r="AW16" s="26"/>
      <c r="AX16"/>
      <c r="AY16" s="2" t="s">
        <v>167</v>
      </c>
      <c r="AZ16" s="2">
        <f>SQRT(AZ14^2 + AZ15^2)</f>
        <v>58.305113430239729</v>
      </c>
      <c r="BA16" s="26" t="s">
        <v>10</v>
      </c>
      <c r="BB16"/>
      <c r="BC16" s="2" t="s">
        <v>167</v>
      </c>
      <c r="BD16" s="2">
        <f>SQRT(BD14^2 + BD15^2)</f>
        <v>74.614495302492955</v>
      </c>
      <c r="BE16" s="26" t="s">
        <v>10</v>
      </c>
      <c r="BF16"/>
      <c r="BG16" s="2" t="s">
        <v>38</v>
      </c>
      <c r="BH16" s="2">
        <f xml:space="preserve"> 4*BH11*SIN(BH4)*SIN(BH4) / (BH8*BH14)</f>
        <v>1.8838176170692846</v>
      </c>
      <c r="BI16" s="2"/>
      <c r="BJ16" s="2"/>
      <c r="BK16" s="2" t="s">
        <v>38</v>
      </c>
      <c r="BL16" s="2">
        <f xml:space="preserve"> 4*BL11*SIN(BL4)*SIN(BL4) / (BL8*BL14)</f>
        <v>1.5729867529744195</v>
      </c>
      <c r="BM16" s="2"/>
      <c r="BN16"/>
      <c r="BO16" s="2">
        <v>12</v>
      </c>
      <c r="BP16" s="2">
        <f t="shared" si="21"/>
        <v>0.21162798949670306</v>
      </c>
      <c r="BQ16" s="2">
        <v>-3.6746040797050461E-5</v>
      </c>
      <c r="BR16" s="2">
        <f t="shared" si="22"/>
        <v>0.21299323239792128</v>
      </c>
      <c r="BS16" s="2">
        <v>4.2652630627435517E-3</v>
      </c>
      <c r="BT16" s="2">
        <f t="shared" si="7"/>
        <v>0.21231061094731218</v>
      </c>
      <c r="BU16" s="2">
        <v>2.1228835113507316E-3</v>
      </c>
      <c r="BV16" s="2">
        <f t="shared" si="8"/>
        <v>-7.800756411547972E-8</v>
      </c>
      <c r="BW16" s="2">
        <f t="shared" si="9"/>
        <v>9.054656627471607E-6</v>
      </c>
      <c r="BX16" s="2">
        <f t="shared" si="10"/>
        <v>1.3652429012182277E-3</v>
      </c>
      <c r="BY16"/>
      <c r="BZ16" s="2">
        <v>12</v>
      </c>
      <c r="CA16" s="2">
        <f t="shared" si="23"/>
        <v>0.16657497375650177</v>
      </c>
      <c r="CB16" s="2">
        <v>-5.0949512886053899E-4</v>
      </c>
      <c r="CC16" s="2">
        <f t="shared" si="24"/>
        <v>0.16794021665771999</v>
      </c>
      <c r="CD16" s="2">
        <v>3.3192307684503444E-3</v>
      </c>
      <c r="CE16" s="2">
        <f t="shared" si="11"/>
        <v>0.16725759520711087</v>
      </c>
      <c r="CF16" s="2">
        <v>1.4068604951315081E-3</v>
      </c>
      <c r="CG16" s="2">
        <f t="shared" si="12"/>
        <v>-7.1678856925582936E-7</v>
      </c>
      <c r="CH16" s="2">
        <f t="shared" si="13"/>
        <v>4.6696946423577878E-6</v>
      </c>
      <c r="CI16" s="2">
        <f t="shared" si="14"/>
        <v>1.3652429012182277E-3</v>
      </c>
    </row>
    <row r="17" spans="2:87" x14ac:dyDescent="0.2">
      <c r="B17" s="56" t="s">
        <v>115</v>
      </c>
      <c r="C17" s="56"/>
      <c r="D17" s="56"/>
      <c r="F17" t="s">
        <v>130</v>
      </c>
      <c r="G17" s="8">
        <f>O20*$C$9</f>
        <v>188.49555921538757</v>
      </c>
      <c r="H17" s="6" t="s">
        <v>10</v>
      </c>
      <c r="J17" s="13" t="s">
        <v>80</v>
      </c>
      <c r="K17" s="6">
        <f xml:space="preserve"> $C$53 * 0.1149 * K4</f>
        <v>30.858711512207126</v>
      </c>
      <c r="L17" s="6" t="s">
        <v>7</v>
      </c>
      <c r="N17" s="57" t="s">
        <v>27</v>
      </c>
      <c r="O17" s="59"/>
      <c r="P17" s="59"/>
      <c r="U17" s="2">
        <v>13</v>
      </c>
      <c r="V17" s="2">
        <f t="shared" si="15"/>
        <v>2.0751953125E-2</v>
      </c>
      <c r="W17" s="2">
        <f t="shared" si="0"/>
        <v>2.6561701276787975E-5</v>
      </c>
      <c r="X17" s="2">
        <f t="shared" si="16"/>
        <v>2.08740234375E-2</v>
      </c>
      <c r="Y17" s="2">
        <f t="shared" si="1"/>
        <v>-9.5711713257173869E-5</v>
      </c>
      <c r="Z17" s="2">
        <f t="shared" si="3"/>
        <v>2.081298828125E-2</v>
      </c>
      <c r="AA17" s="2">
        <f t="shared" si="2"/>
        <v>-3.4574859830577287E-5</v>
      </c>
      <c r="AB17" s="2">
        <f t="shared" si="4"/>
        <v>-9.1836709850660999E-10</v>
      </c>
      <c r="AC17" s="2">
        <f t="shared" si="5"/>
        <v>3.3092190700111922E-9</v>
      </c>
      <c r="AD17" s="2">
        <f t="shared" si="6"/>
        <v>1.220703125E-4</v>
      </c>
      <c r="AF17" s="2">
        <v>13</v>
      </c>
      <c r="AG17" s="2">
        <f t="shared" si="25"/>
        <v>2199.5849609375</v>
      </c>
      <c r="AH17" s="2">
        <v>-1.2719238436375235E-2</v>
      </c>
      <c r="AI17" s="2">
        <f t="shared" si="26"/>
        <v>2200.68359375</v>
      </c>
      <c r="AJ17" s="2">
        <v>0.63479345087284855</v>
      </c>
      <c r="AK17" s="2">
        <f t="shared" si="17"/>
        <v>2200.13427734375</v>
      </c>
      <c r="AL17" s="2">
        <v>0.2811357420675904</v>
      </c>
      <c r="AM17" s="2">
        <f t="shared" si="18"/>
        <v>-3.5758325363449699E-3</v>
      </c>
      <c r="AN17" s="2">
        <f t="shared" si="19"/>
        <v>0.17846312787078478</v>
      </c>
      <c r="AO17" s="2">
        <f t="shared" si="20"/>
        <v>1.0986328125</v>
      </c>
      <c r="AQ17" s="67"/>
      <c r="AR17" s="3" t="s">
        <v>219</v>
      </c>
      <c r="AS17" s="26"/>
      <c r="AT17"/>
      <c r="AU17" s="2" t="s">
        <v>190</v>
      </c>
      <c r="AV17" s="2">
        <f>AV10/($AR$45*AV6^2*AR9^4)</f>
        <v>3.6197154788692919E-2</v>
      </c>
      <c r="AW17" s="2"/>
      <c r="AX17"/>
      <c r="AY17" s="2" t="s">
        <v>170</v>
      </c>
      <c r="AZ17" s="37">
        <f>$AR$45*AZ16*$AR$29/$AR$46</f>
        <v>940952.49498315249</v>
      </c>
      <c r="BA17" s="26"/>
      <c r="BB17"/>
      <c r="BC17" s="2" t="s">
        <v>170</v>
      </c>
      <c r="BD17" s="37">
        <f>$AR$45*BD16*$AR$30/$AR$46</f>
        <v>1167521.5339237216</v>
      </c>
      <c r="BE17" s="26"/>
      <c r="BF17"/>
      <c r="BG17" s="2" t="s">
        <v>194</v>
      </c>
      <c r="BH17" s="2">
        <f xml:space="preserve"> 4*BH11*SIN(BH4)*COS(BH4) / (BH8*BH15)</f>
        <v>31.133234715627925</v>
      </c>
      <c r="BI17" s="2"/>
      <c r="BJ17" s="2"/>
      <c r="BK17" s="2" t="s">
        <v>194</v>
      </c>
      <c r="BL17" s="2">
        <f xml:space="preserve"> 4*BL11*SIN(BL4)*COS(BL4) / (BL8*BL15)</f>
        <v>45.093782900398629</v>
      </c>
      <c r="BM17" s="2"/>
      <c r="BN17"/>
      <c r="BO17" s="2">
        <v>13</v>
      </c>
      <c r="BP17" s="2">
        <f t="shared" si="21"/>
        <v>0.21162798949670306</v>
      </c>
      <c r="BQ17" s="2">
        <v>-3.6746040797050461E-5</v>
      </c>
      <c r="BR17" s="2">
        <f t="shared" si="22"/>
        <v>0.21231061094731218</v>
      </c>
      <c r="BS17" s="2">
        <v>2.1136676642831836E-3</v>
      </c>
      <c r="BT17" s="2">
        <f t="shared" si="7"/>
        <v>0.21196930022200761</v>
      </c>
      <c r="BU17" s="2">
        <v>1.044077899141807E-3</v>
      </c>
      <c r="BV17" s="2">
        <f t="shared" si="8"/>
        <v>-3.836572907716358E-8</v>
      </c>
      <c r="BW17" s="2">
        <f t="shared" si="9"/>
        <v>2.2068336944087567E-6</v>
      </c>
      <c r="BX17" s="2">
        <f t="shared" si="10"/>
        <v>6.8262145060912771E-4</v>
      </c>
      <c r="BY17"/>
      <c r="BZ17" s="2">
        <v>13</v>
      </c>
      <c r="CA17" s="2">
        <f t="shared" si="23"/>
        <v>0.16657497375650177</v>
      </c>
      <c r="CB17" s="2">
        <v>-5.0949512886053899E-4</v>
      </c>
      <c r="CC17" s="2">
        <f t="shared" si="24"/>
        <v>0.16725759520711087</v>
      </c>
      <c r="CD17" s="2">
        <v>1.4068604951315081E-3</v>
      </c>
      <c r="CE17" s="2">
        <f t="shared" si="11"/>
        <v>0.16691628448180632</v>
      </c>
      <c r="CF17" s="2">
        <v>4.4706720391354815E-4</v>
      </c>
      <c r="CG17" s="2">
        <f t="shared" si="12"/>
        <v>-2.2777856266725409E-7</v>
      </c>
      <c r="CH17" s="2">
        <f t="shared" si="13"/>
        <v>6.2896118785487325E-7</v>
      </c>
      <c r="CI17" s="2">
        <f t="shared" si="14"/>
        <v>6.8262145060909996E-4</v>
      </c>
    </row>
    <row r="18" spans="2:87" x14ac:dyDescent="0.2">
      <c r="B18" s="6" t="s">
        <v>97</v>
      </c>
      <c r="C18" s="17">
        <v>4</v>
      </c>
      <c r="F18" s="6" t="s">
        <v>133</v>
      </c>
      <c r="G18" s="6">
        <f>G17/$C$48</f>
        <v>0.56652610777154422</v>
      </c>
      <c r="H18" s="6" t="s">
        <v>131</v>
      </c>
      <c r="J18" s="14" t="s">
        <v>63</v>
      </c>
      <c r="K18" s="6">
        <f xml:space="preserve"> $C$54 * (14.86 * ($C$5*2.20462)^0.144 * ($C$25/(PI()*$C$26))^0.778 * ($C$25*3.28084)^0.383 * $C$24^0.455 * 0.453592)</f>
        <v>131.79958877720949</v>
      </c>
      <c r="L18" s="6" t="s">
        <v>7</v>
      </c>
      <c r="N18" s="6" t="s">
        <v>28</v>
      </c>
      <c r="O18" s="6">
        <f xml:space="preserve"> ACOS(O15)/PI()*180</f>
        <v>3.2714331157965582</v>
      </c>
      <c r="P18" s="6" t="s">
        <v>43</v>
      </c>
      <c r="U18" s="2">
        <v>14</v>
      </c>
      <c r="V18" s="2">
        <f t="shared" si="15"/>
        <v>2.0751953125E-2</v>
      </c>
      <c r="W18" s="2">
        <f t="shared" si="0"/>
        <v>2.6561701276787975E-5</v>
      </c>
      <c r="X18" s="2">
        <f t="shared" si="16"/>
        <v>2.081298828125E-2</v>
      </c>
      <c r="Y18" s="2">
        <f t="shared" si="1"/>
        <v>-3.4574859830577287E-5</v>
      </c>
      <c r="Z18" s="2">
        <f t="shared" si="3"/>
        <v>2.0782470703125E-2</v>
      </c>
      <c r="AA18" s="2">
        <f t="shared" si="2"/>
        <v>-4.0065427340078841E-6</v>
      </c>
      <c r="AB18" s="2">
        <f t="shared" si="4"/>
        <v>-1.0642059125340279E-10</v>
      </c>
      <c r="AC18" s="2">
        <f t="shared" si="5"/>
        <v>1.3852565343354048E-10</v>
      </c>
      <c r="AD18" s="2">
        <f t="shared" si="6"/>
        <v>6.103515625E-5</v>
      </c>
      <c r="AF18" s="2">
        <v>14</v>
      </c>
      <c r="AG18" s="2">
        <f t="shared" si="25"/>
        <v>2199.5849609375</v>
      </c>
      <c r="AH18" s="2">
        <v>-1.2719238436375235E-2</v>
      </c>
      <c r="AI18" s="2">
        <f t="shared" si="26"/>
        <v>2200.13427734375</v>
      </c>
      <c r="AJ18" s="2">
        <v>0.28113467197886166</v>
      </c>
      <c r="AK18" s="2">
        <f t="shared" si="17"/>
        <v>2199.859619140625</v>
      </c>
      <c r="AL18" s="2">
        <v>0.10430388980626049</v>
      </c>
      <c r="AM18" s="2">
        <f t="shared" si="18"/>
        <v>-1.3266660442872356E-3</v>
      </c>
      <c r="AN18" s="2">
        <f t="shared" si="19"/>
        <v>2.9323439846802375E-2</v>
      </c>
      <c r="AO18" s="2">
        <f t="shared" si="20"/>
        <v>0.54931640625</v>
      </c>
      <c r="AQ18" s="67"/>
      <c r="AR18" s="3" t="s">
        <v>219</v>
      </c>
      <c r="AT18"/>
      <c r="AU18" s="2" t="s">
        <v>192</v>
      </c>
      <c r="AV18" s="2">
        <f>AV11/($AR$45*AV6^2*AR9^5)</f>
        <v>1.8960904532078044E-3</v>
      </c>
      <c r="AW18" s="26"/>
      <c r="AX18"/>
      <c r="AY18" s="2" t="s">
        <v>174</v>
      </c>
      <c r="AZ18" s="33">
        <f xml:space="preserve"> $BH$27 * PI() * $AR$45 * AZ16^2 *$BH$33 * $AR$21 * AZ13</f>
        <v>401.92498744575255</v>
      </c>
      <c r="BA18" s="26" t="s">
        <v>22</v>
      </c>
      <c r="BB18"/>
      <c r="BC18" s="2" t="s">
        <v>174</v>
      </c>
      <c r="BD18" s="33">
        <f xml:space="preserve"> $BL$27 * PI() * $AR$45 * BD16^2 * $BL$33 * $AR$22 * BD13</f>
        <v>627.59217960699641</v>
      </c>
      <c r="BE18" s="26" t="s">
        <v>22</v>
      </c>
      <c r="BF18"/>
      <c r="BG18" s="2" t="s">
        <v>45</v>
      </c>
      <c r="BH18" s="2">
        <f>1/(BH16-1)</f>
        <v>1.1314551562300523</v>
      </c>
      <c r="BI18" s="2"/>
      <c r="BJ18" s="2"/>
      <c r="BK18" s="2" t="s">
        <v>45</v>
      </c>
      <c r="BL18" s="2">
        <f>1/(BL16-1)</f>
        <v>1.7452410458163667</v>
      </c>
      <c r="BM18" s="2"/>
      <c r="BN18"/>
      <c r="BO18" s="2">
        <v>14</v>
      </c>
      <c r="BP18" s="2">
        <f t="shared" si="21"/>
        <v>0.21162798949670306</v>
      </c>
      <c r="BQ18" s="2">
        <v>-3.6746040797050461E-5</v>
      </c>
      <c r="BR18" s="2">
        <f t="shared" si="22"/>
        <v>0.21196930022200761</v>
      </c>
      <c r="BS18" s="2">
        <v>1.0348604982228921E-3</v>
      </c>
      <c r="BT18" s="2">
        <f t="shared" si="7"/>
        <v>0.21179864485935535</v>
      </c>
      <c r="BU18" s="2">
        <v>5.0391878662582601E-4</v>
      </c>
      <c r="BV18" s="2">
        <f t="shared" si="8"/>
        <v>-1.8517020291752769E-8</v>
      </c>
      <c r="BW18" s="2">
        <f t="shared" si="9"/>
        <v>5.2148564659147752E-7</v>
      </c>
      <c r="BX18" s="2">
        <f t="shared" si="10"/>
        <v>3.4131072530454998E-4</v>
      </c>
      <c r="BY18"/>
      <c r="BZ18" s="2">
        <v>14</v>
      </c>
      <c r="CA18" s="2">
        <f t="shared" si="23"/>
        <v>0.16657497375650177</v>
      </c>
      <c r="CB18" s="2">
        <v>-5.0949512886053899E-4</v>
      </c>
      <c r="CC18" s="2">
        <f t="shared" si="24"/>
        <v>0.16691628448180632</v>
      </c>
      <c r="CD18" s="2">
        <v>4.4706720391354815E-4</v>
      </c>
      <c r="CE18" s="2">
        <f t="shared" si="11"/>
        <v>0.16674562911915403</v>
      </c>
      <c r="CF18" s="2">
        <v>-3.3737559775169623E-5</v>
      </c>
      <c r="CG18" s="2">
        <f t="shared" si="12"/>
        <v>1.7189122365090184E-8</v>
      </c>
      <c r="CH18" s="2">
        <f t="shared" si="13"/>
        <v>-1.5082956515551278E-8</v>
      </c>
      <c r="CI18" s="2">
        <f t="shared" si="14"/>
        <v>3.4131072530454998E-4</v>
      </c>
    </row>
    <row r="19" spans="2:87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52.760631769608374</v>
      </c>
      <c r="H19" s="6" t="s">
        <v>104</v>
      </c>
      <c r="J19" s="14" t="s">
        <v>64</v>
      </c>
      <c r="K19" s="6">
        <f xml:space="preserve"> $C$54 * C30 * $C$5</f>
        <v>24.636505127136484</v>
      </c>
      <c r="L19" s="6" t="s">
        <v>7</v>
      </c>
      <c r="N19" s="6" t="s">
        <v>21</v>
      </c>
      <c r="O19" s="6">
        <f xml:space="preserve"> O14 / $C$18</f>
        <v>5398.3371361338359</v>
      </c>
      <c r="P19" s="6" t="s">
        <v>22</v>
      </c>
      <c r="U19" s="2">
        <v>15</v>
      </c>
      <c r="V19" s="2">
        <f t="shared" si="15"/>
        <v>2.0751953125E-2</v>
      </c>
      <c r="W19" s="2">
        <f t="shared" si="0"/>
        <v>2.6561701276787975E-5</v>
      </c>
      <c r="X19" s="2">
        <f t="shared" si="16"/>
        <v>2.0782470703125E-2</v>
      </c>
      <c r="Y19" s="2">
        <f t="shared" si="1"/>
        <v>-4.0065427340078841E-6</v>
      </c>
      <c r="Z19" s="2">
        <f t="shared" si="3"/>
        <v>2.07672119140625E-2</v>
      </c>
      <c r="AA19" s="2">
        <f t="shared" si="2"/>
        <v>1.1277588407482969E-5</v>
      </c>
      <c r="AB19" s="2">
        <f t="shared" si="4"/>
        <v>2.9955193440212962E-10</v>
      </c>
      <c r="AC19" s="2">
        <f t="shared" si="5"/>
        <v>-4.5184139891132431E-11</v>
      </c>
      <c r="AD19" s="2">
        <f t="shared" si="6"/>
        <v>3.0517578125E-5</v>
      </c>
      <c r="AF19" s="2">
        <v>15</v>
      </c>
      <c r="AG19" s="2">
        <f t="shared" si="25"/>
        <v>2199.5849609375</v>
      </c>
      <c r="AH19" s="2">
        <v>-1.2719238436375235E-2</v>
      </c>
      <c r="AI19" s="2">
        <f t="shared" si="26"/>
        <v>2199.859619140625</v>
      </c>
      <c r="AJ19" s="2">
        <v>0.10430281971775912</v>
      </c>
      <c r="AK19" s="2">
        <f t="shared" si="17"/>
        <v>2199.7222900390625</v>
      </c>
      <c r="AL19" s="2">
        <v>1.5882220101048006E-2</v>
      </c>
      <c r="AM19" s="2">
        <f t="shared" si="18"/>
        <v>-2.0200974436422118E-4</v>
      </c>
      <c r="AN19" s="2">
        <f t="shared" si="19"/>
        <v>1.6565603399173801E-3</v>
      </c>
      <c r="AO19" s="2">
        <f t="shared" si="20"/>
        <v>0.274658203125</v>
      </c>
      <c r="AQ19" s="67" t="s">
        <v>195</v>
      </c>
      <c r="AR19" s="3">
        <f>0.175*($AR$9/2)</f>
        <v>0.7</v>
      </c>
      <c r="AS19" s="26" t="s">
        <v>8</v>
      </c>
      <c r="AT19"/>
      <c r="AU19" s="2" t="s">
        <v>196</v>
      </c>
      <c r="AV19" s="2">
        <f>2*PI()*AV18</f>
        <v>1.191348767667876E-2</v>
      </c>
      <c r="AW19" s="26"/>
      <c r="AX19"/>
      <c r="AY19" s="2" t="s">
        <v>178</v>
      </c>
      <c r="AZ19" s="33">
        <f xml:space="preserve"> $BH$27 * PI() * $AR$45 * AZ16^2 * $BH$34 * $AR$21^2 * AZ13</f>
        <v>110.32377368440848</v>
      </c>
      <c r="BA19" s="26" t="s">
        <v>179</v>
      </c>
      <c r="BB19"/>
      <c r="BC19" s="2" t="s">
        <v>178</v>
      </c>
      <c r="BD19" s="33">
        <f xml:space="preserve"> $BL$27 * PI() * $AR$45 * BD16^2 * $BL$34 * $AR$22^2 * BD13</f>
        <v>194.50822627172712</v>
      </c>
      <c r="BE19" s="26" t="s">
        <v>179</v>
      </c>
      <c r="BF19"/>
      <c r="BG19" s="2" t="s">
        <v>197</v>
      </c>
      <c r="BH19" s="2">
        <f>1/(BH17+1)</f>
        <v>3.1120427459288821E-2</v>
      </c>
      <c r="BI19" s="2"/>
      <c r="BJ19" s="2"/>
      <c r="BK19" s="2" t="s">
        <v>197</v>
      </c>
      <c r="BL19" s="2">
        <f>1/(BL17+1)</f>
        <v>2.1694899769039173E-2</v>
      </c>
      <c r="BM19" s="2"/>
      <c r="BN19"/>
      <c r="BO19" s="2">
        <v>15</v>
      </c>
      <c r="BP19" s="2">
        <f t="shared" si="21"/>
        <v>0.21162798949670306</v>
      </c>
      <c r="BQ19" s="2">
        <v>-3.6746040797050461E-5</v>
      </c>
      <c r="BR19" s="2">
        <f t="shared" si="22"/>
        <v>0.21179864485935535</v>
      </c>
      <c r="BS19" s="2">
        <v>4.9470060918302416E-4</v>
      </c>
      <c r="BT19" s="2">
        <f t="shared" si="7"/>
        <v>0.21171331717802921</v>
      </c>
      <c r="BU19" s="2">
        <v>2.3364965829385242E-4</v>
      </c>
      <c r="BV19" s="2">
        <f t="shared" si="8"/>
        <v>-8.5856998758828E-9</v>
      </c>
      <c r="BW19" s="2">
        <f t="shared" si="9"/>
        <v>1.1558662829337423E-7</v>
      </c>
      <c r="BX19" s="2">
        <f t="shared" si="10"/>
        <v>1.7065536265228887E-4</v>
      </c>
      <c r="BY19"/>
      <c r="BZ19" s="2">
        <v>15</v>
      </c>
      <c r="CA19" s="2">
        <f t="shared" si="23"/>
        <v>0.16674562911915403</v>
      </c>
      <c r="CB19" s="2">
        <v>-2.8082946991477009E-5</v>
      </c>
      <c r="CC19" s="2">
        <f t="shared" si="24"/>
        <v>0.16691628448180632</v>
      </c>
      <c r="CD19" s="2">
        <v>4.4706720391354815E-4</v>
      </c>
      <c r="CE19" s="2">
        <f t="shared" si="11"/>
        <v>0.16683095680048016</v>
      </c>
      <c r="CF19" s="2">
        <v>2.0674068067431939E-4</v>
      </c>
      <c r="CG19" s="2">
        <f t="shared" si="12"/>
        <v>-5.8058875763587866E-9</v>
      </c>
      <c r="CH19" s="2">
        <f t="shared" si="13"/>
        <v>9.2426978044251685E-8</v>
      </c>
      <c r="CI19" s="2">
        <f t="shared" si="14"/>
        <v>1.7065536265228887E-4</v>
      </c>
    </row>
    <row r="20" spans="2:87" x14ac:dyDescent="0.2">
      <c r="B20" s="6" t="s">
        <v>128</v>
      </c>
      <c r="C20" s="6">
        <f>$C$19*$C$10/PI()</f>
        <v>6.1401977044853208E-2</v>
      </c>
      <c r="F20" s="44" t="s">
        <v>225</v>
      </c>
      <c r="G20" s="43">
        <f>$C$18 * G19</f>
        <v>211.04252707843349</v>
      </c>
      <c r="H20" s="43" t="s">
        <v>104</v>
      </c>
      <c r="J20" s="14" t="s">
        <v>65</v>
      </c>
      <c r="K20" s="6">
        <f xml:space="preserve"> $C$54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15"/>
        <v>2.07672119140625E-2</v>
      </c>
      <c r="W20" s="2">
        <f t="shared" si="0"/>
        <v>1.1277588407482969E-5</v>
      </c>
      <c r="X20" s="2">
        <f t="shared" si="16"/>
        <v>2.0782470703125E-2</v>
      </c>
      <c r="Y20" s="2">
        <f t="shared" si="1"/>
        <v>-4.0065427340078841E-6</v>
      </c>
      <c r="Z20" s="2">
        <f t="shared" si="3"/>
        <v>2.077484130859375E-2</v>
      </c>
      <c r="AA20" s="2">
        <f t="shared" si="2"/>
        <v>3.6355251207161043E-6</v>
      </c>
      <c r="AB20" s="2">
        <f t="shared" si="4"/>
        <v>4.0999955956501061E-11</v>
      </c>
      <c r="AC20" s="2">
        <f t="shared" si="5"/>
        <v>-1.4565886756708244E-11</v>
      </c>
      <c r="AD20" s="2">
        <f t="shared" si="6"/>
        <v>1.52587890625E-5</v>
      </c>
      <c r="AF20" s="2">
        <v>16</v>
      </c>
      <c r="AG20" s="2">
        <f t="shared" si="25"/>
        <v>2199.5849609375</v>
      </c>
      <c r="AH20" s="2">
        <v>-1.2719238436375235E-2</v>
      </c>
      <c r="AI20" s="2">
        <f t="shared" si="26"/>
        <v>2199.7222900390625</v>
      </c>
      <c r="AJ20" s="2">
        <v>1.5881150012319267E-2</v>
      </c>
      <c r="AK20" s="2">
        <f t="shared" si="17"/>
        <v>2199.6536254882812</v>
      </c>
      <c r="AL20" s="2">
        <v>-2.8321502700464407E-2</v>
      </c>
      <c r="AM20" s="2">
        <f t="shared" si="18"/>
        <v>3.6022794572365192E-4</v>
      </c>
      <c r="AN20" s="2">
        <f t="shared" si="19"/>
        <v>-4.4977803296038048E-4</v>
      </c>
      <c r="AO20" s="2">
        <f t="shared" si="20"/>
        <v>0.1373291015625</v>
      </c>
      <c r="AQ20" s="67"/>
      <c r="AR20" s="3">
        <f>0.285*($AR$9/2)</f>
        <v>1.1399999999999999</v>
      </c>
      <c r="AS20" s="26" t="s">
        <v>8</v>
      </c>
      <c r="AT20"/>
      <c r="AU20" s="2" t="s">
        <v>198</v>
      </c>
      <c r="AV20" s="2">
        <f>AV17/AV19*AV7</f>
        <v>0.16313611403474651</v>
      </c>
      <c r="AW20" s="39"/>
      <c r="AX20"/>
      <c r="AY20"/>
      <c r="AZ20"/>
      <c r="BA20"/>
      <c r="BB20"/>
      <c r="BC20"/>
      <c r="BD20"/>
      <c r="BE20"/>
      <c r="BF20"/>
      <c r="BG20" s="7" t="s">
        <v>199</v>
      </c>
      <c r="BH20" s="40">
        <f>SIN(BH4)/(1+BH18) - $AR$3*COS(BH4)/($AV$5*$AR$19*(1-BH19))</f>
        <v>4.4552320092178244E-6</v>
      </c>
      <c r="BI20" s="40"/>
      <c r="BJ20" s="2"/>
      <c r="BK20" s="7" t="s">
        <v>199</v>
      </c>
      <c r="BL20" s="40">
        <f>SIN(BL4)/(1+BL18) - $AR$3*COS(BL4)/($AV$5*$AR$20*(1-BL19))</f>
        <v>1.7018258988484025E-5</v>
      </c>
      <c r="BM20" s="40"/>
      <c r="BN20"/>
      <c r="BO20" s="2">
        <v>16</v>
      </c>
      <c r="BP20" s="2">
        <f t="shared" si="21"/>
        <v>0.21162798949670306</v>
      </c>
      <c r="BQ20" s="2">
        <v>-3.6746040797050461E-5</v>
      </c>
      <c r="BR20" s="2">
        <f t="shared" si="22"/>
        <v>0.21171331717802921</v>
      </c>
      <c r="BS20" s="2">
        <v>2.2443109268947825E-4</v>
      </c>
      <c r="BT20" s="2">
        <f t="shared" si="7"/>
        <v>0.21167065333736612</v>
      </c>
      <c r="BU20" s="2">
        <v>9.8467638983079642E-5</v>
      </c>
      <c r="BV20" s="2">
        <f t="shared" si="8"/>
        <v>-3.6182958792614808E-9</v>
      </c>
      <c r="BW20" s="2">
        <f t="shared" si="9"/>
        <v>2.2099199811525629E-8</v>
      </c>
      <c r="BX20" s="2">
        <f t="shared" si="10"/>
        <v>8.5327681326158311E-5</v>
      </c>
      <c r="BY20"/>
      <c r="BZ20" s="2">
        <v>16</v>
      </c>
      <c r="CA20" s="2">
        <f t="shared" si="23"/>
        <v>0.16674562911915403</v>
      </c>
      <c r="CB20" s="2">
        <v>-2.8082946991477009E-5</v>
      </c>
      <c r="CC20" s="2">
        <f t="shared" si="24"/>
        <v>0.16683095680048016</v>
      </c>
      <c r="CD20" s="2">
        <v>2.0674068067431939E-4</v>
      </c>
      <c r="CE20" s="2">
        <f t="shared" si="11"/>
        <v>0.16678829295981709</v>
      </c>
      <c r="CF20" s="2">
        <v>8.6520538795403779E-5</v>
      </c>
      <c r="CG20" s="2">
        <f t="shared" si="12"/>
        <v>-2.4297517046653544E-9</v>
      </c>
      <c r="CH20" s="2">
        <f t="shared" si="13"/>
        <v>1.7887315082870634E-8</v>
      </c>
      <c r="CI20" s="2">
        <f t="shared" si="14"/>
        <v>8.5327681326130556E-5</v>
      </c>
    </row>
    <row r="21" spans="2:87" x14ac:dyDescent="0.2">
      <c r="B21" s="6" t="s">
        <v>129</v>
      </c>
      <c r="C21" s="17">
        <v>0.75</v>
      </c>
      <c r="J21" s="14" t="s">
        <v>66</v>
      </c>
      <c r="K21" s="6">
        <f xml:space="preserve"> $C$54 * 0</f>
        <v>0</v>
      </c>
      <c r="L21" s="6" t="s">
        <v>7</v>
      </c>
      <c r="N21" s="6" t="s">
        <v>31</v>
      </c>
      <c r="O21" s="6">
        <f xml:space="preserve"> $C$8 * COS(O18/180*PI()) / (O20 * $C$9)</f>
        <v>0.26482597184497114</v>
      </c>
      <c r="U21" s="2">
        <v>17</v>
      </c>
      <c r="V21" s="2">
        <f t="shared" si="15"/>
        <v>2.077484130859375E-2</v>
      </c>
      <c r="W21" s="2">
        <f t="shared" si="0"/>
        <v>3.6355251207161043E-6</v>
      </c>
      <c r="X21" s="2">
        <f t="shared" si="16"/>
        <v>2.0782470703125E-2</v>
      </c>
      <c r="Y21" s="2">
        <f t="shared" si="1"/>
        <v>-4.0065427340078841E-6</v>
      </c>
      <c r="Z21" s="2">
        <f t="shared" si="3"/>
        <v>2.0778656005859375E-2</v>
      </c>
      <c r="AA21" s="2">
        <f t="shared" si="2"/>
        <v>-1.8550823565471886E-7</v>
      </c>
      <c r="AB21" s="2">
        <f t="shared" si="4"/>
        <v>-6.7441985082245329E-13</v>
      </c>
      <c r="AC21" s="2">
        <f t="shared" si="5"/>
        <v>7.4324667366103611E-13</v>
      </c>
      <c r="AD21" s="2">
        <f t="shared" si="6"/>
        <v>7.62939453125E-6</v>
      </c>
      <c r="AF21" s="2">
        <v>17</v>
      </c>
      <c r="AG21" s="2">
        <f t="shared" si="25"/>
        <v>2199.6536254882812</v>
      </c>
      <c r="AH21" s="2">
        <v>-1.2719238436375235E-2</v>
      </c>
      <c r="AI21" s="2">
        <f t="shared" si="26"/>
        <v>2199.7222900390625</v>
      </c>
      <c r="AJ21" s="2">
        <v>1.5881150012319267E-2</v>
      </c>
      <c r="AK21" s="2">
        <f t="shared" si="17"/>
        <v>2199.6879577636719</v>
      </c>
      <c r="AL21" s="2">
        <v>-5.0430133700956503E-2</v>
      </c>
      <c r="AM21" s="2">
        <f t="shared" si="18"/>
        <v>6.4143289492074802E-4</v>
      </c>
      <c r="AN21" s="2">
        <f t="shared" si="19"/>
        <v>-8.0088851844620766E-4</v>
      </c>
      <c r="AO21" s="2">
        <f t="shared" si="20"/>
        <v>6.866455078125E-2</v>
      </c>
      <c r="AQ21" s="67"/>
      <c r="AR21" s="3">
        <f>0.395*($AR$9/2)</f>
        <v>1.58</v>
      </c>
      <c r="AS21" s="26" t="s">
        <v>8</v>
      </c>
      <c r="AT21"/>
      <c r="AU21"/>
      <c r="AV21"/>
      <c r="AW21" s="39"/>
      <c r="AX21"/>
      <c r="AY21" s="63" t="s">
        <v>200</v>
      </c>
      <c r="AZ21" s="63"/>
      <c r="BA21" s="63"/>
      <c r="BB21"/>
      <c r="BC21" s="63" t="s">
        <v>201</v>
      </c>
      <c r="BD21" s="63"/>
      <c r="BE21" s="63"/>
      <c r="BF21"/>
      <c r="BG21" s="2"/>
      <c r="BH21" s="2"/>
      <c r="BI21" s="2"/>
      <c r="BJ21" s="2"/>
      <c r="BK21" s="2"/>
      <c r="BL21" s="2"/>
      <c r="BM21" s="2"/>
      <c r="BN21"/>
      <c r="BO21" s="2">
        <v>17</v>
      </c>
      <c r="BP21" s="2">
        <f t="shared" si="21"/>
        <v>0.21162798949670306</v>
      </c>
      <c r="BQ21" s="2">
        <v>-3.6746040797050461E-5</v>
      </c>
      <c r="BR21" s="2">
        <f t="shared" si="22"/>
        <v>0.21167065333736612</v>
      </c>
      <c r="BS21" s="2">
        <v>8.9248879323003405E-5</v>
      </c>
      <c r="BT21" s="2">
        <f t="shared" si="7"/>
        <v>0.21164932141703457</v>
      </c>
      <c r="BU21" s="2">
        <v>3.0864757763690576E-5</v>
      </c>
      <c r="BV21" s="2">
        <f t="shared" si="8"/>
        <v>-1.1341576479756539E-9</v>
      </c>
      <c r="BW21" s="2">
        <f t="shared" si="9"/>
        <v>2.7546450409853525E-9</v>
      </c>
      <c r="BX21" s="2">
        <f t="shared" si="10"/>
        <v>4.2663840663065278E-5</v>
      </c>
      <c r="BY21"/>
      <c r="BZ21" s="2">
        <v>17</v>
      </c>
      <c r="CA21" s="2">
        <f t="shared" si="23"/>
        <v>0.16674562911915403</v>
      </c>
      <c r="CB21" s="2">
        <v>-2.8082946991477009E-5</v>
      </c>
      <c r="CC21" s="2">
        <f t="shared" si="24"/>
        <v>0.16678829295981709</v>
      </c>
      <c r="CD21" s="2">
        <v>8.6520538795403779E-5</v>
      </c>
      <c r="CE21" s="2">
        <f t="shared" si="11"/>
        <v>0.16676696103948557</v>
      </c>
      <c r="CF21" s="2">
        <v>2.6396235809945934E-5</v>
      </c>
      <c r="CG21" s="2">
        <f t="shared" si="12"/>
        <v>-7.4128409102523885E-10</v>
      </c>
      <c r="CH21" s="2">
        <f t="shared" si="13"/>
        <v>2.2838165444470536E-9</v>
      </c>
      <c r="CI21" s="2">
        <f t="shared" si="14"/>
        <v>4.2663840663065278E-5</v>
      </c>
    </row>
    <row r="22" spans="2:87" x14ac:dyDescent="0.2">
      <c r="F22" s="57" t="s">
        <v>84</v>
      </c>
      <c r="G22" s="58"/>
      <c r="H22" s="58"/>
      <c r="J22" s="14" t="s">
        <v>117</v>
      </c>
      <c r="K22" s="6">
        <f>$C$54*(0.14*$G$13*1000/745.7)*0.453592</f>
        <v>22.871099252941203</v>
      </c>
      <c r="L22" s="6" t="s">
        <v>7</v>
      </c>
      <c r="N22" s="6" t="s">
        <v>32</v>
      </c>
      <c r="O22" s="6">
        <f xml:space="preserve"> O19 / ($C$46 * PI() * $C$9^2 * O20^2 * $C$9^2)</f>
        <v>2.9970420326444246E-3</v>
      </c>
      <c r="U22" s="2">
        <v>18</v>
      </c>
      <c r="V22" s="2">
        <f t="shared" si="15"/>
        <v>2.077484130859375E-2</v>
      </c>
      <c r="W22" s="2">
        <f t="shared" si="0"/>
        <v>3.6355251207161043E-6</v>
      </c>
      <c r="X22" s="2">
        <f t="shared" si="16"/>
        <v>2.0778656005859375E-2</v>
      </c>
      <c r="Y22" s="2">
        <f t="shared" si="1"/>
        <v>-1.8550823565471886E-7</v>
      </c>
      <c r="Z22" s="2">
        <f t="shared" si="3"/>
        <v>2.0776748657226562E-2</v>
      </c>
      <c r="AA22" s="2">
        <f t="shared" si="2"/>
        <v>1.7250085852758834E-6</v>
      </c>
      <c r="AB22" s="2">
        <f t="shared" si="4"/>
        <v>6.2713120452214223E-12</v>
      </c>
      <c r="AC22" s="2">
        <f t="shared" si="5"/>
        <v>-3.2000329914377177E-13</v>
      </c>
      <c r="AD22" s="2">
        <f t="shared" si="6"/>
        <v>3.814697265625E-6</v>
      </c>
      <c r="AF22" s="2">
        <v>18</v>
      </c>
      <c r="AG22" s="2">
        <f t="shared" si="25"/>
        <v>2199.6879577636719</v>
      </c>
      <c r="AH22" s="2">
        <v>9.3894383478527743E-3</v>
      </c>
      <c r="AI22" s="2">
        <f t="shared" si="26"/>
        <v>2199.7222900390625</v>
      </c>
      <c r="AJ22" s="2">
        <v>1.5881150012319267E-2</v>
      </c>
      <c r="AK22" s="2">
        <f t="shared" si="17"/>
        <v>2199.7051239013672</v>
      </c>
      <c r="AL22" s="2">
        <v>-3.9382661917898076E-2</v>
      </c>
      <c r="AM22" s="2">
        <f t="shared" si="18"/>
        <v>-3.697810760524333E-4</v>
      </c>
      <c r="AN22" s="2">
        <f t="shared" si="19"/>
        <v>-6.2544196180259256E-4</v>
      </c>
      <c r="AO22" s="2">
        <f t="shared" si="20"/>
        <v>3.4332275390625E-2</v>
      </c>
      <c r="AQ22" s="67"/>
      <c r="AR22" s="3">
        <f>0.505*($AR$9/2)</f>
        <v>2.02</v>
      </c>
      <c r="AS22" s="26" t="s">
        <v>8</v>
      </c>
      <c r="AT22"/>
      <c r="AU22" s="61" t="s">
        <v>202</v>
      </c>
      <c r="AV22" s="61"/>
      <c r="AW22" s="61"/>
      <c r="AX22"/>
      <c r="AY22" s="2" t="s">
        <v>153</v>
      </c>
      <c r="AZ22" s="2">
        <f>$AR$23-$AR$22</f>
        <v>0.43999999999999995</v>
      </c>
      <c r="BA22" s="26" t="s">
        <v>8</v>
      </c>
      <c r="BB22"/>
      <c r="BC22" s="2" t="s">
        <v>153</v>
      </c>
      <c r="BD22" s="2">
        <f>$AR$24-$AR$23</f>
        <v>0.43999999999999995</v>
      </c>
      <c r="BE22" s="26" t="s">
        <v>8</v>
      </c>
      <c r="BF22"/>
      <c r="BG22" s="63" t="s">
        <v>185</v>
      </c>
      <c r="BH22" s="63"/>
      <c r="BI22" s="63"/>
      <c r="BJ22" s="2"/>
      <c r="BK22" s="63" t="s">
        <v>186</v>
      </c>
      <c r="BL22" s="63"/>
      <c r="BM22" s="63"/>
      <c r="BN22"/>
      <c r="BO22" s="2">
        <v>18</v>
      </c>
      <c r="BP22" s="2">
        <f t="shared" si="21"/>
        <v>0.21162798949670306</v>
      </c>
      <c r="BQ22" s="2">
        <v>-3.6746040797050461E-5</v>
      </c>
      <c r="BR22" s="2">
        <f t="shared" si="22"/>
        <v>0.21164932141703457</v>
      </c>
      <c r="BS22" s="2">
        <v>2.1645901082043006E-5</v>
      </c>
      <c r="BT22" s="2">
        <f t="shared" si="7"/>
        <v>0.21163865545686883</v>
      </c>
      <c r="BU22" s="2">
        <v>-2.9396517098878583E-6</v>
      </c>
      <c r="BV22" s="2">
        <f t="shared" si="8"/>
        <v>1.0802056166065839E-10</v>
      </c>
      <c r="BW22" s="2">
        <f t="shared" si="9"/>
        <v>-6.3631410127891161E-11</v>
      </c>
      <c r="BX22" s="2">
        <f t="shared" si="10"/>
        <v>2.1331920331518761E-5</v>
      </c>
      <c r="BY22"/>
      <c r="BZ22" s="2">
        <v>18</v>
      </c>
      <c r="CA22" s="2">
        <f t="shared" si="23"/>
        <v>0.16674562911915403</v>
      </c>
      <c r="CB22" s="2">
        <v>-2.8082946991477009E-5</v>
      </c>
      <c r="CC22" s="2">
        <f t="shared" si="24"/>
        <v>0.16676696103948557</v>
      </c>
      <c r="CD22" s="2">
        <v>2.6396235809945934E-5</v>
      </c>
      <c r="CE22" s="2">
        <f t="shared" si="11"/>
        <v>0.1667562950793198</v>
      </c>
      <c r="CF22" s="2">
        <v>-3.669475193465721E-6</v>
      </c>
      <c r="CG22" s="2">
        <f t="shared" si="12"/>
        <v>1.0304967734463769E-10</v>
      </c>
      <c r="CH22" s="2">
        <f t="shared" si="13"/>
        <v>-9.6860332505468152E-11</v>
      </c>
      <c r="CI22" s="2">
        <f t="shared" si="14"/>
        <v>2.1331920331546517E-5</v>
      </c>
    </row>
    <row r="23" spans="2:87" x14ac:dyDescent="0.2">
      <c r="B23" s="56" t="s">
        <v>107</v>
      </c>
      <c r="C23" s="56"/>
      <c r="D23" s="56"/>
      <c r="F23" t="s">
        <v>88</v>
      </c>
      <c r="G23" s="1">
        <f>300*0.3048/60</f>
        <v>1.524</v>
      </c>
      <c r="H23" t="s">
        <v>10</v>
      </c>
      <c r="J23" s="15" t="s">
        <v>67</v>
      </c>
      <c r="K23" s="6">
        <f xml:space="preserve"> $C$55 * (0.0268 * $C$5)</f>
        <v>47.16130981480412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15"/>
        <v>2.0776748657226562E-2</v>
      </c>
      <c r="W23" s="2">
        <f t="shared" si="0"/>
        <v>1.7250085852758834E-6</v>
      </c>
      <c r="X23" s="2">
        <f t="shared" si="16"/>
        <v>2.0778656005859375E-2</v>
      </c>
      <c r="Y23" s="2">
        <f t="shared" si="1"/>
        <v>-1.8550823565471886E-7</v>
      </c>
      <c r="Z23" s="2">
        <f t="shared" si="3"/>
        <v>2.0777702331542969E-2</v>
      </c>
      <c r="AA23" s="2">
        <f t="shared" si="2"/>
        <v>7.697502104955789E-7</v>
      </c>
      <c r="AB23" s="2">
        <f t="shared" si="4"/>
        <v>1.327825721622792E-12</v>
      </c>
      <c r="AC23" s="2">
        <f t="shared" si="5"/>
        <v>-1.427950034438833E-13</v>
      </c>
      <c r="AD23" s="2">
        <f t="shared" si="6"/>
        <v>1.9073486328125E-6</v>
      </c>
      <c r="AF23" s="2">
        <v>19</v>
      </c>
      <c r="AG23" s="2">
        <f t="shared" si="25"/>
        <v>2199.6879577636719</v>
      </c>
      <c r="AH23" s="2">
        <v>2.0436955908962773E-2</v>
      </c>
      <c r="AI23" s="2">
        <f t="shared" si="26"/>
        <v>2199.7222900390625</v>
      </c>
      <c r="AJ23" s="2">
        <v>4.8336213317270449E-3</v>
      </c>
      <c r="AK23" s="2">
        <f t="shared" si="17"/>
        <v>2199.7051239013672</v>
      </c>
      <c r="AL23" s="2">
        <v>-4.4906399227102156E-2</v>
      </c>
      <c r="AM23" s="2">
        <f t="shared" si="18"/>
        <v>-9.1775010103456673E-4</v>
      </c>
      <c r="AN23" s="2">
        <f t="shared" si="19"/>
        <v>-2.1706052923517187E-4</v>
      </c>
      <c r="AO23" s="2">
        <f t="shared" si="20"/>
        <v>3.4332275390625E-2</v>
      </c>
      <c r="AQ23" s="67"/>
      <c r="AR23" s="3">
        <f>0.615*($AR$9/2)</f>
        <v>2.46</v>
      </c>
      <c r="AS23" s="26" t="s">
        <v>8</v>
      </c>
      <c r="AT23"/>
      <c r="AU23" s="70" t="s">
        <v>203</v>
      </c>
      <c r="AV23" s="67">
        <f>BH20</f>
        <v>4.4552320092178244E-6</v>
      </c>
      <c r="AW23" s="67"/>
      <c r="AX23"/>
      <c r="AY23" s="2" t="s">
        <v>158</v>
      </c>
      <c r="AZ23" s="2">
        <f>(1+$BH$56)*$AR$3</f>
        <v>9.103849454141077</v>
      </c>
      <c r="BA23" s="26" t="s">
        <v>10</v>
      </c>
      <c r="BB23"/>
      <c r="BC23" s="2" t="s">
        <v>158</v>
      </c>
      <c r="BD23" s="2">
        <f>(1+$BL$56)*$AR$3</f>
        <v>9.2192027958062717</v>
      </c>
      <c r="BE23" s="26" t="s">
        <v>10</v>
      </c>
      <c r="BF23"/>
      <c r="BG23" s="28" t="s">
        <v>154</v>
      </c>
      <c r="BH23" s="29">
        <f>BT68</f>
        <v>0.1383926738528754</v>
      </c>
      <c r="BI23" s="5" t="s">
        <v>155</v>
      </c>
      <c r="BJ23" s="2"/>
      <c r="BK23" s="28" t="s">
        <v>154</v>
      </c>
      <c r="BL23" s="29">
        <f>CE68</f>
        <v>0.11727223951275256</v>
      </c>
      <c r="BM23" s="5" t="s">
        <v>155</v>
      </c>
      <c r="BN23"/>
      <c r="BO23" s="2">
        <v>19</v>
      </c>
      <c r="BP23" s="2">
        <f t="shared" si="21"/>
        <v>0.21163865545686883</v>
      </c>
      <c r="BQ23" s="2">
        <v>-2.9396517098878583E-6</v>
      </c>
      <c r="BR23" s="2">
        <f t="shared" si="22"/>
        <v>0.21164932141703457</v>
      </c>
      <c r="BS23" s="2">
        <v>2.1645901082043006E-5</v>
      </c>
      <c r="BT23" s="2">
        <f t="shared" si="7"/>
        <v>0.2116439884369517</v>
      </c>
      <c r="BU23" s="2">
        <v>1.3962800461189695E-5</v>
      </c>
      <c r="BV23" s="2">
        <f t="shared" si="8"/>
        <v>-4.1045770250559261E-11</v>
      </c>
      <c r="BW23" s="2">
        <f t="shared" si="9"/>
        <v>3.0223739761121663E-10</v>
      </c>
      <c r="BX23" s="2">
        <f t="shared" si="10"/>
        <v>1.0665960165745503E-5</v>
      </c>
      <c r="BY23"/>
      <c r="BZ23" s="2">
        <v>19</v>
      </c>
      <c r="CA23" s="2">
        <f t="shared" si="23"/>
        <v>0.1667562950793198</v>
      </c>
      <c r="CB23" s="2">
        <v>1.9851170743184765E-6</v>
      </c>
      <c r="CC23" s="2">
        <f t="shared" si="24"/>
        <v>0.16676696103948557</v>
      </c>
      <c r="CD23" s="2">
        <v>2.6396235809945934E-5</v>
      </c>
      <c r="CE23" s="2">
        <f t="shared" si="11"/>
        <v>0.1667616280594027</v>
      </c>
      <c r="CF23" s="2">
        <v>1.1363676978806692E-5</v>
      </c>
      <c r="CG23" s="2">
        <f t="shared" si="12"/>
        <v>2.2558229197668963E-11</v>
      </c>
      <c r="CH23" s="2">
        <f t="shared" si="13"/>
        <v>2.9995829720063541E-10</v>
      </c>
      <c r="CI23" s="2">
        <f t="shared" si="14"/>
        <v>1.0665960165773258E-5</v>
      </c>
    </row>
    <row r="24" spans="2:87" x14ac:dyDescent="0.2">
      <c r="B24" t="s">
        <v>108</v>
      </c>
      <c r="C24" s="1">
        <v>6</v>
      </c>
      <c r="D24"/>
      <c r="F24" t="s">
        <v>94</v>
      </c>
      <c r="G24" s="1">
        <f>1000*0.3048</f>
        <v>304.8</v>
      </c>
      <c r="H24" t="s">
        <v>8</v>
      </c>
      <c r="J24" s="15" t="s">
        <v>68</v>
      </c>
      <c r="K24" s="6">
        <f xml:space="preserve"> $C$55 * (11.5 * ($C$5*2.20462/1000)^0.4 * 0.453592)</f>
        <v>7.8474966998431759</v>
      </c>
      <c r="L24" s="6" t="s">
        <v>7</v>
      </c>
      <c r="N24" s="6" t="s">
        <v>33</v>
      </c>
      <c r="O24" s="6">
        <f xml:space="preserve"> ($C$20 * O23 / 8) * (1 + 4.65 *O21^ 2) * ( PI() * $C$46 * O20^3 *$C$9^ 5)</f>
        <v>30756.199770779633</v>
      </c>
      <c r="P24" s="6" t="s">
        <v>20</v>
      </c>
      <c r="U24" s="2">
        <v>20</v>
      </c>
      <c r="V24" s="2">
        <f t="shared" si="15"/>
        <v>2.0777702331542969E-2</v>
      </c>
      <c r="W24" s="2">
        <f t="shared" si="0"/>
        <v>7.697502104955789E-7</v>
      </c>
      <c r="X24" s="2">
        <f t="shared" si="16"/>
        <v>2.0778656005859375E-2</v>
      </c>
      <c r="Y24" s="2">
        <f t="shared" si="1"/>
        <v>-1.8550823565471886E-7</v>
      </c>
      <c r="Z24" s="2">
        <f t="shared" si="3"/>
        <v>2.0778179168701172E-2</v>
      </c>
      <c r="AA24" s="2">
        <f t="shared" si="2"/>
        <v>2.9212099634384758E-7</v>
      </c>
      <c r="AB24" s="2">
        <f t="shared" si="4"/>
        <v>2.248601984258549E-13</v>
      </c>
      <c r="AC24" s="2">
        <f t="shared" si="5"/>
        <v>-5.419085062944574E-14</v>
      </c>
      <c r="AD24" s="2">
        <f t="shared" si="6"/>
        <v>9.5367431640625E-7</v>
      </c>
      <c r="AF24" s="2">
        <v>20</v>
      </c>
      <c r="AG24" s="2">
        <f t="shared" si="25"/>
        <v>2199.6879577636719</v>
      </c>
      <c r="AH24" s="2">
        <v>2.0436955908962773E-2</v>
      </c>
      <c r="AI24" s="2">
        <f t="shared" si="26"/>
        <v>2199.7222900390625</v>
      </c>
      <c r="AJ24" s="2">
        <v>-6.9013875827295124E-4</v>
      </c>
      <c r="AK24" s="2">
        <f t="shared" si="17"/>
        <v>2199.7051239013672</v>
      </c>
      <c r="AL24" s="2">
        <v>-4.7668266819528071E-2</v>
      </c>
      <c r="AM24" s="2">
        <f t="shared" si="18"/>
        <v>-9.7419426724736828E-4</v>
      </c>
      <c r="AN24" s="2">
        <f t="shared" si="19"/>
        <v>3.2897718471852827E-5</v>
      </c>
      <c r="AO24" s="2">
        <f t="shared" si="20"/>
        <v>3.4332275390625E-2</v>
      </c>
      <c r="AQ24" s="67"/>
      <c r="AR24" s="3">
        <f>0.725*($AR$9/2)</f>
        <v>2.9</v>
      </c>
      <c r="AS24" s="26" t="s">
        <v>8</v>
      </c>
      <c r="AT24"/>
      <c r="AU24" s="70"/>
      <c r="AV24" s="67">
        <f>BL20</f>
        <v>1.7018258988484025E-5</v>
      </c>
      <c r="AW24" s="67"/>
      <c r="AX24"/>
      <c r="AY24" s="2" t="s">
        <v>163</v>
      </c>
      <c r="AZ24" s="2">
        <f>(1-$BH$57)*$AV$5*$AR$23</f>
        <v>90.472784349793002</v>
      </c>
      <c r="BA24" s="26" t="s">
        <v>10</v>
      </c>
      <c r="BB24"/>
      <c r="BC24" s="2" t="s">
        <v>163</v>
      </c>
      <c r="BD24" s="2">
        <f>(1-$BL$57)*$AV$5*$AR$24</f>
        <v>106.84187405504413</v>
      </c>
      <c r="BE24" s="26" t="s">
        <v>10</v>
      </c>
      <c r="BF24"/>
      <c r="BG24" s="2" t="s">
        <v>159</v>
      </c>
      <c r="BH24" s="2">
        <f>($AR$37+$AR$5)/180*PI()</f>
        <v>0.21161380481199896</v>
      </c>
      <c r="BI24" s="2" t="s">
        <v>155</v>
      </c>
      <c r="BJ24" s="2"/>
      <c r="BK24" s="2" t="s">
        <v>159</v>
      </c>
      <c r="BL24" s="2">
        <f>($AR$38+$AR$5)/180*PI()</f>
        <v>0.1885754586856738</v>
      </c>
      <c r="BM24" s="2" t="s">
        <v>155</v>
      </c>
      <c r="BN24"/>
      <c r="BO24" s="2">
        <v>20</v>
      </c>
      <c r="BP24" s="2">
        <f t="shared" si="21"/>
        <v>0.21163865545686883</v>
      </c>
      <c r="BQ24" s="2">
        <v>-2.9396517098878583E-6</v>
      </c>
      <c r="BR24" s="2">
        <f t="shared" si="22"/>
        <v>0.2116439884369517</v>
      </c>
      <c r="BS24" s="2">
        <v>4.7439195248050181E-6</v>
      </c>
      <c r="BT24" s="2">
        <f t="shared" si="7"/>
        <v>0.21164132194691027</v>
      </c>
      <c r="BU24" s="2">
        <v>5.5116362364382443E-6</v>
      </c>
      <c r="BV24" s="2">
        <f t="shared" si="8"/>
        <v>-1.6202290886725564E-11</v>
      </c>
      <c r="BW24" s="2">
        <f t="shared" si="9"/>
        <v>2.6146758755662235E-11</v>
      </c>
      <c r="BX24" s="2">
        <f t="shared" si="10"/>
        <v>5.3329800828727514E-6</v>
      </c>
      <c r="BY24"/>
      <c r="BZ24" s="2">
        <v>20</v>
      </c>
      <c r="CA24" s="2">
        <f t="shared" si="23"/>
        <v>0.1667616280594027</v>
      </c>
      <c r="CB24" s="2">
        <v>1.9851170743184765E-6</v>
      </c>
      <c r="CC24" s="2">
        <f t="shared" si="24"/>
        <v>0.1667616280594027</v>
      </c>
      <c r="CD24" s="2">
        <v>1.1363676978806692E-5</v>
      </c>
      <c r="CE24" s="2">
        <f t="shared" si="11"/>
        <v>0.1667616280594027</v>
      </c>
      <c r="CF24" s="2">
        <v>3.8471750636870361E-6</v>
      </c>
      <c r="CG24" s="2">
        <f t="shared" si="12"/>
        <v>7.6370929068174071E-12</v>
      </c>
      <c r="CH24" s="2">
        <f t="shared" si="13"/>
        <v>4.3718054704659538E-11</v>
      </c>
      <c r="CI24" s="2">
        <f t="shared" si="14"/>
        <v>0</v>
      </c>
    </row>
    <row r="25" spans="2:87" x14ac:dyDescent="0.2">
      <c r="B25" t="s">
        <v>109</v>
      </c>
      <c r="C25" s="1">
        <v>6.4008000000000003</v>
      </c>
      <c r="D25" t="s">
        <v>8</v>
      </c>
      <c r="F25" t="s">
        <v>93</v>
      </c>
      <c r="G25" s="8">
        <f>$G$24/$G$23</f>
        <v>200</v>
      </c>
      <c r="H25" t="s">
        <v>14</v>
      </c>
      <c r="J25" s="15" t="s">
        <v>69</v>
      </c>
      <c r="K25" s="6">
        <f xml:space="preserve"> $C$55 * (8 * ($C$5/1000))</f>
        <v>14.078002929792275</v>
      </c>
      <c r="L25" s="6" t="s">
        <v>7</v>
      </c>
      <c r="N25" s="6" t="s">
        <v>34</v>
      </c>
      <c r="O25" s="18">
        <f>Z34</f>
        <v>2.0778471138328314E-2</v>
      </c>
      <c r="U25" s="2">
        <v>21</v>
      </c>
      <c r="V25" s="2">
        <f t="shared" si="15"/>
        <v>2.0778179168701172E-2</v>
      </c>
      <c r="W25" s="2">
        <f t="shared" si="0"/>
        <v>2.9212099634384758E-7</v>
      </c>
      <c r="X25" s="2">
        <f t="shared" si="16"/>
        <v>2.0778656005859375E-2</v>
      </c>
      <c r="Y25" s="2">
        <f t="shared" si="1"/>
        <v>-1.8550823565471886E-7</v>
      </c>
      <c r="Z25" s="2">
        <f t="shared" si="3"/>
        <v>2.0778417587280273E-2</v>
      </c>
      <c r="AA25" s="2">
        <f t="shared" si="2"/>
        <v>5.3306382571949307E-8</v>
      </c>
      <c r="AB25" s="2">
        <f t="shared" si="4"/>
        <v>1.5571913588404145E-14</v>
      </c>
      <c r="AC25" s="2">
        <f t="shared" si="5"/>
        <v>-9.8887729800577709E-15</v>
      </c>
      <c r="AD25" s="2">
        <f t="shared" si="6"/>
        <v>4.76837158203125E-7</v>
      </c>
      <c r="AF25" s="2">
        <v>21</v>
      </c>
      <c r="AG25" s="2">
        <f t="shared" si="25"/>
        <v>2199.6879577636719</v>
      </c>
      <c r="AH25" s="2">
        <v>2.0436955908962773E-2</v>
      </c>
      <c r="AI25" s="2">
        <f t="shared" si="26"/>
        <v>2199.7051239013672</v>
      </c>
      <c r="AJ25" s="2">
        <v>-3.4656940752029186E-3</v>
      </c>
      <c r="AK25" s="2">
        <f t="shared" si="17"/>
        <v>2199.6965408325195</v>
      </c>
      <c r="AL25" s="2">
        <v>-4.9049200349372768E-2</v>
      </c>
      <c r="AM25" s="2">
        <f t="shared" si="18"/>
        <v>-1.0024163449100128E-3</v>
      </c>
      <c r="AN25" s="2">
        <f t="shared" si="19"/>
        <v>1.6998952304426212E-4</v>
      </c>
      <c r="AO25" s="2">
        <f t="shared" si="20"/>
        <v>1.71661376953125E-2</v>
      </c>
      <c r="AQ25" s="67"/>
      <c r="AR25" s="3">
        <f>0.835*($AR$9/2)</f>
        <v>3.34</v>
      </c>
      <c r="AS25" s="26" t="s">
        <v>8</v>
      </c>
      <c r="AT25"/>
      <c r="AU25" s="70"/>
      <c r="AV25" s="67">
        <f>BH39</f>
        <v>3.7175448343029771E-6</v>
      </c>
      <c r="AW25" s="67"/>
      <c r="AX25"/>
      <c r="AY25" s="2" t="s">
        <v>167</v>
      </c>
      <c r="AZ25" s="2">
        <f>SQRT(AZ23^2 + AZ24^2)</f>
        <v>90.92966943131276</v>
      </c>
      <c r="BA25" s="26" t="s">
        <v>10</v>
      </c>
      <c r="BB25"/>
      <c r="BC25" s="2" t="s">
        <v>167</v>
      </c>
      <c r="BD25" s="2">
        <f>SQRT(BD23^2 + BD24^2)</f>
        <v>107.23889104137599</v>
      </c>
      <c r="BE25" s="26" t="s">
        <v>10</v>
      </c>
      <c r="BF25"/>
      <c r="BG25" s="2" t="s">
        <v>28</v>
      </c>
      <c r="BH25" s="2">
        <f>BH24-BH23</f>
        <v>7.3221130959123554E-2</v>
      </c>
      <c r="BI25" s="2" t="s">
        <v>155</v>
      </c>
      <c r="BJ25" s="2"/>
      <c r="BK25" s="2" t="s">
        <v>28</v>
      </c>
      <c r="BL25" s="2">
        <f>BL24-BL23</f>
        <v>7.1303219172921234E-2</v>
      </c>
      <c r="BM25" s="2" t="s">
        <v>155</v>
      </c>
      <c r="BN25"/>
      <c r="BO25" s="2">
        <v>21</v>
      </c>
      <c r="BP25" s="2">
        <f t="shared" si="21"/>
        <v>0.21163865545686883</v>
      </c>
      <c r="BQ25" s="2">
        <v>-2.9396517098878583E-6</v>
      </c>
      <c r="BR25" s="2">
        <f t="shared" si="22"/>
        <v>0.21164132194691027</v>
      </c>
      <c r="BS25" s="2">
        <v>-3.7072568272317197E-6</v>
      </c>
      <c r="BT25" s="2">
        <f t="shared" si="7"/>
        <v>0.21163998870188955</v>
      </c>
      <c r="BU25" s="2">
        <v>1.2860077286541705E-6</v>
      </c>
      <c r="BV25" s="2">
        <f t="shared" si="8"/>
        <v>-3.7804148184672329E-12</v>
      </c>
      <c r="BW25" s="2">
        <f t="shared" si="9"/>
        <v>-4.76756093192593E-12</v>
      </c>
      <c r="BX25" s="2">
        <f t="shared" si="10"/>
        <v>2.6664900414363757E-6</v>
      </c>
      <c r="BY25"/>
      <c r="BZ25" s="2">
        <v>21</v>
      </c>
      <c r="CA25" s="2">
        <f t="shared" si="23"/>
        <v>0.1667616280594027</v>
      </c>
      <c r="CB25" s="2">
        <v>9.5017622024351489E-6</v>
      </c>
      <c r="CC25" s="2">
        <f t="shared" si="24"/>
        <v>0.1667616280594027</v>
      </c>
      <c r="CD25" s="2">
        <v>3.8471750636870361E-6</v>
      </c>
      <c r="CE25" s="2">
        <f t="shared" si="11"/>
        <v>0.1667616280594027</v>
      </c>
      <c r="CF25" s="2">
        <v>3.8471750636870361E-6</v>
      </c>
      <c r="CG25" s="2">
        <f t="shared" si="12"/>
        <v>3.6554942606292514E-11</v>
      </c>
      <c r="CH25" s="2">
        <f t="shared" si="13"/>
        <v>1.4800755970655351E-11</v>
      </c>
      <c r="CI25" s="2">
        <f t="shared" si="14"/>
        <v>0</v>
      </c>
    </row>
    <row r="26" spans="2:87" x14ac:dyDescent="0.2">
      <c r="B26" t="s">
        <v>110</v>
      </c>
      <c r="C26" s="1">
        <v>2.0560284000000002</v>
      </c>
      <c r="D26" t="s">
        <v>8</v>
      </c>
      <c r="F26" t="s">
        <v>21</v>
      </c>
      <c r="G26" s="6">
        <f xml:space="preserve"> $C$5 * $C$43 / $C$18</f>
        <v>5390.0555360528751</v>
      </c>
      <c r="H26" t="s">
        <v>22</v>
      </c>
      <c r="J26" s="15" t="s">
        <v>70</v>
      </c>
      <c r="K26" s="6">
        <f xml:space="preserve"> $C$55 * (13 * ($C$5*2.20462/1000)^1.3 * 0.453592)</f>
        <v>36.736856503702114</v>
      </c>
      <c r="L26" s="6" t="s">
        <v>7</v>
      </c>
      <c r="N26" s="6" t="s">
        <v>35</v>
      </c>
      <c r="O26" s="6">
        <f xml:space="preserve"> O20 * $C$9 * O25 - $C$8 * SIN(O18/180*PI())</f>
        <v>1.0633365175466611</v>
      </c>
      <c r="P26" s="6" t="s">
        <v>10</v>
      </c>
      <c r="U26" s="2">
        <v>22</v>
      </c>
      <c r="V26" s="2">
        <f t="shared" si="15"/>
        <v>2.0778417587280273E-2</v>
      </c>
      <c r="W26" s="2">
        <f t="shared" si="0"/>
        <v>5.3306382571949307E-8</v>
      </c>
      <c r="X26" s="2">
        <f t="shared" si="16"/>
        <v>2.0778656005859375E-2</v>
      </c>
      <c r="Y26" s="2">
        <f t="shared" si="1"/>
        <v>-1.8550823565471886E-7</v>
      </c>
      <c r="Z26" s="2">
        <f t="shared" si="3"/>
        <v>2.0778536796569824E-2</v>
      </c>
      <c r="AA26" s="2">
        <f t="shared" si="2"/>
        <v>-6.6100925982803815E-8</v>
      </c>
      <c r="AB26" s="2">
        <f t="shared" si="4"/>
        <v>-3.5236012487994445E-15</v>
      </c>
      <c r="AC26" s="2">
        <f t="shared" si="5"/>
        <v>1.2262266154213098E-14</v>
      </c>
      <c r="AD26" s="2">
        <f t="shared" si="6"/>
        <v>2.384185791015625E-7</v>
      </c>
      <c r="AF26" s="2">
        <v>22</v>
      </c>
      <c r="AG26" s="2">
        <f t="shared" si="25"/>
        <v>2199.6879577636719</v>
      </c>
      <c r="AH26" s="2">
        <v>2.0436955908962773E-2</v>
      </c>
      <c r="AI26" s="2">
        <f t="shared" si="26"/>
        <v>2199.6965408325195</v>
      </c>
      <c r="AJ26" s="2">
        <v>-4.8466332866610173E-3</v>
      </c>
      <c r="AK26" s="2">
        <f t="shared" si="17"/>
        <v>2199.6922492980957</v>
      </c>
      <c r="AL26" s="2">
        <v>-4.9739667047106195E-2</v>
      </c>
      <c r="AM26" s="2">
        <f t="shared" si="18"/>
        <v>-1.0165273823681978E-3</v>
      </c>
      <c r="AN26" s="2">
        <f t="shared" si="19"/>
        <v>2.41069925977941E-4</v>
      </c>
      <c r="AO26" s="2">
        <f t="shared" si="20"/>
        <v>8.58306884765625E-3</v>
      </c>
      <c r="AQ26" s="67"/>
      <c r="AR26" s="3">
        <f>0.945*($AR$9/2)</f>
        <v>3.78</v>
      </c>
      <c r="AS26" s="6" t="s">
        <v>8</v>
      </c>
      <c r="AT26"/>
      <c r="AU26" s="70"/>
      <c r="AV26" s="67">
        <f>BL39</f>
        <v>-4.6429098858186135E-6</v>
      </c>
      <c r="AW26" s="67"/>
      <c r="AX26"/>
      <c r="AY26" s="2" t="s">
        <v>170</v>
      </c>
      <c r="AZ26" s="37">
        <f>$AR$45*AZ25*$AR$31/$AR$46</f>
        <v>1378161.2716383992</v>
      </c>
      <c r="BA26" s="26"/>
      <c r="BB26"/>
      <c r="BC26" s="2" t="s">
        <v>170</v>
      </c>
      <c r="BD26" s="37">
        <f>$AR$45*BD25*$AR$32/$AR$46</f>
        <v>1572690.9347524277</v>
      </c>
      <c r="BE26" s="26"/>
      <c r="BF26"/>
      <c r="BG26" s="2" t="s">
        <v>168</v>
      </c>
      <c r="BH26" s="2">
        <f>BH25/PI()*180</f>
        <v>4.1952617751324697</v>
      </c>
      <c r="BI26" s="2" t="s">
        <v>43</v>
      </c>
      <c r="BJ26" s="2"/>
      <c r="BK26" s="2" t="s">
        <v>168</v>
      </c>
      <c r="BL26" s="2">
        <f>BL25/PI()*180</f>
        <v>4.0853735243046794</v>
      </c>
      <c r="BM26" s="2" t="s">
        <v>43</v>
      </c>
      <c r="BN26"/>
      <c r="BO26" s="2">
        <v>22</v>
      </c>
      <c r="BP26" s="2">
        <f t="shared" si="21"/>
        <v>0.21163865545686883</v>
      </c>
      <c r="BQ26" s="2">
        <v>-2.9396517098878583E-6</v>
      </c>
      <c r="BR26" s="2">
        <f t="shared" si="22"/>
        <v>0.21164132194691027</v>
      </c>
      <c r="BS26" s="2">
        <v>-3.7072568272317197E-6</v>
      </c>
      <c r="BT26" s="2">
        <f t="shared" si="7"/>
        <v>0.21163998870188955</v>
      </c>
      <c r="BU26" s="2">
        <v>1.2860077286541705E-6</v>
      </c>
      <c r="BV26" s="2">
        <f t="shared" si="8"/>
        <v>-3.7804148184672329E-12</v>
      </c>
      <c r="BW26" s="2">
        <f t="shared" si="9"/>
        <v>-4.76756093192593E-12</v>
      </c>
      <c r="BX26" s="2">
        <f t="shared" si="10"/>
        <v>2.6664900414363757E-6</v>
      </c>
      <c r="BY26"/>
      <c r="BZ26" s="2">
        <v>22</v>
      </c>
      <c r="CA26" s="2">
        <f t="shared" si="23"/>
        <v>0.1667616280594027</v>
      </c>
      <c r="CB26" s="2">
        <v>9.5017622024351489E-6</v>
      </c>
      <c r="CC26" s="2">
        <f t="shared" si="24"/>
        <v>0.1667616280594027</v>
      </c>
      <c r="CD26" s="2">
        <v>3.8471750636870361E-6</v>
      </c>
      <c r="CE26" s="2">
        <f t="shared" si="11"/>
        <v>0.1667616280594027</v>
      </c>
      <c r="CF26" s="2">
        <v>3.8471750636870361E-6</v>
      </c>
      <c r="CG26" s="2">
        <f t="shared" si="12"/>
        <v>3.6554942606292514E-11</v>
      </c>
      <c r="CH26" s="2">
        <f t="shared" si="13"/>
        <v>1.4800755970655351E-11</v>
      </c>
      <c r="CI26" s="2">
        <f t="shared" si="14"/>
        <v>0</v>
      </c>
    </row>
    <row r="27" spans="2:87" x14ac:dyDescent="0.2">
      <c r="F27" s="42" t="s">
        <v>86</v>
      </c>
      <c r="G27" s="43">
        <f xml:space="preserve"> 1/1000 * IF($G$23&gt;= 2*SQRT(($C$5*$C$43)/(2*$C$40*$C$18*PI()*$C$9*$C$9)), ($C$5*$C$43)/$C$21 * ( ($G$23/2) - SQRT( ($G$23/2)^2 - ($C$5*$C$43)/(2*$C$40*$C$18*PI()*$C$9*$C$9 ) ) ), 1/$C$21 * SQRT(($C$5*$C$43)^3/(2*$C$40*$C$18*PI()*$C$9*$C$9)) )</f>
        <v>206.4300399021304</v>
      </c>
      <c r="H27" s="42" t="s">
        <v>104</v>
      </c>
      <c r="J27" s="10" t="s">
        <v>57</v>
      </c>
      <c r="K27" s="10">
        <f>$C$5 - $C$13 - SUM(K13:K26)</f>
        <v>-6.2857723826255096E-3</v>
      </c>
      <c r="L27" s="10" t="s">
        <v>7</v>
      </c>
      <c r="N27" s="6" t="s">
        <v>36</v>
      </c>
      <c r="O27" s="6">
        <f xml:space="preserve"> 1/$C$21 - O24 * SQRT( (2*$C$46*PI()*$C$9^2) / O19^3 )</f>
        <v>0.55253275311359418</v>
      </c>
      <c r="U27" s="2">
        <v>23</v>
      </c>
      <c r="V27" s="2">
        <f t="shared" si="15"/>
        <v>2.0778417587280273E-2</v>
      </c>
      <c r="W27" s="2">
        <f t="shared" si="0"/>
        <v>5.3306382571949307E-8</v>
      </c>
      <c r="X27" s="2">
        <f t="shared" si="16"/>
        <v>2.0778536796569824E-2</v>
      </c>
      <c r="Y27" s="2">
        <f t="shared" si="1"/>
        <v>-6.6100925982803815E-8</v>
      </c>
      <c r="Z27" s="2">
        <f t="shared" si="3"/>
        <v>2.0778477191925049E-2</v>
      </c>
      <c r="AA27" s="2">
        <f t="shared" si="2"/>
        <v>-6.3972715666493762E-9</v>
      </c>
      <c r="AB27" s="2">
        <f t="shared" si="4"/>
        <v>-3.4101540554846517E-16</v>
      </c>
      <c r="AC27" s="2">
        <f t="shared" si="5"/>
        <v>4.2286557431898581E-16</v>
      </c>
      <c r="AD27" s="2">
        <f t="shared" si="6"/>
        <v>1.1920928955078125E-7</v>
      </c>
      <c r="AF27" s="2">
        <v>23</v>
      </c>
      <c r="AG27" s="2">
        <f t="shared" si="25"/>
        <v>2199.6879577636719</v>
      </c>
      <c r="AH27" s="2">
        <v>2.0436955908962773E-2</v>
      </c>
      <c r="AI27" s="2">
        <f t="shared" si="26"/>
        <v>2199.6922492980957</v>
      </c>
      <c r="AJ27" s="2">
        <v>-5.537102827020135E-3</v>
      </c>
      <c r="AK27" s="2">
        <f t="shared" si="17"/>
        <v>2199.6901035308838</v>
      </c>
      <c r="AL27" s="2">
        <v>-5.0091738323317259E-2</v>
      </c>
      <c r="AM27" s="2">
        <f t="shared" si="18"/>
        <v>-1.0237226475169356E-3</v>
      </c>
      <c r="AN27" s="2">
        <f t="shared" si="19"/>
        <v>2.7736310588039281E-4</v>
      </c>
      <c r="AO27" s="2">
        <f t="shared" si="20"/>
        <v>4.291534423828125E-3</v>
      </c>
      <c r="AQ27" s="67" t="s">
        <v>204</v>
      </c>
      <c r="AR27" s="3">
        <f>0.071475*($AR$9/2)</f>
        <v>0.28589999999999999</v>
      </c>
      <c r="AS27" s="26" t="s">
        <v>8</v>
      </c>
      <c r="AT27"/>
      <c r="AU27" s="70"/>
      <c r="AV27" s="67">
        <f>BH58</f>
        <v>1.5980321525888019E-5</v>
      </c>
      <c r="AW27" s="67"/>
      <c r="AX27"/>
      <c r="AY27" s="2" t="s">
        <v>174</v>
      </c>
      <c r="AZ27" s="33">
        <f xml:space="preserve"> $BH$46 * PI() * $AR$45 * AZ25^2 * $BH$52 * $AR$23 * AZ22</f>
        <v>846.01788759075578</v>
      </c>
      <c r="BA27" s="26" t="s">
        <v>22</v>
      </c>
      <c r="BB27"/>
      <c r="BC27" s="2" t="s">
        <v>174</v>
      </c>
      <c r="BD27" s="33">
        <f xml:space="preserve"> $BL$46 * PI() * $AR$45 * BD25^2 * $BL$52 * $AR$24 * BD22</f>
        <v>1025.9483376799899</v>
      </c>
      <c r="BE27" s="26" t="s">
        <v>22</v>
      </c>
      <c r="BF27"/>
      <c r="BG27" s="2" t="s">
        <v>171</v>
      </c>
      <c r="BH27" s="2">
        <f xml:space="preserve"> $AR$8*$AR$29 / (2*PI()*$AR$21)</f>
        <v>8.1440994613795809E-2</v>
      </c>
      <c r="BI27" s="2"/>
      <c r="BJ27" s="2"/>
      <c r="BK27" s="2" t="s">
        <v>171</v>
      </c>
      <c r="BL27" s="2">
        <f xml:space="preserve"> $AR$8*$AR$30 / (2*PI()*$AR$22)</f>
        <v>6.1763148460265718E-2</v>
      </c>
      <c r="BM27" s="2"/>
      <c r="BN27"/>
      <c r="BO27" s="2">
        <v>23</v>
      </c>
      <c r="BP27" s="2">
        <f t="shared" si="21"/>
        <v>0.21163865545686883</v>
      </c>
      <c r="BQ27" s="2">
        <v>-2.9396517098878583E-6</v>
      </c>
      <c r="BR27" s="2">
        <f t="shared" si="22"/>
        <v>0.21164132194691027</v>
      </c>
      <c r="BS27" s="2">
        <v>-3.7072568272317197E-6</v>
      </c>
      <c r="BT27" s="2">
        <f t="shared" si="7"/>
        <v>0.21163998870188955</v>
      </c>
      <c r="BU27" s="2">
        <v>1.2860077286541705E-6</v>
      </c>
      <c r="BV27" s="2">
        <f t="shared" si="8"/>
        <v>-3.7804148184672329E-12</v>
      </c>
      <c r="BW27" s="2">
        <f t="shared" si="9"/>
        <v>-4.76756093192593E-12</v>
      </c>
      <c r="BX27" s="2">
        <f t="shared" si="10"/>
        <v>2.6664900414363757E-6</v>
      </c>
      <c r="BY27"/>
      <c r="BZ27" s="2">
        <v>23</v>
      </c>
      <c r="CA27" s="2">
        <f t="shared" si="23"/>
        <v>0.1667616280594027</v>
      </c>
      <c r="CB27" s="2">
        <v>9.5017622024351489E-6</v>
      </c>
      <c r="CC27" s="2">
        <f t="shared" si="24"/>
        <v>0.1667616280594027</v>
      </c>
      <c r="CD27" s="2">
        <v>3.8471750636870361E-6</v>
      </c>
      <c r="CE27" s="2">
        <f t="shared" si="11"/>
        <v>0.1667616280594027</v>
      </c>
      <c r="CF27" s="2">
        <v>3.8471750636870361E-6</v>
      </c>
      <c r="CG27" s="2">
        <f t="shared" si="12"/>
        <v>3.6554942606292514E-11</v>
      </c>
      <c r="CH27" s="2">
        <f t="shared" si="13"/>
        <v>1.4800755970655351E-11</v>
      </c>
      <c r="CI27" s="2">
        <f t="shared" si="14"/>
        <v>0</v>
      </c>
    </row>
    <row r="28" spans="2:87" x14ac:dyDescent="0.2">
      <c r="B28" s="56" t="s">
        <v>111</v>
      </c>
      <c r="C28" s="56"/>
      <c r="D28" s="56"/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15"/>
        <v>2.0778417587280273E-2</v>
      </c>
      <c r="W28" s="2">
        <f t="shared" si="0"/>
        <v>5.3306382571949307E-8</v>
      </c>
      <c r="X28" s="2">
        <f t="shared" si="16"/>
        <v>2.0778477191925049E-2</v>
      </c>
      <c r="Y28" s="2">
        <f t="shared" si="1"/>
        <v>-6.3972715666493762E-9</v>
      </c>
      <c r="Z28" s="2">
        <f t="shared" si="3"/>
        <v>2.0778447389602661E-2</v>
      </c>
      <c r="AA28" s="2">
        <f t="shared" si="2"/>
        <v>2.3454555537344435E-8</v>
      </c>
      <c r="AB28" s="2">
        <f t="shared" si="4"/>
        <v>1.2502775105287144E-15</v>
      </c>
      <c r="AC28" s="2">
        <f t="shared" si="5"/>
        <v>-1.5004516124745223E-16</v>
      </c>
      <c r="AD28" s="2">
        <f t="shared" si="6"/>
        <v>5.9604644775390625E-8</v>
      </c>
      <c r="AF28" s="2">
        <v>24</v>
      </c>
      <c r="AG28" s="2">
        <f t="shared" si="25"/>
        <v>2199.6879577636719</v>
      </c>
      <c r="AH28" s="2">
        <v>2.0436955908962773E-2</v>
      </c>
      <c r="AI28" s="2">
        <f t="shared" si="26"/>
        <v>2199.6901035308838</v>
      </c>
      <c r="AJ28" s="2">
        <v>-5.875499424746522E-3</v>
      </c>
      <c r="AK28" s="2">
        <f t="shared" si="17"/>
        <v>2199.6890306472778</v>
      </c>
      <c r="AL28" s="2">
        <v>-5.0254098072173292E-2</v>
      </c>
      <c r="AM28" s="2">
        <f t="shared" si="18"/>
        <v>-1.0270407865456967E-3</v>
      </c>
      <c r="AN28" s="2">
        <f t="shared" si="19"/>
        <v>2.9526792431420947E-4</v>
      </c>
      <c r="AO28" s="2">
        <f t="shared" si="20"/>
        <v>2.1457672119140625E-3</v>
      </c>
      <c r="AQ28" s="67"/>
      <c r="AR28" s="3">
        <f>0.069425*($AR$9/2)</f>
        <v>0.2777</v>
      </c>
      <c r="AS28" s="26" t="s">
        <v>8</v>
      </c>
      <c r="AT28"/>
      <c r="AU28" s="70"/>
      <c r="AV28" s="67">
        <f>BL58</f>
        <v>2.3422730223224275E-6</v>
      </c>
      <c r="AW28" s="67"/>
      <c r="AX28"/>
      <c r="AY28" s="2" t="s">
        <v>178</v>
      </c>
      <c r="AZ28" s="33">
        <f xml:space="preserve"> $BH$46 * PI() * $AR$45 * AZ25^2 * $BH$53 * $AR$23^2 * AZ22</f>
        <v>293.68548062248101</v>
      </c>
      <c r="BA28" s="26" t="s">
        <v>179</v>
      </c>
      <c r="BB28"/>
      <c r="BC28" s="2" t="s">
        <v>178</v>
      </c>
      <c r="BD28" s="33">
        <f xml:space="preserve"> $BL$46 * PI() * $AR$45 * BD25^2 * $BL$53 * $AR$24^2 * BD22</f>
        <v>403.34850500993701</v>
      </c>
      <c r="BE28" s="26" t="s">
        <v>179</v>
      </c>
      <c r="BF28"/>
      <c r="BG28" s="2" t="s">
        <v>175</v>
      </c>
      <c r="BH28" s="2">
        <f>IF(-$AR$8*($AV$3-$AR$21)/(2*$AR$21*SIN(BH23))&gt;500, 1, 2*ACOS(MIN(1, EXP(-$AR$8*($AV$3-$AR$21)/(2*$AR$21*SIN(BH23)))))/PI() )</f>
        <v>0.99999996275608016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0.99999777962634606</v>
      </c>
      <c r="BM28" s="2"/>
      <c r="BN28"/>
      <c r="BO28" s="2">
        <v>24</v>
      </c>
      <c r="BP28" s="2">
        <f t="shared" si="21"/>
        <v>0.21163865545686883</v>
      </c>
      <c r="BQ28" s="2">
        <v>-2.9396517098878583E-6</v>
      </c>
      <c r="BR28" s="2">
        <f t="shared" si="22"/>
        <v>0.21164132194691027</v>
      </c>
      <c r="BS28" s="2">
        <v>-3.7072568272317197E-6</v>
      </c>
      <c r="BT28" s="2">
        <f t="shared" si="7"/>
        <v>0.21163998870188955</v>
      </c>
      <c r="BU28" s="2">
        <v>1.2860077286541705E-6</v>
      </c>
      <c r="BV28" s="2">
        <f t="shared" si="8"/>
        <v>-3.7804148184672329E-12</v>
      </c>
      <c r="BW28" s="2">
        <f t="shared" si="9"/>
        <v>-4.76756093192593E-12</v>
      </c>
      <c r="BX28" s="2">
        <f t="shared" si="10"/>
        <v>2.6664900414363757E-6</v>
      </c>
      <c r="BY28"/>
      <c r="BZ28" s="2">
        <v>24</v>
      </c>
      <c r="CA28" s="2">
        <f t="shared" si="23"/>
        <v>0.1667616280594027</v>
      </c>
      <c r="CB28" s="2">
        <v>9.5017622024351489E-6</v>
      </c>
      <c r="CC28" s="2">
        <f t="shared" si="24"/>
        <v>0.1667616280594027</v>
      </c>
      <c r="CD28" s="2">
        <v>3.8471750636870361E-6</v>
      </c>
      <c r="CE28" s="2">
        <f t="shared" si="11"/>
        <v>0.1667616280594027</v>
      </c>
      <c r="CF28" s="2">
        <v>3.8471750636870361E-6</v>
      </c>
      <c r="CG28" s="2">
        <f t="shared" si="12"/>
        <v>3.6554942606292514E-11</v>
      </c>
      <c r="CH28" s="2">
        <f t="shared" si="13"/>
        <v>1.4800755970655351E-11</v>
      </c>
      <c r="CI28" s="2">
        <f t="shared" si="14"/>
        <v>0</v>
      </c>
    </row>
    <row r="29" spans="2:87" x14ac:dyDescent="0.2">
      <c r="B29" s="6" t="s">
        <v>124</v>
      </c>
      <c r="C29" s="21" t="s">
        <v>260</v>
      </c>
      <c r="N29" s="6" t="s">
        <v>38</v>
      </c>
      <c r="O29" s="6">
        <f xml:space="preserve"> 1/$C$52 * LN( EXP($C$52 * O27) + EXP($C$52 * O28) )</f>
        <v>1.1500000005477429</v>
      </c>
      <c r="U29" s="2">
        <v>25</v>
      </c>
      <c r="V29" s="2">
        <f t="shared" si="15"/>
        <v>2.0778447389602661E-2</v>
      </c>
      <c r="W29" s="2">
        <f t="shared" si="0"/>
        <v>2.3454555537344435E-8</v>
      </c>
      <c r="X29" s="2">
        <f t="shared" si="16"/>
        <v>2.0778477191925049E-2</v>
      </c>
      <c r="Y29" s="2">
        <f t="shared" si="1"/>
        <v>-6.3972715666493762E-9</v>
      </c>
      <c r="Z29" s="2">
        <f t="shared" si="3"/>
        <v>2.0778462290763855E-2</v>
      </c>
      <c r="AA29" s="2">
        <f t="shared" si="2"/>
        <v>8.5286419940211466E-9</v>
      </c>
      <c r="AB29" s="2">
        <f t="shared" si="4"/>
        <v>2.0003550730689697E-16</v>
      </c>
      <c r="AC29" s="2">
        <f t="shared" si="5"/>
        <v>-5.4560038930483319E-17</v>
      </c>
      <c r="AD29" s="2">
        <f t="shared" si="6"/>
        <v>2.9802322387695312E-8</v>
      </c>
      <c r="AF29" s="2">
        <v>25</v>
      </c>
      <c r="AG29" s="2">
        <f t="shared" si="25"/>
        <v>2199.6879577636719</v>
      </c>
      <c r="AH29" s="2">
        <v>2.0436955908962773E-2</v>
      </c>
      <c r="AI29" s="2">
        <f t="shared" si="26"/>
        <v>2199.6890306472778</v>
      </c>
      <c r="AJ29" s="2">
        <v>-6.0515358754855697E-3</v>
      </c>
      <c r="AK29" s="2">
        <f t="shared" si="17"/>
        <v>2199.6884942054749</v>
      </c>
      <c r="AL29" s="2">
        <v>-5.0348953828233789E-2</v>
      </c>
      <c r="AM29" s="2">
        <f t="shared" si="18"/>
        <v>-1.0289793494500164E-3</v>
      </c>
      <c r="AN29" s="2">
        <f t="shared" si="19"/>
        <v>3.046885003847233E-4</v>
      </c>
      <c r="AO29" s="2">
        <f t="shared" si="20"/>
        <v>1.0728836059570312E-3</v>
      </c>
      <c r="AQ29" s="67"/>
      <c r="AR29" s="3">
        <f>0.067375*($AR$9/2)</f>
        <v>0.26950000000000002</v>
      </c>
      <c r="AS29" s="26" t="s">
        <v>8</v>
      </c>
      <c r="AT29"/>
      <c r="AU29" s="70"/>
      <c r="AV29" s="67">
        <f>BH77</f>
        <v>8.1166121787545897E-6</v>
      </c>
      <c r="AW29" s="67"/>
      <c r="AX29"/>
      <c r="AY29"/>
      <c r="AZ29"/>
      <c r="BA29"/>
      <c r="BB29"/>
      <c r="BC29"/>
      <c r="BD29"/>
      <c r="BE29"/>
      <c r="BF29"/>
      <c r="BG29" s="2" t="s">
        <v>180</v>
      </c>
      <c r="BH29" s="2">
        <f>IF(-$AR$8*($AR$21-$AR$10)/(2*$AR$21*SIN(BH23))&gt;500, 1, 2*ACOS(MIN(1, EXP(-$AR$8*($AR$21-$AR$10)/(2*$AR$21*SIN(BH23)))))/PI() )</f>
        <v>0.99967172898836798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0.99996375954562888</v>
      </c>
      <c r="BM29" s="2"/>
      <c r="BN29"/>
      <c r="BO29" s="2">
        <v>25</v>
      </c>
      <c r="BP29" s="2">
        <f t="shared" si="21"/>
        <v>0.21163865545686883</v>
      </c>
      <c r="BQ29" s="2">
        <v>-2.9396517098878583E-6</v>
      </c>
      <c r="BR29" s="2">
        <f t="shared" si="22"/>
        <v>0.21164132194691027</v>
      </c>
      <c r="BS29" s="2">
        <v>-3.7072568272317197E-6</v>
      </c>
      <c r="BT29" s="2">
        <f t="shared" si="7"/>
        <v>0.21163998870188955</v>
      </c>
      <c r="BU29" s="2">
        <v>1.2860077286541705E-6</v>
      </c>
      <c r="BV29" s="2">
        <f t="shared" si="8"/>
        <v>-3.7804148184672329E-12</v>
      </c>
      <c r="BW29" s="2">
        <f t="shared" si="9"/>
        <v>-4.76756093192593E-12</v>
      </c>
      <c r="BX29" s="2">
        <f t="shared" si="10"/>
        <v>2.6664900414363757E-6</v>
      </c>
      <c r="BY29"/>
      <c r="BZ29" s="2">
        <v>25</v>
      </c>
      <c r="CA29" s="2">
        <f t="shared" si="23"/>
        <v>0.1667616280594027</v>
      </c>
      <c r="CB29" s="2">
        <v>9.5017622024351489E-6</v>
      </c>
      <c r="CC29" s="2">
        <f t="shared" si="24"/>
        <v>0.1667616280594027</v>
      </c>
      <c r="CD29" s="2">
        <v>3.8471750636870361E-6</v>
      </c>
      <c r="CE29" s="2">
        <f t="shared" si="11"/>
        <v>0.1667616280594027</v>
      </c>
      <c r="CF29" s="2">
        <v>3.8471750636870361E-6</v>
      </c>
      <c r="CG29" s="2">
        <f t="shared" si="12"/>
        <v>3.6554942606292514E-11</v>
      </c>
      <c r="CH29" s="2">
        <f t="shared" si="13"/>
        <v>1.4800755970655351E-11</v>
      </c>
      <c r="CI29" s="2">
        <f t="shared" si="14"/>
        <v>0</v>
      </c>
    </row>
    <row r="30" spans="2:87" x14ac:dyDescent="0.2">
      <c r="B30" s="6" t="s">
        <v>126</v>
      </c>
      <c r="C30" s="6">
        <f>IF(C29="wheeled",0.0325,0.014)</f>
        <v>1.4E-2</v>
      </c>
      <c r="F30" s="9"/>
      <c r="J30" s="54" t="s">
        <v>116</v>
      </c>
      <c r="K30" s="54"/>
      <c r="L30" s="54"/>
      <c r="U30" s="2">
        <v>26</v>
      </c>
      <c r="V30" s="2">
        <f t="shared" si="15"/>
        <v>2.0778462290763855E-2</v>
      </c>
      <c r="W30" s="2">
        <f t="shared" si="0"/>
        <v>8.5286419940211466E-9</v>
      </c>
      <c r="X30" s="2">
        <f t="shared" si="16"/>
        <v>2.0778477191925049E-2</v>
      </c>
      <c r="Y30" s="2">
        <f t="shared" si="1"/>
        <v>-6.3972715666493762E-9</v>
      </c>
      <c r="Z30" s="2">
        <f t="shared" si="3"/>
        <v>2.0778469741344452E-2</v>
      </c>
      <c r="AA30" s="2">
        <f t="shared" si="2"/>
        <v>1.0656852136858852E-9</v>
      </c>
      <c r="AB30" s="2">
        <f t="shared" si="4"/>
        <v>9.0888476658488391E-18</v>
      </c>
      <c r="AC30" s="2">
        <f t="shared" si="5"/>
        <v>-6.8174777165113784E-18</v>
      </c>
      <c r="AD30" s="2">
        <f t="shared" si="6"/>
        <v>1.4901161193847656E-8</v>
      </c>
      <c r="AF30" s="2">
        <v>26</v>
      </c>
      <c r="AG30" s="2">
        <f t="shared" si="25"/>
        <v>2199.6879577636719</v>
      </c>
      <c r="AH30" s="2">
        <v>2.0436955908962773E-2</v>
      </c>
      <c r="AI30" s="2">
        <f t="shared" si="26"/>
        <v>2199.6884942054749</v>
      </c>
      <c r="AJ30" s="2">
        <v>-6.1327159439770185E-3</v>
      </c>
      <c r="AK30" s="2">
        <f t="shared" si="17"/>
        <v>2199.6882259845734</v>
      </c>
      <c r="AL30" s="2">
        <v>-5.0389543765504641E-2</v>
      </c>
      <c r="AM30" s="2">
        <f t="shared" si="18"/>
        <v>-1.0298088842083683E-3</v>
      </c>
      <c r="AN30" s="2">
        <f t="shared" si="19"/>
        <v>3.0902475846043809E-4</v>
      </c>
      <c r="AO30" s="2">
        <f t="shared" si="20"/>
        <v>5.3644180297851562E-4</v>
      </c>
      <c r="AQ30" s="67"/>
      <c r="AR30" s="3">
        <f>0.065325*($AR$9/2)</f>
        <v>0.26129999999999998</v>
      </c>
      <c r="AS30" s="26" t="s">
        <v>8</v>
      </c>
      <c r="AT30"/>
      <c r="AU30" s="38" t="s">
        <v>205</v>
      </c>
      <c r="AV30" s="67" t="b">
        <f>IF(AV23&lt;0.00001,IF(AV24&lt;0.00001,IF(AV25&lt;0.00001,IF(AV26&lt;0.00001,IF(AV27&lt;0.00001,IF(AV28&lt;0.00001,IF(AV29&lt;0.00001,TRUE,FALSE),FALSE),FALSE),FALSE),FALSE),FALSE),FALSE)</f>
        <v>0</v>
      </c>
      <c r="AW30" s="67"/>
      <c r="AX30"/>
      <c r="AY30" s="63" t="s">
        <v>206</v>
      </c>
      <c r="AZ30" s="63"/>
      <c r="BA30" s="63"/>
      <c r="BB30"/>
      <c r="BC30" s="63" t="s">
        <v>220</v>
      </c>
      <c r="BD30" s="63"/>
      <c r="BE30" s="63"/>
      <c r="BF30"/>
      <c r="BG30" s="2" t="s">
        <v>183</v>
      </c>
      <c r="BH30" s="2">
        <f>IF(BH23=0,1,BH28*BH29)</f>
        <v>0.99967169175667425</v>
      </c>
      <c r="BI30" s="2"/>
      <c r="BJ30" s="2"/>
      <c r="BK30" s="2" t="s">
        <v>183</v>
      </c>
      <c r="BL30" s="2">
        <f>IF(BL23=0,1,BL28*BL29)</f>
        <v>0.99996153925244224</v>
      </c>
      <c r="BM30" s="2"/>
      <c r="BN30"/>
      <c r="BO30" s="2">
        <v>26</v>
      </c>
      <c r="BP30" s="2">
        <f t="shared" si="21"/>
        <v>0.21163865545686883</v>
      </c>
      <c r="BQ30" s="2">
        <v>-2.9396517098878583E-6</v>
      </c>
      <c r="BR30" s="2">
        <f t="shared" si="22"/>
        <v>0.21164132194691027</v>
      </c>
      <c r="BS30" s="2">
        <v>-3.7072568272317197E-6</v>
      </c>
      <c r="BT30" s="2">
        <f t="shared" si="7"/>
        <v>0.21163998870188955</v>
      </c>
      <c r="BU30" s="2">
        <v>1.2860077286541705E-6</v>
      </c>
      <c r="BV30" s="2">
        <f t="shared" si="8"/>
        <v>-3.7804148184672329E-12</v>
      </c>
      <c r="BW30" s="2">
        <f t="shared" si="9"/>
        <v>-4.76756093192593E-12</v>
      </c>
      <c r="BX30" s="2">
        <f t="shared" si="10"/>
        <v>2.6664900414363757E-6</v>
      </c>
      <c r="BY30"/>
      <c r="BZ30" s="2">
        <v>26</v>
      </c>
      <c r="CA30" s="2">
        <f t="shared" si="23"/>
        <v>0.1667616280594027</v>
      </c>
      <c r="CB30" s="2">
        <v>9.5017622024351489E-6</v>
      </c>
      <c r="CC30" s="2">
        <f t="shared" si="24"/>
        <v>0.1667616280594027</v>
      </c>
      <c r="CD30" s="2">
        <v>3.8471750636870361E-6</v>
      </c>
      <c r="CE30" s="2">
        <f t="shared" si="11"/>
        <v>0.1667616280594027</v>
      </c>
      <c r="CF30" s="2">
        <v>3.8471750636870361E-6</v>
      </c>
      <c r="CG30" s="2">
        <f t="shared" si="12"/>
        <v>3.6554942606292514E-11</v>
      </c>
      <c r="CH30" s="2">
        <f t="shared" si="13"/>
        <v>1.4800755970655351E-11</v>
      </c>
      <c r="CI30" s="2">
        <f t="shared" si="14"/>
        <v>0</v>
      </c>
    </row>
    <row r="31" spans="2:87" x14ac:dyDescent="0.2">
      <c r="B31" t="s">
        <v>261</v>
      </c>
      <c r="C31" s="1">
        <v>2.8540374719999999</v>
      </c>
      <c r="D31" t="s">
        <v>8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15"/>
        <v>2.0778469741344452E-2</v>
      </c>
      <c r="W31" s="2">
        <f t="shared" si="0"/>
        <v>1.0656852136858852E-9</v>
      </c>
      <c r="X31" s="2">
        <f t="shared" si="16"/>
        <v>2.0778477191925049E-2</v>
      </c>
      <c r="Y31" s="2">
        <f t="shared" si="1"/>
        <v>-6.3972715666493762E-9</v>
      </c>
      <c r="Z31" s="2">
        <f t="shared" si="3"/>
        <v>2.077847346663475E-2</v>
      </c>
      <c r="AA31" s="2">
        <f t="shared" si="2"/>
        <v>-2.6657931764817455E-9</v>
      </c>
      <c r="AB31" s="2">
        <f t="shared" si="4"/>
        <v>-2.8408963709213238E-18</v>
      </c>
      <c r="AC31" s="2">
        <f t="shared" si="5"/>
        <v>1.7053802890474593E-17</v>
      </c>
      <c r="AD31" s="2">
        <f t="shared" si="6"/>
        <v>7.4505805969238281E-9</v>
      </c>
      <c r="AF31" s="2">
        <v>27</v>
      </c>
      <c r="AG31" s="2">
        <f t="shared" si="25"/>
        <v>2199.6879577636719</v>
      </c>
      <c r="AH31" s="2">
        <v>2.0436955908962773E-2</v>
      </c>
      <c r="AI31" s="2">
        <f t="shared" si="26"/>
        <v>2199.6882259845734</v>
      </c>
      <c r="AJ31" s="2">
        <v>-6.1733059792459244E-3</v>
      </c>
      <c r="AK31" s="2">
        <f t="shared" si="17"/>
        <v>2199.6880918741226</v>
      </c>
      <c r="AL31" s="2">
        <v>-5.0409838734594814E-2</v>
      </c>
      <c r="AM31" s="2">
        <f t="shared" si="18"/>
        <v>-1.0302236515968379E-3</v>
      </c>
      <c r="AN31" s="2">
        <f t="shared" si="19"/>
        <v>3.1119535887309699E-4</v>
      </c>
      <c r="AO31" s="2">
        <f t="shared" si="20"/>
        <v>2.6822090148925781E-4</v>
      </c>
      <c r="AQ31" s="67"/>
      <c r="AR31" s="3">
        <f>0.063275*($AR$9/2)</f>
        <v>0.25309999999999999</v>
      </c>
      <c r="AS31" s="26" t="s">
        <v>8</v>
      </c>
      <c r="AT31"/>
      <c r="AU31"/>
      <c r="AV31"/>
      <c r="AW31"/>
      <c r="AX31"/>
      <c r="AY31" s="2" t="s">
        <v>153</v>
      </c>
      <c r="AZ31" s="2">
        <f>$AR$25-$AR$24</f>
        <v>0.43999999999999995</v>
      </c>
      <c r="BA31" s="26" t="s">
        <v>8</v>
      </c>
      <c r="BB31"/>
      <c r="BC31" s="2" t="s">
        <v>153</v>
      </c>
      <c r="BD31" s="2">
        <f>2*($AR$9/2 - $AR$26)</f>
        <v>0.44000000000000039</v>
      </c>
      <c r="BE31" s="26" t="s">
        <v>8</v>
      </c>
      <c r="BF31"/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0.64849824265286093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0.63562822501642846</v>
      </c>
      <c r="BM31" s="2"/>
      <c r="BN31"/>
      <c r="BO31" s="2">
        <v>27</v>
      </c>
      <c r="BP31" s="2">
        <f t="shared" si="21"/>
        <v>0.21163865545686883</v>
      </c>
      <c r="BQ31" s="2">
        <v>-2.9396517098878583E-6</v>
      </c>
      <c r="BR31" s="2">
        <f t="shared" si="22"/>
        <v>0.21164132194691027</v>
      </c>
      <c r="BS31" s="2">
        <v>-3.839307439440498E-6</v>
      </c>
      <c r="BT31" s="2">
        <f t="shared" si="7"/>
        <v>0.21163998870188955</v>
      </c>
      <c r="BU31" s="2">
        <v>1.2860077286541705E-6</v>
      </c>
      <c r="BV31" s="2">
        <f t="shared" si="8"/>
        <v>-3.7804148184672329E-12</v>
      </c>
      <c r="BW31" s="2">
        <f t="shared" si="9"/>
        <v>-4.9373790397999336E-12</v>
      </c>
      <c r="BX31" s="2">
        <f t="shared" si="10"/>
        <v>2.6664900414363757E-6</v>
      </c>
      <c r="BY31"/>
      <c r="BZ31" s="2">
        <v>27</v>
      </c>
      <c r="CA31" s="2">
        <f t="shared" si="23"/>
        <v>0.1667616280594027</v>
      </c>
      <c r="CB31" s="2">
        <v>9.5017622024351489E-6</v>
      </c>
      <c r="CC31" s="2">
        <f t="shared" si="24"/>
        <v>0.1667616280594027</v>
      </c>
      <c r="CD31" s="2">
        <v>3.8471750636870361E-6</v>
      </c>
      <c r="CE31" s="2">
        <f t="shared" si="11"/>
        <v>0.1667616280594027</v>
      </c>
      <c r="CF31" s="2">
        <v>3.8471750636870361E-6</v>
      </c>
      <c r="CG31" s="2">
        <f t="shared" si="12"/>
        <v>3.6554942606292514E-11</v>
      </c>
      <c r="CH31" s="2">
        <f t="shared" si="13"/>
        <v>1.4800755970655351E-11</v>
      </c>
      <c r="CI31" s="2">
        <f t="shared" si="14"/>
        <v>0</v>
      </c>
    </row>
    <row r="32" spans="2:87" x14ac:dyDescent="0.2">
      <c r="B32" t="s">
        <v>262</v>
      </c>
      <c r="C32" s="1">
        <f>(0.750222528+0.849998808)/2</f>
        <v>0.80011066800000008</v>
      </c>
      <c r="D32"/>
      <c r="J32" s="11" t="s">
        <v>55</v>
      </c>
      <c r="K32" s="6">
        <f>ROUND(K13,2)</f>
        <v>795.38</v>
      </c>
      <c r="L32" s="6" t="s">
        <v>7</v>
      </c>
      <c r="U32" s="2">
        <v>28</v>
      </c>
      <c r="V32" s="2">
        <f t="shared" si="15"/>
        <v>2.0778469741344452E-2</v>
      </c>
      <c r="W32" s="2">
        <f t="shared" si="0"/>
        <v>1.0656852136858852E-9</v>
      </c>
      <c r="X32" s="2">
        <f t="shared" si="16"/>
        <v>2.077847346663475E-2</v>
      </c>
      <c r="Y32" s="2">
        <f t="shared" si="1"/>
        <v>-2.6657931764817455E-9</v>
      </c>
      <c r="Z32" s="2">
        <f t="shared" si="3"/>
        <v>2.0778471603989601E-2</v>
      </c>
      <c r="AA32" s="2">
        <f t="shared" si="2"/>
        <v>-8.0005398139793016E-10</v>
      </c>
      <c r="AB32" s="2">
        <f t="shared" si="4"/>
        <v>-8.5260569812629643E-19</v>
      </c>
      <c r="AC32" s="2">
        <f t="shared" si="5"/>
        <v>2.1327784444276555E-18</v>
      </c>
      <c r="AD32" s="2">
        <f t="shared" si="6"/>
        <v>3.7252902984619141E-9</v>
      </c>
      <c r="AF32" s="2">
        <v>28</v>
      </c>
      <c r="AG32" s="2">
        <f t="shared" si="25"/>
        <v>2199.6879577636719</v>
      </c>
      <c r="AH32" s="2">
        <v>2.0436955908962773E-2</v>
      </c>
      <c r="AI32" s="2">
        <f t="shared" si="26"/>
        <v>2199.6880918741226</v>
      </c>
      <c r="AJ32" s="2">
        <v>-6.2072773048384988E-3</v>
      </c>
      <c r="AK32" s="2">
        <f t="shared" si="17"/>
        <v>2199.6880248188972</v>
      </c>
      <c r="AL32" s="2">
        <v>-5.041998621845778E-2</v>
      </c>
      <c r="AM32" s="2">
        <f t="shared" si="18"/>
        <v>-1.0304310352771322E-3</v>
      </c>
      <c r="AN32" s="2">
        <f t="shared" si="19"/>
        <v>3.1297083616410284E-4</v>
      </c>
      <c r="AO32" s="2">
        <f t="shared" si="20"/>
        <v>1.3411045074462891E-4</v>
      </c>
      <c r="AQ32" s="67"/>
      <c r="AR32" s="3">
        <f>0.061225*($AR$9/2)</f>
        <v>0.24490000000000001</v>
      </c>
      <c r="AS32" s="26" t="s">
        <v>8</v>
      </c>
      <c r="AT32"/>
      <c r="AU32"/>
      <c r="AV32"/>
      <c r="AW32"/>
      <c r="AX32"/>
      <c r="AY32" s="2" t="s">
        <v>158</v>
      </c>
      <c r="AZ32" s="2">
        <f>(1+$BH$75)*$AR$3</f>
        <v>9.1061342094537139</v>
      </c>
      <c r="BA32" s="26" t="s">
        <v>10</v>
      </c>
      <c r="BB32"/>
      <c r="BC32" s="2" t="s">
        <v>158</v>
      </c>
      <c r="BD32" s="2">
        <f>(1+$BL$75)*$AR$3</f>
        <v>9.1562080766080332</v>
      </c>
      <c r="BE32" s="26" t="s">
        <v>10</v>
      </c>
      <c r="BF32"/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2.1809063731317423E-2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2.2237058163300797E-2</v>
      </c>
      <c r="BM32" s="2"/>
      <c r="BN32"/>
      <c r="BO32" s="2">
        <v>28</v>
      </c>
      <c r="BP32" s="2">
        <f t="shared" si="21"/>
        <v>0.21163865545686883</v>
      </c>
      <c r="BQ32" s="2">
        <v>1.2860077286541705E-6</v>
      </c>
      <c r="BR32" s="2">
        <f t="shared" si="22"/>
        <v>0.21164132194691027</v>
      </c>
      <c r="BS32" s="2">
        <v>-3.905332756806712E-6</v>
      </c>
      <c r="BT32" s="2">
        <f t="shared" si="7"/>
        <v>0.21163998870188955</v>
      </c>
      <c r="BU32" s="2">
        <v>1.2860077286541705E-6</v>
      </c>
      <c r="BV32" s="2">
        <f t="shared" si="8"/>
        <v>1.6538158781582585E-12</v>
      </c>
      <c r="BW32" s="2">
        <f t="shared" si="9"/>
        <v>-5.0222881082197294E-12</v>
      </c>
      <c r="BX32" s="2">
        <f t="shared" si="10"/>
        <v>2.6664900414363757E-6</v>
      </c>
      <c r="BY32"/>
      <c r="BZ32" s="2">
        <v>28</v>
      </c>
      <c r="CA32" s="2">
        <f t="shared" si="23"/>
        <v>0.1667616280594027</v>
      </c>
      <c r="CB32" s="2">
        <v>9.5017622024351489E-6</v>
      </c>
      <c r="CC32" s="2">
        <f t="shared" si="24"/>
        <v>0.1667616280594027</v>
      </c>
      <c r="CD32" s="2">
        <v>3.8471750636870361E-6</v>
      </c>
      <c r="CE32" s="2">
        <f t="shared" si="11"/>
        <v>0.1667616280594027</v>
      </c>
      <c r="CF32" s="2">
        <v>3.8471750636870361E-6</v>
      </c>
      <c r="CG32" s="2">
        <f t="shared" si="12"/>
        <v>3.6554942606292514E-11</v>
      </c>
      <c r="CH32" s="2">
        <f t="shared" si="13"/>
        <v>1.4800755970655351E-11</v>
      </c>
      <c r="CI32" s="2">
        <f t="shared" si="14"/>
        <v>0</v>
      </c>
    </row>
    <row r="33" spans="2:87" x14ac:dyDescent="0.2">
      <c r="J33" s="19" t="s">
        <v>81</v>
      </c>
      <c r="K33" s="6">
        <f>ROUND(SUM(K14:K17),2)</f>
        <v>519.17999999999995</v>
      </c>
      <c r="L33" s="6" t="s">
        <v>7</v>
      </c>
      <c r="U33" s="2">
        <v>29</v>
      </c>
      <c r="V33" s="2">
        <f t="shared" si="15"/>
        <v>2.0778469741344452E-2</v>
      </c>
      <c r="W33" s="2">
        <f t="shared" si="0"/>
        <v>1.0656852136858852E-9</v>
      </c>
      <c r="X33" s="2">
        <f t="shared" si="16"/>
        <v>2.0778471603989601E-2</v>
      </c>
      <c r="Y33" s="2">
        <f t="shared" si="1"/>
        <v>-8.0005398139793016E-10</v>
      </c>
      <c r="Z33" s="2">
        <f t="shared" si="3"/>
        <v>2.0778470672667027E-2</v>
      </c>
      <c r="AA33" s="2">
        <f t="shared" si="2"/>
        <v>1.3281561961342447E-10</v>
      </c>
      <c r="AB33" s="2">
        <f t="shared" si="4"/>
        <v>1.4153964196855551E-19</v>
      </c>
      <c r="AC33" s="2">
        <f t="shared" si="5"/>
        <v>-1.0625966526355327E-19</v>
      </c>
      <c r="AD33" s="2">
        <f t="shared" si="6"/>
        <v>1.862645149230957E-9</v>
      </c>
      <c r="AF33" s="2">
        <v>29</v>
      </c>
      <c r="AG33" s="2">
        <f t="shared" si="25"/>
        <v>2199.6879577636719</v>
      </c>
      <c r="AH33" s="2">
        <v>2.0436955908962773E-2</v>
      </c>
      <c r="AI33" s="2">
        <f t="shared" si="26"/>
        <v>2199.6880248188972</v>
      </c>
      <c r="AJ33" s="2">
        <v>-6.2174248132578214E-3</v>
      </c>
      <c r="AK33" s="2">
        <f t="shared" si="17"/>
        <v>2199.6879912912846</v>
      </c>
      <c r="AL33" s="2">
        <v>-5.0425059960161889E-2</v>
      </c>
      <c r="AM33" s="2">
        <f t="shared" si="18"/>
        <v>-1.0305347271126327E-3</v>
      </c>
      <c r="AN33" s="2">
        <f t="shared" si="19"/>
        <v>3.13514019006324E-4</v>
      </c>
      <c r="AO33" s="2">
        <f t="shared" si="20"/>
        <v>6.7055225372314453E-5</v>
      </c>
      <c r="AQ33" s="67"/>
      <c r="AR33" s="3">
        <f>0.059175*($AR$9/2)</f>
        <v>0.23669999999999999</v>
      </c>
      <c r="AS33" s="26" t="s">
        <v>8</v>
      </c>
      <c r="AT33"/>
      <c r="AU33"/>
      <c r="AV33"/>
      <c r="AW33"/>
      <c r="AX33"/>
      <c r="AY33" s="2" t="s">
        <v>163</v>
      </c>
      <c r="AZ33" s="2">
        <f>(1-$BH$76)*$AV$5*$AR$25</f>
        <v>123.18743239444326</v>
      </c>
      <c r="BA33" s="26" t="s">
        <v>10</v>
      </c>
      <c r="BB33"/>
      <c r="BC33" s="2" t="s">
        <v>163</v>
      </c>
      <c r="BD33" s="2">
        <f>(1-$BL$76)*$AV$5*$AR$26</f>
        <v>139.36438126564249</v>
      </c>
      <c r="BE33" s="26" t="s">
        <v>10</v>
      </c>
      <c r="BF33"/>
      <c r="BG33" s="2" t="s">
        <v>190</v>
      </c>
      <c r="BH33" s="2">
        <f xml:space="preserve"> BH31*COS(BH23) - BH32*SIN(BH23)</f>
        <v>0.63928936688219284</v>
      </c>
      <c r="BI33" s="2"/>
      <c r="BJ33"/>
      <c r="BK33" s="2" t="s">
        <v>190</v>
      </c>
      <c r="BL33" s="2">
        <f xml:space="preserve"> BL31*COS(BL23) - BL32*SIN(BL23)</f>
        <v>0.62866058865830521</v>
      </c>
      <c r="BM33" s="2"/>
      <c r="BN33"/>
      <c r="BO33" s="2">
        <v>29</v>
      </c>
      <c r="BP33" s="2">
        <f t="shared" si="21"/>
        <v>0.21163998870188955</v>
      </c>
      <c r="BQ33" s="2">
        <v>3.398825848877074E-6</v>
      </c>
      <c r="BR33" s="2">
        <f t="shared" si="22"/>
        <v>0.21164132194691027</v>
      </c>
      <c r="BS33" s="2">
        <v>-3.905332756806712E-6</v>
      </c>
      <c r="BT33" s="2">
        <f t="shared" si="7"/>
        <v>0.21164065532439991</v>
      </c>
      <c r="BU33" s="2">
        <v>1.2860077286541705E-6</v>
      </c>
      <c r="BV33" s="2">
        <f t="shared" si="8"/>
        <v>4.3709163100054886E-12</v>
      </c>
      <c r="BW33" s="2">
        <f t="shared" si="9"/>
        <v>-5.0222881082197294E-12</v>
      </c>
      <c r="BX33" s="2">
        <f t="shared" si="10"/>
        <v>1.3332450207181878E-6</v>
      </c>
      <c r="BY33"/>
      <c r="BZ33" s="2">
        <v>29</v>
      </c>
      <c r="CA33" s="2">
        <f t="shared" si="23"/>
        <v>0.1667616280594027</v>
      </c>
      <c r="CB33" s="2">
        <v>9.5017622024351489E-6</v>
      </c>
      <c r="CC33" s="2">
        <f t="shared" si="24"/>
        <v>0.1667616280594027</v>
      </c>
      <c r="CD33" s="2">
        <v>3.8471750636870361E-6</v>
      </c>
      <c r="CE33" s="2">
        <f t="shared" si="11"/>
        <v>0.1667616280594027</v>
      </c>
      <c r="CF33" s="2">
        <v>3.8471750636870361E-6</v>
      </c>
      <c r="CG33" s="2">
        <f t="shared" si="12"/>
        <v>3.6554942606292514E-11</v>
      </c>
      <c r="CH33" s="2">
        <f t="shared" si="13"/>
        <v>1.4800755970655351E-11</v>
      </c>
      <c r="CI33" s="2">
        <f t="shared" si="14"/>
        <v>0</v>
      </c>
    </row>
    <row r="34" spans="2:87" x14ac:dyDescent="0.2">
      <c r="B34" s="54" t="s">
        <v>2</v>
      </c>
      <c r="C34" s="54"/>
      <c r="D34" s="54"/>
      <c r="J34" s="20" t="s">
        <v>72</v>
      </c>
      <c r="K34" s="6">
        <f>ROUND(SUM(K18:K22),2)</f>
        <v>179.31</v>
      </c>
      <c r="L34" s="6" t="s">
        <v>7</v>
      </c>
      <c r="U34" s="2">
        <v>30</v>
      </c>
      <c r="V34" s="2">
        <f t="shared" si="15"/>
        <v>2.0778470672667027E-2</v>
      </c>
      <c r="W34" s="2">
        <f t="shared" si="0"/>
        <v>1.3281561961342447E-10</v>
      </c>
      <c r="X34" s="2">
        <f t="shared" si="16"/>
        <v>2.0778471603989601E-2</v>
      </c>
      <c r="Y34" s="2">
        <f t="shared" si="1"/>
        <v>-8.0005398139793016E-10</v>
      </c>
      <c r="Z34" s="2">
        <f t="shared" si="3"/>
        <v>2.0778471138328314E-2</v>
      </c>
      <c r="AA34" s="2">
        <f t="shared" si="2"/>
        <v>-3.3361918089225284E-10</v>
      </c>
      <c r="AB34" s="2">
        <f t="shared" si="4"/>
        <v>-4.4309838225127704E-20</v>
      </c>
      <c r="AC34" s="2">
        <f t="shared" si="5"/>
        <v>2.6691335394356315E-19</v>
      </c>
      <c r="AD34" s="2">
        <f>X34-V34</f>
        <v>9.3132257461547852E-10</v>
      </c>
      <c r="AF34" s="2">
        <v>30</v>
      </c>
      <c r="AG34" s="2">
        <f t="shared" si="25"/>
        <v>2199.6879577636719</v>
      </c>
      <c r="AH34" s="2">
        <v>2.0436955908962773E-2</v>
      </c>
      <c r="AI34" s="2">
        <f t="shared" si="26"/>
        <v>2199.6879912912846</v>
      </c>
      <c r="AJ34" s="2">
        <v>-6.222498568604351E-3</v>
      </c>
      <c r="AK34" s="2">
        <f t="shared" si="17"/>
        <v>2199.6879745274782</v>
      </c>
      <c r="AL34" s="2">
        <v>-5.0427596831013943E-2</v>
      </c>
      <c r="AM34" s="2">
        <f t="shared" si="18"/>
        <v>-1.0305865730303829E-3</v>
      </c>
      <c r="AN34" s="2">
        <f t="shared" si="19"/>
        <v>3.1378564909914159E-4</v>
      </c>
      <c r="AO34" s="2">
        <f t="shared" si="20"/>
        <v>3.3527612686157227E-5</v>
      </c>
      <c r="AQ34" s="67"/>
      <c r="AR34" s="3">
        <f>0.057125*($AR$9/2)</f>
        <v>0.22850000000000001</v>
      </c>
      <c r="AS34" s="26" t="s">
        <v>8</v>
      </c>
      <c r="AT34"/>
      <c r="AU34"/>
      <c r="AV34"/>
      <c r="AW34"/>
      <c r="AX34"/>
      <c r="AY34" s="2" t="s">
        <v>167</v>
      </c>
      <c r="AZ34" s="2">
        <f>SQRT(AZ32^2 + AZ33^2)</f>
        <v>123.52354099594179</v>
      </c>
      <c r="BA34" s="26" t="s">
        <v>10</v>
      </c>
      <c r="BB34"/>
      <c r="BC34" s="2" t="s">
        <v>167</v>
      </c>
      <c r="BD34" s="2">
        <f>SQRT(BD32^2 + BD33^2)</f>
        <v>139.66483777922596</v>
      </c>
      <c r="BE34" s="26" t="s">
        <v>10</v>
      </c>
      <c r="BF34"/>
      <c r="BG34" s="2" t="s">
        <v>192</v>
      </c>
      <c r="BH34" s="2">
        <f xml:space="preserve"> BH31*SIN(BH23) + BH32*COS(BH23)</f>
        <v>0.11106174578157255</v>
      </c>
      <c r="BI34" s="2"/>
      <c r="BJ34"/>
      <c r="BK34" s="2" t="s">
        <v>192</v>
      </c>
      <c r="BL34" s="2">
        <f xml:space="preserve"> BL31*SIN(BL23) + BL32*COS(BL23)</f>
        <v>9.6455126670833363E-2</v>
      </c>
      <c r="BM34" s="2"/>
      <c r="BN34"/>
      <c r="BO34" s="2">
        <v>30</v>
      </c>
      <c r="BP34" s="2">
        <f t="shared" si="21"/>
        <v>0.21164065532439991</v>
      </c>
      <c r="BQ34" s="2">
        <v>4.4552320092178244E-6</v>
      </c>
      <c r="BR34" s="2">
        <f t="shared" si="22"/>
        <v>0.21164132194691027</v>
      </c>
      <c r="BS34" s="2">
        <v>-3.905332756806712E-6</v>
      </c>
      <c r="BT34" s="5">
        <f t="shared" si="7"/>
        <v>0.21164098863565509</v>
      </c>
      <c r="BU34" s="2">
        <v>1.2860077286541705E-6</v>
      </c>
      <c r="BV34" s="2">
        <f t="shared" si="8"/>
        <v>5.7294627968015706E-12</v>
      </c>
      <c r="BW34" s="2">
        <f t="shared" si="9"/>
        <v>-5.0222881082197294E-12</v>
      </c>
      <c r="BX34" s="2">
        <f t="shared" si="10"/>
        <v>6.6662251035909392E-7</v>
      </c>
      <c r="BY34"/>
      <c r="BZ34" s="2">
        <v>30</v>
      </c>
      <c r="CA34" s="2">
        <f t="shared" si="23"/>
        <v>0.1667616280594027</v>
      </c>
      <c r="CB34" s="2">
        <v>9.5017622024351489E-6</v>
      </c>
      <c r="CC34" s="2">
        <f t="shared" si="24"/>
        <v>0.1667616280594027</v>
      </c>
      <c r="CD34" s="2">
        <v>3.8471750636870361E-6</v>
      </c>
      <c r="CE34" s="5">
        <f t="shared" si="11"/>
        <v>0.1667616280594027</v>
      </c>
      <c r="CF34" s="2">
        <v>3.8471750636870361E-6</v>
      </c>
      <c r="CG34" s="2">
        <f t="shared" si="12"/>
        <v>3.6554942606292514E-11</v>
      </c>
      <c r="CH34" s="2">
        <f t="shared" si="13"/>
        <v>1.4800755970655351E-11</v>
      </c>
      <c r="CI34" s="2">
        <f t="shared" si="14"/>
        <v>0</v>
      </c>
    </row>
    <row r="35" spans="2:87" x14ac:dyDescent="0.2">
      <c r="B35" s="6" t="s">
        <v>3</v>
      </c>
      <c r="C35" s="17">
        <v>250</v>
      </c>
      <c r="D35" s="6" t="s">
        <v>4</v>
      </c>
      <c r="J35" s="15" t="s">
        <v>73</v>
      </c>
      <c r="K35" s="6">
        <f>ROUND(SUM(K23:K26),2)</f>
        <v>105.82</v>
      </c>
      <c r="L35" s="6" t="s">
        <v>7</v>
      </c>
      <c r="AF35" s="2">
        <v>31</v>
      </c>
      <c r="AG35" s="2">
        <f t="shared" si="25"/>
        <v>2199.6879577636719</v>
      </c>
      <c r="AH35" s="2">
        <v>2.0436955908962773E-2</v>
      </c>
      <c r="AI35" s="2">
        <f t="shared" si="26"/>
        <v>2199.6879745274782</v>
      </c>
      <c r="AJ35" s="2">
        <v>-6.2250354449133738E-3</v>
      </c>
      <c r="AK35" s="2">
        <f t="shared" si="17"/>
        <v>2199.687966145575</v>
      </c>
      <c r="AL35" s="2">
        <v>-5.0428865267576839E-2</v>
      </c>
      <c r="AM35" s="2">
        <f t="shared" si="18"/>
        <v>-1.0306124960124921E-3</v>
      </c>
      <c r="AN35" s="2">
        <f t="shared" si="19"/>
        <v>3.1392147373742677E-4</v>
      </c>
      <c r="AO35" s="2">
        <f t="shared" si="20"/>
        <v>1.6763806343078613E-5</v>
      </c>
      <c r="AQ35" s="67" t="s">
        <v>223</v>
      </c>
      <c r="AR35" s="3">
        <v>6.9</v>
      </c>
      <c r="AS35" s="26" t="s">
        <v>43</v>
      </c>
      <c r="AT35"/>
      <c r="AU35"/>
      <c r="AV35"/>
      <c r="AW35"/>
      <c r="AX35"/>
      <c r="AY35" s="2" t="s">
        <v>170</v>
      </c>
      <c r="AZ35" s="37">
        <f>$AR$45*AZ34*$AR$33/$AR$46</f>
        <v>1750855.3794508406</v>
      </c>
      <c r="BA35" s="26"/>
      <c r="BB35"/>
      <c r="BC35" s="2" t="s">
        <v>170</v>
      </c>
      <c r="BD35" s="37">
        <f>$AR$45*BD34*$AR$34/$AR$46</f>
        <v>1911065.4883879982</v>
      </c>
      <c r="BE35" s="26"/>
      <c r="BF35"/>
      <c r="BG35" s="2" t="s">
        <v>38</v>
      </c>
      <c r="BH35" s="2">
        <f xml:space="preserve"> 4*BH30*SIN(BH23)*SIN(BH23) / (BH27*BH33)</f>
        <v>1.4616003922705028</v>
      </c>
      <c r="BI35" s="2"/>
      <c r="BJ35"/>
      <c r="BK35" s="2" t="s">
        <v>38</v>
      </c>
      <c r="BL35" s="2">
        <f xml:space="preserve"> 4*BL30*SIN(BL23)*SIN(BL23) / (BL27*BL33)</f>
        <v>1.4102504007662602</v>
      </c>
      <c r="BM35" s="2"/>
      <c r="BN35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/>
      <c r="BZ35"/>
      <c r="CA35"/>
      <c r="CB35"/>
      <c r="CC35"/>
      <c r="CD35"/>
      <c r="CE35"/>
      <c r="CF35"/>
      <c r="CG35"/>
      <c r="CH35"/>
      <c r="CI35"/>
    </row>
    <row r="36" spans="2:87" x14ac:dyDescent="0.2">
      <c r="B36" s="6" t="s">
        <v>5</v>
      </c>
      <c r="C36" s="17">
        <v>0.85</v>
      </c>
      <c r="J36" s="10" t="s">
        <v>62</v>
      </c>
      <c r="K36" s="10">
        <f>SUM(K31:K35)</f>
        <v>2199.69</v>
      </c>
      <c r="L36" s="6" t="s">
        <v>7</v>
      </c>
      <c r="AF36" s="2">
        <v>32</v>
      </c>
      <c r="AG36" s="2">
        <f t="shared" si="25"/>
        <v>2199.6879577636719</v>
      </c>
      <c r="AH36" s="2">
        <v>2.0436955908962773E-2</v>
      </c>
      <c r="AI36" s="2">
        <f t="shared" si="26"/>
        <v>2199.687966145575</v>
      </c>
      <c r="AJ36" s="2">
        <v>-6.2263038835226325E-3</v>
      </c>
      <c r="AK36" s="2">
        <f t="shared" si="17"/>
        <v>2199.6879619546235</v>
      </c>
      <c r="AL36" s="2">
        <v>-5.0429499484380358E-2</v>
      </c>
      <c r="AM36" s="2">
        <f t="shared" si="18"/>
        <v>-1.0306254574733423E-3</v>
      </c>
      <c r="AN36" s="2">
        <f t="shared" si="19"/>
        <v>3.1398938848369999E-4</v>
      </c>
      <c r="AO36" s="2">
        <f t="shared" si="20"/>
        <v>8.3819031715393066E-6</v>
      </c>
      <c r="AQ36" s="67"/>
      <c r="AR36" s="3">
        <v>5.58</v>
      </c>
      <c r="AS36" s="26" t="s">
        <v>43</v>
      </c>
      <c r="AT36"/>
      <c r="AU36"/>
      <c r="AV36"/>
      <c r="AW36"/>
      <c r="AX36"/>
      <c r="AY36" s="2" t="s">
        <v>174</v>
      </c>
      <c r="AZ36" s="33">
        <f xml:space="preserve"> $BH$65 * PI() * $AR$45 * AZ34^2 * $BH$71 * $AR$25 * AZ31</f>
        <v>1135.8695943888686</v>
      </c>
      <c r="BA36" s="26" t="s">
        <v>22</v>
      </c>
      <c r="BB36"/>
      <c r="BC36" s="2" t="s">
        <v>174</v>
      </c>
      <c r="BD36" s="33">
        <f xml:space="preserve"> $BL$65 * PI() * $AR$45 * BD34^2 * $BL$71 * $AR$26 * BD31</f>
        <v>1092.6969732008802</v>
      </c>
      <c r="BE36" s="26" t="s">
        <v>22</v>
      </c>
      <c r="BF36"/>
      <c r="BG36" s="2" t="s">
        <v>194</v>
      </c>
      <c r="BH36" s="2">
        <f xml:space="preserve"> 4*BH30*SIN(BH23)*COS(BH23) / (BH27*BH34)</f>
        <v>60.403689296581504</v>
      </c>
      <c r="BI36" s="2"/>
      <c r="BJ36"/>
      <c r="BK36" s="2" t="s">
        <v>194</v>
      </c>
      <c r="BL36" s="2">
        <f xml:space="preserve"> 4*BL30*SIN(BL23)*COS(BL23) / (BL27*BL34)</f>
        <v>78.017961740927618</v>
      </c>
      <c r="BM36" s="2"/>
      <c r="BN36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Y36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6</v>
      </c>
      <c r="C37" s="17">
        <v>0.8</v>
      </c>
      <c r="AF37" s="2">
        <v>33</v>
      </c>
      <c r="AG37" s="2">
        <f t="shared" si="25"/>
        <v>2199.6879577636719</v>
      </c>
      <c r="AH37" s="2">
        <v>2.0436955908962773E-2</v>
      </c>
      <c r="AI37" s="2">
        <f t="shared" si="26"/>
        <v>2199.6879619546235</v>
      </c>
      <c r="AJ37" s="2">
        <v>-6.2269381037367566E-3</v>
      </c>
      <c r="AK37" s="2">
        <f t="shared" si="17"/>
        <v>2199.6879598591477</v>
      </c>
      <c r="AL37" s="2">
        <v>-5.0429816593577925E-2</v>
      </c>
      <c r="AM37" s="2">
        <f t="shared" si="18"/>
        <v>-1.0306319382200313E-3</v>
      </c>
      <c r="AN37" s="2">
        <f t="shared" si="19"/>
        <v>3.1402334651100655E-4</v>
      </c>
      <c r="AO37" s="2">
        <f t="shared" si="20"/>
        <v>4.1909515857696533E-6</v>
      </c>
      <c r="AQ37" s="67"/>
      <c r="AR37" s="3">
        <v>4.26</v>
      </c>
      <c r="AS37" s="26" t="s">
        <v>43</v>
      </c>
      <c r="AT37"/>
      <c r="AU37"/>
      <c r="AV37"/>
      <c r="AW37"/>
      <c r="AX37"/>
      <c r="AY37" s="2" t="s">
        <v>178</v>
      </c>
      <c r="AZ37" s="33">
        <f xml:space="preserve"> $BH$65 * PI() * $AR$45 * AZ34^2 * $BH$72 * $AR$25^2 * AZ31</f>
        <v>524.36604546787851</v>
      </c>
      <c r="BA37" s="26" t="s">
        <v>179</v>
      </c>
      <c r="BB37"/>
      <c r="BC37" s="2" t="s">
        <v>178</v>
      </c>
      <c r="BD37" s="33">
        <f xml:space="preserve"> $BL$65 * PI() * $AR$45 * BD34^2 * $BL$72 * $AR$26^2 * BD31</f>
        <v>673.44477739289994</v>
      </c>
      <c r="BE37" s="26" t="s">
        <v>179</v>
      </c>
      <c r="BF37"/>
      <c r="BG37" s="2" t="s">
        <v>45</v>
      </c>
      <c r="BH37" s="2">
        <f>1/(BH35-1)</f>
        <v>2.1663759752916096</v>
      </c>
      <c r="BI37" s="2"/>
      <c r="BJ37"/>
      <c r="BK37" s="2" t="s">
        <v>45</v>
      </c>
      <c r="BL37" s="2">
        <f>1/(BL35-1)</f>
        <v>2.4375357053453537</v>
      </c>
      <c r="BM37" s="2"/>
      <c r="BN37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Y37"/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J38" s="54" t="s">
        <v>59</v>
      </c>
      <c r="K38" s="54"/>
      <c r="L38" s="54"/>
      <c r="AF38" s="2">
        <v>34</v>
      </c>
      <c r="AG38" s="2">
        <f t="shared" si="25"/>
        <v>2199.6879577636719</v>
      </c>
      <c r="AH38" s="2">
        <v>2.0436955908962773E-2</v>
      </c>
      <c r="AI38" s="2">
        <f t="shared" si="26"/>
        <v>2199.6879598591477</v>
      </c>
      <c r="AJ38" s="2">
        <v>-6.227255213616445E-3</v>
      </c>
      <c r="AK38" s="2">
        <f t="shared" si="17"/>
        <v>2199.6879588114098</v>
      </c>
      <c r="AL38" s="2">
        <v>-5.0429975148745143E-2</v>
      </c>
      <c r="AM38" s="2">
        <f t="shared" si="18"/>
        <v>-1.0306351786049928E-3</v>
      </c>
      <c r="AN38" s="2">
        <f t="shared" si="19"/>
        <v>3.1404032566757095E-4</v>
      </c>
      <c r="AO38" s="2">
        <f t="shared" si="20"/>
        <v>2.0954757928848267E-6</v>
      </c>
      <c r="AQ38" s="67"/>
      <c r="AR38" s="3">
        <v>2.94</v>
      </c>
      <c r="AS38" s="26" t="s">
        <v>43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s="2" t="s">
        <v>197</v>
      </c>
      <c r="BH38" s="2">
        <f>1/(BH36+1)</f>
        <v>1.6285666406296414E-2</v>
      </c>
      <c r="BI38" s="2"/>
      <c r="BJ38"/>
      <c r="BK38" s="2" t="s">
        <v>197</v>
      </c>
      <c r="BL38" s="2">
        <f>1/(BL36+1)</f>
        <v>1.2655350479409376E-2</v>
      </c>
      <c r="BM38" s="2"/>
      <c r="BN38"/>
      <c r="BO38" s="30">
        <v>0</v>
      </c>
      <c r="BP38" s="30"/>
      <c r="BQ38" s="30">
        <f>$BH$39</f>
        <v>3.7175448343029771E-6</v>
      </c>
      <c r="BR38" s="30"/>
      <c r="BS38" s="30">
        <f>$BH$39</f>
        <v>3.7175448343029771E-6</v>
      </c>
      <c r="BT38" s="30"/>
      <c r="BU38" s="30">
        <f>$BH$39</f>
        <v>3.7175448343029771E-6</v>
      </c>
      <c r="BV38" s="30"/>
      <c r="BW38" s="30"/>
      <c r="BX38" s="30"/>
      <c r="BY38"/>
      <c r="BZ38" s="30">
        <v>0</v>
      </c>
      <c r="CA38" s="30"/>
      <c r="CB38" s="30">
        <f>$BL$39</f>
        <v>-4.6429098858186135E-6</v>
      </c>
      <c r="CC38" s="30"/>
      <c r="CD38" s="30">
        <f>$BL$39</f>
        <v>-4.6429098858186135E-6</v>
      </c>
      <c r="CE38" s="30"/>
      <c r="CF38" s="30">
        <f>$BL$39</f>
        <v>-4.6429098858186135E-6</v>
      </c>
      <c r="CG38" s="30"/>
      <c r="CH38" s="30"/>
      <c r="CI38" s="30"/>
    </row>
    <row r="39" spans="2:87" x14ac:dyDescent="0.2">
      <c r="B39" s="54" t="s">
        <v>272</v>
      </c>
      <c r="C39" s="55"/>
      <c r="D39" s="55"/>
      <c r="J39" s="6" t="s">
        <v>60</v>
      </c>
      <c r="K39" s="6">
        <f>ROUND($C$13/$C$5 * 100, 2)</f>
        <v>27.28</v>
      </c>
      <c r="L39" s="6" t="s">
        <v>61</v>
      </c>
      <c r="AF39" s="2">
        <v>35</v>
      </c>
      <c r="AG39" s="2">
        <f t="shared" si="25"/>
        <v>2199.6879577636719</v>
      </c>
      <c r="AH39" s="2">
        <v>2.0436955908962773E-2</v>
      </c>
      <c r="AI39" s="2">
        <f t="shared" si="26"/>
        <v>2199.6879588114098</v>
      </c>
      <c r="AJ39" s="2">
        <v>-6.2274137671920471E-3</v>
      </c>
      <c r="AK39" s="2">
        <f t="shared" si="17"/>
        <v>2199.6879582875408</v>
      </c>
      <c r="AL39" s="2">
        <v>-5.0430054423941328E-2</v>
      </c>
      <c r="AM39" s="2">
        <f t="shared" si="18"/>
        <v>-1.0306367987486819E-3</v>
      </c>
      <c r="AN39" s="2">
        <f t="shared" si="19"/>
        <v>3.1404881519989645E-4</v>
      </c>
      <c r="AO39" s="2">
        <f t="shared" si="20"/>
        <v>1.0477378964424133E-6</v>
      </c>
      <c r="AQ39" s="67"/>
      <c r="AR39" s="3">
        <v>1.62</v>
      </c>
      <c r="AS39" s="26" t="s">
        <v>43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s="7" t="s">
        <v>199</v>
      </c>
      <c r="BH39" s="40">
        <f>SIN(BH23)/(1+BH37) - $AR$3*COS(BH23)/($AV$5*$AR$21*(1-BH38))</f>
        <v>3.7175448343029771E-6</v>
      </c>
      <c r="BI39" s="40"/>
      <c r="BJ39"/>
      <c r="BK39" s="7" t="s">
        <v>199</v>
      </c>
      <c r="BL39" s="40">
        <f>SIN(BL23)/(1+BL37) - $AR$3*COS(BL23)/($AV$5*$AR$22*(1-BL38))</f>
        <v>-4.6429098858186135E-6</v>
      </c>
      <c r="BM39" s="40"/>
      <c r="BN39"/>
      <c r="BO39" s="2">
        <v>1</v>
      </c>
      <c r="BP39" s="3">
        <f>0.01*PI()</f>
        <v>3.1415926535897934E-2</v>
      </c>
      <c r="BQ39" s="2">
        <f t="dataTable" ref="BQ39:BQ68" dt2D="0" dtr="0" r1="BH23" ca="1"/>
        <v>-0.84941958531309925</v>
      </c>
      <c r="BR39" s="3">
        <f>0.9*PI()</f>
        <v>2.8274333882308138</v>
      </c>
      <c r="BS39" s="2">
        <f t="dataTable" ref="BS39:BS68" dt2D="0" dtr="0" r1="BH23" ca="1"/>
        <v>0.40072091803382143</v>
      </c>
      <c r="BT39" s="2">
        <f t="shared" ref="BT39:BT68" si="27">(BP39+BR39)/2</f>
        <v>1.4294246573833558</v>
      </c>
      <c r="BU39" s="2">
        <f t="dataTable" ref="BU39:BU68" dt2D="0" dtr="0" r1="BH23" ca="1"/>
        <v>1.0206128316174226</v>
      </c>
      <c r="BV39" s="2">
        <f t="shared" ref="BV39:BV68" si="28">BQ39*BU39</f>
        <v>-0.86692852819769906</v>
      </c>
      <c r="BW39" s="2">
        <f t="shared" ref="BW39:BW68" si="29">BS39*BU39</f>
        <v>0.40898091084283156</v>
      </c>
      <c r="BX39" s="2">
        <f t="shared" ref="BX39:BX68" si="30">BR39-BP39</f>
        <v>2.7960174616949161</v>
      </c>
      <c r="BY39"/>
      <c r="BZ39" s="2">
        <v>1</v>
      </c>
      <c r="CA39" s="3">
        <f>0.01*PI()</f>
        <v>3.1415926535897934E-2</v>
      </c>
      <c r="CB39" s="2">
        <f t="dataTable" ref="CB39:CB68" dt2D="0" dtr="0" r1="BL23" ca="1"/>
        <v>-0.57847812002805532</v>
      </c>
      <c r="CC39" s="3">
        <f>0.9*PI()</f>
        <v>2.8274333882308138</v>
      </c>
      <c r="CD39" s="2">
        <f t="dataTable" ref="CD39:CD68" dt2D="0" dtr="0" r1="BL23" ca="1"/>
        <v>0.37932251382091858</v>
      </c>
      <c r="CE39" s="2">
        <f t="shared" ref="CE39:CE68" si="31">(CA39+CC39)/2</f>
        <v>1.4294246573833558</v>
      </c>
      <c r="CF39" s="2">
        <f t="dataTable" ref="CF39:CF68" dt2D="0" dtr="0" r1="BL23"/>
        <v>1.015203973671108</v>
      </c>
      <c r="CG39" s="2">
        <f t="shared" ref="CG39:CG68" si="32">CB39*CF39</f>
        <v>-0.58727328613427399</v>
      </c>
      <c r="CH39" s="2">
        <f t="shared" ref="CH39:CH68" si="33">CD39*CF39</f>
        <v>0.38508972333391034</v>
      </c>
      <c r="CI39" s="2">
        <f t="shared" ref="CI39:CI68" si="34">CC39-CA39</f>
        <v>2.7960174616949161</v>
      </c>
    </row>
    <row r="40" spans="2:87" x14ac:dyDescent="0.2">
      <c r="B40" s="6" t="s">
        <v>15</v>
      </c>
      <c r="C40" s="17">
        <v>1.0397562309141399</v>
      </c>
      <c r="D40" s="6" t="s">
        <v>16</v>
      </c>
      <c r="J40" s="11" t="s">
        <v>55</v>
      </c>
      <c r="K40" s="6">
        <f>ROUND(K13/$C$5 * 100, 2)</f>
        <v>36.159999999999997</v>
      </c>
      <c r="L40" s="6" t="s">
        <v>61</v>
      </c>
      <c r="AF40" s="2">
        <v>36</v>
      </c>
      <c r="AG40" s="2">
        <f t="shared" si="25"/>
        <v>2199.6879577636719</v>
      </c>
      <c r="AH40" s="2">
        <v>2.0436955908962773E-2</v>
      </c>
      <c r="AI40" s="2">
        <f t="shared" si="26"/>
        <v>2199.6879582875408</v>
      </c>
      <c r="AJ40" s="2">
        <v>-6.2274930442072218E-3</v>
      </c>
      <c r="AK40" s="2">
        <f t="shared" si="17"/>
        <v>2199.6879580256063</v>
      </c>
      <c r="AL40" s="2">
        <v>-5.0430094062903663E-2</v>
      </c>
      <c r="AM40" s="2">
        <f t="shared" si="18"/>
        <v>-1.0306376088484075E-3</v>
      </c>
      <c r="AN40" s="2">
        <f t="shared" si="19"/>
        <v>3.1405305999544845E-4</v>
      </c>
      <c r="AO40" s="2">
        <f t="shared" si="20"/>
        <v>5.2386894822120667E-7</v>
      </c>
      <c r="AQ40" s="67"/>
      <c r="AR40" s="3">
        <v>0.3</v>
      </c>
      <c r="AS40" s="26" t="s">
        <v>43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s="2">
        <v>2</v>
      </c>
      <c r="BP40" s="2">
        <f t="shared" ref="BP40:BP68" si="35">IF(BV39&gt;0,BT39,BP39)</f>
        <v>3.1415926535897934E-2</v>
      </c>
      <c r="BQ40" s="2">
        <v>-0.84941958531309925</v>
      </c>
      <c r="BR40" s="2">
        <f t="shared" ref="BR40:BR68" si="36">IF(BW39&gt;0,BT39,BR39)</f>
        <v>1.4294246573833558</v>
      </c>
      <c r="BS40" s="2">
        <v>1.0206128316174226</v>
      </c>
      <c r="BT40" s="2">
        <f t="shared" si="27"/>
        <v>0.73042029195962688</v>
      </c>
      <c r="BU40" s="2">
        <v>0.66675961471443379</v>
      </c>
      <c r="BV40" s="2">
        <f t="shared" si="28"/>
        <v>-0.56635867543425622</v>
      </c>
      <c r="BW40" s="2">
        <f t="shared" si="29"/>
        <v>0.68050341838183992</v>
      </c>
      <c r="BX40" s="2">
        <f t="shared" si="30"/>
        <v>1.3980087308474578</v>
      </c>
      <c r="BY40"/>
      <c r="BZ40" s="2">
        <v>2</v>
      </c>
      <c r="CA40" s="2">
        <f t="shared" ref="CA40:CA68" si="37">IF(CG39&gt;0,CE39,CA39)</f>
        <v>3.1415926535897934E-2</v>
      </c>
      <c r="CB40" s="2">
        <v>-0.57847812002805532</v>
      </c>
      <c r="CC40" s="2">
        <f t="shared" ref="CC40:CC68" si="38">IF(CH39&gt;0,CE39,CC39)</f>
        <v>1.4294246573833558</v>
      </c>
      <c r="CD40" s="2">
        <v>1.015203973671108</v>
      </c>
      <c r="CE40" s="2">
        <f t="shared" si="31"/>
        <v>0.73042029195962688</v>
      </c>
      <c r="CF40" s="2">
        <v>0.66724607458993079</v>
      </c>
      <c r="CG40" s="2">
        <f t="shared" si="32"/>
        <v>-0.38598725482488272</v>
      </c>
      <c r="CH40" s="2">
        <f t="shared" si="33"/>
        <v>0.67739086634014634</v>
      </c>
      <c r="CI40" s="2">
        <f t="shared" si="34"/>
        <v>1.3980087308474578</v>
      </c>
    </row>
    <row r="41" spans="2:87" x14ac:dyDescent="0.2">
      <c r="B41" s="6" t="s">
        <v>214</v>
      </c>
      <c r="C41" s="41">
        <v>1.7363179204150701E-5</v>
      </c>
      <c r="D41" s="6" t="s">
        <v>210</v>
      </c>
      <c r="J41" s="19" t="s">
        <v>81</v>
      </c>
      <c r="K41" s="6">
        <f>ROUND(SUM(K14:K17)/$C$5 * 100, 2)</f>
        <v>23.6</v>
      </c>
      <c r="L41" s="6" t="s">
        <v>61</v>
      </c>
      <c r="AF41" s="2">
        <v>37</v>
      </c>
      <c r="AG41" s="2">
        <f t="shared" si="25"/>
        <v>2199.6879577636719</v>
      </c>
      <c r="AH41" s="2">
        <v>2.0436955908962773E-2</v>
      </c>
      <c r="AI41" s="2">
        <f t="shared" si="26"/>
        <v>2199.6879580256063</v>
      </c>
      <c r="AJ41" s="2">
        <v>-6.2275326843064249E-3</v>
      </c>
      <c r="AK41" s="2">
        <f t="shared" si="17"/>
        <v>2199.6879578946391</v>
      </c>
      <c r="AL41" s="2">
        <v>-5.0430113883521699E-2</v>
      </c>
      <c r="AM41" s="2">
        <f t="shared" si="18"/>
        <v>-1.0306380139215043E-3</v>
      </c>
      <c r="AN41" s="2">
        <f t="shared" si="19"/>
        <v>3.140551824829266E-4</v>
      </c>
      <c r="AO41" s="2">
        <f t="shared" si="20"/>
        <v>2.6193447411060333E-7</v>
      </c>
      <c r="AQ41" s="67"/>
      <c r="AR41" s="3">
        <v>-1.02</v>
      </c>
      <c r="AS41" s="26" t="s">
        <v>43</v>
      </c>
      <c r="AT41"/>
      <c r="AU41" s="23" t="s">
        <v>143</v>
      </c>
      <c r="AV41" s="69" t="s">
        <v>218</v>
      </c>
      <c r="AW41" s="69"/>
      <c r="AX41" s="24"/>
      <c r="AY41" s="24"/>
      <c r="AZ41" s="24"/>
      <c r="BA41" s="24"/>
      <c r="BB41" s="24"/>
      <c r="BC41" s="24"/>
      <c r="BD41" s="24"/>
      <c r="BE41" s="25"/>
      <c r="BF41"/>
      <c r="BG41" s="63" t="s">
        <v>200</v>
      </c>
      <c r="BH41" s="63"/>
      <c r="BI41" s="63"/>
      <c r="BJ41" s="2"/>
      <c r="BK41" s="63" t="s">
        <v>201</v>
      </c>
      <c r="BL41" s="63"/>
      <c r="BM41" s="63"/>
      <c r="BN41"/>
      <c r="BO41" s="2">
        <v>3</v>
      </c>
      <c r="BP41" s="2">
        <f t="shared" si="35"/>
        <v>3.1415926535897934E-2</v>
      </c>
      <c r="BQ41" s="2">
        <v>-0.84941958531309925</v>
      </c>
      <c r="BR41" s="2">
        <f t="shared" si="36"/>
        <v>0.73042029195962688</v>
      </c>
      <c r="BS41" s="2">
        <v>0.66675961471443379</v>
      </c>
      <c r="BT41" s="2">
        <f t="shared" si="27"/>
        <v>0.38091810924776243</v>
      </c>
      <c r="BU41" s="2">
        <v>0.38394368244189464</v>
      </c>
      <c r="BV41" s="2">
        <f t="shared" si="28"/>
        <v>-0.32612928352337839</v>
      </c>
      <c r="BW41" s="2">
        <f t="shared" si="29"/>
        <v>0.25599814177699859</v>
      </c>
      <c r="BX41" s="2">
        <f t="shared" si="30"/>
        <v>0.6990043654237289</v>
      </c>
      <c r="BY41"/>
      <c r="BZ41" s="2">
        <v>3</v>
      </c>
      <c r="CA41" s="2">
        <f t="shared" si="37"/>
        <v>3.1415926535897934E-2</v>
      </c>
      <c r="CB41" s="2">
        <v>-0.57847812002805532</v>
      </c>
      <c r="CC41" s="2">
        <f t="shared" si="38"/>
        <v>0.73042029195962688</v>
      </c>
      <c r="CD41" s="2">
        <v>0.66724607458993079</v>
      </c>
      <c r="CE41" s="2">
        <f t="shared" si="31"/>
        <v>0.38091810924776243</v>
      </c>
      <c r="CF41" s="2">
        <v>0.38491267041847521</v>
      </c>
      <c r="CG41" s="2">
        <f t="shared" si="32"/>
        <v>-0.222663557958658</v>
      </c>
      <c r="CH41" s="2">
        <f t="shared" si="33"/>
        <v>0.25683146839665538</v>
      </c>
      <c r="CI41" s="2">
        <f t="shared" si="34"/>
        <v>0.6990043654237289</v>
      </c>
    </row>
    <row r="42" spans="2:87" x14ac:dyDescent="0.2">
      <c r="B42" s="6" t="s">
        <v>132</v>
      </c>
      <c r="C42" s="17">
        <v>333.91694458017901</v>
      </c>
      <c r="D42" s="6" t="s">
        <v>10</v>
      </c>
      <c r="J42" s="20" t="s">
        <v>72</v>
      </c>
      <c r="K42" s="6">
        <f>ROUND(SUM(K18:K22)/$C$5 * 100, 2)</f>
        <v>8.15</v>
      </c>
      <c r="L42" s="6" t="s">
        <v>61</v>
      </c>
      <c r="AF42" s="2">
        <v>38</v>
      </c>
      <c r="AG42" s="2">
        <f t="shared" si="25"/>
        <v>2199.6879577636719</v>
      </c>
      <c r="AH42" s="2">
        <v>2.0436955908962773E-2</v>
      </c>
      <c r="AI42" s="2">
        <f t="shared" si="26"/>
        <v>2199.6879578946391</v>
      </c>
      <c r="AJ42" s="2">
        <v>-6.2275525031054713E-3</v>
      </c>
      <c r="AK42" s="2">
        <f t="shared" si="17"/>
        <v>2199.6879578291555</v>
      </c>
      <c r="AL42" s="2">
        <v>-5.0430123792011727E-2</v>
      </c>
      <c r="AM42" s="2">
        <f t="shared" si="18"/>
        <v>-1.0306382164208781E-3</v>
      </c>
      <c r="AN42" s="2">
        <f t="shared" si="19"/>
        <v>3.140562436528614E-4</v>
      </c>
      <c r="AO42" s="2">
        <f t="shared" si="20"/>
        <v>1.3096723705530167E-7</v>
      </c>
      <c r="AQ42" s="67"/>
      <c r="AR42" s="3">
        <v>-2.34</v>
      </c>
      <c r="AS42" s="26" t="s">
        <v>43</v>
      </c>
      <c r="AT42"/>
      <c r="AU42" s="27"/>
      <c r="AV42" s="70" t="s">
        <v>148</v>
      </c>
      <c r="AW42" s="70"/>
      <c r="AX42" s="70"/>
      <c r="AY42" s="70" t="s">
        <v>149</v>
      </c>
      <c r="AZ42" s="70"/>
      <c r="BA42" s="70"/>
      <c r="BB42" s="70"/>
      <c r="BC42" s="70" t="s">
        <v>150</v>
      </c>
      <c r="BD42" s="70"/>
      <c r="BE42" s="71"/>
      <c r="BF42"/>
      <c r="BG42" s="28" t="s">
        <v>154</v>
      </c>
      <c r="BH42" s="29">
        <f>BT102</f>
        <v>0.10034469410716942</v>
      </c>
      <c r="BI42" s="5" t="s">
        <v>155</v>
      </c>
      <c r="BJ42" s="2"/>
      <c r="BK42" s="28" t="s">
        <v>154</v>
      </c>
      <c r="BL42" s="29">
        <f>CE102</f>
        <v>8.6083555415214313E-2</v>
      </c>
      <c r="BM42" s="5" t="s">
        <v>155</v>
      </c>
      <c r="BN42"/>
      <c r="BO42" s="2">
        <v>4</v>
      </c>
      <c r="BP42" s="2">
        <f t="shared" si="35"/>
        <v>3.1415926535897934E-2</v>
      </c>
      <c r="BQ42" s="2">
        <v>-0.84941958531309925</v>
      </c>
      <c r="BR42" s="2">
        <f t="shared" si="36"/>
        <v>0.38091810924776243</v>
      </c>
      <c r="BS42" s="2">
        <v>0.38394368244189464</v>
      </c>
      <c r="BT42" s="2">
        <f t="shared" si="27"/>
        <v>0.20616701789183017</v>
      </c>
      <c r="BU42" s="2">
        <v>0.14469457825593182</v>
      </c>
      <c r="BV42" s="2">
        <f t="shared" si="28"/>
        <v>-0.12290640865920739</v>
      </c>
      <c r="BW42" s="2">
        <f t="shared" si="29"/>
        <v>5.555456920495936E-2</v>
      </c>
      <c r="BX42" s="2">
        <f t="shared" si="30"/>
        <v>0.34950218271186451</v>
      </c>
      <c r="BY42"/>
      <c r="BZ42" s="2">
        <v>4</v>
      </c>
      <c r="CA42" s="2">
        <f t="shared" si="37"/>
        <v>3.1415926535897934E-2</v>
      </c>
      <c r="CB42" s="2">
        <v>-0.57847812002805532</v>
      </c>
      <c r="CC42" s="2">
        <f t="shared" si="38"/>
        <v>0.38091810924776243</v>
      </c>
      <c r="CD42" s="2">
        <v>0.38491267041847521</v>
      </c>
      <c r="CE42" s="2">
        <f t="shared" si="31"/>
        <v>0.20616701789183017</v>
      </c>
      <c r="CF42" s="2">
        <v>0.17012422958705026</v>
      </c>
      <c r="CG42" s="2">
        <f t="shared" si="32"/>
        <v>-9.8413144502738095E-2</v>
      </c>
      <c r="CH42" s="2">
        <f t="shared" si="33"/>
        <v>6.5482971513237287E-2</v>
      </c>
      <c r="CI42" s="2">
        <f t="shared" si="34"/>
        <v>0.34950218271186451</v>
      </c>
    </row>
    <row r="43" spans="2:87" x14ac:dyDescent="0.2">
      <c r="B43" s="6" t="s">
        <v>17</v>
      </c>
      <c r="C43" s="1">
        <v>9.80149119240094</v>
      </c>
      <c r="D43" s="6" t="s">
        <v>18</v>
      </c>
      <c r="J43" s="15" t="s">
        <v>73</v>
      </c>
      <c r="K43" s="6">
        <f>ROUND(SUM(K23:K26)/$C$5*100, 2)</f>
        <v>4.8099999999999996</v>
      </c>
      <c r="L43" s="6" t="s">
        <v>61</v>
      </c>
      <c r="AF43" s="2">
        <v>39</v>
      </c>
      <c r="AG43" s="2">
        <f t="shared" si="25"/>
        <v>2199.6879577636719</v>
      </c>
      <c r="AH43" s="2">
        <v>2.0436955908962773E-2</v>
      </c>
      <c r="AI43" s="2">
        <f t="shared" si="26"/>
        <v>2199.6879578291555</v>
      </c>
      <c r="AJ43" s="2">
        <v>-6.2275624125049944E-3</v>
      </c>
      <c r="AK43" s="2">
        <f t="shared" si="17"/>
        <v>2199.6879577964137</v>
      </c>
      <c r="AL43" s="2">
        <v>-5.0430128747848357E-2</v>
      </c>
      <c r="AM43" s="2">
        <f t="shared" si="18"/>
        <v>-1.030638317703093E-3</v>
      </c>
      <c r="AN43" s="2">
        <f t="shared" si="19"/>
        <v>3.1405677424788797E-4</v>
      </c>
      <c r="AO43" s="2">
        <f t="shared" si="20"/>
        <v>6.5483618527650833E-8</v>
      </c>
      <c r="AQ43" s="2"/>
      <c r="AR43" s="2"/>
      <c r="AS43" s="26"/>
      <c r="AT43"/>
      <c r="AU43" s="27"/>
      <c r="AV43" s="4" t="s">
        <v>156</v>
      </c>
      <c r="AW43" s="2">
        <v>-180</v>
      </c>
      <c r="AX43" s="2">
        <v>-9.5</v>
      </c>
      <c r="AY43" s="70" t="s">
        <v>156</v>
      </c>
      <c r="AZ43" s="70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F43"/>
      <c r="BG43" s="2" t="s">
        <v>159</v>
      </c>
      <c r="BH43" s="2">
        <f>($AR$39+$AR$5)/180*PI()</f>
        <v>0.16553711255934861</v>
      </c>
      <c r="BI43" s="2" t="s">
        <v>155</v>
      </c>
      <c r="BJ43" s="2"/>
      <c r="BK43" s="2" t="s">
        <v>159</v>
      </c>
      <c r="BL43" s="2">
        <f>($AR$40+$AR$5)/180*PI()</f>
        <v>0.1424987664330235</v>
      </c>
      <c r="BM43" s="2" t="s">
        <v>155</v>
      </c>
      <c r="BN43"/>
      <c r="BO43" s="2">
        <v>5</v>
      </c>
      <c r="BP43" s="2">
        <f t="shared" si="35"/>
        <v>3.1415926535897934E-2</v>
      </c>
      <c r="BQ43" s="2">
        <v>-0.84941958531309925</v>
      </c>
      <c r="BR43" s="2">
        <f t="shared" si="36"/>
        <v>0.20616701789183017</v>
      </c>
      <c r="BS43" s="2">
        <v>0.14469457825593182</v>
      </c>
      <c r="BT43" s="2">
        <f t="shared" si="27"/>
        <v>0.11879147221386405</v>
      </c>
      <c r="BU43" s="2">
        <v>-5.772021824924084E-2</v>
      </c>
      <c r="BV43" s="2">
        <f t="shared" si="28"/>
        <v>4.9028683849451735E-2</v>
      </c>
      <c r="BW43" s="2">
        <f t="shared" si="29"/>
        <v>-8.3518026364142427E-3</v>
      </c>
      <c r="BX43" s="2">
        <f t="shared" si="30"/>
        <v>0.17475109135593225</v>
      </c>
      <c r="BY43"/>
      <c r="BZ43" s="2">
        <v>5</v>
      </c>
      <c r="CA43" s="2">
        <f t="shared" si="37"/>
        <v>3.1415926535897934E-2</v>
      </c>
      <c r="CB43" s="2">
        <v>-0.57847812002805532</v>
      </c>
      <c r="CC43" s="2">
        <f t="shared" si="38"/>
        <v>0.20616701789183017</v>
      </c>
      <c r="CD43" s="2">
        <v>0.17012422958705026</v>
      </c>
      <c r="CE43" s="2">
        <f t="shared" si="31"/>
        <v>0.11879147221386405</v>
      </c>
      <c r="CF43" s="2">
        <v>3.9164539283946184E-3</v>
      </c>
      <c r="CG43" s="2">
        <f t="shared" si="32"/>
        <v>-2.2655829056742109E-3</v>
      </c>
      <c r="CH43" s="2">
        <f t="shared" si="33"/>
        <v>6.6628370728131093E-4</v>
      </c>
      <c r="CI43" s="2">
        <f t="shared" si="34"/>
        <v>0.17475109135593225</v>
      </c>
    </row>
    <row r="44" spans="2:87" x14ac:dyDescent="0.2">
      <c r="J44" s="10" t="s">
        <v>62</v>
      </c>
      <c r="K44" s="10">
        <f>SUM(K39:K43)</f>
        <v>100</v>
      </c>
      <c r="L44" s="10" t="s">
        <v>61</v>
      </c>
      <c r="AF44" s="2">
        <v>40</v>
      </c>
      <c r="AG44" s="2">
        <f t="shared" si="25"/>
        <v>2199.6879577636719</v>
      </c>
      <c r="AH44" s="2">
        <v>2.0436955908962773E-2</v>
      </c>
      <c r="AI44" s="2">
        <f t="shared" si="26"/>
        <v>2199.6879577964137</v>
      </c>
      <c r="AJ44" s="2">
        <v>-6.2275673674321297E-3</v>
      </c>
      <c r="AK44" s="5">
        <f>(AG44+AI44)/2</f>
        <v>2199.6879577800428</v>
      </c>
      <c r="AL44" s="2">
        <v>-5.0430131225766672E-2</v>
      </c>
      <c r="AM44" s="2">
        <f t="shared" si="18"/>
        <v>-1.0306383683442001E-3</v>
      </c>
      <c r="AN44" s="2">
        <f t="shared" si="19"/>
        <v>3.1405703955690459E-4</v>
      </c>
      <c r="AO44" s="2">
        <f t="shared" si="20"/>
        <v>3.2741809263825417E-8</v>
      </c>
      <c r="AQ44" s="61" t="s">
        <v>209</v>
      </c>
      <c r="AR44" s="61"/>
      <c r="AS44" s="61"/>
      <c r="AT44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F44"/>
      <c r="BG44" s="2" t="s">
        <v>28</v>
      </c>
      <c r="BH44" s="2">
        <f>BH43-BH42</f>
        <v>6.5192418452179185E-2</v>
      </c>
      <c r="BI44" s="2" t="s">
        <v>155</v>
      </c>
      <c r="BJ44" s="2"/>
      <c r="BK44" s="2" t="s">
        <v>28</v>
      </c>
      <c r="BL44" s="2">
        <f>BL43-BL42</f>
        <v>5.6415211017809191E-2</v>
      </c>
      <c r="BM44" s="2" t="s">
        <v>155</v>
      </c>
      <c r="BN44"/>
      <c r="BO44" s="2">
        <v>6</v>
      </c>
      <c r="BP44" s="2">
        <f t="shared" si="35"/>
        <v>0.11879147221386405</v>
      </c>
      <c r="BQ44" s="2">
        <v>-5.772021824924084E-2</v>
      </c>
      <c r="BR44" s="2">
        <f t="shared" si="36"/>
        <v>0.20616701789183017</v>
      </c>
      <c r="BS44" s="2">
        <v>0.14469457825593182</v>
      </c>
      <c r="BT44" s="2">
        <f t="shared" si="27"/>
        <v>0.16247924505284711</v>
      </c>
      <c r="BU44" s="2">
        <v>5.8693194948444313E-2</v>
      </c>
      <c r="BV44" s="2">
        <f t="shared" si="28"/>
        <v>-3.3877840221694456E-3</v>
      </c>
      <c r="BW44" s="2">
        <f t="shared" si="29"/>
        <v>8.4925870895583375E-3</v>
      </c>
      <c r="BX44" s="2">
        <f t="shared" si="30"/>
        <v>8.7375545677966127E-2</v>
      </c>
      <c r="BY44"/>
      <c r="BZ44" s="2">
        <v>6</v>
      </c>
      <c r="CA44" s="2">
        <f t="shared" si="37"/>
        <v>3.1415926535897934E-2</v>
      </c>
      <c r="CB44" s="2">
        <v>-0.57847812002805532</v>
      </c>
      <c r="CC44" s="2">
        <f t="shared" si="38"/>
        <v>0.11879147221386405</v>
      </c>
      <c r="CD44" s="2">
        <v>3.9164539283946184E-3</v>
      </c>
      <c r="CE44" s="2">
        <f t="shared" si="31"/>
        <v>7.5103699374880983E-2</v>
      </c>
      <c r="CF44" s="2">
        <v>-0.14609039822234138</v>
      </c>
      <c r="CG44" s="2">
        <f t="shared" si="32"/>
        <v>8.451009891781E-2</v>
      </c>
      <c r="CH44" s="2">
        <f t="shared" si="33"/>
        <v>-5.7215631401862305E-4</v>
      </c>
      <c r="CI44" s="2">
        <f t="shared" si="34"/>
        <v>8.7375545677966113E-2</v>
      </c>
    </row>
    <row r="45" spans="2:87" x14ac:dyDescent="0.2">
      <c r="B45" s="54" t="s">
        <v>273</v>
      </c>
      <c r="C45" s="55"/>
      <c r="D45" s="55"/>
      <c r="AQ45" s="2" t="s">
        <v>19</v>
      </c>
      <c r="AR45" s="2">
        <f>$C$40</f>
        <v>1.0397562309141399</v>
      </c>
      <c r="AS45" s="26" t="s">
        <v>16</v>
      </c>
      <c r="AT45"/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F45"/>
      <c r="BG45" s="2" t="s">
        <v>168</v>
      </c>
      <c r="BH45" s="2">
        <f>BH44/PI()*180</f>
        <v>3.7352504335606578</v>
      </c>
      <c r="BI45" s="2" t="s">
        <v>43</v>
      </c>
      <c r="BJ45" s="2"/>
      <c r="BK45" s="2" t="s">
        <v>168</v>
      </c>
      <c r="BL45" s="2">
        <f>BL44/PI()*180</f>
        <v>3.2323534916604078</v>
      </c>
      <c r="BM45" s="2" t="s">
        <v>43</v>
      </c>
      <c r="BN45"/>
      <c r="BO45" s="2">
        <v>7</v>
      </c>
      <c r="BP45" s="2">
        <f t="shared" si="35"/>
        <v>0.11879147221386405</v>
      </c>
      <c r="BQ45" s="2">
        <v>-5.772021824924084E-2</v>
      </c>
      <c r="BR45" s="2">
        <f t="shared" si="36"/>
        <v>0.16247924505284711</v>
      </c>
      <c r="BS45" s="2">
        <v>5.8693194948444313E-2</v>
      </c>
      <c r="BT45" s="2">
        <f t="shared" si="27"/>
        <v>0.14063535863335558</v>
      </c>
      <c r="BU45" s="2">
        <v>5.9500382230628576E-3</v>
      </c>
      <c r="BV45" s="2">
        <f t="shared" si="28"/>
        <v>-3.4343750482651331E-4</v>
      </c>
      <c r="BW45" s="2">
        <f t="shared" si="29"/>
        <v>3.4922675337692352E-4</v>
      </c>
      <c r="BX45" s="2">
        <f t="shared" si="30"/>
        <v>4.3687772838983063E-2</v>
      </c>
      <c r="BY45"/>
      <c r="BZ45" s="2">
        <v>7</v>
      </c>
      <c r="CA45" s="2">
        <f t="shared" si="37"/>
        <v>7.5103699374880983E-2</v>
      </c>
      <c r="CB45" s="2">
        <v>-0.14609361025633211</v>
      </c>
      <c r="CC45" s="2">
        <f t="shared" si="38"/>
        <v>0.11879147221386405</v>
      </c>
      <c r="CD45" s="2">
        <v>3.9164539283946184E-3</v>
      </c>
      <c r="CE45" s="2">
        <f t="shared" si="31"/>
        <v>9.6947585794372515E-2</v>
      </c>
      <c r="CF45" s="2">
        <v>-5.9466717957509706E-2</v>
      </c>
      <c r="CG45" s="2">
        <f t="shared" si="32"/>
        <v>8.6877075165076485E-3</v>
      </c>
      <c r="CH45" s="2">
        <f t="shared" si="33"/>
        <v>-2.3289866115342369E-4</v>
      </c>
      <c r="CI45" s="2">
        <f t="shared" si="34"/>
        <v>4.3687772838983063E-2</v>
      </c>
    </row>
    <row r="46" spans="2:87" x14ac:dyDescent="0.2">
      <c r="B46" s="6" t="s">
        <v>15</v>
      </c>
      <c r="C46" s="17">
        <v>1.00854450666398</v>
      </c>
      <c r="D46" s="6" t="s">
        <v>16</v>
      </c>
      <c r="AQ46" s="2" t="s">
        <v>31</v>
      </c>
      <c r="AR46" s="37">
        <f>$C$41</f>
        <v>1.7363179204150701E-5</v>
      </c>
      <c r="AS46" s="26" t="s">
        <v>210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s="2" t="s">
        <v>171</v>
      </c>
      <c r="BH46" s="2">
        <f xml:space="preserve"> $AR$8*$AR$31 / (2*PI()*$AR$23)</f>
        <v>4.91245318250716E-2</v>
      </c>
      <c r="BI46" s="2"/>
      <c r="BJ46" s="2"/>
      <c r="BK46" s="2" t="s">
        <v>171</v>
      </c>
      <c r="BL46" s="2">
        <f xml:space="preserve"> $AR$8*$AR$32 / (2*PI()*$AR$24)</f>
        <v>4.0321081617108796E-2</v>
      </c>
      <c r="BM46" s="2"/>
      <c r="BN46"/>
      <c r="BO46" s="2">
        <v>8</v>
      </c>
      <c r="BP46" s="2">
        <f t="shared" si="35"/>
        <v>0.11879147221386405</v>
      </c>
      <c r="BQ46" s="2">
        <v>-5.772021824924084E-2</v>
      </c>
      <c r="BR46" s="2">
        <f t="shared" si="36"/>
        <v>0.14063535863335558</v>
      </c>
      <c r="BS46" s="2">
        <v>5.9500382230628576E-3</v>
      </c>
      <c r="BT46" s="2">
        <f t="shared" si="27"/>
        <v>0.12971341542360981</v>
      </c>
      <c r="BU46" s="2">
        <v>-2.4191853445383851E-2</v>
      </c>
      <c r="BV46" s="2">
        <f t="shared" si="28"/>
        <v>1.3963590607212048E-3</v>
      </c>
      <c r="BW46" s="2">
        <f t="shared" si="29"/>
        <v>-1.4394245268676881E-4</v>
      </c>
      <c r="BX46" s="2">
        <f t="shared" si="30"/>
        <v>2.1843886419491532E-2</v>
      </c>
      <c r="BY46"/>
      <c r="BZ46" s="2">
        <v>8</v>
      </c>
      <c r="CA46" s="2">
        <f t="shared" si="37"/>
        <v>9.6947585794372515E-2</v>
      </c>
      <c r="CB46" s="2">
        <v>-5.9469915921985382E-2</v>
      </c>
      <c r="CC46" s="2">
        <f t="shared" si="38"/>
        <v>0.11879147221386405</v>
      </c>
      <c r="CD46" s="2">
        <v>3.9164539283946184E-3</v>
      </c>
      <c r="CE46" s="2">
        <f t="shared" si="31"/>
        <v>0.10786952900411828</v>
      </c>
      <c r="CF46" s="2">
        <v>-2.5734000849903491E-2</v>
      </c>
      <c r="CG46" s="2">
        <f t="shared" si="32"/>
        <v>1.5303988668800611E-3</v>
      </c>
      <c r="CH46" s="2">
        <f t="shared" si="33"/>
        <v>-1.0078602872191498E-4</v>
      </c>
      <c r="CI46" s="2">
        <f t="shared" si="34"/>
        <v>2.1843886419491532E-2</v>
      </c>
    </row>
    <row r="47" spans="2:87" x14ac:dyDescent="0.2">
      <c r="B47" s="6" t="s">
        <v>214</v>
      </c>
      <c r="C47" s="41">
        <v>1.7265641515845801E-5</v>
      </c>
      <c r="D47" s="6" t="s">
        <v>210</v>
      </c>
      <c r="AF47" s="62" t="s">
        <v>222</v>
      </c>
      <c r="AG47" s="62"/>
      <c r="AH47" s="62"/>
      <c r="AI47" s="62"/>
      <c r="AJ47" s="2"/>
      <c r="AK47" s="2"/>
      <c r="AL47" s="2"/>
      <c r="AM47" s="2"/>
      <c r="AN47" s="2"/>
      <c r="AO47" s="2"/>
      <c r="AT47"/>
      <c r="AU47" s="23" t="s">
        <v>143</v>
      </c>
      <c r="AV47" s="69" t="s">
        <v>218</v>
      </c>
      <c r="AW47" s="69"/>
      <c r="AX47" s="24"/>
      <c r="AY47" s="24"/>
      <c r="AZ47" s="24"/>
      <c r="BA47" s="24"/>
      <c r="BB47" s="24"/>
      <c r="BC47" s="24"/>
      <c r="BD47" s="24"/>
      <c r="BE47" s="27"/>
      <c r="BF47"/>
      <c r="BG47" s="2" t="s">
        <v>175</v>
      </c>
      <c r="BH47" s="2">
        <f>IF(-$AR$8*($AV$3-$AR$23)/(2*$AR$23*SIN(BH42))&gt;500, 1, 2*ACOS(MIN(1, EXP(-$AR$8*($AV$3-$AR$23)/(2*$AR$23*SIN(BH42)))))/PI() )</f>
        <v>0.99994593334904636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0.99914909417002506</v>
      </c>
      <c r="BM47" s="2"/>
      <c r="BN47"/>
      <c r="BO47" s="2">
        <v>9</v>
      </c>
      <c r="BP47" s="2">
        <f t="shared" si="35"/>
        <v>0.12971341542360981</v>
      </c>
      <c r="BQ47" s="2">
        <v>-2.4191853445383851E-2</v>
      </c>
      <c r="BR47" s="2">
        <f t="shared" si="36"/>
        <v>0.14063535863335558</v>
      </c>
      <c r="BS47" s="2">
        <v>5.9500382230628576E-3</v>
      </c>
      <c r="BT47" s="2">
        <f t="shared" si="27"/>
        <v>0.1351743870284827</v>
      </c>
      <c r="BU47" s="2">
        <v>-8.7466507849025266E-3</v>
      </c>
      <c r="BV47" s="2">
        <f t="shared" si="28"/>
        <v>2.1159769392631355E-4</v>
      </c>
      <c r="BW47" s="2">
        <f t="shared" si="29"/>
        <v>-5.2042906493952778E-5</v>
      </c>
      <c r="BX47" s="2">
        <f t="shared" si="30"/>
        <v>1.0921943209745766E-2</v>
      </c>
      <c r="BY47"/>
      <c r="BZ47" s="2">
        <v>9</v>
      </c>
      <c r="CA47" s="2">
        <f t="shared" si="37"/>
        <v>0.10786952900411828</v>
      </c>
      <c r="CB47" s="2">
        <v>-2.5737191634525685E-2</v>
      </c>
      <c r="CC47" s="2">
        <f t="shared" si="38"/>
        <v>0.11879147221386405</v>
      </c>
      <c r="CD47" s="2">
        <v>3.9164539283946184E-3</v>
      </c>
      <c r="CE47" s="2">
        <f t="shared" si="31"/>
        <v>0.11333050060899116</v>
      </c>
      <c r="CF47" s="2">
        <v>-1.0470170903256849E-2</v>
      </c>
      <c r="CG47" s="2">
        <f t="shared" si="32"/>
        <v>2.6947279498335642E-4</v>
      </c>
      <c r="CH47" s="2">
        <f t="shared" si="33"/>
        <v>-4.1005941965023314E-5</v>
      </c>
      <c r="CI47" s="2">
        <f t="shared" si="34"/>
        <v>1.0921943209745766E-2</v>
      </c>
    </row>
    <row r="48" spans="2:87" x14ac:dyDescent="0.2">
      <c r="B48" s="6" t="s">
        <v>132</v>
      </c>
      <c r="C48" s="17">
        <v>332.721752148093</v>
      </c>
      <c r="D48" s="6" t="s">
        <v>10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T48"/>
      <c r="AU48" s="27"/>
      <c r="AV48" s="70" t="s">
        <v>148</v>
      </c>
      <c r="AW48" s="70"/>
      <c r="AX48" s="70"/>
      <c r="AY48" s="70" t="s">
        <v>149</v>
      </c>
      <c r="AZ48" s="70"/>
      <c r="BA48" s="70"/>
      <c r="BB48" s="70" t="s">
        <v>150</v>
      </c>
      <c r="BC48" s="70"/>
      <c r="BD48" s="70"/>
      <c r="BE48" s="49"/>
      <c r="BF48"/>
      <c r="BG48" s="2" t="s">
        <v>180</v>
      </c>
      <c r="BH48" s="2">
        <f>IF(-$AR$8*($AR$23-$AR$10)/(2*$AR$23*SIN(BH42))&gt;500, 1, 2*ACOS(MIN(1, EXP(-$AR$8*($AR$23-$AR$10)/(2*$AR$23*SIN(BH42)))))/PI() )</f>
        <v>0.99999628635222704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0.9999996972508961</v>
      </c>
      <c r="BM48" s="2"/>
      <c r="BN48"/>
      <c r="BO48" s="2">
        <v>10</v>
      </c>
      <c r="BP48" s="2">
        <f t="shared" si="35"/>
        <v>0.1351743870284827</v>
      </c>
      <c r="BQ48" s="2">
        <v>-8.7466507849025266E-3</v>
      </c>
      <c r="BR48" s="2">
        <f t="shared" si="36"/>
        <v>0.14063535863335558</v>
      </c>
      <c r="BS48" s="2">
        <v>5.9500382230628576E-3</v>
      </c>
      <c r="BT48" s="2">
        <f t="shared" si="27"/>
        <v>0.13790487283091912</v>
      </c>
      <c r="BU48" s="2">
        <v>-1.3100351320458753E-3</v>
      </c>
      <c r="BV48" s="2">
        <f t="shared" si="28"/>
        <v>1.1458419815958939E-5</v>
      </c>
      <c r="BW48" s="2">
        <f t="shared" si="29"/>
        <v>-7.7947591092281561E-6</v>
      </c>
      <c r="BX48" s="2">
        <f t="shared" si="30"/>
        <v>5.4609716048728829E-3</v>
      </c>
      <c r="BY48"/>
      <c r="BZ48" s="2">
        <v>10</v>
      </c>
      <c r="CA48" s="2">
        <f t="shared" si="37"/>
        <v>0.11333050060899116</v>
      </c>
      <c r="CB48" s="2">
        <v>-1.0473358024267184E-2</v>
      </c>
      <c r="CC48" s="2">
        <f t="shared" si="38"/>
        <v>0.11879147221386405</v>
      </c>
      <c r="CD48" s="2">
        <v>3.9164539283946184E-3</v>
      </c>
      <c r="CE48" s="2">
        <f t="shared" si="31"/>
        <v>0.11606098641142761</v>
      </c>
      <c r="CF48" s="2">
        <v>-3.1746994589416898E-3</v>
      </c>
      <c r="CG48" s="2">
        <f t="shared" si="32"/>
        <v>3.3249764052943635E-5</v>
      </c>
      <c r="CH48" s="2">
        <f t="shared" si="33"/>
        <v>-1.243356416744445E-5</v>
      </c>
      <c r="CI48" s="2">
        <f t="shared" si="34"/>
        <v>5.4609716048728829E-3</v>
      </c>
    </row>
    <row r="49" spans="2:87" x14ac:dyDescent="0.2">
      <c r="B49" s="6" t="s">
        <v>17</v>
      </c>
      <c r="C49" s="1">
        <v>9.8005536647414697</v>
      </c>
      <c r="D49" s="6" t="s">
        <v>18</v>
      </c>
      <c r="AF49" s="2">
        <v>0</v>
      </c>
      <c r="AG49" s="2"/>
      <c r="AH49" s="2">
        <f>G11</f>
        <v>-0.38398536934710137</v>
      </c>
      <c r="AI49" s="2"/>
      <c r="AJ49" s="2">
        <f>G11</f>
        <v>-0.38398536934710137</v>
      </c>
      <c r="AK49" s="2"/>
      <c r="AL49" s="2">
        <f>G11</f>
        <v>-0.38398536934710137</v>
      </c>
      <c r="AM49" s="2"/>
      <c r="AN49" s="2"/>
      <c r="AO49" s="2"/>
      <c r="AT49"/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" t="s">
        <v>156</v>
      </c>
      <c r="BC49" s="2">
        <v>19.25</v>
      </c>
      <c r="BD49" s="2">
        <v>180</v>
      </c>
      <c r="BE49" s="50"/>
      <c r="BF49"/>
      <c r="BG49" s="2" t="s">
        <v>183</v>
      </c>
      <c r="BH49" s="2">
        <f>IF(BH42=0,1,BH47*BH48)</f>
        <v>0.99994221990205789</v>
      </c>
      <c r="BI49" s="2"/>
      <c r="BJ49" s="2"/>
      <c r="BK49" s="2" t="s">
        <v>183</v>
      </c>
      <c r="BL49" s="2">
        <f>IF(BL42=0,1,BL47*BL48)</f>
        <v>0.9991487916785321</v>
      </c>
      <c r="BM49" s="2"/>
      <c r="BN49"/>
      <c r="BO49" s="2">
        <v>11</v>
      </c>
      <c r="BP49" s="2">
        <f t="shared" si="35"/>
        <v>0.13790487283091912</v>
      </c>
      <c r="BQ49" s="2">
        <v>-1.3100351320458753E-3</v>
      </c>
      <c r="BR49" s="2">
        <f t="shared" si="36"/>
        <v>0.14063535863335558</v>
      </c>
      <c r="BS49" s="2">
        <v>5.9500382230628576E-3</v>
      </c>
      <c r="BT49" s="2">
        <f t="shared" si="27"/>
        <v>0.13927011573213735</v>
      </c>
      <c r="BU49" s="2">
        <v>2.341452396922003E-3</v>
      </c>
      <c r="BV49" s="2">
        <f t="shared" si="28"/>
        <v>-3.0673848999808472E-6</v>
      </c>
      <c r="BW49" s="2">
        <f t="shared" si="29"/>
        <v>1.3931731259168064E-5</v>
      </c>
      <c r="BX49" s="2">
        <f t="shared" si="30"/>
        <v>2.7304858024364553E-3</v>
      </c>
      <c r="BY49"/>
      <c r="BZ49" s="2">
        <v>11</v>
      </c>
      <c r="CA49" s="2">
        <f t="shared" si="37"/>
        <v>0.11606098641142761</v>
      </c>
      <c r="CB49" s="2">
        <v>-3.177884726873078E-3</v>
      </c>
      <c r="CC49" s="2">
        <f t="shared" si="38"/>
        <v>0.11879147221386405</v>
      </c>
      <c r="CD49" s="2">
        <v>3.9164539283946184E-3</v>
      </c>
      <c r="CE49" s="2">
        <f t="shared" si="31"/>
        <v>0.11742622931264582</v>
      </c>
      <c r="CF49" s="2">
        <v>3.9555630340222525E-4</v>
      </c>
      <c r="CG49" s="2">
        <f t="shared" si="32"/>
        <v>-1.2570323352003049E-6</v>
      </c>
      <c r="CH49" s="2">
        <f t="shared" si="33"/>
        <v>1.5491780383608986E-6</v>
      </c>
      <c r="CI49" s="2">
        <f t="shared" si="34"/>
        <v>2.7304858024364415E-3</v>
      </c>
    </row>
    <row r="50" spans="2:87" x14ac:dyDescent="0.2">
      <c r="AF50" s="2">
        <v>1</v>
      </c>
      <c r="AG50" s="3">
        <v>50</v>
      </c>
      <c r="AH50" s="2">
        <f t="dataTable" ref="AH50:AH79" dt2D="0" dtr="0" r1="C6" ca="1"/>
        <v>5232.5435230965741</v>
      </c>
      <c r="AI50" s="3">
        <v>1500</v>
      </c>
      <c r="AJ50" s="2">
        <f t="dataTable" ref="AJ50:AJ79" dt2D="0" dtr="0" r1="C6" ca="1"/>
        <v>-90092.625117928474</v>
      </c>
      <c r="AK50" s="2">
        <f t="shared" ref="AK50:AK79" si="39">(AG50+AI50)/2</f>
        <v>775</v>
      </c>
      <c r="AL50" s="2">
        <f t="dataTable" ref="AL50:AL79" dt2D="0" dtr="0" r1="C6" ca="1"/>
        <v>-20136.251357176225</v>
      </c>
      <c r="AM50" s="2">
        <f t="shared" ref="AM50:AM79" si="40">AH50*AL50</f>
        <v>-105363811.61843705</v>
      </c>
      <c r="AN50" s="2">
        <f t="shared" ref="AN50:AN79" si="41">AJ50*AL50</f>
        <v>1814127744.8024561</v>
      </c>
      <c r="AO50" s="2">
        <f t="shared" ref="AO50:AO79" si="42">AI50-AG50</f>
        <v>1450</v>
      </c>
      <c r="AT50"/>
      <c r="AU50" s="72" t="s">
        <v>160</v>
      </c>
      <c r="AV50" s="51">
        <v>-8.3549000000000003E-12</v>
      </c>
      <c r="AW50" s="24">
        <v>-4.7840743999999998E-9</v>
      </c>
      <c r="AX50" s="25">
        <v>-1.0649366135999999E-6</v>
      </c>
      <c r="AY50" s="51">
        <v>3.7015648000000001E-9</v>
      </c>
      <c r="AZ50" s="24">
        <v>-1.9299895869999999E-7</v>
      </c>
      <c r="BA50" s="25">
        <v>-1.9025591952999999E-6</v>
      </c>
      <c r="BB50" s="2">
        <v>9.9660000000000001E-12</v>
      </c>
      <c r="BC50" s="2">
        <v>-5.5831206999999999E-9</v>
      </c>
      <c r="BD50" s="2">
        <v>1.2239417548000001E-6</v>
      </c>
      <c r="BE50" s="27"/>
      <c r="BF50"/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0.59448028768923278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0.53505303581837271</v>
      </c>
      <c r="BM50" s="2"/>
      <c r="BN50"/>
      <c r="BO50" s="2">
        <v>12</v>
      </c>
      <c r="BP50" s="2">
        <f t="shared" si="35"/>
        <v>0.13790487283091912</v>
      </c>
      <c r="BQ50" s="2">
        <v>-1.3100351320458753E-3</v>
      </c>
      <c r="BR50" s="2">
        <f t="shared" si="36"/>
        <v>0.13927011573213735</v>
      </c>
      <c r="BS50" s="2">
        <v>2.341452396922003E-3</v>
      </c>
      <c r="BT50" s="2">
        <f t="shared" si="27"/>
        <v>0.13858749428152822</v>
      </c>
      <c r="BU50" s="2">
        <v>5.2114659463430024E-4</v>
      </c>
      <c r="BV50" s="2">
        <f t="shared" si="28"/>
        <v>-6.8272034791700375E-7</v>
      </c>
      <c r="BW50" s="2">
        <f t="shared" si="29"/>
        <v>1.2202399431542218E-6</v>
      </c>
      <c r="BX50" s="2">
        <f t="shared" si="30"/>
        <v>1.3652429012182277E-3</v>
      </c>
      <c r="BY50"/>
      <c r="BZ50" s="2">
        <v>12</v>
      </c>
      <c r="CA50" s="2">
        <f t="shared" si="37"/>
        <v>0.11606098641142761</v>
      </c>
      <c r="CB50" s="2">
        <v>-3.177884726873078E-3</v>
      </c>
      <c r="CC50" s="2">
        <f t="shared" si="38"/>
        <v>0.11742622931264582</v>
      </c>
      <c r="CD50" s="2">
        <v>3.9555630340222525E-4</v>
      </c>
      <c r="CE50" s="2">
        <f t="shared" si="31"/>
        <v>0.11674360786203672</v>
      </c>
      <c r="CF50" s="2">
        <v>-1.3832973495553971E-3</v>
      </c>
      <c r="CG50" s="2">
        <f t="shared" si="32"/>
        <v>4.3959595198761058E-6</v>
      </c>
      <c r="CH50" s="2">
        <f t="shared" si="33"/>
        <v>-5.4717198609622871E-7</v>
      </c>
      <c r="CI50" s="2">
        <f t="shared" si="34"/>
        <v>1.3652429012182138E-3</v>
      </c>
    </row>
    <row r="51" spans="2:87" x14ac:dyDescent="0.2">
      <c r="B51" s="54" t="s">
        <v>74</v>
      </c>
      <c r="C51" s="54"/>
      <c r="D51" s="54"/>
      <c r="AF51" s="2">
        <v>2</v>
      </c>
      <c r="AG51" s="2">
        <f t="shared" ref="AG51:AG79" si="43">IF(AM50&gt;0, AK50, AG50)</f>
        <v>50</v>
      </c>
      <c r="AH51" s="2">
        <v>5232.5435230965741</v>
      </c>
      <c r="AI51" s="2">
        <f t="shared" ref="AI51:AI79" si="44">IF(AN50&gt;0, AK50, AI50)</f>
        <v>775</v>
      </c>
      <c r="AJ51" s="2">
        <v>-20136.251357176225</v>
      </c>
      <c r="AK51" s="2">
        <f t="shared" si="39"/>
        <v>412.5</v>
      </c>
      <c r="AL51" s="2">
        <v>-1878.4065569798913</v>
      </c>
      <c r="AM51" s="2">
        <f t="shared" si="40"/>
        <v>-9828844.063467266</v>
      </c>
      <c r="AN51" s="2">
        <f t="shared" si="41"/>
        <v>37824066.582315058</v>
      </c>
      <c r="AO51" s="2">
        <f t="shared" si="42"/>
        <v>725</v>
      </c>
      <c r="AT51"/>
      <c r="AU51" s="72"/>
      <c r="AV51" s="27">
        <v>-1.144044407873E-4</v>
      </c>
      <c r="AW51" s="2">
        <v>-5.9672629119978003E-3</v>
      </c>
      <c r="AX51" s="31">
        <v>-0.147383228322227</v>
      </c>
      <c r="AY51" s="27">
        <v>-7.5438890733199999E-5</v>
      </c>
      <c r="AZ51" s="2">
        <v>3.1904994716390001E-4</v>
      </c>
      <c r="BA51" s="31">
        <v>0.11915386438570399</v>
      </c>
      <c r="BB51" s="2">
        <v>-1.3165317594420001E-4</v>
      </c>
      <c r="BC51" s="2">
        <v>7.1422773315944002E-3</v>
      </c>
      <c r="BD51" s="2">
        <v>-0.19867431185841999</v>
      </c>
      <c r="BE51" s="27"/>
      <c r="BF51"/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2.3698383321220928E-2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2.6057801496101037E-2</v>
      </c>
      <c r="BM51" s="2"/>
      <c r="BN51"/>
      <c r="BO51" s="2">
        <v>13</v>
      </c>
      <c r="BP51" s="2">
        <f t="shared" si="35"/>
        <v>0.13790487283091912</v>
      </c>
      <c r="BQ51" s="2">
        <v>-1.3100351320458753E-3</v>
      </c>
      <c r="BR51" s="2">
        <f t="shared" si="36"/>
        <v>0.13858749428152822</v>
      </c>
      <c r="BS51" s="2">
        <v>5.2114659463430024E-4</v>
      </c>
      <c r="BT51" s="2">
        <f t="shared" si="27"/>
        <v>0.13824618355622367</v>
      </c>
      <c r="BU51" s="2">
        <v>-3.9307521220027092E-4</v>
      </c>
      <c r="BV51" s="2">
        <f t="shared" si="28"/>
        <v>5.1494233751874234E-7</v>
      </c>
      <c r="BW51" s="2">
        <f t="shared" si="29"/>
        <v>-2.0484980827332613E-7</v>
      </c>
      <c r="BX51" s="2">
        <f t="shared" si="30"/>
        <v>6.8262145060909996E-4</v>
      </c>
      <c r="BY51"/>
      <c r="BZ51" s="2">
        <v>13</v>
      </c>
      <c r="CA51" s="2">
        <f t="shared" si="37"/>
        <v>0.11674360786203672</v>
      </c>
      <c r="CB51" s="2">
        <v>-1.3864821518902656E-3</v>
      </c>
      <c r="CC51" s="2">
        <f t="shared" si="38"/>
        <v>0.11742622931264582</v>
      </c>
      <c r="CD51" s="2">
        <v>3.9555630340222525E-4</v>
      </c>
      <c r="CE51" s="2">
        <f t="shared" si="31"/>
        <v>0.11708491858734127</v>
      </c>
      <c r="CF51" s="2">
        <v>-4.923152126996011E-4</v>
      </c>
      <c r="CG51" s="2">
        <f t="shared" si="32"/>
        <v>6.8258625551205677E-7</v>
      </c>
      <c r="CH51" s="2">
        <f t="shared" si="33"/>
        <v>-1.9473838564413446E-7</v>
      </c>
      <c r="CI51" s="2">
        <f t="shared" si="34"/>
        <v>6.8262145060909996E-4</v>
      </c>
    </row>
    <row r="52" spans="2:87" x14ac:dyDescent="0.2">
      <c r="B52" s="6" t="s">
        <v>264</v>
      </c>
      <c r="C52" s="17">
        <v>30</v>
      </c>
      <c r="AF52" s="2">
        <v>3</v>
      </c>
      <c r="AG52" s="2">
        <f t="shared" si="43"/>
        <v>50</v>
      </c>
      <c r="AH52" s="2">
        <v>5232.5435230965741</v>
      </c>
      <c r="AI52" s="2">
        <f t="shared" si="44"/>
        <v>412.5</v>
      </c>
      <c r="AJ52" s="2">
        <v>-1878.4065569798913</v>
      </c>
      <c r="AK52" s="2">
        <f t="shared" si="39"/>
        <v>231.25</v>
      </c>
      <c r="AL52" s="2">
        <v>3070.4303230733244</v>
      </c>
      <c r="AM52" s="2">
        <f t="shared" si="40"/>
        <v>16066160.300116645</v>
      </c>
      <c r="AN52" s="2">
        <f t="shared" si="41"/>
        <v>-5767516.4516108185</v>
      </c>
      <c r="AO52" s="2">
        <f t="shared" si="42"/>
        <v>362.5</v>
      </c>
      <c r="AT52"/>
      <c r="AU52" s="72"/>
      <c r="AV52" s="64">
        <v>-2.2751380819795499</v>
      </c>
      <c r="AW52" s="65"/>
      <c r="AX52" s="66"/>
      <c r="AY52" s="64">
        <v>0.14939144598517301</v>
      </c>
      <c r="AZ52" s="65"/>
      <c r="BA52" s="66"/>
      <c r="BB52" s="67">
        <v>3.3811980767955601</v>
      </c>
      <c r="BC52" s="67"/>
      <c r="BD52" s="68"/>
      <c r="BE52" s="27"/>
      <c r="BF52"/>
      <c r="BG52" s="2" t="s">
        <v>190</v>
      </c>
      <c r="BH52" s="2">
        <f xml:space="preserve"> BH50*COS(BH42) - BH51*SIN(BH42)</f>
        <v>0.58911585171815206</v>
      </c>
      <c r="BI52" s="2"/>
      <c r="BJ52" s="2"/>
      <c r="BK52" s="2" t="s">
        <v>190</v>
      </c>
      <c r="BL52" s="2">
        <f xml:space="preserve"> BL50*COS(BL42) - BL51*SIN(BL42)</f>
        <v>0.53083140819965247</v>
      </c>
      <c r="BM52" s="2"/>
      <c r="BN52"/>
      <c r="BO52" s="2">
        <v>14</v>
      </c>
      <c r="BP52" s="2">
        <f t="shared" si="35"/>
        <v>0.13824618355622367</v>
      </c>
      <c r="BQ52" s="2">
        <v>-3.9307521220027092E-4</v>
      </c>
      <c r="BR52" s="2">
        <f t="shared" si="36"/>
        <v>0.13858749428152822</v>
      </c>
      <c r="BS52" s="2">
        <v>5.2114659463430024E-4</v>
      </c>
      <c r="BT52" s="2">
        <f t="shared" si="27"/>
        <v>0.13841683891887596</v>
      </c>
      <c r="BU52" s="2">
        <v>6.4376752351172351E-5</v>
      </c>
      <c r="BV52" s="2">
        <f t="shared" si="28"/>
        <v>-2.5304905591201363E-8</v>
      </c>
      <c r="BW52" s="2">
        <f t="shared" si="29"/>
        <v>3.354972526142915E-8</v>
      </c>
      <c r="BX52" s="2">
        <f t="shared" si="30"/>
        <v>3.4131072530454998E-4</v>
      </c>
      <c r="BY52"/>
      <c r="BZ52" s="2">
        <v>14</v>
      </c>
      <c r="CA52" s="2">
        <f t="shared" si="37"/>
        <v>0.11708491858734127</v>
      </c>
      <c r="CB52" s="2">
        <v>-4.9549978188081351E-4</v>
      </c>
      <c r="CC52" s="2">
        <f t="shared" si="38"/>
        <v>0.11742622931264582</v>
      </c>
      <c r="CD52" s="2">
        <v>3.9555630340222525E-4</v>
      </c>
      <c r="CE52" s="2">
        <f t="shared" si="31"/>
        <v>0.11725557394999354</v>
      </c>
      <c r="CF52" s="2">
        <v>-4.7992266130690575E-5</v>
      </c>
      <c r="CG52" s="2">
        <f t="shared" si="32"/>
        <v>2.3780157399723135E-8</v>
      </c>
      <c r="CH52" s="2">
        <f t="shared" si="33"/>
        <v>-1.8983643382551782E-8</v>
      </c>
      <c r="CI52" s="2">
        <f t="shared" si="34"/>
        <v>3.4131072530454998E-4</v>
      </c>
    </row>
    <row r="53" spans="2:87" x14ac:dyDescent="0.2">
      <c r="B53" s="6" t="s">
        <v>266</v>
      </c>
      <c r="C53" s="17">
        <v>0.8</v>
      </c>
      <c r="AF53" s="2">
        <v>4</v>
      </c>
      <c r="AG53" s="2">
        <f t="shared" si="43"/>
        <v>231.25</v>
      </c>
      <c r="AH53" s="2">
        <v>3070.4303230733244</v>
      </c>
      <c r="AI53" s="2">
        <f t="shared" si="44"/>
        <v>412.5</v>
      </c>
      <c r="AJ53" s="2">
        <v>-1878.4065569798913</v>
      </c>
      <c r="AK53" s="2">
        <f t="shared" si="39"/>
        <v>321.875</v>
      </c>
      <c r="AL53" s="2">
        <v>944.35234305046288</v>
      </c>
      <c r="AM53" s="2">
        <f t="shared" si="40"/>
        <v>2899568.0697674835</v>
      </c>
      <c r="AN53" s="2">
        <f t="shared" si="41"/>
        <v>-1773877.6332853131</v>
      </c>
      <c r="AO53" s="2">
        <f t="shared" si="42"/>
        <v>181.25</v>
      </c>
      <c r="AT53"/>
      <c r="AU53" s="72" t="s">
        <v>164</v>
      </c>
      <c r="AV53" s="51">
        <v>-1.2341E-12</v>
      </c>
      <c r="AW53" s="24">
        <v>-6.7451029999999997E-10</v>
      </c>
      <c r="AX53" s="25">
        <v>-1.110146934E-7</v>
      </c>
      <c r="AY53" s="2">
        <v>-1.1680000000000001E-12</v>
      </c>
      <c r="AZ53" s="2">
        <v>6.2785870000000004E-10</v>
      </c>
      <c r="BA53" s="2">
        <v>-9.5512221100000005E-8</v>
      </c>
      <c r="BB53" s="51">
        <v>5.9967578999999996E-9</v>
      </c>
      <c r="BC53" s="24">
        <v>-6.3545459699999994E-8</v>
      </c>
      <c r="BD53" s="25">
        <v>-1.1663058908000001E-6</v>
      </c>
      <c r="BE53" s="27"/>
      <c r="BF53"/>
      <c r="BG53" s="2" t="s">
        <v>192</v>
      </c>
      <c r="BH53" s="2">
        <f xml:space="preserve"> BH50*SIN(BH42) + BH51*COS(BH42)</f>
        <v>8.3132058061309008E-2</v>
      </c>
      <c r="BI53" s="2"/>
      <c r="BJ53" s="2"/>
      <c r="BK53" s="2" t="s">
        <v>192</v>
      </c>
      <c r="BL53" s="2">
        <f xml:space="preserve"> BL50*SIN(BL42) + BL51*COS(BL42)</f>
        <v>7.1963714648709348E-2</v>
      </c>
      <c r="BM53" s="2"/>
      <c r="BN53"/>
      <c r="BO53" s="2">
        <v>15</v>
      </c>
      <c r="BP53" s="2">
        <f t="shared" si="35"/>
        <v>0.13824618355622367</v>
      </c>
      <c r="BQ53" s="2">
        <v>-3.9307521220027092E-4</v>
      </c>
      <c r="BR53" s="2">
        <f t="shared" si="36"/>
        <v>0.13841683891887596</v>
      </c>
      <c r="BS53" s="2">
        <v>6.4376752351172351E-5</v>
      </c>
      <c r="BT53" s="2">
        <f t="shared" si="27"/>
        <v>0.13833151123754983</v>
      </c>
      <c r="BU53" s="2">
        <v>-1.6426381472302298E-4</v>
      </c>
      <c r="BV53" s="2">
        <f t="shared" si="28"/>
        <v>6.4568033829078244E-8</v>
      </c>
      <c r="BW53" s="2">
        <f t="shared" si="29"/>
        <v>-1.0574770920682909E-8</v>
      </c>
      <c r="BX53" s="2">
        <f t="shared" si="30"/>
        <v>1.7065536265228887E-4</v>
      </c>
      <c r="BY53"/>
      <c r="BZ53" s="2">
        <v>15</v>
      </c>
      <c r="CA53" s="2">
        <f t="shared" si="37"/>
        <v>0.11725557394999354</v>
      </c>
      <c r="CB53" s="2">
        <v>-5.1176718645733199E-5</v>
      </c>
      <c r="CC53" s="2">
        <f t="shared" si="38"/>
        <v>0.11742622931264582</v>
      </c>
      <c r="CD53" s="2">
        <v>3.9555630340222525E-4</v>
      </c>
      <c r="CE53" s="2">
        <f t="shared" si="31"/>
        <v>0.11734090163131969</v>
      </c>
      <c r="CF53" s="2">
        <v>1.7387861191670712E-4</v>
      </c>
      <c r="CG53" s="2">
        <f t="shared" si="32"/>
        <v>-8.8985368005719511E-9</v>
      </c>
      <c r="CH53" s="2">
        <f t="shared" si="33"/>
        <v>6.8778780970482778E-8</v>
      </c>
      <c r="CI53" s="2">
        <f t="shared" si="34"/>
        <v>1.7065536265227499E-4</v>
      </c>
    </row>
    <row r="54" spans="2:87" x14ac:dyDescent="0.2">
      <c r="B54" s="6" t="s">
        <v>267</v>
      </c>
      <c r="C54" s="17">
        <v>0.8</v>
      </c>
      <c r="AF54" s="2">
        <v>5</v>
      </c>
      <c r="AG54" s="2">
        <f t="shared" si="43"/>
        <v>321.875</v>
      </c>
      <c r="AH54" s="2">
        <v>944.35234305046288</v>
      </c>
      <c r="AI54" s="2">
        <f t="shared" si="44"/>
        <v>412.5</v>
      </c>
      <c r="AJ54" s="2">
        <v>-1878.4065569798913</v>
      </c>
      <c r="AK54" s="2">
        <f t="shared" si="39"/>
        <v>367.1875</v>
      </c>
      <c r="AL54" s="2">
        <v>-379.94199196377758</v>
      </c>
      <c r="AM54" s="2">
        <f t="shared" si="40"/>
        <v>-358799.11033425352</v>
      </c>
      <c r="AN54" s="2">
        <f t="shared" si="41"/>
        <v>713685.52897676104</v>
      </c>
      <c r="AO54" s="2">
        <f t="shared" si="42"/>
        <v>90.625</v>
      </c>
      <c r="AT54"/>
      <c r="AU54" s="72"/>
      <c r="AV54" s="27">
        <v>-3.2678211540000002E-6</v>
      </c>
      <c r="AW54" s="2">
        <v>3.7180150473579998E-4</v>
      </c>
      <c r="AX54" s="31">
        <v>9.4028821535900006E-5</v>
      </c>
      <c r="AY54" s="2">
        <v>5.4952748939999995E-7</v>
      </c>
      <c r="AZ54" s="2">
        <v>6.0855451546649997E-4</v>
      </c>
      <c r="BA54" s="2">
        <v>-8.9360891379086007E-3</v>
      </c>
      <c r="BB54" s="27">
        <v>9.3163166799000006E-6</v>
      </c>
      <c r="BC54" s="2">
        <v>1.3750111154190001E-4</v>
      </c>
      <c r="BD54" s="31">
        <v>-3.8347379998870002E-4</v>
      </c>
      <c r="BE54"/>
      <c r="BF54"/>
      <c r="BG54" s="2" t="s">
        <v>38</v>
      </c>
      <c r="BH54" s="2">
        <f xml:space="preserve"> 4*BH49*SIN(BH42)*SIN(BH42) / (BH46*BH52)</f>
        <v>1.3869680463797864</v>
      </c>
      <c r="BI54" s="2"/>
      <c r="BJ54" s="2"/>
      <c r="BK54" s="2" t="s">
        <v>38</v>
      </c>
      <c r="BL54" s="2">
        <f xml:space="preserve"> 4*BL49*SIN(BL42)*SIN(BL42) / (BL46*BL52)</f>
        <v>1.3802849048983528</v>
      </c>
      <c r="BM54" s="2"/>
      <c r="BN54"/>
      <c r="BO54" s="2">
        <v>16</v>
      </c>
      <c r="BP54" s="2">
        <f t="shared" si="35"/>
        <v>0.13833151123754983</v>
      </c>
      <c r="BQ54" s="2">
        <v>-1.6426381472302298E-4</v>
      </c>
      <c r="BR54" s="2">
        <f t="shared" si="36"/>
        <v>0.13841683891887596</v>
      </c>
      <c r="BS54" s="2">
        <v>6.4376752351172351E-5</v>
      </c>
      <c r="BT54" s="2">
        <f t="shared" si="27"/>
        <v>0.1383741750782129</v>
      </c>
      <c r="BU54" s="2">
        <v>-4.9922196153691367E-5</v>
      </c>
      <c r="BV54" s="2">
        <f t="shared" si="28"/>
        <v>8.2004103795563692E-9</v>
      </c>
      <c r="BW54" s="2">
        <f t="shared" si="29"/>
        <v>-3.2138288586128381E-9</v>
      </c>
      <c r="BX54" s="2">
        <f t="shared" si="30"/>
        <v>8.5327681326130556E-5</v>
      </c>
      <c r="BY54"/>
      <c r="BZ54" s="2">
        <v>16</v>
      </c>
      <c r="CA54" s="2">
        <f t="shared" si="37"/>
        <v>0.11725557394999354</v>
      </c>
      <c r="CB54" s="2">
        <v>-5.1176718645733199E-5</v>
      </c>
      <c r="CC54" s="2">
        <f t="shared" si="38"/>
        <v>0.11734090163131969</v>
      </c>
      <c r="CD54" s="2">
        <v>1.7387861191670712E-4</v>
      </c>
      <c r="CE54" s="2">
        <f t="shared" si="31"/>
        <v>0.11729823779065662</v>
      </c>
      <c r="CF54" s="2">
        <v>6.2967346648332145E-5</v>
      </c>
      <c r="CG54" s="2">
        <f t="shared" si="32"/>
        <v>-3.2224621832900454E-9</v>
      </c>
      <c r="CH54" s="2">
        <f t="shared" si="33"/>
        <v>1.0948674831290113E-8</v>
      </c>
      <c r="CI54" s="2">
        <f t="shared" si="34"/>
        <v>8.5327681326144433E-5</v>
      </c>
    </row>
    <row r="55" spans="2:87" x14ac:dyDescent="0.2">
      <c r="B55" s="6" t="s">
        <v>268</v>
      </c>
      <c r="C55" s="17">
        <v>0.8</v>
      </c>
      <c r="AF55" s="2">
        <v>6</v>
      </c>
      <c r="AG55" s="2">
        <f t="shared" si="43"/>
        <v>321.875</v>
      </c>
      <c r="AH55" s="2">
        <v>944.35234305046288</v>
      </c>
      <c r="AI55" s="2">
        <f t="shared" si="44"/>
        <v>367.1875</v>
      </c>
      <c r="AJ55" s="2">
        <v>-379.94199196377758</v>
      </c>
      <c r="AK55" s="2">
        <f t="shared" si="39"/>
        <v>344.53125</v>
      </c>
      <c r="AL55" s="2">
        <v>303.97645429357726</v>
      </c>
      <c r="AM55" s="2">
        <f t="shared" si="40"/>
        <v>287060.8768443116</v>
      </c>
      <c r="AN55" s="2">
        <f t="shared" si="41"/>
        <v>-115493.41955438793</v>
      </c>
      <c r="AO55" s="2">
        <f t="shared" si="42"/>
        <v>45.3125</v>
      </c>
      <c r="AT55"/>
      <c r="AU55" s="73"/>
      <c r="AV55" s="64">
        <v>-2.92797950805124E-2</v>
      </c>
      <c r="AW55" s="65"/>
      <c r="AX55" s="66"/>
      <c r="AY55" s="65">
        <v>4.8575804011639703E-2</v>
      </c>
      <c r="AZ55" s="65"/>
      <c r="BA55" s="65"/>
      <c r="BB55" s="64">
        <v>7.4720850653456003E-3</v>
      </c>
      <c r="BC55" s="65"/>
      <c r="BD55" s="66"/>
      <c r="BE55"/>
      <c r="BF55"/>
      <c r="BG55" s="2" t="s">
        <v>194</v>
      </c>
      <c r="BH55" s="2">
        <f xml:space="preserve"> 4*BH49*SIN(BH42)*COS(BH42) / (BH46*BH53)</f>
        <v>97.620974576294685</v>
      </c>
      <c r="BI55" s="2"/>
      <c r="BJ55" s="2"/>
      <c r="BK55" s="2" t="s">
        <v>194</v>
      </c>
      <c r="BL55" s="2">
        <f xml:space="preserve"> 4*BL49*SIN(BL42)*COS(BL42) / (BL46*BL53)</f>
        <v>117.98232766625006</v>
      </c>
      <c r="BM55" s="2"/>
      <c r="BN55"/>
      <c r="BO55" s="2">
        <v>17</v>
      </c>
      <c r="BP55" s="2">
        <f t="shared" si="35"/>
        <v>0.1383741750782129</v>
      </c>
      <c r="BQ55" s="2">
        <v>-4.9922196153691367E-5</v>
      </c>
      <c r="BR55" s="2">
        <f t="shared" si="36"/>
        <v>0.13841683891887596</v>
      </c>
      <c r="BS55" s="2">
        <v>6.4376752351172351E-5</v>
      </c>
      <c r="BT55" s="2">
        <f t="shared" si="27"/>
        <v>0.13839550699854442</v>
      </c>
      <c r="BU55" s="2">
        <v>7.2326095132205226E-6</v>
      </c>
      <c r="BV55" s="2">
        <f t="shared" si="28"/>
        <v>-3.6106775082204918E-10</v>
      </c>
      <c r="BW55" s="2">
        <f t="shared" si="29"/>
        <v>4.6561191148533078E-10</v>
      </c>
      <c r="BX55" s="2">
        <f t="shared" si="30"/>
        <v>4.2663840663065278E-5</v>
      </c>
      <c r="BY55"/>
      <c r="BZ55" s="2">
        <v>17</v>
      </c>
      <c r="CA55" s="2">
        <f t="shared" si="37"/>
        <v>0.11725557394999354</v>
      </c>
      <c r="CB55" s="2">
        <v>-5.1176718645733199E-5</v>
      </c>
      <c r="CC55" s="2">
        <f t="shared" si="38"/>
        <v>0.11729823779065662</v>
      </c>
      <c r="CD55" s="2">
        <v>6.2967346648332145E-5</v>
      </c>
      <c r="CE55" s="2">
        <f t="shared" si="31"/>
        <v>0.11727690587032508</v>
      </c>
      <c r="CF55" s="2">
        <v>7.4935868810341311E-6</v>
      </c>
      <c r="CG55" s="2">
        <f t="shared" si="32"/>
        <v>-3.8349718745804111E-10</v>
      </c>
      <c r="CH55" s="2">
        <f t="shared" si="33"/>
        <v>4.7185128277747024E-10</v>
      </c>
      <c r="CI55" s="2">
        <f t="shared" si="34"/>
        <v>4.2663840663079156E-5</v>
      </c>
    </row>
    <row r="56" spans="2:87" x14ac:dyDescent="0.2">
      <c r="AF56" s="2">
        <v>7</v>
      </c>
      <c r="AG56" s="2">
        <f t="shared" si="43"/>
        <v>344.53125</v>
      </c>
      <c r="AH56" s="2">
        <v>303.97645429357726</v>
      </c>
      <c r="AI56" s="2">
        <f t="shared" si="44"/>
        <v>367.1875</v>
      </c>
      <c r="AJ56" s="2">
        <v>-379.94199196377758</v>
      </c>
      <c r="AK56" s="2">
        <f t="shared" si="39"/>
        <v>355.859375</v>
      </c>
      <c r="AL56" s="2">
        <v>-32.539949147541847</v>
      </c>
      <c r="AM56" s="2">
        <f t="shared" si="40"/>
        <v>-9891.3783647630826</v>
      </c>
      <c r="AN56" s="2">
        <f t="shared" si="41"/>
        <v>12363.293097517075</v>
      </c>
      <c r="AO56" s="2">
        <f t="shared" si="42"/>
        <v>22.65625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s="2" t="s">
        <v>45</v>
      </c>
      <c r="BH56" s="2">
        <f>1/(BH54-1)</f>
        <v>2.5841926984807388</v>
      </c>
      <c r="BI56" s="2"/>
      <c r="BJ56" s="2"/>
      <c r="BK56" s="2" t="s">
        <v>45</v>
      </c>
      <c r="BL56" s="2">
        <f>1/(BL54-1)</f>
        <v>2.6296073999237293</v>
      </c>
      <c r="BM56" s="2"/>
      <c r="BN56"/>
      <c r="BO56" s="2">
        <v>18</v>
      </c>
      <c r="BP56" s="2">
        <f t="shared" si="35"/>
        <v>0.1383741750782129</v>
      </c>
      <c r="BQ56" s="2">
        <v>-4.9922196153691367E-5</v>
      </c>
      <c r="BR56" s="2">
        <f t="shared" si="36"/>
        <v>0.13839550699854442</v>
      </c>
      <c r="BS56" s="2">
        <v>7.2326095132205226E-6</v>
      </c>
      <c r="BT56" s="2">
        <f t="shared" si="27"/>
        <v>0.13838484103837867</v>
      </c>
      <c r="BU56" s="2">
        <v>-2.1343460173718631E-5</v>
      </c>
      <c r="BV56" s="2">
        <f t="shared" si="28"/>
        <v>1.0655124053908811E-9</v>
      </c>
      <c r="BW56" s="2">
        <f t="shared" si="29"/>
        <v>-1.5436891309748072E-10</v>
      </c>
      <c r="BX56" s="2">
        <f t="shared" si="30"/>
        <v>2.1331920331518761E-5</v>
      </c>
      <c r="BY56"/>
      <c r="BZ56" s="2">
        <v>18</v>
      </c>
      <c r="CA56" s="2">
        <f t="shared" si="37"/>
        <v>0.11725557394999354</v>
      </c>
      <c r="CB56" s="2">
        <v>-5.1176718645733199E-5</v>
      </c>
      <c r="CC56" s="2">
        <f t="shared" si="38"/>
        <v>0.11727690587032508</v>
      </c>
      <c r="CD56" s="2">
        <v>7.4935868810341311E-6</v>
      </c>
      <c r="CE56" s="2">
        <f t="shared" si="31"/>
        <v>0.1172662399101593</v>
      </c>
      <c r="CF56" s="2">
        <v>-2.0247827571144572E-5</v>
      </c>
      <c r="CG56" s="2">
        <f t="shared" si="32"/>
        <v>1.0362173747957852E-9</v>
      </c>
      <c r="CH56" s="2">
        <f t="shared" si="33"/>
        <v>-1.5172885505657015E-10</v>
      </c>
      <c r="CI56" s="2">
        <f t="shared" si="34"/>
        <v>2.1331920331532639E-5</v>
      </c>
    </row>
    <row r="57" spans="2:87" x14ac:dyDescent="0.2">
      <c r="AF57" s="2">
        <v>8</v>
      </c>
      <c r="AG57" s="2">
        <f t="shared" si="43"/>
        <v>344.53125</v>
      </c>
      <c r="AH57" s="2">
        <v>303.97645429357726</v>
      </c>
      <c r="AI57" s="2">
        <f t="shared" si="44"/>
        <v>355.859375</v>
      </c>
      <c r="AJ57" s="2">
        <v>-32.539949147541847</v>
      </c>
      <c r="AK57" s="2">
        <f t="shared" si="39"/>
        <v>350.1953125</v>
      </c>
      <c r="AL57" s="2">
        <v>137.07895749490763</v>
      </c>
      <c r="AM57" s="2">
        <f t="shared" si="40"/>
        <v>41668.775457562006</v>
      </c>
      <c r="AN57" s="2">
        <f t="shared" si="41"/>
        <v>-4460.5423060823441</v>
      </c>
      <c r="AO57" s="2">
        <f t="shared" si="42"/>
        <v>11.328125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s="2" t="s">
        <v>197</v>
      </c>
      <c r="BH57" s="2">
        <f>1/(BH55+1)</f>
        <v>1.0139830845277085E-2</v>
      </c>
      <c r="BI57" s="2"/>
      <c r="BJ57" s="2"/>
      <c r="BK57" s="2" t="s">
        <v>197</v>
      </c>
      <c r="BL57" s="2">
        <f>1/(BL55+1)</f>
        <v>8.4046094879320059E-3</v>
      </c>
      <c r="BM57" s="2"/>
      <c r="BN57"/>
      <c r="BO57" s="2">
        <v>19</v>
      </c>
      <c r="BP57" s="2">
        <f t="shared" si="35"/>
        <v>0.13838484103837867</v>
      </c>
      <c r="BQ57" s="2">
        <v>-2.1343460173718631E-5</v>
      </c>
      <c r="BR57" s="2">
        <f t="shared" si="36"/>
        <v>0.13839550699854442</v>
      </c>
      <c r="BS57" s="2">
        <v>7.2326095132205226E-6</v>
      </c>
      <c r="BT57" s="2">
        <f t="shared" si="27"/>
        <v>0.13839017401846154</v>
      </c>
      <c r="BU57" s="2">
        <v>-7.0550920802311956E-6</v>
      </c>
      <c r="BV57" s="2">
        <f t="shared" si="28"/>
        <v>1.5058007683633226E-10</v>
      </c>
      <c r="BW57" s="2">
        <f t="shared" si="29"/>
        <v>-5.1026726096126912E-11</v>
      </c>
      <c r="BX57" s="2">
        <f t="shared" si="30"/>
        <v>1.0665960165745503E-5</v>
      </c>
      <c r="BY57"/>
      <c r="BZ57" s="2">
        <v>19</v>
      </c>
      <c r="CA57" s="2">
        <f t="shared" si="37"/>
        <v>0.1172662399101593</v>
      </c>
      <c r="CB57" s="2">
        <v>-2.3432272792577036E-5</v>
      </c>
      <c r="CC57" s="2">
        <f t="shared" si="38"/>
        <v>0.11727690587032508</v>
      </c>
      <c r="CD57" s="2">
        <v>7.4935868810341311E-6</v>
      </c>
      <c r="CE57" s="2">
        <f t="shared" si="31"/>
        <v>0.11727157289024219</v>
      </c>
      <c r="CF57" s="2">
        <v>-6.3767423813670954E-6</v>
      </c>
      <c r="CG57" s="2">
        <f t="shared" si="32"/>
        <v>1.4942156700818109E-10</v>
      </c>
      <c r="CH57" s="2">
        <f t="shared" si="33"/>
        <v>-4.7784673052746811E-11</v>
      </c>
      <c r="CI57" s="2">
        <f t="shared" si="34"/>
        <v>1.0665960165773258E-5</v>
      </c>
    </row>
    <row r="58" spans="2:87" x14ac:dyDescent="0.2">
      <c r="AF58" s="2">
        <v>9</v>
      </c>
      <c r="AG58" s="2">
        <f t="shared" si="43"/>
        <v>350.1953125</v>
      </c>
      <c r="AH58" s="2">
        <v>137.07895749490763</v>
      </c>
      <c r="AI58" s="2">
        <f t="shared" si="44"/>
        <v>355.859375</v>
      </c>
      <c r="AJ58" s="2">
        <v>-32.539949147541847</v>
      </c>
      <c r="AK58" s="2">
        <f t="shared" si="39"/>
        <v>353.02734375</v>
      </c>
      <c r="AL58" s="2">
        <v>52.60968040415446</v>
      </c>
      <c r="AM58" s="2">
        <f t="shared" si="40"/>
        <v>7211.6801439417641</v>
      </c>
      <c r="AN58" s="2">
        <f t="shared" si="41"/>
        <v>-1711.916325019615</v>
      </c>
      <c r="AO58" s="2">
        <f t="shared" si="42"/>
        <v>5.6640625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s="7" t="s">
        <v>199</v>
      </c>
      <c r="BH58" s="40">
        <f>SIN(BH42)/(1+BH56) - $AR$3*COS(BH42)/($AV$5*$AR$23*(1-BH57))</f>
        <v>1.5980321525888019E-5</v>
      </c>
      <c r="BI58" s="40"/>
      <c r="BJ58" s="2"/>
      <c r="BK58" s="7" t="s">
        <v>199</v>
      </c>
      <c r="BL58" s="40">
        <f>SIN(BL42)/(1+BL56) - $AR$3*COS(BL42)/($AV$5*$AR$24*(1-BL57))</f>
        <v>2.3422730223224275E-6</v>
      </c>
      <c r="BM58" s="40"/>
      <c r="BN58"/>
      <c r="BO58" s="2">
        <v>20</v>
      </c>
      <c r="BP58" s="2">
        <f t="shared" si="35"/>
        <v>0.13839017401846154</v>
      </c>
      <c r="BQ58" s="2">
        <v>-7.0550920802311956E-6</v>
      </c>
      <c r="BR58" s="2">
        <f t="shared" si="36"/>
        <v>0.13839550699854442</v>
      </c>
      <c r="BS58" s="2">
        <v>7.2326095132205226E-6</v>
      </c>
      <c r="BT58" s="2">
        <f t="shared" si="27"/>
        <v>0.13839284050850298</v>
      </c>
      <c r="BU58" s="2">
        <v>8.884202445935685E-8</v>
      </c>
      <c r="BV58" s="2">
        <f t="shared" si="28"/>
        <v>-6.2678866315491463E-13</v>
      </c>
      <c r="BW58" s="2">
        <f t="shared" si="29"/>
        <v>6.4255967127851468E-13</v>
      </c>
      <c r="BX58" s="2">
        <f t="shared" si="30"/>
        <v>5.3329800828727514E-6</v>
      </c>
      <c r="BY58"/>
      <c r="BZ58" s="2">
        <v>20</v>
      </c>
      <c r="CA58" s="2">
        <f t="shared" si="37"/>
        <v>0.11727157289024219</v>
      </c>
      <c r="CB58" s="2">
        <v>-9.5611839558973344E-6</v>
      </c>
      <c r="CC58" s="2">
        <f t="shared" si="38"/>
        <v>0.11727690587032508</v>
      </c>
      <c r="CD58" s="2">
        <v>7.4935868810341311E-6</v>
      </c>
      <c r="CE58" s="2">
        <f t="shared" si="31"/>
        <v>0.11727423938028364</v>
      </c>
      <c r="CF58" s="2">
        <v>5.5851673449319739E-7</v>
      </c>
      <c r="CG58" s="2">
        <f t="shared" si="32"/>
        <v>-5.3400812409365298E-12</v>
      </c>
      <c r="CH58" s="2">
        <f t="shared" si="33"/>
        <v>4.1852936744362469E-12</v>
      </c>
      <c r="CI58" s="2">
        <f t="shared" si="34"/>
        <v>5.3329800828866292E-6</v>
      </c>
    </row>
    <row r="59" spans="2:87" x14ac:dyDescent="0.2">
      <c r="AF59" s="2">
        <v>10</v>
      </c>
      <c r="AG59" s="2">
        <f t="shared" si="43"/>
        <v>353.02734375</v>
      </c>
      <c r="AH59" s="2">
        <v>52.60968040415446</v>
      </c>
      <c r="AI59" s="2">
        <f t="shared" si="44"/>
        <v>355.859375</v>
      </c>
      <c r="AJ59" s="2">
        <v>-32.539949147541847</v>
      </c>
      <c r="AK59" s="2">
        <f t="shared" si="39"/>
        <v>354.443359375</v>
      </c>
      <c r="AL59" s="2">
        <v>10.11990968592454</v>
      </c>
      <c r="AM59" s="2">
        <f t="shared" si="40"/>
        <v>532.40521429539717</v>
      </c>
      <c r="AN59" s="2">
        <f t="shared" si="41"/>
        <v>-329.3013465577007</v>
      </c>
      <c r="AO59" s="2">
        <f t="shared" si="42"/>
        <v>2.83203125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s="2"/>
      <c r="BH59" s="2"/>
      <c r="BI59" s="2"/>
      <c r="BJ59" s="2"/>
      <c r="BK59" s="2"/>
      <c r="BL59" s="2"/>
      <c r="BM59" s="2"/>
      <c r="BN59"/>
      <c r="BO59" s="2">
        <v>21</v>
      </c>
      <c r="BP59" s="2">
        <f t="shared" si="35"/>
        <v>0.13839017401846154</v>
      </c>
      <c r="BQ59" s="2">
        <v>-7.0550920802311956E-6</v>
      </c>
      <c r="BR59" s="2">
        <f t="shared" si="36"/>
        <v>0.13839284050850298</v>
      </c>
      <c r="BS59" s="2">
        <v>8.884202445935685E-8</v>
      </c>
      <c r="BT59" s="2">
        <f t="shared" si="27"/>
        <v>0.13839150726348226</v>
      </c>
      <c r="BU59" s="2">
        <v>-3.4831042003274915E-6</v>
      </c>
      <c r="BV59" s="2">
        <f t="shared" si="28"/>
        <v>2.4573620858350498E-11</v>
      </c>
      <c r="BW59" s="2">
        <f t="shared" si="29"/>
        <v>-3.094460285599836E-13</v>
      </c>
      <c r="BX59" s="2">
        <f t="shared" si="30"/>
        <v>2.6664900414363757E-6</v>
      </c>
      <c r="BY59"/>
      <c r="BZ59" s="2">
        <v>21</v>
      </c>
      <c r="CA59" s="2">
        <f t="shared" si="37"/>
        <v>0.11727157289024219</v>
      </c>
      <c r="CB59" s="2">
        <v>-2.6259230165720515E-6</v>
      </c>
      <c r="CC59" s="2">
        <f t="shared" si="38"/>
        <v>0.11727423938028364</v>
      </c>
      <c r="CD59" s="2">
        <v>7.4935868810341311E-6</v>
      </c>
      <c r="CE59" s="2">
        <f t="shared" si="31"/>
        <v>0.11727290613526292</v>
      </c>
      <c r="CF59" s="2">
        <v>4.0260754281887245E-6</v>
      </c>
      <c r="CG59" s="2">
        <f t="shared" si="32"/>
        <v>-1.057216413333595E-11</v>
      </c>
      <c r="CH59" s="2">
        <f t="shared" si="33"/>
        <v>3.0169746010728901E-11</v>
      </c>
      <c r="CI59" s="2">
        <f t="shared" si="34"/>
        <v>2.6664900414502535E-6</v>
      </c>
    </row>
    <row r="60" spans="2:87" x14ac:dyDescent="0.2">
      <c r="AF60" s="2">
        <v>11</v>
      </c>
      <c r="AG60" s="2">
        <f t="shared" si="43"/>
        <v>354.443359375</v>
      </c>
      <c r="AH60" s="2">
        <v>10.11990968592454</v>
      </c>
      <c r="AI60" s="2">
        <f t="shared" si="44"/>
        <v>355.859375</v>
      </c>
      <c r="AJ60" s="2">
        <v>-32.539949147541847</v>
      </c>
      <c r="AK60" s="2">
        <f t="shared" si="39"/>
        <v>355.1513671875</v>
      </c>
      <c r="AL60" s="2">
        <v>-11.188758716403754</v>
      </c>
      <c r="AM60" s="2">
        <f t="shared" si="40"/>
        <v>-113.22922770760698</v>
      </c>
      <c r="AN60" s="2">
        <f t="shared" si="41"/>
        <v>364.08163965589375</v>
      </c>
      <c r="AO60" s="2">
        <f t="shared" si="42"/>
        <v>1.416015625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s="63" t="s">
        <v>206</v>
      </c>
      <c r="BH60" s="63"/>
      <c r="BI60" s="63"/>
      <c r="BJ60" s="2"/>
      <c r="BK60" s="63" t="s">
        <v>220</v>
      </c>
      <c r="BL60" s="63"/>
      <c r="BM60" s="63"/>
      <c r="BN60"/>
      <c r="BO60" s="2">
        <v>22</v>
      </c>
      <c r="BP60" s="2">
        <f t="shared" si="35"/>
        <v>0.13839150726348226</v>
      </c>
      <c r="BQ60" s="2">
        <v>-3.4831042003274915E-6</v>
      </c>
      <c r="BR60" s="2">
        <f t="shared" si="36"/>
        <v>0.13839284050850298</v>
      </c>
      <c r="BS60" s="2">
        <v>8.884202445935685E-8</v>
      </c>
      <c r="BT60" s="2">
        <f t="shared" si="27"/>
        <v>0.13839217388599262</v>
      </c>
      <c r="BU60" s="2">
        <v>-1.697125881106043E-6</v>
      </c>
      <c r="BV60" s="2">
        <f t="shared" si="28"/>
        <v>5.9112662849649531E-12</v>
      </c>
      <c r="BW60" s="2">
        <f t="shared" si="29"/>
        <v>-1.5077609903983063E-13</v>
      </c>
      <c r="BX60" s="2">
        <f t="shared" si="30"/>
        <v>1.3332450207181878E-6</v>
      </c>
      <c r="BY60"/>
      <c r="BZ60" s="2">
        <v>22</v>
      </c>
      <c r="CA60" s="2">
        <f t="shared" si="37"/>
        <v>0.11727157289024219</v>
      </c>
      <c r="CB60" s="2">
        <v>8.4163658886637904E-7</v>
      </c>
      <c r="CC60" s="2">
        <f t="shared" si="38"/>
        <v>0.11727290613526292</v>
      </c>
      <c r="CD60" s="2">
        <v>7.4935868810341311E-6</v>
      </c>
      <c r="CE60" s="2">
        <f t="shared" si="31"/>
        <v>0.11727223951275256</v>
      </c>
      <c r="CF60" s="2">
        <v>5.7598370595685067E-6</v>
      </c>
      <c r="CG60" s="2">
        <f t="shared" si="32"/>
        <v>4.847689615241393E-12</v>
      </c>
      <c r="CH60" s="2">
        <f t="shared" si="33"/>
        <v>4.3161839426476764E-11</v>
      </c>
      <c r="CI60" s="2">
        <f t="shared" si="34"/>
        <v>1.3332450207320656E-6</v>
      </c>
    </row>
    <row r="61" spans="2:87" x14ac:dyDescent="0.2">
      <c r="AF61" s="2">
        <v>12</v>
      </c>
      <c r="AG61" s="2">
        <f t="shared" si="43"/>
        <v>354.443359375</v>
      </c>
      <c r="AH61" s="2">
        <v>10.11990968592454</v>
      </c>
      <c r="AI61" s="2">
        <f t="shared" si="44"/>
        <v>355.1513671875</v>
      </c>
      <c r="AJ61" s="2">
        <v>-11.188758716403754</v>
      </c>
      <c r="AK61" s="2">
        <f t="shared" si="39"/>
        <v>354.79736328125</v>
      </c>
      <c r="AL61" s="2">
        <v>-0.52910926163804106</v>
      </c>
      <c r="AM61" s="2">
        <f t="shared" si="40"/>
        <v>-5.3545379417631933</v>
      </c>
      <c r="AN61" s="2">
        <f t="shared" si="41"/>
        <v>5.9200758630825865</v>
      </c>
      <c r="AO61" s="2">
        <f t="shared" si="42"/>
        <v>0.7080078125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s="28" t="s">
        <v>154</v>
      </c>
      <c r="BH61" s="29">
        <f>BT136</f>
        <v>7.3815784684864549E-2</v>
      </c>
      <c r="BI61" s="5" t="s">
        <v>155</v>
      </c>
      <c r="BJ61" s="2"/>
      <c r="BK61" s="28" t="s">
        <v>154</v>
      </c>
      <c r="BL61" s="29">
        <f>CE136</f>
        <v>6.5611473166449941E-2</v>
      </c>
      <c r="BM61" s="5" t="s">
        <v>155</v>
      </c>
      <c r="BN61"/>
      <c r="BO61" s="2">
        <v>23</v>
      </c>
      <c r="BP61" s="2">
        <f t="shared" si="35"/>
        <v>0.13839217388599262</v>
      </c>
      <c r="BQ61" s="2">
        <v>-1.697125881106043E-6</v>
      </c>
      <c r="BR61" s="2">
        <f t="shared" si="36"/>
        <v>0.13839284050850298</v>
      </c>
      <c r="BS61" s="2">
        <v>8.884202445935685E-8</v>
      </c>
      <c r="BT61" s="2">
        <f t="shared" si="27"/>
        <v>0.1383925071972478</v>
      </c>
      <c r="BU61" s="2">
        <v>-2.5901137390565987E-6</v>
      </c>
      <c r="BV61" s="2">
        <f t="shared" si="28"/>
        <v>4.3957490615612974E-12</v>
      </c>
      <c r="BW61" s="2">
        <f t="shared" si="29"/>
        <v>-2.3011094815778255E-13</v>
      </c>
      <c r="BX61" s="2">
        <f t="shared" si="30"/>
        <v>6.6662251035909392E-7</v>
      </c>
      <c r="BY61"/>
      <c r="BZ61" s="2">
        <v>23</v>
      </c>
      <c r="CA61" s="2">
        <f t="shared" si="37"/>
        <v>0.11727223951275256</v>
      </c>
      <c r="CB61" s="2">
        <v>2.575398676110674E-6</v>
      </c>
      <c r="CC61" s="2">
        <f t="shared" si="38"/>
        <v>0.11727223951275256</v>
      </c>
      <c r="CD61" s="2">
        <v>7.4935868810341311E-6</v>
      </c>
      <c r="CE61" s="2">
        <f t="shared" si="31"/>
        <v>0.11727223951275256</v>
      </c>
      <c r="CF61" s="2">
        <v>5.7598370595685067E-6</v>
      </c>
      <c r="CG61" s="2">
        <f t="shared" si="32"/>
        <v>1.483387673782593E-11</v>
      </c>
      <c r="CH61" s="2">
        <f t="shared" si="33"/>
        <v>4.3161839426476764E-11</v>
      </c>
      <c r="CI61" s="2">
        <f t="shared" si="34"/>
        <v>0</v>
      </c>
    </row>
    <row r="62" spans="2:87" x14ac:dyDescent="0.2">
      <c r="AF62" s="2">
        <v>13</v>
      </c>
      <c r="AG62" s="2">
        <f t="shared" si="43"/>
        <v>354.443359375</v>
      </c>
      <c r="AH62" s="2">
        <v>10.11990968592454</v>
      </c>
      <c r="AI62" s="2">
        <f t="shared" si="44"/>
        <v>354.79736328125</v>
      </c>
      <c r="AJ62" s="2">
        <v>-0.52910926163804106</v>
      </c>
      <c r="AK62" s="2">
        <f t="shared" si="39"/>
        <v>354.620361328125</v>
      </c>
      <c r="AL62" s="2">
        <v>4.7967290255446642</v>
      </c>
      <c r="AM62" s="2">
        <f t="shared" si="40"/>
        <v>48.542464526364824</v>
      </c>
      <c r="AN62" s="2">
        <f t="shared" si="41"/>
        <v>-2.5379937529836973</v>
      </c>
      <c r="AO62" s="2">
        <f t="shared" si="42"/>
        <v>0.35400390625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s="2" t="s">
        <v>159</v>
      </c>
      <c r="BH62" s="2">
        <f>($AR$41+$AR$5)/180*PI()</f>
        <v>0.11946042030669834</v>
      </c>
      <c r="BI62" s="2" t="s">
        <v>155</v>
      </c>
      <c r="BJ62" s="2"/>
      <c r="BK62" s="2" t="s">
        <v>159</v>
      </c>
      <c r="BL62" s="2">
        <f>($AR$42+$AR$5)/180*PI()</f>
        <v>9.6422074180373185E-2</v>
      </c>
      <c r="BM62" s="2" t="s">
        <v>155</v>
      </c>
      <c r="BN62"/>
      <c r="BO62" s="2">
        <v>24</v>
      </c>
      <c r="BP62" s="2">
        <f t="shared" si="35"/>
        <v>0.1383925071972478</v>
      </c>
      <c r="BQ62" s="2">
        <v>-8.0414062663541896E-7</v>
      </c>
      <c r="BR62" s="2">
        <f t="shared" si="36"/>
        <v>0.13839284050850298</v>
      </c>
      <c r="BS62" s="2">
        <v>-8.0414062663541896E-7</v>
      </c>
      <c r="BT62" s="2">
        <f t="shared" si="27"/>
        <v>0.1383926738528754</v>
      </c>
      <c r="BU62" s="2">
        <v>-2.5901137390565987E-6</v>
      </c>
      <c r="BV62" s="2">
        <f t="shared" si="28"/>
        <v>2.0828156851819812E-12</v>
      </c>
      <c r="BW62" s="2">
        <f t="shared" si="29"/>
        <v>2.0828156851819812E-12</v>
      </c>
      <c r="BX62" s="2">
        <f t="shared" si="30"/>
        <v>3.3331125517954696E-7</v>
      </c>
      <c r="BY62"/>
      <c r="BZ62" s="2">
        <v>24</v>
      </c>
      <c r="CA62" s="2">
        <f t="shared" si="37"/>
        <v>0.11727223951275256</v>
      </c>
      <c r="CB62" s="2">
        <v>3.4422752910601151E-6</v>
      </c>
      <c r="CC62" s="2">
        <f t="shared" si="38"/>
        <v>0.11727223951275256</v>
      </c>
      <c r="CD62" s="2">
        <v>7.4935868810341311E-6</v>
      </c>
      <c r="CE62" s="2">
        <f t="shared" si="31"/>
        <v>0.11727223951275256</v>
      </c>
      <c r="CF62" s="2">
        <v>5.7598370595685067E-6</v>
      </c>
      <c r="CG62" s="2">
        <f t="shared" si="32"/>
        <v>1.9826944790685017E-11</v>
      </c>
      <c r="CH62" s="2">
        <f t="shared" si="33"/>
        <v>4.3161839426476764E-11</v>
      </c>
      <c r="CI62" s="2">
        <f t="shared" si="34"/>
        <v>0</v>
      </c>
    </row>
    <row r="63" spans="2:87" x14ac:dyDescent="0.2">
      <c r="AF63" s="2">
        <v>14</v>
      </c>
      <c r="AG63" s="2">
        <f t="shared" si="43"/>
        <v>354.620361328125</v>
      </c>
      <c r="AH63" s="2">
        <v>4.7967290255446642</v>
      </c>
      <c r="AI63" s="2">
        <f t="shared" si="44"/>
        <v>354.79736328125</v>
      </c>
      <c r="AJ63" s="2">
        <v>-0.52910926163804106</v>
      </c>
      <c r="AK63" s="2">
        <f t="shared" si="39"/>
        <v>354.7088623046875</v>
      </c>
      <c r="AL63" s="2">
        <v>2.1341420853032105</v>
      </c>
      <c r="AM63" s="2">
        <f t="shared" si="40"/>
        <v>10.236901285210326</v>
      </c>
      <c r="AN63" s="2">
        <f t="shared" si="41"/>
        <v>-1.129194342985451</v>
      </c>
      <c r="AO63" s="2">
        <f t="shared" si="42"/>
        <v>0.177001953125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s="2" t="s">
        <v>28</v>
      </c>
      <c r="BH63" s="2">
        <f>BH62-BH61</f>
        <v>4.5644635621833796E-2</v>
      </c>
      <c r="BI63" s="2" t="s">
        <v>155</v>
      </c>
      <c r="BJ63" s="2"/>
      <c r="BK63" s="2" t="s">
        <v>28</v>
      </c>
      <c r="BL63" s="2">
        <f>BL62-BL61</f>
        <v>3.0810601013923244E-2</v>
      </c>
      <c r="BM63" s="2" t="s">
        <v>155</v>
      </c>
      <c r="BN63"/>
      <c r="BO63" s="2">
        <v>25</v>
      </c>
      <c r="BP63" s="2">
        <f t="shared" si="35"/>
        <v>0.1383926738528754</v>
      </c>
      <c r="BQ63" s="2">
        <v>-8.0414062663541896E-7</v>
      </c>
      <c r="BR63" s="2">
        <f t="shared" si="36"/>
        <v>0.1383926738528754</v>
      </c>
      <c r="BS63" s="2">
        <v>-8.0414062663541896E-7</v>
      </c>
      <c r="BT63" s="2">
        <f t="shared" si="27"/>
        <v>0.1383926738528754</v>
      </c>
      <c r="BU63" s="2">
        <v>-2.5901137390565987E-6</v>
      </c>
      <c r="BV63" s="2">
        <f t="shared" si="28"/>
        <v>2.0828156851819812E-12</v>
      </c>
      <c r="BW63" s="2">
        <f t="shared" si="29"/>
        <v>2.0828156851819812E-12</v>
      </c>
      <c r="BX63" s="2">
        <f t="shared" si="30"/>
        <v>0</v>
      </c>
      <c r="BY63"/>
      <c r="BZ63" s="2">
        <v>25</v>
      </c>
      <c r="CA63" s="2">
        <f t="shared" si="37"/>
        <v>0.11727223951275256</v>
      </c>
      <c r="CB63" s="2">
        <v>3.8757124912816576E-6</v>
      </c>
      <c r="CC63" s="2">
        <f t="shared" si="38"/>
        <v>0.11727223951275256</v>
      </c>
      <c r="CD63" s="2">
        <v>7.4935868810341311E-6</v>
      </c>
      <c r="CE63" s="2">
        <f t="shared" si="31"/>
        <v>0.11727223951275256</v>
      </c>
      <c r="CF63" s="2">
        <v>5.7598370595685067E-6</v>
      </c>
      <c r="CG63" s="2">
        <f t="shared" si="32"/>
        <v>2.2323472439516675E-11</v>
      </c>
      <c r="CH63" s="2">
        <f t="shared" si="33"/>
        <v>4.3161839426476764E-11</v>
      </c>
      <c r="CI63" s="2">
        <f t="shared" si="34"/>
        <v>0</v>
      </c>
    </row>
    <row r="64" spans="2:87" x14ac:dyDescent="0.2">
      <c r="AF64" s="2">
        <v>15</v>
      </c>
      <c r="AG64" s="2">
        <f t="shared" si="43"/>
        <v>354.7088623046875</v>
      </c>
      <c r="AH64" s="2">
        <v>2.1341420853032105</v>
      </c>
      <c r="AI64" s="2">
        <f t="shared" si="44"/>
        <v>354.79736328125</v>
      </c>
      <c r="AJ64" s="2">
        <v>-0.52910926163804106</v>
      </c>
      <c r="AK64" s="2">
        <f t="shared" si="39"/>
        <v>354.75311279296875</v>
      </c>
      <c r="AL64" s="2">
        <v>0.8025994626677857</v>
      </c>
      <c r="AM64" s="2">
        <f t="shared" si="40"/>
        <v>1.7128612909210643</v>
      </c>
      <c r="AN64" s="2">
        <f t="shared" si="41"/>
        <v>-0.42466280908324061</v>
      </c>
      <c r="AO64" s="2">
        <f t="shared" si="42"/>
        <v>8.85009765625E-2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s="2" t="s">
        <v>168</v>
      </c>
      <c r="BH64" s="2">
        <f>BH63/PI()*180</f>
        <v>2.6152449785435725</v>
      </c>
      <c r="BI64" s="2" t="s">
        <v>43</v>
      </c>
      <c r="BJ64" s="2"/>
      <c r="BK64" s="2" t="s">
        <v>168</v>
      </c>
      <c r="BL64" s="2">
        <f>BL63/PI()*180</f>
        <v>1.7653174023592968</v>
      </c>
      <c r="BM64" s="2" t="s">
        <v>43</v>
      </c>
      <c r="BN64"/>
      <c r="BO64" s="2">
        <v>26</v>
      </c>
      <c r="BP64" s="2">
        <f t="shared" si="35"/>
        <v>0.1383926738528754</v>
      </c>
      <c r="BQ64" s="2">
        <v>-8.0414062663541896E-7</v>
      </c>
      <c r="BR64" s="2">
        <f t="shared" si="36"/>
        <v>0.1383926738528754</v>
      </c>
      <c r="BS64" s="2">
        <v>-8.0414062663541896E-7</v>
      </c>
      <c r="BT64" s="2">
        <f t="shared" si="27"/>
        <v>0.1383926738528754</v>
      </c>
      <c r="BU64" s="2">
        <v>-2.5901137390565987E-6</v>
      </c>
      <c r="BV64" s="2">
        <f t="shared" si="28"/>
        <v>2.0828156851819812E-12</v>
      </c>
      <c r="BW64" s="2">
        <f t="shared" si="29"/>
        <v>2.0828156851819812E-12</v>
      </c>
      <c r="BX64" s="2">
        <f t="shared" si="30"/>
        <v>0</v>
      </c>
      <c r="BY64"/>
      <c r="BZ64" s="2">
        <v>26</v>
      </c>
      <c r="CA64" s="2">
        <f t="shared" si="37"/>
        <v>0.11727223951275256</v>
      </c>
      <c r="CB64" s="2">
        <v>4.0924308146589317E-6</v>
      </c>
      <c r="CC64" s="2">
        <f t="shared" si="38"/>
        <v>0.11727223951275256</v>
      </c>
      <c r="CD64" s="2">
        <v>7.4935868810341311E-6</v>
      </c>
      <c r="CE64" s="2">
        <f t="shared" si="31"/>
        <v>0.11727223951275256</v>
      </c>
      <c r="CF64" s="2">
        <v>5.7598370595685067E-6</v>
      </c>
      <c r="CG64" s="2">
        <f t="shared" si="32"/>
        <v>2.3571734669992649E-11</v>
      </c>
      <c r="CH64" s="2">
        <f t="shared" si="33"/>
        <v>4.3161839426476764E-11</v>
      </c>
      <c r="CI64" s="2">
        <f t="shared" si="34"/>
        <v>0</v>
      </c>
    </row>
    <row r="65" spans="32:87" x14ac:dyDescent="0.2">
      <c r="AF65" s="2">
        <v>16</v>
      </c>
      <c r="AG65" s="2">
        <f t="shared" si="43"/>
        <v>354.75311279296875</v>
      </c>
      <c r="AH65" s="2">
        <v>0.8025994626677857</v>
      </c>
      <c r="AI65" s="2">
        <f t="shared" si="44"/>
        <v>354.79736328125</v>
      </c>
      <c r="AJ65" s="2">
        <v>-0.52910926163804106</v>
      </c>
      <c r="AK65" s="2">
        <f t="shared" si="39"/>
        <v>354.77523803710938</v>
      </c>
      <c r="AL65" s="2">
        <v>0.13676586322344519</v>
      </c>
      <c r="AM65" s="2">
        <f t="shared" si="40"/>
        <v>0.10976820833443299</v>
      </c>
      <c r="AN65" s="2">
        <f t="shared" si="41"/>
        <v>-7.2364084907446405E-2</v>
      </c>
      <c r="AO65" s="2">
        <f t="shared" si="42"/>
        <v>4.425048828125E-2</v>
      </c>
      <c r="AQ65" s="2"/>
      <c r="AR65" s="2"/>
      <c r="AS65" s="26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s="2" t="s">
        <v>171</v>
      </c>
      <c r="BH65" s="2">
        <f xml:space="preserve"> $AR$8*$AR$33 / (2*PI()*$AR$25)</f>
        <v>3.3837103320226013E-2</v>
      </c>
      <c r="BI65" s="2"/>
      <c r="BJ65" s="2"/>
      <c r="BK65" s="2" t="s">
        <v>171</v>
      </c>
      <c r="BL65" s="2">
        <f xml:space="preserve"> $AR$8*$AR$34 / (2*PI()*$AR$26)</f>
        <v>2.8862622616268326E-2</v>
      </c>
      <c r="BM65" s="2"/>
      <c r="BN65"/>
      <c r="BO65" s="2">
        <v>27</v>
      </c>
      <c r="BP65" s="2">
        <f t="shared" si="35"/>
        <v>0.1383926738528754</v>
      </c>
      <c r="BQ65" s="2">
        <v>-8.0414062663541896E-7</v>
      </c>
      <c r="BR65" s="2">
        <f t="shared" si="36"/>
        <v>0.1383926738528754</v>
      </c>
      <c r="BS65" s="2">
        <v>-8.0414062663541896E-7</v>
      </c>
      <c r="BT65" s="2">
        <f t="shared" si="27"/>
        <v>0.1383926738528754</v>
      </c>
      <c r="BU65" s="2">
        <v>-2.5901137390565987E-6</v>
      </c>
      <c r="BV65" s="2">
        <f t="shared" si="28"/>
        <v>2.0828156851819812E-12</v>
      </c>
      <c r="BW65" s="2">
        <f t="shared" si="29"/>
        <v>2.0828156851819812E-12</v>
      </c>
      <c r="BX65" s="2">
        <f t="shared" si="30"/>
        <v>0</v>
      </c>
      <c r="BY65"/>
      <c r="BZ65" s="2">
        <v>27</v>
      </c>
      <c r="CA65" s="2">
        <f t="shared" si="37"/>
        <v>0.11727223951275256</v>
      </c>
      <c r="CB65" s="2">
        <v>4.2007899071286325E-6</v>
      </c>
      <c r="CC65" s="2">
        <f t="shared" si="38"/>
        <v>0.11727223951275256</v>
      </c>
      <c r="CD65" s="2">
        <v>7.4935868810341311E-6</v>
      </c>
      <c r="CE65" s="2">
        <f t="shared" si="31"/>
        <v>0.11727223951275256</v>
      </c>
      <c r="CF65" s="2">
        <v>5.7598370595685067E-6</v>
      </c>
      <c r="CG65" s="2">
        <f t="shared" si="32"/>
        <v>2.4195865386540843E-11</v>
      </c>
      <c r="CH65" s="2">
        <f t="shared" si="33"/>
        <v>4.3161839426476764E-11</v>
      </c>
      <c r="CI65" s="2">
        <f t="shared" si="34"/>
        <v>0</v>
      </c>
    </row>
    <row r="66" spans="32:87" x14ac:dyDescent="0.2">
      <c r="AF66" s="2">
        <v>17</v>
      </c>
      <c r="AG66" s="2">
        <f t="shared" si="43"/>
        <v>354.77523803710938</v>
      </c>
      <c r="AH66" s="2">
        <v>0.13676586322344519</v>
      </c>
      <c r="AI66" s="2">
        <f t="shared" si="44"/>
        <v>354.79736328125</v>
      </c>
      <c r="AJ66" s="2">
        <v>-0.52910926163804106</v>
      </c>
      <c r="AK66" s="2">
        <f t="shared" si="39"/>
        <v>354.78630065917969</v>
      </c>
      <c r="AL66" s="2">
        <v>0.46968785362605558</v>
      </c>
      <c r="AM66" s="2">
        <f t="shared" si="40"/>
        <v>6.4237264746734662E-2</v>
      </c>
      <c r="AN66" s="2">
        <f t="shared" si="41"/>
        <v>-0.24851619343243858</v>
      </c>
      <c r="AO66" s="2">
        <f t="shared" si="42"/>
        <v>2.2125244140625E-2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s="2" t="s">
        <v>175</v>
      </c>
      <c r="BH66" s="2">
        <f>IF(-$AR$8*($AV$3-$AR$25)/(2*$AR$25*SIN(BH61))&gt;500, 1, 2*ACOS(MIN(1, EXP(-$AR$8*($AV$3-$AR$25)/(2*$AR$25*SIN(BH61)))))/PI() )</f>
        <v>0.98856042532110433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0.82986970198085541</v>
      </c>
      <c r="BM66" s="2"/>
      <c r="BN66"/>
      <c r="BO66" s="2">
        <v>28</v>
      </c>
      <c r="BP66" s="2">
        <f t="shared" si="35"/>
        <v>0.1383926738528754</v>
      </c>
      <c r="BQ66" s="2">
        <v>-8.0414062663541896E-7</v>
      </c>
      <c r="BR66" s="2">
        <f t="shared" si="36"/>
        <v>0.1383926738528754</v>
      </c>
      <c r="BS66" s="2">
        <v>-8.0414062663541896E-7</v>
      </c>
      <c r="BT66" s="2">
        <f t="shared" si="27"/>
        <v>0.1383926738528754</v>
      </c>
      <c r="BU66" s="2">
        <v>-2.5901137390565987E-6</v>
      </c>
      <c r="BV66" s="2">
        <f t="shared" si="28"/>
        <v>2.0828156851819812E-12</v>
      </c>
      <c r="BW66" s="2">
        <f t="shared" si="29"/>
        <v>2.0828156851819812E-12</v>
      </c>
      <c r="BX66" s="2">
        <f t="shared" si="30"/>
        <v>0</v>
      </c>
      <c r="BY66"/>
      <c r="BZ66" s="2">
        <v>28</v>
      </c>
      <c r="CA66" s="2">
        <f t="shared" si="37"/>
        <v>0.11727223951275256</v>
      </c>
      <c r="CB66" s="2">
        <v>4.2549694360682899E-6</v>
      </c>
      <c r="CC66" s="2">
        <f t="shared" si="38"/>
        <v>0.11727223951275256</v>
      </c>
      <c r="CD66" s="2">
        <v>7.4935868810341311E-6</v>
      </c>
      <c r="CE66" s="2">
        <f t="shared" si="31"/>
        <v>0.11727223951275256</v>
      </c>
      <c r="CF66" s="2">
        <v>5.7598370595685067E-6</v>
      </c>
      <c r="CG66" s="2">
        <f t="shared" si="32"/>
        <v>2.4507930645197445E-11</v>
      </c>
      <c r="CH66" s="2">
        <f t="shared" si="33"/>
        <v>4.3161839426476764E-11</v>
      </c>
      <c r="CI66" s="2">
        <f t="shared" si="34"/>
        <v>0</v>
      </c>
    </row>
    <row r="67" spans="32:87" x14ac:dyDescent="0.2">
      <c r="AF67" s="2">
        <v>18</v>
      </c>
      <c r="AG67" s="2">
        <f t="shared" si="43"/>
        <v>354.78630065917969</v>
      </c>
      <c r="AH67" s="2">
        <v>0.13676586322344519</v>
      </c>
      <c r="AI67" s="2">
        <f t="shared" si="44"/>
        <v>354.79736328125</v>
      </c>
      <c r="AJ67" s="2">
        <v>-0.52910926163804106</v>
      </c>
      <c r="AK67" s="2">
        <f t="shared" si="39"/>
        <v>354.79183197021484</v>
      </c>
      <c r="AL67" s="2">
        <v>0.46968785362605558</v>
      </c>
      <c r="AM67" s="2">
        <f t="shared" si="40"/>
        <v>6.4237264746734662E-2</v>
      </c>
      <c r="AN67" s="2">
        <f t="shared" si="41"/>
        <v>-0.24851619343243858</v>
      </c>
      <c r="AO67" s="2">
        <f t="shared" si="42"/>
        <v>1.10626220703125E-2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s="2" t="s">
        <v>180</v>
      </c>
      <c r="BH67" s="2">
        <f>IF(-$AR$8*($AR$25-$AR$10)/(2*$AR$25*SIN(BH61))&gt;500, 1, 2*ACOS(MIN(1, EXP(-$AR$8*($AR$25-$AR$10)/(2*$AR$25*SIN(BH61)))))/PI() )</f>
        <v>0.99999998261901246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0.99999999865203848</v>
      </c>
      <c r="BM67" s="2"/>
      <c r="BN67"/>
      <c r="BO67" s="2">
        <v>29</v>
      </c>
      <c r="BP67" s="2">
        <f t="shared" si="35"/>
        <v>0.1383926738528754</v>
      </c>
      <c r="BQ67" s="2">
        <v>-8.0414062663541896E-7</v>
      </c>
      <c r="BR67" s="2">
        <f t="shared" si="36"/>
        <v>0.1383926738528754</v>
      </c>
      <c r="BS67" s="2">
        <v>-8.0414062663541896E-7</v>
      </c>
      <c r="BT67" s="2">
        <f t="shared" si="27"/>
        <v>0.1383926738528754</v>
      </c>
      <c r="BU67" s="2">
        <v>-2.5901137390565987E-6</v>
      </c>
      <c r="BV67" s="2">
        <f t="shared" si="28"/>
        <v>2.0828156851819812E-12</v>
      </c>
      <c r="BW67" s="2">
        <f t="shared" si="29"/>
        <v>2.0828156851819812E-12</v>
      </c>
      <c r="BX67" s="2">
        <f t="shared" si="30"/>
        <v>0</v>
      </c>
      <c r="BY67"/>
      <c r="BZ67" s="2">
        <v>29</v>
      </c>
      <c r="CA67" s="2">
        <f t="shared" si="37"/>
        <v>0.11727223951275256</v>
      </c>
      <c r="CB67" s="2">
        <v>4.2820591962117183E-6</v>
      </c>
      <c r="CC67" s="2">
        <f t="shared" si="38"/>
        <v>0.11727223951275256</v>
      </c>
      <c r="CD67" s="2">
        <v>7.4935868810341311E-6</v>
      </c>
      <c r="CE67" s="2">
        <f t="shared" si="31"/>
        <v>0.11727223951275256</v>
      </c>
      <c r="CF67" s="2">
        <v>5.7598370595685067E-6</v>
      </c>
      <c r="CG67" s="2">
        <f t="shared" si="32"/>
        <v>2.4663963249606385E-11</v>
      </c>
      <c r="CH67" s="2">
        <f t="shared" si="33"/>
        <v>4.3161839426476764E-11</v>
      </c>
      <c r="CI67" s="2">
        <f t="shared" si="34"/>
        <v>0</v>
      </c>
    </row>
    <row r="68" spans="32:87" x14ac:dyDescent="0.2">
      <c r="AF68" s="2">
        <v>19</v>
      </c>
      <c r="AG68" s="2">
        <f t="shared" si="43"/>
        <v>354.79183197021484</v>
      </c>
      <c r="AH68" s="2">
        <v>0.13676586322344519</v>
      </c>
      <c r="AI68" s="2">
        <f t="shared" si="44"/>
        <v>354.79736328125</v>
      </c>
      <c r="AJ68" s="2">
        <v>-0.52910926163804106</v>
      </c>
      <c r="AK68" s="2">
        <f t="shared" si="39"/>
        <v>354.79459762573242</v>
      </c>
      <c r="AL68" s="2">
        <v>0.46968785362605558</v>
      </c>
      <c r="AM68" s="2">
        <f t="shared" si="40"/>
        <v>6.4237264746734662E-2</v>
      </c>
      <c r="AN68" s="2">
        <f t="shared" si="41"/>
        <v>-0.24851619343243858</v>
      </c>
      <c r="AO68" s="2">
        <f t="shared" si="42"/>
        <v>5.53131103515625E-3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s="2" t="s">
        <v>183</v>
      </c>
      <c r="BH68" s="2">
        <f>IF(BH61=0,1,BH66*BH67)</f>
        <v>0.98856040813894785</v>
      </c>
      <c r="BI68" s="2"/>
      <c r="BJ68" s="2"/>
      <c r="BK68" s="2" t="s">
        <v>183</v>
      </c>
      <c r="BL68" s="2">
        <f>IF(BL61=0,1,BL66*BL67)</f>
        <v>0.829869700862223</v>
      </c>
      <c r="BM68" s="2"/>
      <c r="BN68"/>
      <c r="BO68" s="2">
        <v>30</v>
      </c>
      <c r="BP68" s="2">
        <f t="shared" si="35"/>
        <v>0.1383926738528754</v>
      </c>
      <c r="BQ68" s="2">
        <v>-8.0414062663541896E-7</v>
      </c>
      <c r="BR68" s="2">
        <f t="shared" si="36"/>
        <v>0.1383926738528754</v>
      </c>
      <c r="BS68" s="2">
        <v>-8.0414062663541896E-7</v>
      </c>
      <c r="BT68" s="5">
        <f t="shared" si="27"/>
        <v>0.1383926738528754</v>
      </c>
      <c r="BU68" s="2">
        <v>-2.5901137390565987E-6</v>
      </c>
      <c r="BV68" s="2">
        <f t="shared" si="28"/>
        <v>2.0828156851819812E-12</v>
      </c>
      <c r="BW68" s="2">
        <f t="shared" si="29"/>
        <v>2.0828156851819812E-12</v>
      </c>
      <c r="BX68" s="2">
        <f t="shared" si="30"/>
        <v>0</v>
      </c>
      <c r="BY68"/>
      <c r="BZ68" s="2">
        <v>30</v>
      </c>
      <c r="CA68" s="2">
        <f t="shared" si="37"/>
        <v>0.11727223951275256</v>
      </c>
      <c r="CB68" s="2">
        <v>4.2956040751870872E-6</v>
      </c>
      <c r="CC68" s="2">
        <f t="shared" si="38"/>
        <v>0.11727223951275256</v>
      </c>
      <c r="CD68" s="2">
        <v>7.4935868810341311E-6</v>
      </c>
      <c r="CE68" s="5">
        <f t="shared" si="31"/>
        <v>0.11727223951275256</v>
      </c>
      <c r="CF68" s="2">
        <v>5.7598370595685067E-6</v>
      </c>
      <c r="CG68" s="2">
        <f t="shared" si="32"/>
        <v>2.4741979545496086E-11</v>
      </c>
      <c r="CH68" s="2">
        <f t="shared" si="33"/>
        <v>4.3161839426476764E-11</v>
      </c>
      <c r="CI68" s="2">
        <f t="shared" si="34"/>
        <v>0</v>
      </c>
    </row>
    <row r="69" spans="32:87" x14ac:dyDescent="0.2">
      <c r="AF69" s="2">
        <v>20</v>
      </c>
      <c r="AG69" s="2">
        <f t="shared" si="43"/>
        <v>354.79459762573242</v>
      </c>
      <c r="AH69" s="2">
        <v>0.13676586322344519</v>
      </c>
      <c r="AI69" s="2">
        <f t="shared" si="44"/>
        <v>354.79736328125</v>
      </c>
      <c r="AJ69" s="2">
        <v>-0.52910926163804106</v>
      </c>
      <c r="AK69" s="2">
        <f t="shared" si="39"/>
        <v>354.79598045349121</v>
      </c>
      <c r="AL69" s="2">
        <v>0.46968785362605558</v>
      </c>
      <c r="AM69" s="2">
        <f t="shared" si="40"/>
        <v>6.4237264746734662E-2</v>
      </c>
      <c r="AN69" s="2">
        <f t="shared" si="41"/>
        <v>-0.24851619343243858</v>
      </c>
      <c r="AO69" s="2">
        <f t="shared" si="42"/>
        <v>2.765655517578125E-3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0.46172933498321411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0.36029341763580025</v>
      </c>
      <c r="BM69" s="2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32:87" x14ac:dyDescent="0.2">
      <c r="AF70" s="2">
        <v>21</v>
      </c>
      <c r="AG70" s="2">
        <f t="shared" si="43"/>
        <v>354.79598045349121</v>
      </c>
      <c r="AH70" s="2">
        <v>0.13676586322344519</v>
      </c>
      <c r="AI70" s="2">
        <f t="shared" si="44"/>
        <v>354.79736328125</v>
      </c>
      <c r="AJ70" s="2">
        <v>-0.52910926163804106</v>
      </c>
      <c r="AK70" s="2">
        <f t="shared" si="39"/>
        <v>354.79667186737061</v>
      </c>
      <c r="AL70" s="2">
        <v>0.46968785362605558</v>
      </c>
      <c r="AM70" s="2">
        <f t="shared" si="40"/>
        <v>6.4237264746734662E-2</v>
      </c>
      <c r="AN70" s="2">
        <f t="shared" si="41"/>
        <v>-0.24851619343243858</v>
      </c>
      <c r="AO70" s="2">
        <f t="shared" si="42"/>
        <v>1.3828277587890625E-3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2.9373392082531157E-2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3.4699342780467074E-2</v>
      </c>
      <c r="BM70" s="2"/>
      <c r="BN70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Y70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32:87" x14ac:dyDescent="0.2">
      <c r="AF71" s="2">
        <v>22</v>
      </c>
      <c r="AG71" s="2">
        <f t="shared" si="43"/>
        <v>354.79667186737061</v>
      </c>
      <c r="AH71" s="2">
        <v>0.13676586322344519</v>
      </c>
      <c r="AI71" s="2">
        <f t="shared" si="44"/>
        <v>354.79736328125</v>
      </c>
      <c r="AJ71" s="2">
        <v>-0.52910926163804106</v>
      </c>
      <c r="AK71" s="2">
        <f t="shared" si="39"/>
        <v>354.7970175743103</v>
      </c>
      <c r="AL71" s="2">
        <v>0.46968785362605558</v>
      </c>
      <c r="AM71" s="2">
        <f t="shared" si="40"/>
        <v>6.4237264746734662E-2</v>
      </c>
      <c r="AN71" s="2">
        <f t="shared" si="41"/>
        <v>-0.24851619343243858</v>
      </c>
      <c r="AO71" s="2">
        <f t="shared" si="42"/>
        <v>6.9141387939453125E-4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s="2" t="s">
        <v>190</v>
      </c>
      <c r="BH71" s="2">
        <f xml:space="preserve"> BH69*COS(BH61) - BH70*SIN(BH61)</f>
        <v>0.4583057260698371</v>
      </c>
      <c r="BI71" s="2"/>
      <c r="BJ71" s="2"/>
      <c r="BK71" s="2" t="s">
        <v>190</v>
      </c>
      <c r="BL71" s="2">
        <f xml:space="preserve"> BL69*COS(BL61) - BL70*SIN(BL61)</f>
        <v>0.35724314657868406</v>
      </c>
      <c r="BM71" s="2"/>
      <c r="BN71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Y71"/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32:87" x14ac:dyDescent="0.2">
      <c r="AF72" s="2">
        <v>23</v>
      </c>
      <c r="AG72" s="2">
        <f t="shared" si="43"/>
        <v>354.7970175743103</v>
      </c>
      <c r="AH72" s="2">
        <v>0.13676586322344519</v>
      </c>
      <c r="AI72" s="2">
        <f t="shared" si="44"/>
        <v>354.79736328125</v>
      </c>
      <c r="AJ72" s="2">
        <v>-0.52910926163804106</v>
      </c>
      <c r="AK72" s="2">
        <f t="shared" si="39"/>
        <v>354.79719042778015</v>
      </c>
      <c r="AL72" s="2">
        <v>0.46968785362605558</v>
      </c>
      <c r="AM72" s="2">
        <f t="shared" si="40"/>
        <v>6.4237264746734662E-2</v>
      </c>
      <c r="AN72" s="2">
        <f t="shared" si="41"/>
        <v>-0.24851619343243858</v>
      </c>
      <c r="AO72" s="2">
        <f t="shared" si="42"/>
        <v>3.4570693969726562E-4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s="2" t="s">
        <v>192</v>
      </c>
      <c r="BH72" s="2">
        <f xml:space="preserve"> BH69*SIN(BH61) + BH70*COS(BH61)</f>
        <v>6.3345373927972765E-2</v>
      </c>
      <c r="BI72" s="2"/>
      <c r="BJ72" s="2"/>
      <c r="BK72" s="2" t="s">
        <v>192</v>
      </c>
      <c r="BL72" s="2">
        <f xml:space="preserve"> BL69*SIN(BL61) + BL70*COS(BL61)</f>
        <v>5.824710639716256E-2</v>
      </c>
      <c r="BM72" s="2"/>
      <c r="BN72"/>
      <c r="BO72" s="30">
        <v>0</v>
      </c>
      <c r="BP72" s="30"/>
      <c r="BQ72" s="30">
        <f>$BH$58</f>
        <v>1.5980321525888019E-5</v>
      </c>
      <c r="BR72" s="30"/>
      <c r="BS72" s="30">
        <f>$BH$58</f>
        <v>1.5980321525888019E-5</v>
      </c>
      <c r="BT72" s="30"/>
      <c r="BU72" s="30">
        <f>$BH$58</f>
        <v>1.5980321525888019E-5</v>
      </c>
      <c r="BV72" s="30"/>
      <c r="BW72" s="30"/>
      <c r="BX72" s="30"/>
      <c r="BY72"/>
      <c r="BZ72" s="30">
        <v>0</v>
      </c>
      <c r="CA72" s="30"/>
      <c r="CB72" s="30">
        <f>$BL$58</f>
        <v>2.3422730223224275E-6</v>
      </c>
      <c r="CC72" s="30"/>
      <c r="CD72" s="30">
        <f>$BL$58</f>
        <v>2.3422730223224275E-6</v>
      </c>
      <c r="CE72" s="30"/>
      <c r="CF72" s="30">
        <f>$BL$58</f>
        <v>2.3422730223224275E-6</v>
      </c>
      <c r="CG72" s="30"/>
      <c r="CH72" s="30"/>
      <c r="CI72" s="30"/>
    </row>
    <row r="73" spans="32:87" x14ac:dyDescent="0.2">
      <c r="AF73" s="2">
        <v>24</v>
      </c>
      <c r="AG73" s="2">
        <f t="shared" si="43"/>
        <v>354.79719042778015</v>
      </c>
      <c r="AH73" s="2">
        <v>0.13676586322344519</v>
      </c>
      <c r="AI73" s="2">
        <f t="shared" si="44"/>
        <v>354.79736328125</v>
      </c>
      <c r="AJ73" s="2">
        <v>-0.52910926163804106</v>
      </c>
      <c r="AK73" s="2">
        <f t="shared" si="39"/>
        <v>354.79727685451508</v>
      </c>
      <c r="AL73" s="2">
        <v>0.46968785362605558</v>
      </c>
      <c r="AM73" s="2">
        <f t="shared" si="40"/>
        <v>6.4237264746734662E-2</v>
      </c>
      <c r="AN73" s="2">
        <f t="shared" si="41"/>
        <v>-0.24851619343243858</v>
      </c>
      <c r="AO73" s="2">
        <f t="shared" si="42"/>
        <v>1.7285346984863281E-4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s="2" t="s">
        <v>38</v>
      </c>
      <c r="BH73" s="2">
        <f xml:space="preserve"> 4*BH68*SIN(BH61)*SIN(BH61) / (BH65*BH71)</f>
        <v>1.3868333967866493</v>
      </c>
      <c r="BI73" s="2"/>
      <c r="BJ73" s="2"/>
      <c r="BK73" s="2" t="s">
        <v>38</v>
      </c>
      <c r="BL73" s="2">
        <f xml:space="preserve"> 4*BL68*SIN(BL61)*SIN(BL61) / (BL65*BL71)</f>
        <v>1.3839057010586335</v>
      </c>
      <c r="BM73" s="2"/>
      <c r="BN73"/>
      <c r="BO73" s="2">
        <v>1</v>
      </c>
      <c r="BP73" s="3">
        <f>0.01*PI()</f>
        <v>3.1415926535897934E-2</v>
      </c>
      <c r="BQ73" s="2">
        <f t="dataTable" ref="BQ73:BQ102" dt2D="0" dtr="0" r1="BH42" ca="1"/>
        <v>-0.40257732357467518</v>
      </c>
      <c r="BR73" s="3">
        <f>0.9*PI()</f>
        <v>2.8274333882308138</v>
      </c>
      <c r="BS73" s="2">
        <f t="dataTable" ref="BS73:BS102" dt2D="0" dtr="0" r1="BH42" ca="1"/>
        <v>0.36631376265658355</v>
      </c>
      <c r="BT73" s="2">
        <f t="shared" ref="BT73:BT102" si="45">(BP73+BR73)/2</f>
        <v>1.4294246573833558</v>
      </c>
      <c r="BU73" s="2">
        <f t="dataTable" ref="BU73:BU102" dt2D="0" dtr="0" r1="BH42" ca="1"/>
        <v>1.0131852883217631</v>
      </c>
      <c r="BV73" s="2">
        <f t="shared" ref="BV73:BV102" si="46">BQ73*BU73</f>
        <v>-0.407885421657811</v>
      </c>
      <c r="BW73" s="2">
        <f t="shared" ref="BW73:BW102" si="47">BS73*BU73</f>
        <v>0.37114371523344053</v>
      </c>
      <c r="BX73" s="2">
        <f t="shared" ref="BX73:BX102" si="48">BR73-BP73</f>
        <v>2.7960174616949161</v>
      </c>
      <c r="BY73"/>
      <c r="BZ73" s="2">
        <v>1</v>
      </c>
      <c r="CA73" s="3">
        <f>0.01*PI()</f>
        <v>3.1415926535897934E-2</v>
      </c>
      <c r="CB73" s="2">
        <f t="dataTable" ref="CB73:CB102" dt2D="0" dtr="0" r1="BL42" ca="1"/>
        <v>-0.2798344137182549</v>
      </c>
      <c r="CC73" s="3">
        <f>0.9*PI()</f>
        <v>2.8274333882308138</v>
      </c>
      <c r="CD73" s="2">
        <f t="dataTable" ref="CD73:CD102" dt2D="0" dtr="0" r1="BL42" ca="1"/>
        <v>0.35858023102129682</v>
      </c>
      <c r="CE73" s="2">
        <f t="shared" ref="CE73:CE102" si="49">(CA73+CC73)/2</f>
        <v>1.4294246573833558</v>
      </c>
      <c r="CF73" s="2">
        <f t="dataTable" ref="CF73:CF102" dt2D="0" dtr="0" r1="BL42" ca="1"/>
        <v>1.0134625835180939</v>
      </c>
      <c r="CG73" s="2">
        <f t="shared" ref="CG73:CG102" si="50">CB73*CF73</f>
        <v>-0.28360170788417377</v>
      </c>
      <c r="CH73" s="2">
        <f t="shared" ref="CH73:CH102" si="51">CD73*CF73</f>
        <v>0.36340764732935843</v>
      </c>
      <c r="CI73" s="2">
        <f t="shared" ref="CI73:CI102" si="52">CC73-CA73</f>
        <v>2.7960174616949161</v>
      </c>
    </row>
    <row r="74" spans="32:87" x14ac:dyDescent="0.2">
      <c r="AF74" s="2">
        <v>25</v>
      </c>
      <c r="AG74" s="2">
        <f t="shared" si="43"/>
        <v>354.79727685451508</v>
      </c>
      <c r="AH74" s="2">
        <v>0.13676586322344519</v>
      </c>
      <c r="AI74" s="2">
        <f t="shared" si="44"/>
        <v>354.79736328125</v>
      </c>
      <c r="AJ74" s="2">
        <v>-0.52910926163804106</v>
      </c>
      <c r="AK74" s="2">
        <f t="shared" si="39"/>
        <v>354.79732006788254</v>
      </c>
      <c r="AL74" s="2">
        <v>0.46968785362605558</v>
      </c>
      <c r="AM74" s="2">
        <f t="shared" si="40"/>
        <v>6.4237264746734662E-2</v>
      </c>
      <c r="AN74" s="2">
        <f t="shared" si="41"/>
        <v>-0.24851619343243858</v>
      </c>
      <c r="AO74" s="2">
        <f t="shared" si="42"/>
        <v>8.6426734924316406E-5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s="2" t="s">
        <v>194</v>
      </c>
      <c r="BH74" s="2">
        <f xml:space="preserve"> 4*BH68*SIN(BH61)*COS(BH61) / (BH65*BH72)</f>
        <v>135.68306181066129</v>
      </c>
      <c r="BI74" s="2"/>
      <c r="BJ74" s="2"/>
      <c r="BK74" s="2" t="s">
        <v>194</v>
      </c>
      <c r="BL74" s="2">
        <f xml:space="preserve"> 4*BL68*SIN(BL61)*COS(BL61) / (BL65*BL72)</f>
        <v>129.17915524493753</v>
      </c>
      <c r="BM74" s="2"/>
      <c r="BN74"/>
      <c r="BO74" s="2">
        <v>2</v>
      </c>
      <c r="BP74" s="2">
        <f t="shared" ref="BP74:BP102" si="53">IF(BV73&gt;0,BT73,BP73)</f>
        <v>3.1415926535897934E-2</v>
      </c>
      <c r="BQ74" s="2">
        <v>-0.40257732357467518</v>
      </c>
      <c r="BR74" s="2">
        <f t="shared" ref="BR74:BR102" si="54">IF(BW73&gt;0,BT73,BR73)</f>
        <v>1.4294246573833558</v>
      </c>
      <c r="BS74" s="2">
        <v>1.0131852883217631</v>
      </c>
      <c r="BT74" s="2">
        <f t="shared" si="45"/>
        <v>0.73042029195962688</v>
      </c>
      <c r="BU74" s="2">
        <v>0.66878981239535018</v>
      </c>
      <c r="BV74" s="2">
        <f t="shared" si="46"/>
        <v>-0.26923961270812918</v>
      </c>
      <c r="BW74" s="2">
        <f t="shared" si="47"/>
        <v>0.6776079988984407</v>
      </c>
      <c r="BX74" s="2">
        <f t="shared" si="48"/>
        <v>1.3980087308474578</v>
      </c>
      <c r="BY74"/>
      <c r="BZ74" s="2">
        <v>2</v>
      </c>
      <c r="CA74" s="2">
        <f t="shared" ref="CA74:CA102" si="55">IF(CG73&gt;0,CE73,CA73)</f>
        <v>3.1415926535897934E-2</v>
      </c>
      <c r="CB74" s="2">
        <v>-0.2798344137182549</v>
      </c>
      <c r="CC74" s="2">
        <f t="shared" ref="CC74:CC102" si="56">IF(CH73&gt;0,CE73,CC73)</f>
        <v>1.4294246573833558</v>
      </c>
      <c r="CD74" s="2">
        <v>1.0134625835180939</v>
      </c>
      <c r="CE74" s="2">
        <f t="shared" si="49"/>
        <v>0.73042029195962688</v>
      </c>
      <c r="CF74" s="2">
        <v>0.67130887496600866</v>
      </c>
      <c r="CG74" s="2">
        <f t="shared" si="50"/>
        <v>-0.18785532544997433</v>
      </c>
      <c r="CH74" s="2">
        <f t="shared" si="51"/>
        <v>0.68034642676167623</v>
      </c>
      <c r="CI74" s="2">
        <f t="shared" si="52"/>
        <v>1.3980087308474578</v>
      </c>
    </row>
    <row r="75" spans="32:87" x14ac:dyDescent="0.2">
      <c r="AF75" s="2">
        <v>26</v>
      </c>
      <c r="AG75" s="2">
        <f t="shared" si="43"/>
        <v>354.79732006788254</v>
      </c>
      <c r="AH75" s="2">
        <v>0.13676586322344519</v>
      </c>
      <c r="AI75" s="2">
        <f t="shared" si="44"/>
        <v>354.79736328125</v>
      </c>
      <c r="AJ75" s="2">
        <v>-0.52910926163804106</v>
      </c>
      <c r="AK75" s="2">
        <f t="shared" si="39"/>
        <v>354.79734167456627</v>
      </c>
      <c r="AL75" s="2">
        <v>0.46968785362605558</v>
      </c>
      <c r="AM75" s="2">
        <f t="shared" si="40"/>
        <v>6.4237264746734662E-2</v>
      </c>
      <c r="AN75" s="2">
        <f t="shared" si="41"/>
        <v>-0.24851619343243858</v>
      </c>
      <c r="AO75" s="2">
        <f t="shared" si="42"/>
        <v>4.3213367462158203E-5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s="2" t="s">
        <v>45</v>
      </c>
      <c r="BH75" s="2">
        <f>1/(BH73-1)</f>
        <v>2.5850922084463437</v>
      </c>
      <c r="BI75" s="2"/>
      <c r="BJ75" s="2"/>
      <c r="BK75" s="2" t="s">
        <v>45</v>
      </c>
      <c r="BL75" s="2">
        <f>1/(BL73-1)</f>
        <v>2.6048063293732411</v>
      </c>
      <c r="BM75" s="2"/>
      <c r="BN75"/>
      <c r="BO75" s="2">
        <v>3</v>
      </c>
      <c r="BP75" s="2">
        <f t="shared" si="53"/>
        <v>3.1415926535897934E-2</v>
      </c>
      <c r="BQ75" s="2">
        <v>-0.40257732357467518</v>
      </c>
      <c r="BR75" s="2">
        <f t="shared" si="54"/>
        <v>0.73042029195962688</v>
      </c>
      <c r="BS75" s="2">
        <v>0.66878981239535018</v>
      </c>
      <c r="BT75" s="2">
        <f t="shared" si="45"/>
        <v>0.38091810924776243</v>
      </c>
      <c r="BU75" s="2">
        <v>0.3861056636878113</v>
      </c>
      <c r="BV75" s="2">
        <f t="shared" si="46"/>
        <v>-0.15543738470446272</v>
      </c>
      <c r="BW75" s="2">
        <f t="shared" si="47"/>
        <v>0.25822353438255347</v>
      </c>
      <c r="BX75" s="2">
        <f t="shared" si="48"/>
        <v>0.6990043654237289</v>
      </c>
      <c r="BY75"/>
      <c r="BZ75" s="2">
        <v>3</v>
      </c>
      <c r="CA75" s="2">
        <f t="shared" si="55"/>
        <v>3.1415926535897934E-2</v>
      </c>
      <c r="CB75" s="2">
        <v>-0.2798344137182549</v>
      </c>
      <c r="CC75" s="2">
        <f t="shared" si="56"/>
        <v>0.73042029195962688</v>
      </c>
      <c r="CD75" s="2">
        <v>0.67130887496600866</v>
      </c>
      <c r="CE75" s="2">
        <f t="shared" si="49"/>
        <v>0.38091810924776243</v>
      </c>
      <c r="CF75" s="2">
        <v>0.38412478710874581</v>
      </c>
      <c r="CG75" s="2">
        <f t="shared" si="50"/>
        <v>-0.10749133459522536</v>
      </c>
      <c r="CH75" s="2">
        <f t="shared" si="51"/>
        <v>0.25786637868052975</v>
      </c>
      <c r="CI75" s="2">
        <f t="shared" si="52"/>
        <v>0.6990043654237289</v>
      </c>
    </row>
    <row r="76" spans="32:87" x14ac:dyDescent="0.2">
      <c r="AF76" s="2">
        <v>27</v>
      </c>
      <c r="AG76" s="2">
        <f t="shared" si="43"/>
        <v>354.79734167456627</v>
      </c>
      <c r="AH76" s="2">
        <v>0.13676586322344519</v>
      </c>
      <c r="AI76" s="2">
        <f t="shared" si="44"/>
        <v>354.79736328125</v>
      </c>
      <c r="AJ76" s="2">
        <v>-0.52910926163804106</v>
      </c>
      <c r="AK76" s="2">
        <f t="shared" si="39"/>
        <v>354.79735247790813</v>
      </c>
      <c r="AL76" s="2">
        <v>0.46968785362605558</v>
      </c>
      <c r="AM76" s="2">
        <f t="shared" si="40"/>
        <v>6.4237264746734662E-2</v>
      </c>
      <c r="AN76" s="2">
        <f t="shared" si="41"/>
        <v>-0.24851619343243858</v>
      </c>
      <c r="AO76" s="2">
        <f t="shared" si="42"/>
        <v>2.1606683731079102E-5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s="2" t="s">
        <v>197</v>
      </c>
      <c r="BH76" s="2">
        <f>1/(BH74+1)</f>
        <v>7.3161954872304445E-3</v>
      </c>
      <c r="BI76" s="2"/>
      <c r="BJ76"/>
      <c r="BK76" s="2" t="s">
        <v>197</v>
      </c>
      <c r="BL76" s="2">
        <f>1/(BL74+1)</f>
        <v>7.6817213794209841E-3</v>
      </c>
      <c r="BM76" s="2"/>
      <c r="BN76"/>
      <c r="BO76" s="2">
        <v>4</v>
      </c>
      <c r="BP76" s="2">
        <f t="shared" si="53"/>
        <v>3.1415926535897934E-2</v>
      </c>
      <c r="BQ76" s="2">
        <v>-0.40257732357467518</v>
      </c>
      <c r="BR76" s="2">
        <f t="shared" si="54"/>
        <v>0.38091810924776243</v>
      </c>
      <c r="BS76" s="2">
        <v>0.3861056636878113</v>
      </c>
      <c r="BT76" s="2">
        <f t="shared" si="45"/>
        <v>0.20616701789183017</v>
      </c>
      <c r="BU76" s="2">
        <v>0.18575080274134709</v>
      </c>
      <c r="BV76" s="2">
        <f t="shared" si="46"/>
        <v>-7.4779061019458942E-2</v>
      </c>
      <c r="BW76" s="2">
        <f t="shared" si="47"/>
        <v>7.1719436972991532E-2</v>
      </c>
      <c r="BX76" s="2">
        <f t="shared" si="48"/>
        <v>0.34950218271186451</v>
      </c>
      <c r="BY76"/>
      <c r="BZ76" s="2">
        <v>4</v>
      </c>
      <c r="CA76" s="2">
        <f t="shared" si="55"/>
        <v>3.1415926535897934E-2</v>
      </c>
      <c r="CB76" s="2">
        <v>-0.2798344137182549</v>
      </c>
      <c r="CC76" s="2">
        <f t="shared" si="56"/>
        <v>0.38091810924776243</v>
      </c>
      <c r="CD76" s="2">
        <v>0.38412478710874581</v>
      </c>
      <c r="CE76" s="2">
        <f t="shared" si="49"/>
        <v>0.20616701789183017</v>
      </c>
      <c r="CF76" s="2">
        <v>0.19648285816015956</v>
      </c>
      <c r="CG76" s="2">
        <f t="shared" si="50"/>
        <v>-5.4982665418935289E-2</v>
      </c>
      <c r="CH76" s="2">
        <f t="shared" si="51"/>
        <v>7.5473936061289187E-2</v>
      </c>
      <c r="CI76" s="2">
        <f t="shared" si="52"/>
        <v>0.34950218271186451</v>
      </c>
    </row>
    <row r="77" spans="32:87" x14ac:dyDescent="0.2">
      <c r="AF77" s="2">
        <v>28</v>
      </c>
      <c r="AG77" s="2">
        <f t="shared" si="43"/>
        <v>354.79735247790813</v>
      </c>
      <c r="AH77" s="2">
        <v>0.13676586322344519</v>
      </c>
      <c r="AI77" s="2">
        <f t="shared" si="44"/>
        <v>354.79736328125</v>
      </c>
      <c r="AJ77" s="2">
        <v>-0.52910926163804106</v>
      </c>
      <c r="AK77" s="2">
        <f t="shared" si="39"/>
        <v>354.79735787957907</v>
      </c>
      <c r="AL77" s="2">
        <v>0.46968785362605558</v>
      </c>
      <c r="AM77" s="2">
        <f t="shared" si="40"/>
        <v>6.4237264746734662E-2</v>
      </c>
      <c r="AN77" s="2">
        <f t="shared" si="41"/>
        <v>-0.24851619343243858</v>
      </c>
      <c r="AO77" s="2">
        <f t="shared" si="42"/>
        <v>1.0803341865539551E-5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s="7" t="s">
        <v>199</v>
      </c>
      <c r="BH77" s="40">
        <f>SIN(BH61)/(1+BH75) - $AR$3*COS(BH61)/($AV$5*$AR$25*(1-BH76))</f>
        <v>8.1166121787545897E-6</v>
      </c>
      <c r="BI77" s="40"/>
      <c r="BJ77"/>
      <c r="BK77" s="7" t="s">
        <v>199</v>
      </c>
      <c r="BL77" s="40">
        <f>SIN(BL61)/(1+BL75) - $AR$3*COS(BL61)/($AV$5*$AR$26*(1-BL76))</f>
        <v>1.6644816613863023E-6</v>
      </c>
      <c r="BM77" s="40"/>
      <c r="BN77"/>
      <c r="BO77" s="2">
        <v>5</v>
      </c>
      <c r="BP77" s="2">
        <f t="shared" si="53"/>
        <v>3.1415926535897934E-2</v>
      </c>
      <c r="BQ77" s="2">
        <v>-0.40257732357467518</v>
      </c>
      <c r="BR77" s="2">
        <f t="shared" si="54"/>
        <v>0.20616701789183017</v>
      </c>
      <c r="BS77" s="2">
        <v>0.18575080274134709</v>
      </c>
      <c r="BT77" s="2">
        <f t="shared" si="45"/>
        <v>0.11879147221386405</v>
      </c>
      <c r="BU77" s="2">
        <v>4.2732839474690532E-2</v>
      </c>
      <c r="BV77" s="2">
        <f t="shared" si="46"/>
        <v>-1.7203272144467142E-2</v>
      </c>
      <c r="BW77" s="2">
        <f t="shared" si="47"/>
        <v>7.9376592358408916E-3</v>
      </c>
      <c r="BX77" s="2">
        <f t="shared" si="48"/>
        <v>0.17475109135593225</v>
      </c>
      <c r="BY77"/>
      <c r="BZ77" s="2">
        <v>5</v>
      </c>
      <c r="CA77" s="2">
        <f t="shared" si="55"/>
        <v>3.1415926535897934E-2</v>
      </c>
      <c r="CB77" s="2">
        <v>-0.2798344137182549</v>
      </c>
      <c r="CC77" s="2">
        <f t="shared" si="56"/>
        <v>0.20616701789183017</v>
      </c>
      <c r="CD77" s="2">
        <v>0.19648285816015956</v>
      </c>
      <c r="CE77" s="2">
        <f t="shared" si="49"/>
        <v>0.11879147221386405</v>
      </c>
      <c r="CF77" s="2">
        <v>6.88748913827784E-2</v>
      </c>
      <c r="CG77" s="2">
        <f t="shared" si="50"/>
        <v>-1.9273564850008279E-2</v>
      </c>
      <c r="CH77" s="2">
        <f t="shared" si="51"/>
        <v>1.3532735514358844E-2</v>
      </c>
      <c r="CI77" s="2">
        <f t="shared" si="52"/>
        <v>0.17475109135593225</v>
      </c>
    </row>
    <row r="78" spans="32:87" x14ac:dyDescent="0.2">
      <c r="AF78" s="2">
        <v>29</v>
      </c>
      <c r="AG78" s="2">
        <f t="shared" si="43"/>
        <v>354.79735787957907</v>
      </c>
      <c r="AH78" s="2">
        <v>0.13676586322344519</v>
      </c>
      <c r="AI78" s="2">
        <f t="shared" si="44"/>
        <v>354.79736328125</v>
      </c>
      <c r="AJ78" s="2">
        <v>-0.52910926163804106</v>
      </c>
      <c r="AK78" s="2">
        <f t="shared" si="39"/>
        <v>354.79736058041453</v>
      </c>
      <c r="AL78" s="2">
        <v>0.46968785362605558</v>
      </c>
      <c r="AM78" s="2">
        <f t="shared" si="40"/>
        <v>6.4237264746734662E-2</v>
      </c>
      <c r="AN78" s="2">
        <f t="shared" si="41"/>
        <v>-0.24851619343243858</v>
      </c>
      <c r="AO78" s="2">
        <f t="shared" si="42"/>
        <v>5.4016709327697754E-6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2">
        <v>6</v>
      </c>
      <c r="BP78" s="2">
        <f t="shared" si="53"/>
        <v>3.1415926535897934E-2</v>
      </c>
      <c r="BQ78" s="2">
        <v>-0.40257732357467518</v>
      </c>
      <c r="BR78" s="2">
        <f t="shared" si="54"/>
        <v>0.11879147221386405</v>
      </c>
      <c r="BS78" s="2">
        <v>4.2732839474690532E-2</v>
      </c>
      <c r="BT78" s="2">
        <f t="shared" si="45"/>
        <v>7.5103699374880983E-2</v>
      </c>
      <c r="BU78" s="2">
        <v>-7.7303196003269625E-2</v>
      </c>
      <c r="BV78" s="2">
        <f t="shared" si="46"/>
        <v>3.1120513750764814E-2</v>
      </c>
      <c r="BW78" s="2">
        <f t="shared" si="47"/>
        <v>-3.3033850656882598E-3</v>
      </c>
      <c r="BX78" s="2">
        <f t="shared" si="48"/>
        <v>8.7375545677966113E-2</v>
      </c>
      <c r="BY78"/>
      <c r="BZ78" s="2">
        <v>6</v>
      </c>
      <c r="CA78" s="2">
        <f t="shared" si="55"/>
        <v>3.1415926535897934E-2</v>
      </c>
      <c r="CB78" s="2">
        <v>-0.2798344137182549</v>
      </c>
      <c r="CC78" s="2">
        <f t="shared" si="56"/>
        <v>0.11879147221386405</v>
      </c>
      <c r="CD78" s="2">
        <v>6.88748913827784E-2</v>
      </c>
      <c r="CE78" s="2">
        <f t="shared" si="49"/>
        <v>7.5103699374880983E-2</v>
      </c>
      <c r="CF78" s="2">
        <v>-3.0117293143901349E-2</v>
      </c>
      <c r="CG78" s="2">
        <f t="shared" si="50"/>
        <v>8.427855069704452E-3</v>
      </c>
      <c r="CH78" s="2">
        <f t="shared" si="51"/>
        <v>-2.0743252940295018E-3</v>
      </c>
      <c r="CI78" s="2">
        <f t="shared" si="52"/>
        <v>8.7375545677966113E-2</v>
      </c>
    </row>
    <row r="79" spans="32:87" x14ac:dyDescent="0.2">
      <c r="AF79" s="2">
        <v>30</v>
      </c>
      <c r="AG79" s="2">
        <f t="shared" si="43"/>
        <v>354.79736058041453</v>
      </c>
      <c r="AH79" s="2">
        <v>0.13676586322344519</v>
      </c>
      <c r="AI79" s="2">
        <f t="shared" si="44"/>
        <v>354.79736328125</v>
      </c>
      <c r="AJ79" s="2">
        <v>-0.52910926163804106</v>
      </c>
      <c r="AK79" s="5">
        <f t="shared" si="39"/>
        <v>354.79736193083227</v>
      </c>
      <c r="AL79" s="2">
        <v>0.46968785362605558</v>
      </c>
      <c r="AM79" s="2">
        <f t="shared" si="40"/>
        <v>6.4237264746734662E-2</v>
      </c>
      <c r="AN79" s="2">
        <f t="shared" si="41"/>
        <v>-0.24851619343243858</v>
      </c>
      <c r="AO79" s="2">
        <f t="shared" si="42"/>
        <v>2.7008354663848877E-6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2">
        <v>7</v>
      </c>
      <c r="BP79" s="2">
        <f t="shared" si="53"/>
        <v>7.5103699374880983E-2</v>
      </c>
      <c r="BQ79" s="2">
        <v>-7.7303196003269625E-2</v>
      </c>
      <c r="BR79" s="2">
        <f t="shared" si="54"/>
        <v>0.11879147221386405</v>
      </c>
      <c r="BS79" s="2">
        <v>4.2732839474690532E-2</v>
      </c>
      <c r="BT79" s="2">
        <f t="shared" si="45"/>
        <v>9.6947585794372515E-2</v>
      </c>
      <c r="BU79" s="2">
        <v>-8.8431722205531763E-3</v>
      </c>
      <c r="BV79" s="2">
        <f t="shared" si="46"/>
        <v>6.8360547545609127E-4</v>
      </c>
      <c r="BW79" s="2">
        <f t="shared" si="47"/>
        <v>-3.778938589479415E-4</v>
      </c>
      <c r="BX79" s="2">
        <f t="shared" si="48"/>
        <v>4.3687772838983063E-2</v>
      </c>
      <c r="BY79"/>
      <c r="BZ79" s="2">
        <v>7</v>
      </c>
      <c r="CA79" s="2">
        <f t="shared" si="55"/>
        <v>7.5103699374880983E-2</v>
      </c>
      <c r="CB79" s="2">
        <v>-3.0117293143901349E-2</v>
      </c>
      <c r="CC79" s="2">
        <f t="shared" si="56"/>
        <v>0.11879147221386405</v>
      </c>
      <c r="CD79" s="2">
        <v>6.88748913827784E-2</v>
      </c>
      <c r="CE79" s="2">
        <f t="shared" si="49"/>
        <v>9.6947585794372515E-2</v>
      </c>
      <c r="CF79" s="2">
        <v>2.5567999210170861E-2</v>
      </c>
      <c r="CG79" s="2">
        <f t="shared" si="50"/>
        <v>-7.7003892731575393E-4</v>
      </c>
      <c r="CH79" s="2">
        <f t="shared" si="51"/>
        <v>1.760993168475482E-3</v>
      </c>
      <c r="CI79" s="2">
        <f t="shared" si="52"/>
        <v>4.3687772838983063E-2</v>
      </c>
    </row>
    <row r="80" spans="32:87" x14ac:dyDescent="0.2"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s="2">
        <v>8</v>
      </c>
      <c r="BP80" s="2">
        <f t="shared" si="53"/>
        <v>9.6947585794372515E-2</v>
      </c>
      <c r="BQ80" s="2">
        <v>-8.8431722205531763E-3</v>
      </c>
      <c r="BR80" s="2">
        <f t="shared" si="54"/>
        <v>0.11879147221386405</v>
      </c>
      <c r="BS80" s="2">
        <v>4.2732839474690532E-2</v>
      </c>
      <c r="BT80" s="2">
        <f t="shared" si="45"/>
        <v>0.10786952900411828</v>
      </c>
      <c r="BU80" s="2">
        <v>1.8427306191731559E-2</v>
      </c>
      <c r="BV80" s="2">
        <f t="shared" si="46"/>
        <v>-1.6295584221434807E-4</v>
      </c>
      <c r="BW80" s="2">
        <f t="shared" si="47"/>
        <v>7.8745111744223562E-4</v>
      </c>
      <c r="BX80" s="2">
        <f t="shared" si="48"/>
        <v>2.1843886419491532E-2</v>
      </c>
      <c r="BY80"/>
      <c r="BZ80" s="2">
        <v>8</v>
      </c>
      <c r="CA80" s="2">
        <f t="shared" si="55"/>
        <v>7.5103699374880983E-2</v>
      </c>
      <c r="CB80" s="2">
        <v>-3.0117293143901349E-2</v>
      </c>
      <c r="CC80" s="2">
        <f t="shared" si="56"/>
        <v>9.6947585794372515E-2</v>
      </c>
      <c r="CD80" s="2">
        <v>2.5567999210170861E-2</v>
      </c>
      <c r="CE80" s="2">
        <f t="shared" si="49"/>
        <v>8.6025642584626749E-2</v>
      </c>
      <c r="CF80" s="2">
        <v>-1.4603371054186173E-4</v>
      </c>
      <c r="CG80" s="2">
        <f t="shared" si="50"/>
        <v>4.3981400692808861E-6</v>
      </c>
      <c r="CH80" s="2">
        <f t="shared" si="51"/>
        <v>-3.7337897957926408E-6</v>
      </c>
      <c r="CI80" s="2">
        <f t="shared" si="52"/>
        <v>2.1843886419491532E-2</v>
      </c>
    </row>
    <row r="81" spans="43:87" x14ac:dyDescent="0.2"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s="2">
        <v>9</v>
      </c>
      <c r="BP81" s="2">
        <f t="shared" si="53"/>
        <v>9.6947585794372515E-2</v>
      </c>
      <c r="BQ81" s="2">
        <v>-8.8431722205531763E-3</v>
      </c>
      <c r="BR81" s="2">
        <f t="shared" si="54"/>
        <v>0.10786952900411828</v>
      </c>
      <c r="BS81" s="2">
        <v>1.8427306191731559E-2</v>
      </c>
      <c r="BT81" s="2">
        <f t="shared" si="45"/>
        <v>0.1024085573992454</v>
      </c>
      <c r="BU81" s="2">
        <v>5.2203355355092719E-3</v>
      </c>
      <c r="BV81" s="2">
        <f t="shared" si="46"/>
        <v>-4.6164326189582181E-5</v>
      </c>
      <c r="BW81" s="2">
        <f t="shared" si="47"/>
        <v>9.6196721336406281E-5</v>
      </c>
      <c r="BX81" s="2">
        <f t="shared" si="48"/>
        <v>1.0921943209745766E-2</v>
      </c>
      <c r="BY81"/>
      <c r="BZ81" s="2">
        <v>9</v>
      </c>
      <c r="CA81" s="2">
        <f t="shared" si="55"/>
        <v>8.6025642584626749E-2</v>
      </c>
      <c r="CB81" s="2">
        <v>-1.4603371054186173E-4</v>
      </c>
      <c r="CC81" s="2">
        <f t="shared" si="56"/>
        <v>9.6947585794372515E-2</v>
      </c>
      <c r="CD81" s="2">
        <v>2.5567999210170861E-2</v>
      </c>
      <c r="CE81" s="2">
        <f t="shared" si="49"/>
        <v>9.1486614189499632E-2</v>
      </c>
      <c r="CF81" s="2">
        <v>1.3149020025420191E-2</v>
      </c>
      <c r="CG81" s="2">
        <f t="shared" si="50"/>
        <v>-1.9202001843013558E-6</v>
      </c>
      <c r="CH81" s="2">
        <f t="shared" si="51"/>
        <v>3.361941336244643E-4</v>
      </c>
      <c r="CI81" s="2">
        <f t="shared" si="52"/>
        <v>1.0921943209745766E-2</v>
      </c>
    </row>
    <row r="82" spans="43:87" x14ac:dyDescent="0.2"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s="2">
        <v>10</v>
      </c>
      <c r="BP82" s="2">
        <f t="shared" si="53"/>
        <v>9.6947585794372515E-2</v>
      </c>
      <c r="BQ82" s="2">
        <v>-8.8431722205531763E-3</v>
      </c>
      <c r="BR82" s="2">
        <f t="shared" si="54"/>
        <v>0.1024085573992454</v>
      </c>
      <c r="BS82" s="2">
        <v>5.2203355355092719E-3</v>
      </c>
      <c r="BT82" s="2">
        <f t="shared" si="45"/>
        <v>9.9678071596808956E-2</v>
      </c>
      <c r="BU82" s="2">
        <v>-1.6957706838753653E-3</v>
      </c>
      <c r="BV82" s="2">
        <f t="shared" si="46"/>
        <v>1.4995992204075092E-5</v>
      </c>
      <c r="BW82" s="2">
        <f t="shared" si="47"/>
        <v>-8.8524919611094294E-6</v>
      </c>
      <c r="BX82" s="2">
        <f t="shared" si="48"/>
        <v>5.4609716048728829E-3</v>
      </c>
      <c r="BY82"/>
      <c r="BZ82" s="2">
        <v>10</v>
      </c>
      <c r="CA82" s="2">
        <f t="shared" si="55"/>
        <v>8.6025642584626749E-2</v>
      </c>
      <c r="CB82" s="2">
        <v>-1.4603371054186173E-4</v>
      </c>
      <c r="CC82" s="2">
        <f t="shared" si="56"/>
        <v>9.1486614189499632E-2</v>
      </c>
      <c r="CD82" s="2">
        <v>1.3149020025420191E-2</v>
      </c>
      <c r="CE82" s="2">
        <f t="shared" si="49"/>
        <v>8.8756128387063191E-2</v>
      </c>
      <c r="CF82" s="2">
        <v>6.620974233169076E-3</v>
      </c>
      <c r="CG82" s="2">
        <f t="shared" si="50"/>
        <v>-9.668854346717379E-7</v>
      </c>
      <c r="CH82" s="2">
        <f t="shared" si="51"/>
        <v>8.7059322779731269E-5</v>
      </c>
      <c r="CI82" s="2">
        <f t="shared" si="52"/>
        <v>5.4609716048728829E-3</v>
      </c>
    </row>
    <row r="83" spans="43:87" x14ac:dyDescent="0.2"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 s="2">
        <v>11</v>
      </c>
      <c r="BP83" s="2">
        <f t="shared" si="53"/>
        <v>9.9678071596808956E-2</v>
      </c>
      <c r="BQ83" s="2">
        <v>-1.6957706838753653E-3</v>
      </c>
      <c r="BR83" s="2">
        <f t="shared" si="54"/>
        <v>0.1024085573992454</v>
      </c>
      <c r="BS83" s="2">
        <v>5.2203355355092719E-3</v>
      </c>
      <c r="BT83" s="2">
        <f t="shared" si="45"/>
        <v>0.10104331449802717</v>
      </c>
      <c r="BU83" s="2">
        <v>1.7900496318656971E-3</v>
      </c>
      <c r="BV83" s="2">
        <f t="shared" si="46"/>
        <v>-3.0355136883997391E-6</v>
      </c>
      <c r="BW83" s="2">
        <f t="shared" si="47"/>
        <v>9.344659703553789E-6</v>
      </c>
      <c r="BX83" s="2">
        <f t="shared" si="48"/>
        <v>2.7304858024364415E-3</v>
      </c>
      <c r="BY83"/>
      <c r="BZ83" s="2">
        <v>11</v>
      </c>
      <c r="CA83" s="2">
        <f t="shared" si="55"/>
        <v>8.6025642584626749E-2</v>
      </c>
      <c r="CB83" s="2">
        <v>-1.4603371054186173E-4</v>
      </c>
      <c r="CC83" s="2">
        <f t="shared" si="56"/>
        <v>8.8756128387063191E-2</v>
      </c>
      <c r="CD83" s="2">
        <v>6.620974233169076E-3</v>
      </c>
      <c r="CE83" s="2">
        <f t="shared" si="49"/>
        <v>8.7390885485844977E-2</v>
      </c>
      <c r="CF83" s="2">
        <v>3.2687218437255847E-3</v>
      </c>
      <c r="CG83" s="2">
        <f t="shared" si="50"/>
        <v>-4.7734357956848264E-7</v>
      </c>
      <c r="CH83" s="2">
        <f t="shared" si="51"/>
        <v>2.1642123102704012E-5</v>
      </c>
      <c r="CI83" s="2">
        <f t="shared" si="52"/>
        <v>2.7304858024364415E-3</v>
      </c>
    </row>
    <row r="84" spans="43:87" x14ac:dyDescent="0.2"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s="2">
        <v>12</v>
      </c>
      <c r="BP84" s="2">
        <f t="shared" si="53"/>
        <v>9.9678071596808956E-2</v>
      </c>
      <c r="BQ84" s="2">
        <v>-1.6957706838753653E-3</v>
      </c>
      <c r="BR84" s="2">
        <f t="shared" si="54"/>
        <v>0.10104331449802717</v>
      </c>
      <c r="BS84" s="2">
        <v>1.7900496318656971E-3</v>
      </c>
      <c r="BT84" s="2">
        <f t="shared" si="45"/>
        <v>0.10036069304741807</v>
      </c>
      <c r="BU84" s="2">
        <v>5.4219517243062065E-5</v>
      </c>
      <c r="BV84" s="2">
        <f t="shared" si="46"/>
        <v>-9.1943867834659516E-8</v>
      </c>
      <c r="BW84" s="2">
        <f t="shared" si="47"/>
        <v>9.7055626880879059E-8</v>
      </c>
      <c r="BX84" s="2">
        <f t="shared" si="48"/>
        <v>1.3652429012182138E-3</v>
      </c>
      <c r="BY84"/>
      <c r="BZ84" s="2">
        <v>12</v>
      </c>
      <c r="CA84" s="2">
        <f t="shared" si="55"/>
        <v>8.6025642584626749E-2</v>
      </c>
      <c r="CB84" s="2">
        <v>-1.4603371054186173E-4</v>
      </c>
      <c r="CC84" s="2">
        <f t="shared" si="56"/>
        <v>8.7390885485844977E-2</v>
      </c>
      <c r="CD84" s="2">
        <v>3.2687218437255847E-3</v>
      </c>
      <c r="CE84" s="2">
        <f t="shared" si="49"/>
        <v>8.6708264035235863E-2</v>
      </c>
      <c r="CF84" s="2">
        <v>1.5693390467943803E-3</v>
      </c>
      <c r="CG84" s="2">
        <f t="shared" si="50"/>
        <v>-2.2917640410161174E-7</v>
      </c>
      <c r="CH84" s="2">
        <f t="shared" si="51"/>
        <v>5.1297328224682788E-6</v>
      </c>
      <c r="CI84" s="2">
        <f t="shared" si="52"/>
        <v>1.3652429012182277E-3</v>
      </c>
    </row>
    <row r="85" spans="43:87" x14ac:dyDescent="0.2"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 s="2">
        <v>13</v>
      </c>
      <c r="BP85" s="2">
        <f t="shared" si="53"/>
        <v>9.9678071596808956E-2</v>
      </c>
      <c r="BQ85" s="2">
        <v>-1.6957706838753653E-3</v>
      </c>
      <c r="BR85" s="2">
        <f t="shared" si="54"/>
        <v>0.10036069304741807</v>
      </c>
      <c r="BS85" s="2">
        <v>5.4219517243062065E-5</v>
      </c>
      <c r="BT85" s="2">
        <f t="shared" si="45"/>
        <v>0.10001938232211352</v>
      </c>
      <c r="BU85" s="2">
        <v>-8.1898788123244831E-4</v>
      </c>
      <c r="BV85" s="2">
        <f t="shared" si="46"/>
        <v>1.3888156394431852E-6</v>
      </c>
      <c r="BW85" s="2">
        <f t="shared" si="47"/>
        <v>-4.4405127548341599E-8</v>
      </c>
      <c r="BX85" s="2">
        <f t="shared" si="48"/>
        <v>6.8262145060911383E-4</v>
      </c>
      <c r="BY85"/>
      <c r="BZ85" s="2">
        <v>13</v>
      </c>
      <c r="CA85" s="2">
        <f t="shared" si="55"/>
        <v>8.6025642584626749E-2</v>
      </c>
      <c r="CB85" s="2">
        <v>-1.4603371054186173E-4</v>
      </c>
      <c r="CC85" s="2">
        <f t="shared" si="56"/>
        <v>8.6708264035235863E-2</v>
      </c>
      <c r="CD85" s="2">
        <v>1.5693390467943803E-3</v>
      </c>
      <c r="CE85" s="2">
        <f t="shared" si="49"/>
        <v>8.6366953309931299E-2</v>
      </c>
      <c r="CF85" s="2">
        <v>7.1367479736889408E-4</v>
      </c>
      <c r="CG85" s="2">
        <f t="shared" si="50"/>
        <v>-1.0422057877999091E-7</v>
      </c>
      <c r="CH85" s="2">
        <f t="shared" si="51"/>
        <v>1.1199977262240727E-6</v>
      </c>
      <c r="CI85" s="2">
        <f t="shared" si="52"/>
        <v>6.8262145060911383E-4</v>
      </c>
    </row>
    <row r="86" spans="43:87" x14ac:dyDescent="0.2"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s="2">
        <v>14</v>
      </c>
      <c r="BP86" s="2">
        <f t="shared" si="53"/>
        <v>0.10001938232211352</v>
      </c>
      <c r="BQ86" s="2">
        <v>-8.1898788123244831E-4</v>
      </c>
      <c r="BR86" s="2">
        <f t="shared" si="54"/>
        <v>0.10036069304741807</v>
      </c>
      <c r="BS86" s="2">
        <v>5.4219517243062065E-5</v>
      </c>
      <c r="BT86" s="2">
        <f t="shared" si="45"/>
        <v>0.1001900376847658</v>
      </c>
      <c r="BU86" s="2">
        <v>-3.8193948664036817E-4</v>
      </c>
      <c r="BV86" s="2">
        <f t="shared" si="46"/>
        <v>3.1280381092260411E-7</v>
      </c>
      <c r="BW86" s="2">
        <f t="shared" si="47"/>
        <v>-2.0708574581703715E-8</v>
      </c>
      <c r="BX86" s="2">
        <f t="shared" si="48"/>
        <v>3.4131072530454998E-4</v>
      </c>
      <c r="BY86"/>
      <c r="BZ86" s="2">
        <v>14</v>
      </c>
      <c r="CA86" s="2">
        <f t="shared" si="55"/>
        <v>8.6025642584626749E-2</v>
      </c>
      <c r="CB86" s="2">
        <v>-1.4603371054186173E-4</v>
      </c>
      <c r="CC86" s="2">
        <f t="shared" si="56"/>
        <v>8.6366953309931299E-2</v>
      </c>
      <c r="CD86" s="2">
        <v>7.1367479736889408E-4</v>
      </c>
      <c r="CE86" s="2">
        <f t="shared" si="49"/>
        <v>8.6196297947279024E-2</v>
      </c>
      <c r="CF86" s="2">
        <v>2.843290388802322E-4</v>
      </c>
      <c r="CG86" s="2">
        <f t="shared" si="50"/>
        <v>-4.1521624562481578E-8</v>
      </c>
      <c r="CH86" s="2">
        <f t="shared" si="51"/>
        <v>2.0291846920894212E-7</v>
      </c>
      <c r="CI86" s="2">
        <f t="shared" si="52"/>
        <v>3.4131072530454998E-4</v>
      </c>
    </row>
    <row r="87" spans="43:87" x14ac:dyDescent="0.2"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s="2">
        <v>15</v>
      </c>
      <c r="BP87" s="2">
        <f t="shared" si="53"/>
        <v>0.1001900376847658</v>
      </c>
      <c r="BQ87" s="2">
        <v>-3.8193948664036817E-4</v>
      </c>
      <c r="BR87" s="2">
        <f t="shared" si="54"/>
        <v>0.10036069304741807</v>
      </c>
      <c r="BS87" s="2">
        <v>5.4219517243062065E-5</v>
      </c>
      <c r="BT87" s="2">
        <f t="shared" si="45"/>
        <v>0.10027536536609194</v>
      </c>
      <c r="BU87" s="2">
        <v>-1.6374908797698456E-4</v>
      </c>
      <c r="BV87" s="2">
        <f t="shared" si="46"/>
        <v>6.2542242599757967E-8</v>
      </c>
      <c r="BW87" s="2">
        <f t="shared" si="47"/>
        <v>-8.8783964991038019E-9</v>
      </c>
      <c r="BX87" s="2">
        <f t="shared" si="48"/>
        <v>1.7065536265227499E-4</v>
      </c>
      <c r="BY87"/>
      <c r="BZ87" s="2">
        <v>15</v>
      </c>
      <c r="CA87" s="2">
        <f t="shared" si="55"/>
        <v>8.6025642584626749E-2</v>
      </c>
      <c r="CB87" s="2">
        <v>-1.4603371054186173E-4</v>
      </c>
      <c r="CC87" s="2">
        <f t="shared" si="56"/>
        <v>8.6196297947279024E-2</v>
      </c>
      <c r="CD87" s="2">
        <v>2.843290388802322E-4</v>
      </c>
      <c r="CE87" s="2">
        <f t="shared" si="49"/>
        <v>8.611097026595288E-2</v>
      </c>
      <c r="CF87" s="2">
        <v>6.9275160975844352E-5</v>
      </c>
      <c r="CG87" s="2">
        <f t="shared" si="50"/>
        <v>-1.0116508805687329E-8</v>
      </c>
      <c r="CH87" s="2">
        <f t="shared" si="51"/>
        <v>1.9696939938535192E-8</v>
      </c>
      <c r="CI87" s="2">
        <f t="shared" si="52"/>
        <v>1.7065536265227499E-4</v>
      </c>
    </row>
    <row r="88" spans="43:87" x14ac:dyDescent="0.2"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2">
        <v>16</v>
      </c>
      <c r="BP88" s="2">
        <f t="shared" si="53"/>
        <v>0.10027536536609194</v>
      </c>
      <c r="BQ88" s="2">
        <v>-1.6374908797698456E-4</v>
      </c>
      <c r="BR88" s="2">
        <f t="shared" si="54"/>
        <v>0.10036069304741807</v>
      </c>
      <c r="BS88" s="2">
        <v>5.4219517243062065E-5</v>
      </c>
      <c r="BT88" s="2">
        <f t="shared" si="45"/>
        <v>0.10031802920675501</v>
      </c>
      <c r="BU88" s="2">
        <v>-5.4737095723466495E-5</v>
      </c>
      <c r="BV88" s="2">
        <f t="shared" si="46"/>
        <v>8.9631495032265407E-9</v>
      </c>
      <c r="BW88" s="2">
        <f t="shared" si="47"/>
        <v>-2.9678189054136306E-9</v>
      </c>
      <c r="BX88" s="2">
        <f t="shared" si="48"/>
        <v>8.5327681326130556E-5</v>
      </c>
      <c r="BY88"/>
      <c r="BZ88" s="2">
        <v>16</v>
      </c>
      <c r="CA88" s="2">
        <f t="shared" si="55"/>
        <v>8.6025642584626749E-2</v>
      </c>
      <c r="CB88" s="2">
        <v>-1.4603371054186173E-4</v>
      </c>
      <c r="CC88" s="2">
        <f t="shared" si="56"/>
        <v>8.611097026595288E-2</v>
      </c>
      <c r="CD88" s="2">
        <v>6.9275160975844352E-5</v>
      </c>
      <c r="CE88" s="2">
        <f t="shared" si="49"/>
        <v>8.6068306425289814E-2</v>
      </c>
      <c r="CF88" s="2">
        <v>-3.8347353803570849E-5</v>
      </c>
      <c r="CG88" s="2">
        <f t="shared" si="50"/>
        <v>5.6000063653970258E-9</v>
      </c>
      <c r="CH88" s="2">
        <f t="shared" si="51"/>
        <v>-2.6565191077400278E-9</v>
      </c>
      <c r="CI88" s="2">
        <f t="shared" si="52"/>
        <v>8.5327681326130556E-5</v>
      </c>
    </row>
    <row r="89" spans="43:87" x14ac:dyDescent="0.2"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2">
        <v>17</v>
      </c>
      <c r="BP89" s="2">
        <f t="shared" si="53"/>
        <v>0.10031802920675501</v>
      </c>
      <c r="BQ89" s="2">
        <v>-5.4737095723466495E-5</v>
      </c>
      <c r="BR89" s="2">
        <f t="shared" si="54"/>
        <v>0.10036069304741807</v>
      </c>
      <c r="BS89" s="2">
        <v>5.4219517243062065E-5</v>
      </c>
      <c r="BT89" s="2">
        <f t="shared" si="45"/>
        <v>0.10033936112708654</v>
      </c>
      <c r="BU89" s="2">
        <v>-2.5187114006952616E-7</v>
      </c>
      <c r="BV89" s="2">
        <f t="shared" si="46"/>
        <v>1.3786694703964291E-11</v>
      </c>
      <c r="BW89" s="2">
        <f t="shared" si="47"/>
        <v>-1.3656331622029374E-11</v>
      </c>
      <c r="BX89" s="2">
        <f t="shared" si="48"/>
        <v>4.2663840663065278E-5</v>
      </c>
      <c r="BY89"/>
      <c r="BZ89" s="2">
        <v>17</v>
      </c>
      <c r="CA89" s="2">
        <f t="shared" si="55"/>
        <v>8.6068306425289814E-2</v>
      </c>
      <c r="CB89" s="2">
        <v>-3.8347353803570849E-5</v>
      </c>
      <c r="CC89" s="2">
        <f t="shared" si="56"/>
        <v>8.611097026595288E-2</v>
      </c>
      <c r="CD89" s="2">
        <v>6.9275160975844352E-5</v>
      </c>
      <c r="CE89" s="2">
        <f t="shared" si="49"/>
        <v>8.6089638345621347E-2</v>
      </c>
      <c r="CF89" s="2">
        <v>1.5471877976583337E-5</v>
      </c>
      <c r="CG89" s="2">
        <f t="shared" si="50"/>
        <v>-5.933055787737171E-10</v>
      </c>
      <c r="CH89" s="2">
        <f t="shared" si="51"/>
        <v>1.0718168374264317E-9</v>
      </c>
      <c r="CI89" s="2">
        <f t="shared" si="52"/>
        <v>4.2663840663065278E-5</v>
      </c>
    </row>
    <row r="90" spans="43:87" x14ac:dyDescent="0.2"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2">
        <v>18</v>
      </c>
      <c r="BP90" s="2">
        <f t="shared" si="53"/>
        <v>0.10033936112708654</v>
      </c>
      <c r="BQ90" s="2">
        <v>-2.5187114006952616E-7</v>
      </c>
      <c r="BR90" s="2">
        <f t="shared" si="54"/>
        <v>0.10036069304741807</v>
      </c>
      <c r="BS90" s="2">
        <v>5.4219517243062065E-5</v>
      </c>
      <c r="BT90" s="2">
        <f t="shared" si="45"/>
        <v>0.1003500270872523</v>
      </c>
      <c r="BU90" s="2">
        <v>2.698555203806477E-5</v>
      </c>
      <c r="BV90" s="2">
        <f t="shared" si="46"/>
        <v>-6.7968817572328986E-12</v>
      </c>
      <c r="BW90" s="2">
        <f t="shared" si="47"/>
        <v>1.4631436040414015E-9</v>
      </c>
      <c r="BX90" s="2">
        <f t="shared" si="48"/>
        <v>2.1331920331532639E-5</v>
      </c>
      <c r="BY90"/>
      <c r="BZ90" s="2">
        <v>18</v>
      </c>
      <c r="CA90" s="2">
        <f t="shared" si="55"/>
        <v>8.6068306425289814E-2</v>
      </c>
      <c r="CB90" s="2">
        <v>-3.8347353803570849E-5</v>
      </c>
      <c r="CC90" s="2">
        <f t="shared" si="56"/>
        <v>8.6089638345621347E-2</v>
      </c>
      <c r="CD90" s="2">
        <v>1.5471877976583337E-5</v>
      </c>
      <c r="CE90" s="2">
        <f t="shared" si="49"/>
        <v>8.6078972385455588E-2</v>
      </c>
      <c r="CF90" s="2">
        <v>-1.1435743584489733E-5</v>
      </c>
      <c r="CG90" s="2">
        <f t="shared" si="50"/>
        <v>4.3853050524134329E-10</v>
      </c>
      <c r="CH90" s="2">
        <f t="shared" si="51"/>
        <v>-1.7693242931072089E-10</v>
      </c>
      <c r="CI90" s="2">
        <f t="shared" si="52"/>
        <v>2.1331920331532639E-5</v>
      </c>
    </row>
    <row r="91" spans="43:87" x14ac:dyDescent="0.2"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2">
        <v>19</v>
      </c>
      <c r="BP91" s="2">
        <f t="shared" si="53"/>
        <v>0.10033936112708654</v>
      </c>
      <c r="BQ91" s="2">
        <v>2.698555203806477E-5</v>
      </c>
      <c r="BR91" s="2">
        <f t="shared" si="54"/>
        <v>0.1003500270872523</v>
      </c>
      <c r="BS91" s="2">
        <v>5.4219517243062065E-5</v>
      </c>
      <c r="BT91" s="2">
        <f t="shared" si="45"/>
        <v>0.10034469410716942</v>
      </c>
      <c r="BU91" s="2">
        <v>4.0602966819906078E-5</v>
      </c>
      <c r="BV91" s="2">
        <f t="shared" si="46"/>
        <v>1.0956934740183927E-9</v>
      </c>
      <c r="BW91" s="2">
        <f t="shared" si="47"/>
        <v>2.2014732596113743E-9</v>
      </c>
      <c r="BX91" s="2">
        <f t="shared" si="48"/>
        <v>1.0665960165759381E-5</v>
      </c>
      <c r="BY91"/>
      <c r="BZ91" s="2">
        <v>19</v>
      </c>
      <c r="CA91" s="2">
        <f t="shared" si="55"/>
        <v>8.6078972385455588E-2</v>
      </c>
      <c r="CB91" s="2">
        <v>-1.1435743584489733E-5</v>
      </c>
      <c r="CC91" s="2">
        <f t="shared" si="56"/>
        <v>8.6089638345621347E-2</v>
      </c>
      <c r="CD91" s="2">
        <v>1.5471877976583337E-5</v>
      </c>
      <c r="CE91" s="2">
        <f t="shared" si="49"/>
        <v>8.608430536553846E-2</v>
      </c>
      <c r="CF91" s="2">
        <v>2.018565686830176E-6</v>
      </c>
      <c r="CG91" s="2">
        <f t="shared" si="50"/>
        <v>-2.3083799603039296E-11</v>
      </c>
      <c r="CH91" s="2">
        <f t="shared" si="51"/>
        <v>3.1231001994354617E-11</v>
      </c>
      <c r="CI91" s="2">
        <f t="shared" si="52"/>
        <v>1.0665960165759381E-5</v>
      </c>
    </row>
    <row r="92" spans="43:87" x14ac:dyDescent="0.2"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2">
        <v>20</v>
      </c>
      <c r="BP92" s="2">
        <f t="shared" si="53"/>
        <v>0.10034469410716942</v>
      </c>
      <c r="BQ92" s="2">
        <v>2.698555203806477E-5</v>
      </c>
      <c r="BR92" s="2">
        <f t="shared" si="54"/>
        <v>0.10034469410716942</v>
      </c>
      <c r="BS92" s="2">
        <v>4.0602966819906078E-5</v>
      </c>
      <c r="BT92" s="2">
        <f t="shared" si="45"/>
        <v>0.10034469410716942</v>
      </c>
      <c r="BU92" s="2">
        <v>4.0602966819906078E-5</v>
      </c>
      <c r="BV92" s="2">
        <f t="shared" si="46"/>
        <v>1.0956934740183927E-9</v>
      </c>
      <c r="BW92" s="2">
        <f t="shared" si="47"/>
        <v>1.6486009145783938E-9</v>
      </c>
      <c r="BX92" s="2">
        <f t="shared" si="48"/>
        <v>0</v>
      </c>
      <c r="BY92"/>
      <c r="BZ92" s="2">
        <v>20</v>
      </c>
      <c r="CA92" s="2">
        <f t="shared" si="55"/>
        <v>8.6078972385455588E-2</v>
      </c>
      <c r="CB92" s="2">
        <v>-1.1435743584489733E-5</v>
      </c>
      <c r="CC92" s="2">
        <f t="shared" si="56"/>
        <v>8.608430536553846E-2</v>
      </c>
      <c r="CD92" s="2">
        <v>2.018565686830176E-6</v>
      </c>
      <c r="CE92" s="2">
        <f t="shared" si="49"/>
        <v>8.6081638875497024E-2</v>
      </c>
      <c r="CF92" s="2">
        <v>-4.7084643147177196E-6</v>
      </c>
      <c r="CG92" s="2">
        <f t="shared" si="50"/>
        <v>5.384479057983201E-11</v>
      </c>
      <c r="CH92" s="2">
        <f t="shared" si="51"/>
        <v>-9.504344503353547E-12</v>
      </c>
      <c r="CI92" s="2">
        <f t="shared" si="52"/>
        <v>5.3329800828727514E-6</v>
      </c>
    </row>
    <row r="93" spans="43:87" x14ac:dyDescent="0.2"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2">
        <v>21</v>
      </c>
      <c r="BP93" s="2">
        <f t="shared" si="53"/>
        <v>0.10034469410716942</v>
      </c>
      <c r="BQ93" s="2">
        <v>2.698555203806477E-5</v>
      </c>
      <c r="BR93" s="2">
        <f t="shared" si="54"/>
        <v>0.10034469410716942</v>
      </c>
      <c r="BS93" s="2">
        <v>3.379436748222539E-5</v>
      </c>
      <c r="BT93" s="2">
        <f t="shared" si="45"/>
        <v>0.10034469410716942</v>
      </c>
      <c r="BU93" s="2">
        <v>4.0602966819906078E-5</v>
      </c>
      <c r="BV93" s="2">
        <f t="shared" si="46"/>
        <v>1.0956934740183927E-9</v>
      </c>
      <c r="BW93" s="2">
        <f t="shared" si="47"/>
        <v>1.3721515815805104E-9</v>
      </c>
      <c r="BX93" s="2">
        <f t="shared" si="48"/>
        <v>0</v>
      </c>
      <c r="BY93"/>
      <c r="BZ93" s="2">
        <v>21</v>
      </c>
      <c r="CA93" s="2">
        <f t="shared" si="55"/>
        <v>8.6081638875497024E-2</v>
      </c>
      <c r="CB93" s="2">
        <v>-4.7084643147177196E-6</v>
      </c>
      <c r="CC93" s="2">
        <f t="shared" si="56"/>
        <v>8.608430536553846E-2</v>
      </c>
      <c r="CD93" s="2">
        <v>2.018565686830176E-6</v>
      </c>
      <c r="CE93" s="2">
        <f t="shared" si="49"/>
        <v>8.6082972120517742E-2</v>
      </c>
      <c r="CF93" s="2">
        <v>-1.3449181568495061E-6</v>
      </c>
      <c r="CG93" s="2">
        <f t="shared" si="50"/>
        <v>6.3324991477418283E-12</v>
      </c>
      <c r="CH93" s="2">
        <f t="shared" si="51"/>
        <v>-2.7148056430112978E-12</v>
      </c>
      <c r="CI93" s="2">
        <f t="shared" si="52"/>
        <v>2.6664900414363757E-6</v>
      </c>
    </row>
    <row r="94" spans="43:87" x14ac:dyDescent="0.2"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2">
        <v>22</v>
      </c>
      <c r="BP94" s="2">
        <f t="shared" si="53"/>
        <v>0.10034469410716942</v>
      </c>
      <c r="BQ94" s="2">
        <v>2.698555203806477E-5</v>
      </c>
      <c r="BR94" s="2">
        <f t="shared" si="54"/>
        <v>0.10034469410716942</v>
      </c>
      <c r="BS94" s="2">
        <v>3.0389986774521927E-5</v>
      </c>
      <c r="BT94" s="2">
        <f t="shared" si="45"/>
        <v>0.10034469410716942</v>
      </c>
      <c r="BU94" s="2">
        <v>4.0602966819906078E-5</v>
      </c>
      <c r="BV94" s="2">
        <f t="shared" si="46"/>
        <v>1.0956934740183927E-9</v>
      </c>
      <c r="BW94" s="2">
        <f t="shared" si="47"/>
        <v>1.2339236246632983E-9</v>
      </c>
      <c r="BX94" s="2">
        <f t="shared" si="48"/>
        <v>0</v>
      </c>
      <c r="BY94"/>
      <c r="BZ94" s="2">
        <v>22</v>
      </c>
      <c r="CA94" s="2">
        <f t="shared" si="55"/>
        <v>8.6082972120517742E-2</v>
      </c>
      <c r="CB94" s="2">
        <v>-1.3449181568495061E-6</v>
      </c>
      <c r="CC94" s="2">
        <f t="shared" si="56"/>
        <v>8.608430536553846E-2</v>
      </c>
      <c r="CD94" s="2">
        <v>2.018565686830176E-6</v>
      </c>
      <c r="CE94" s="2">
        <f t="shared" si="49"/>
        <v>8.6083638743028101E-2</v>
      </c>
      <c r="CF94" s="2">
        <v>3.3683155408956167E-7</v>
      </c>
      <c r="CG94" s="2">
        <f t="shared" si="50"/>
        <v>-4.53010872894888E-13</v>
      </c>
      <c r="CH94" s="2">
        <f t="shared" si="51"/>
        <v>6.7991661732687166E-13</v>
      </c>
      <c r="CI94" s="2">
        <f t="shared" si="52"/>
        <v>1.3332450207181878E-6</v>
      </c>
    </row>
    <row r="95" spans="43:87" x14ac:dyDescent="0.2"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2">
        <v>23</v>
      </c>
      <c r="BP95" s="2">
        <f t="shared" si="53"/>
        <v>0.10034469410716942</v>
      </c>
      <c r="BQ95" s="2">
        <v>2.698555203806477E-5</v>
      </c>
      <c r="BR95" s="2">
        <f t="shared" si="54"/>
        <v>0.10034469410716942</v>
      </c>
      <c r="BS95" s="2">
        <v>2.8687776159993378E-5</v>
      </c>
      <c r="BT95" s="2">
        <f t="shared" si="45"/>
        <v>0.10034469410716942</v>
      </c>
      <c r="BU95" s="2">
        <v>4.0602966819906078E-5</v>
      </c>
      <c r="BV95" s="2">
        <f t="shared" si="46"/>
        <v>1.0956934740183927E-9</v>
      </c>
      <c r="BW95" s="2">
        <f t="shared" si="47"/>
        <v>1.1648088235611037E-9</v>
      </c>
      <c r="BX95" s="2">
        <f t="shared" si="48"/>
        <v>0</v>
      </c>
      <c r="BY95"/>
      <c r="BZ95" s="2">
        <v>23</v>
      </c>
      <c r="CA95" s="2">
        <f t="shared" si="55"/>
        <v>8.6082972120517742E-2</v>
      </c>
      <c r="CB95" s="2">
        <v>-1.3449181568495061E-6</v>
      </c>
      <c r="CC95" s="2">
        <f t="shared" si="56"/>
        <v>8.6083638743028101E-2</v>
      </c>
      <c r="CD95" s="2">
        <v>3.3683155408956167E-7</v>
      </c>
      <c r="CE95" s="2">
        <f t="shared" si="49"/>
        <v>8.6083305431772922E-2</v>
      </c>
      <c r="CF95" s="2">
        <v>-5.0404135409562456E-7</v>
      </c>
      <c r="CG95" s="2">
        <f t="shared" si="50"/>
        <v>6.7789436892621668E-13</v>
      </c>
      <c r="CH95" s="2">
        <f t="shared" si="51"/>
        <v>-1.6977703262543628E-13</v>
      </c>
      <c r="CI95" s="2">
        <f t="shared" si="52"/>
        <v>6.6662251035909392E-7</v>
      </c>
    </row>
    <row r="96" spans="43:87" x14ac:dyDescent="0.2"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2">
        <v>24</v>
      </c>
      <c r="BP96" s="2">
        <f t="shared" si="53"/>
        <v>0.10034469410716942</v>
      </c>
      <c r="BQ96" s="2">
        <v>2.698555203806477E-5</v>
      </c>
      <c r="BR96" s="2">
        <f t="shared" si="54"/>
        <v>0.10034469410716942</v>
      </c>
      <c r="BS96" s="2">
        <v>2.7836665787473597E-5</v>
      </c>
      <c r="BT96" s="2">
        <f t="shared" si="45"/>
        <v>0.10034469410716942</v>
      </c>
      <c r="BU96" s="2">
        <v>4.0602966819906078E-5</v>
      </c>
      <c r="BV96" s="2">
        <f t="shared" si="46"/>
        <v>1.0956934740183927E-9</v>
      </c>
      <c r="BW96" s="2">
        <f t="shared" si="47"/>
        <v>1.1302512173456051E-9</v>
      </c>
      <c r="BX96" s="2">
        <f t="shared" si="48"/>
        <v>0</v>
      </c>
      <c r="BY96"/>
      <c r="BZ96" s="2">
        <v>24</v>
      </c>
      <c r="CA96" s="2">
        <f t="shared" si="55"/>
        <v>8.6083305431772922E-2</v>
      </c>
      <c r="CB96" s="2">
        <v>-5.0404135409562456E-7</v>
      </c>
      <c r="CC96" s="2">
        <f t="shared" si="56"/>
        <v>8.6083638743028101E-2</v>
      </c>
      <c r="CD96" s="2">
        <v>3.3683155408956167E-7</v>
      </c>
      <c r="CE96" s="2">
        <f t="shared" si="49"/>
        <v>8.6083472087400512E-2</v>
      </c>
      <c r="CF96" s="2">
        <v>-8.3604413163296254E-8</v>
      </c>
      <c r="CG96" s="2">
        <f t="shared" si="50"/>
        <v>4.2140081619197904E-14</v>
      </c>
      <c r="CH96" s="2">
        <f t="shared" si="51"/>
        <v>-2.8160604414538885E-14</v>
      </c>
      <c r="CI96" s="2">
        <f t="shared" si="52"/>
        <v>3.3331125517954696E-7</v>
      </c>
    </row>
    <row r="97" spans="43:87" x14ac:dyDescent="0.2"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 s="2">
        <v>25</v>
      </c>
      <c r="BP97" s="2">
        <f t="shared" si="53"/>
        <v>0.10034469410716942</v>
      </c>
      <c r="BQ97" s="2">
        <v>2.698555203806477E-5</v>
      </c>
      <c r="BR97" s="2">
        <f t="shared" si="54"/>
        <v>0.10034469410716942</v>
      </c>
      <c r="BS97" s="2">
        <v>2.7411109334889855E-5</v>
      </c>
      <c r="BT97" s="2">
        <f t="shared" si="45"/>
        <v>0.10034469410716942</v>
      </c>
      <c r="BU97" s="2">
        <v>4.0602966819906078E-5</v>
      </c>
      <c r="BV97" s="2">
        <f t="shared" si="46"/>
        <v>1.0956934740183927E-9</v>
      </c>
      <c r="BW97" s="2">
        <f t="shared" si="47"/>
        <v>1.1129723628213506E-9</v>
      </c>
      <c r="BX97" s="2">
        <f t="shared" si="48"/>
        <v>0</v>
      </c>
      <c r="BY97"/>
      <c r="BZ97" s="2">
        <v>25</v>
      </c>
      <c r="CA97" s="2">
        <f t="shared" si="55"/>
        <v>8.6083472087400512E-2</v>
      </c>
      <c r="CB97" s="2">
        <v>-8.3604413163296254E-8</v>
      </c>
      <c r="CC97" s="2">
        <f t="shared" si="56"/>
        <v>8.6083638743028101E-2</v>
      </c>
      <c r="CD97" s="2">
        <v>-8.3604413163296254E-8</v>
      </c>
      <c r="CE97" s="2">
        <f t="shared" si="49"/>
        <v>8.6083555415214313E-2</v>
      </c>
      <c r="CF97" s="2">
        <v>-8.3604413163296254E-8</v>
      </c>
      <c r="CG97" s="2">
        <f t="shared" si="50"/>
        <v>6.9896979003791442E-15</v>
      </c>
      <c r="CH97" s="2">
        <f t="shared" si="51"/>
        <v>6.9896979003791442E-15</v>
      </c>
      <c r="CI97" s="2">
        <f t="shared" si="52"/>
        <v>1.6665562758977348E-7</v>
      </c>
    </row>
    <row r="98" spans="43:87" x14ac:dyDescent="0.2"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2">
        <v>26</v>
      </c>
      <c r="BP98" s="2">
        <f t="shared" si="53"/>
        <v>0.10034469410716942</v>
      </c>
      <c r="BQ98" s="2">
        <v>2.698555203806477E-5</v>
      </c>
      <c r="BR98" s="2">
        <f t="shared" si="54"/>
        <v>0.10034469410716942</v>
      </c>
      <c r="BS98" s="2">
        <v>2.7198330791986663E-5</v>
      </c>
      <c r="BT98" s="2">
        <f t="shared" si="45"/>
        <v>0.10034469410716942</v>
      </c>
      <c r="BU98" s="2">
        <v>4.0602966819906078E-5</v>
      </c>
      <c r="BV98" s="2">
        <f t="shared" si="46"/>
        <v>1.0956934740183927E-9</v>
      </c>
      <c r="BW98" s="2">
        <f t="shared" si="47"/>
        <v>1.1043329227038642E-9</v>
      </c>
      <c r="BX98" s="2">
        <f t="shared" si="48"/>
        <v>0</v>
      </c>
      <c r="BY98"/>
      <c r="BZ98" s="2">
        <v>26</v>
      </c>
      <c r="CA98" s="2">
        <f t="shared" si="55"/>
        <v>8.6083555415214313E-2</v>
      </c>
      <c r="CB98" s="2">
        <v>-8.3604413163296254E-8</v>
      </c>
      <c r="CC98" s="2">
        <f t="shared" si="56"/>
        <v>8.6083555415214313E-2</v>
      </c>
      <c r="CD98" s="2">
        <v>-8.3604413163296254E-8</v>
      </c>
      <c r="CE98" s="2">
        <f t="shared" si="49"/>
        <v>8.6083555415214313E-2</v>
      </c>
      <c r="CF98" s="2">
        <v>-8.3604413163296254E-8</v>
      </c>
      <c r="CG98" s="2">
        <f t="shared" si="50"/>
        <v>6.9896979003791442E-15</v>
      </c>
      <c r="CH98" s="2">
        <f t="shared" si="51"/>
        <v>6.9896979003791442E-15</v>
      </c>
      <c r="CI98" s="2">
        <f t="shared" si="52"/>
        <v>0</v>
      </c>
    </row>
    <row r="99" spans="43:87" x14ac:dyDescent="0.2"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2">
        <v>27</v>
      </c>
      <c r="BP99" s="2">
        <f t="shared" si="53"/>
        <v>0.10034469410716942</v>
      </c>
      <c r="BQ99" s="2">
        <v>2.698555203806477E-5</v>
      </c>
      <c r="BR99" s="2">
        <f t="shared" si="54"/>
        <v>0.10034469410716942</v>
      </c>
      <c r="BS99" s="2">
        <v>2.7091941441410861E-5</v>
      </c>
      <c r="BT99" s="2">
        <f t="shared" si="45"/>
        <v>0.10034469410716942</v>
      </c>
      <c r="BU99" s="2">
        <v>4.0602966819906078E-5</v>
      </c>
      <c r="BV99" s="2">
        <f t="shared" si="46"/>
        <v>1.0956934740183927E-9</v>
      </c>
      <c r="BW99" s="2">
        <f t="shared" si="47"/>
        <v>1.1000131994324437E-9</v>
      </c>
      <c r="BX99" s="2">
        <f t="shared" si="48"/>
        <v>0</v>
      </c>
      <c r="BY99"/>
      <c r="BZ99" s="2">
        <v>27</v>
      </c>
      <c r="CA99" s="2">
        <f t="shared" si="55"/>
        <v>8.6083555415214313E-2</v>
      </c>
      <c r="CB99" s="2">
        <v>-8.3604413163296254E-8</v>
      </c>
      <c r="CC99" s="2">
        <f t="shared" si="56"/>
        <v>8.6083555415214313E-2</v>
      </c>
      <c r="CD99" s="2">
        <v>-8.3604413163296254E-8</v>
      </c>
      <c r="CE99" s="2">
        <f t="shared" si="49"/>
        <v>8.6083555415214313E-2</v>
      </c>
      <c r="CF99" s="2">
        <v>-8.3604413163296254E-8</v>
      </c>
      <c r="CG99" s="2">
        <f t="shared" si="50"/>
        <v>6.9896979003791442E-15</v>
      </c>
      <c r="CH99" s="2">
        <f t="shared" si="51"/>
        <v>6.9896979003791442E-15</v>
      </c>
      <c r="CI99" s="2">
        <f t="shared" si="52"/>
        <v>0</v>
      </c>
    </row>
    <row r="100" spans="43:87" x14ac:dyDescent="0.2"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2">
        <v>28</v>
      </c>
      <c r="BP100" s="2">
        <f t="shared" si="53"/>
        <v>0.10034469410716942</v>
      </c>
      <c r="BQ100" s="2">
        <v>2.698555203806477E-5</v>
      </c>
      <c r="BR100" s="2">
        <f t="shared" si="54"/>
        <v>0.10034469410716942</v>
      </c>
      <c r="BS100" s="2">
        <v>2.7038746746307213E-5</v>
      </c>
      <c r="BT100" s="2">
        <f t="shared" si="45"/>
        <v>0.10034469410716942</v>
      </c>
      <c r="BU100" s="2">
        <v>4.0602966819906078E-5</v>
      </c>
      <c r="BV100" s="2">
        <f t="shared" si="46"/>
        <v>1.0956934740183927E-9</v>
      </c>
      <c r="BW100" s="2">
        <f t="shared" si="47"/>
        <v>1.0978533369921553E-9</v>
      </c>
      <c r="BX100" s="2">
        <f t="shared" si="48"/>
        <v>0</v>
      </c>
      <c r="BY100"/>
      <c r="BZ100" s="2">
        <v>28</v>
      </c>
      <c r="CA100" s="2">
        <f t="shared" si="55"/>
        <v>8.6083555415214313E-2</v>
      </c>
      <c r="CB100" s="2">
        <v>-8.3604413163296254E-8</v>
      </c>
      <c r="CC100" s="2">
        <f t="shared" si="56"/>
        <v>8.6083555415214313E-2</v>
      </c>
      <c r="CD100" s="2">
        <v>-8.3604413163296254E-8</v>
      </c>
      <c r="CE100" s="2">
        <f t="shared" si="49"/>
        <v>8.6083555415214313E-2</v>
      </c>
      <c r="CF100" s="2">
        <v>-8.3604413163296254E-8</v>
      </c>
      <c r="CG100" s="2">
        <f t="shared" si="50"/>
        <v>6.9896979003791442E-15</v>
      </c>
      <c r="CH100" s="2">
        <f t="shared" si="51"/>
        <v>6.9896979003791442E-15</v>
      </c>
      <c r="CI100" s="2">
        <f t="shared" si="52"/>
        <v>0</v>
      </c>
    </row>
    <row r="101" spans="43:87" x14ac:dyDescent="0.2"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2">
        <v>29</v>
      </c>
      <c r="BP101" s="2">
        <f t="shared" si="53"/>
        <v>0.10034469410716942</v>
      </c>
      <c r="BQ101" s="2">
        <v>2.698555203806477E-5</v>
      </c>
      <c r="BR101" s="2">
        <f t="shared" si="54"/>
        <v>0.10034469410716942</v>
      </c>
      <c r="BS101" s="2">
        <v>2.7012149393847856E-5</v>
      </c>
      <c r="BT101" s="2">
        <f t="shared" si="45"/>
        <v>0.10034469410716942</v>
      </c>
      <c r="BU101" s="2">
        <v>4.0602966819906078E-5</v>
      </c>
      <c r="BV101" s="2">
        <f t="shared" si="46"/>
        <v>1.0956934740183927E-9</v>
      </c>
      <c r="BW101" s="2">
        <f t="shared" si="47"/>
        <v>1.0967734055727505E-9</v>
      </c>
      <c r="BX101" s="2">
        <f t="shared" si="48"/>
        <v>0</v>
      </c>
      <c r="BY101"/>
      <c r="BZ101" s="2">
        <v>29</v>
      </c>
      <c r="CA101" s="2">
        <f t="shared" si="55"/>
        <v>8.6083555415214313E-2</v>
      </c>
      <c r="CB101" s="2">
        <v>-8.3604413163296254E-8</v>
      </c>
      <c r="CC101" s="2">
        <f t="shared" si="56"/>
        <v>8.6083555415214313E-2</v>
      </c>
      <c r="CD101" s="2">
        <v>-8.3604413163296254E-8</v>
      </c>
      <c r="CE101" s="2">
        <f t="shared" si="49"/>
        <v>8.6083555415214313E-2</v>
      </c>
      <c r="CF101" s="2">
        <v>-8.3604413163296254E-8</v>
      </c>
      <c r="CG101" s="2">
        <f t="shared" si="50"/>
        <v>6.9896979003791442E-15</v>
      </c>
      <c r="CH101" s="2">
        <f t="shared" si="51"/>
        <v>6.9896979003791442E-15</v>
      </c>
      <c r="CI101" s="2">
        <f t="shared" si="52"/>
        <v>0</v>
      </c>
    </row>
    <row r="102" spans="43:87" x14ac:dyDescent="0.2"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2">
        <v>30</v>
      </c>
      <c r="BP102" s="2">
        <f t="shared" si="53"/>
        <v>0.10034469410716942</v>
      </c>
      <c r="BQ102" s="2">
        <v>2.698555203806477E-5</v>
      </c>
      <c r="BR102" s="2">
        <f t="shared" si="54"/>
        <v>0.10034469410716942</v>
      </c>
      <c r="BS102" s="2">
        <v>2.6998850716362238E-5</v>
      </c>
      <c r="BT102" s="5">
        <f t="shared" si="45"/>
        <v>0.10034469410716942</v>
      </c>
      <c r="BU102" s="2">
        <v>4.0602966819906078E-5</v>
      </c>
      <c r="BV102" s="2">
        <f t="shared" si="46"/>
        <v>1.0956934740183927E-9</v>
      </c>
      <c r="BW102" s="2">
        <f t="shared" si="47"/>
        <v>1.0962334398120535E-9</v>
      </c>
      <c r="BX102" s="2">
        <f t="shared" si="48"/>
        <v>0</v>
      </c>
      <c r="BY102"/>
      <c r="BZ102" s="2">
        <v>30</v>
      </c>
      <c r="CA102" s="2">
        <f t="shared" si="55"/>
        <v>8.6083555415214313E-2</v>
      </c>
      <c r="CB102" s="2">
        <v>-8.3604413163296254E-8</v>
      </c>
      <c r="CC102" s="2">
        <f t="shared" si="56"/>
        <v>8.6083555415214313E-2</v>
      </c>
      <c r="CD102" s="2">
        <v>-8.3604413163296254E-8</v>
      </c>
      <c r="CE102" s="5">
        <f t="shared" si="49"/>
        <v>8.6083555415214313E-2</v>
      </c>
      <c r="CF102" s="2">
        <v>-8.3604413163296254E-8</v>
      </c>
      <c r="CG102" s="2">
        <f t="shared" si="50"/>
        <v>6.9896979003791442E-15</v>
      </c>
      <c r="CH102" s="2">
        <f t="shared" si="51"/>
        <v>6.9896979003791442E-15</v>
      </c>
      <c r="CI102" s="2">
        <f t="shared" si="52"/>
        <v>0</v>
      </c>
    </row>
    <row r="103" spans="43:87" x14ac:dyDescent="0.2"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</row>
    <row r="104" spans="43:87" x14ac:dyDescent="0.2"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Y104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43:87" x14ac:dyDescent="0.2"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Y105"/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43:87" x14ac:dyDescent="0.2"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s="30">
        <v>0</v>
      </c>
      <c r="BP106" s="30"/>
      <c r="BQ106" s="30">
        <f>$BH$77</f>
        <v>8.1166121787545897E-6</v>
      </c>
      <c r="BR106" s="30"/>
      <c r="BS106" s="30">
        <f>$BH$77</f>
        <v>8.1166121787545897E-6</v>
      </c>
      <c r="BT106" s="30"/>
      <c r="BU106" s="30">
        <f>$BH$77</f>
        <v>8.1166121787545897E-6</v>
      </c>
      <c r="BV106" s="30"/>
      <c r="BW106" s="30"/>
      <c r="BX106" s="30"/>
      <c r="BY106"/>
      <c r="BZ106" s="30">
        <v>0</v>
      </c>
      <c r="CA106" s="30"/>
      <c r="CB106" s="30">
        <f>$BL$77</f>
        <v>1.6644816613863023E-6</v>
      </c>
      <c r="CC106" s="30"/>
      <c r="CD106" s="30">
        <f>$BL$77</f>
        <v>1.6644816613863023E-6</v>
      </c>
      <c r="CE106" s="30"/>
      <c r="CF106" s="30">
        <f>$BL$77</f>
        <v>1.6644816613863023E-6</v>
      </c>
      <c r="CG106" s="30"/>
      <c r="CH106" s="30"/>
      <c r="CI106" s="30"/>
    </row>
    <row r="107" spans="43:87" x14ac:dyDescent="0.2"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2">
        <v>1</v>
      </c>
      <c r="BP107" s="3">
        <f>0.01*PI()</f>
        <v>3.1415926535897934E-2</v>
      </c>
      <c r="BQ107" s="2">
        <f t="dataTable" ref="BQ107:BQ136" dt2D="0" dtr="0" r1="BH61" ca="1"/>
        <v>-0.19023753968488208</v>
      </c>
      <c r="BR107" s="3">
        <f>0.9*PI()</f>
        <v>2.8274333882308138</v>
      </c>
      <c r="BS107" s="2">
        <f t="dataTable" ref="BS107:BS136" dt2D="0" dtr="0" r1="BH61" ca="1"/>
        <v>0.35558373251493064</v>
      </c>
      <c r="BT107" s="2">
        <f t="shared" ref="BT107:BT136" si="57">(BP107+BR107)/2</f>
        <v>1.4294246573833558</v>
      </c>
      <c r="BU107" s="2">
        <f t="dataTable" ref="BU107:BU136" dt2D="0" dtr="0" r1="BH61" ca="1"/>
        <v>1.0168661494269093</v>
      </c>
      <c r="BV107" s="2">
        <f t="shared" ref="BV107:BV136" si="58">BQ107*BU107</f>
        <v>-0.19344611445581489</v>
      </c>
      <c r="BW107" s="2">
        <f t="shared" ref="BW107:BW136" si="59">BS107*BU107</f>
        <v>0.36158106088130559</v>
      </c>
      <c r="BX107" s="2">
        <f t="shared" ref="BX107:BX136" si="60">BR107-BP107</f>
        <v>2.7960174616949161</v>
      </c>
      <c r="BY107"/>
      <c r="BZ107" s="2">
        <v>1</v>
      </c>
      <c r="CA107" s="3">
        <f>0.001*PI()</f>
        <v>3.1415926535897933E-3</v>
      </c>
      <c r="CB107" s="2">
        <f t="dataTable" ref="CB107:CB136" dt2D="0" dtr="0" r1="BL61" ca="1"/>
        <v>-1.8106443936708103</v>
      </c>
      <c r="CC107" s="3">
        <f>0.9*PI()</f>
        <v>2.8274333882308138</v>
      </c>
      <c r="CD107" s="2">
        <f t="dataTable" ref="CD107:CD136" dt2D="0" dtr="0" r1="BL61" ca="1"/>
        <v>0.36386213772233822</v>
      </c>
      <c r="CE107" s="2">
        <f t="shared" ref="CE107:CE136" si="61">(CA107+CC107)/2</f>
        <v>1.4152874904422017</v>
      </c>
      <c r="CF107" s="2">
        <f t="dataTable" ref="CF107:CF136" dt2D="0" dtr="0" r1="BL61" ca="1"/>
        <v>1.0301831060248363</v>
      </c>
      <c r="CG107" s="2">
        <f t="shared" ref="CG107:CG136" si="62">CB107*CF107</f>
        <v>-1.8652952653782517</v>
      </c>
      <c r="CH107" s="2">
        <f t="shared" ref="CH107:CH136" si="63">CD107*CF107</f>
        <v>0.37484462720363515</v>
      </c>
      <c r="CI107" s="2">
        <f t="shared" ref="CI107:CI136" si="64">CC107-CA107</f>
        <v>2.8242917955772242</v>
      </c>
    </row>
    <row r="108" spans="43:87" x14ac:dyDescent="0.2"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2">
        <v>2</v>
      </c>
      <c r="BP108" s="2">
        <f t="shared" ref="BP108:BP136" si="65">IF(BV107&gt;0,BT107,BP107)</f>
        <v>3.1415926535897934E-2</v>
      </c>
      <c r="BQ108" s="2">
        <v>-0.19023753968488208</v>
      </c>
      <c r="BR108" s="2">
        <f t="shared" ref="BR108:BR136" si="66">IF(BW107&gt;0,BT107,BR107)</f>
        <v>1.4294246573833558</v>
      </c>
      <c r="BS108" s="2">
        <v>1.0168661494269093</v>
      </c>
      <c r="BT108" s="2">
        <f t="shared" si="57"/>
        <v>0.73042029195962688</v>
      </c>
      <c r="BU108" s="2">
        <v>0.67580208876292958</v>
      </c>
      <c r="BV108" s="2">
        <f t="shared" si="58"/>
        <v>-0.128562926680164</v>
      </c>
      <c r="BW108" s="2">
        <f t="shared" si="59"/>
        <v>0.68720026777502263</v>
      </c>
      <c r="BX108" s="2">
        <f t="shared" si="60"/>
        <v>1.3980087308474578</v>
      </c>
      <c r="BY108"/>
      <c r="BZ108" s="2">
        <v>2</v>
      </c>
      <c r="CA108" s="2">
        <f t="shared" ref="CA108:CA136" si="67">IF(CG107&gt;0,CE107,CA107)</f>
        <v>3.1415926535897933E-3</v>
      </c>
      <c r="CB108" s="2">
        <v>-1.8106443936708103</v>
      </c>
      <c r="CC108" s="2">
        <f t="shared" ref="CC108:CC136" si="68">IF(CH107&gt;0,CE107,CC107)</f>
        <v>1.4152874904422017</v>
      </c>
      <c r="CD108" s="2">
        <v>1.0301831060248363</v>
      </c>
      <c r="CE108" s="2">
        <f t="shared" si="61"/>
        <v>0.70921454154789576</v>
      </c>
      <c r="CF108" s="2">
        <v>0.67346394856301539</v>
      </c>
      <c r="CG108" s="2">
        <f t="shared" si="62"/>
        <v>-1.2194037228050307</v>
      </c>
      <c r="CH108" s="2">
        <f t="shared" si="63"/>
        <v>0.6937911823263978</v>
      </c>
      <c r="CI108" s="2">
        <f t="shared" si="64"/>
        <v>1.4121458977886119</v>
      </c>
    </row>
    <row r="109" spans="43:87" x14ac:dyDescent="0.2"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s="2">
        <v>3</v>
      </c>
      <c r="BP109" s="2">
        <f t="shared" si="65"/>
        <v>3.1415926535897934E-2</v>
      </c>
      <c r="BQ109" s="2">
        <v>-0.19023753968488208</v>
      </c>
      <c r="BR109" s="2">
        <f t="shared" si="66"/>
        <v>0.73042029195962688</v>
      </c>
      <c r="BS109" s="2">
        <v>0.67580208876292958</v>
      </c>
      <c r="BT109" s="2">
        <f t="shared" si="57"/>
        <v>0.38091810924776243</v>
      </c>
      <c r="BU109" s="2">
        <v>0.3866180947753774</v>
      </c>
      <c r="BV109" s="2">
        <f t="shared" si="58"/>
        <v>-7.3549275147724358E-2</v>
      </c>
      <c r="BW109" s="2">
        <f t="shared" si="59"/>
        <v>0.26127731600274434</v>
      </c>
      <c r="BX109" s="2">
        <f t="shared" si="60"/>
        <v>0.6990043654237289</v>
      </c>
      <c r="BY109"/>
      <c r="BZ109" s="2">
        <v>3</v>
      </c>
      <c r="CA109" s="2">
        <f t="shared" si="67"/>
        <v>3.1415926535897933E-3</v>
      </c>
      <c r="CB109" s="2">
        <v>-1.8106443936708103</v>
      </c>
      <c r="CC109" s="2">
        <f t="shared" si="68"/>
        <v>0.70921454154789576</v>
      </c>
      <c r="CD109" s="2">
        <v>0.67346394856301539</v>
      </c>
      <c r="CE109" s="2">
        <f t="shared" si="61"/>
        <v>0.35617806710074279</v>
      </c>
      <c r="CF109" s="2">
        <v>0.38200198930267543</v>
      </c>
      <c r="CG109" s="2">
        <f t="shared" si="62"/>
        <v>-0.69166976030198613</v>
      </c>
      <c r="CH109" s="2">
        <f t="shared" si="63"/>
        <v>0.25726456807470655</v>
      </c>
      <c r="CI109" s="2">
        <f t="shared" si="64"/>
        <v>0.70607294889430594</v>
      </c>
    </row>
    <row r="110" spans="43:87" x14ac:dyDescent="0.2"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s="2">
        <v>4</v>
      </c>
      <c r="BP110" s="2">
        <f t="shared" si="65"/>
        <v>3.1415926535897934E-2</v>
      </c>
      <c r="BQ110" s="2">
        <v>-0.19023753968488208</v>
      </c>
      <c r="BR110" s="2">
        <f t="shared" si="66"/>
        <v>0.38091810924776243</v>
      </c>
      <c r="BS110" s="2">
        <v>0.3866180947753774</v>
      </c>
      <c r="BT110" s="2">
        <f t="shared" si="57"/>
        <v>0.20616701789183017</v>
      </c>
      <c r="BU110" s="2">
        <v>0.20604965809208631</v>
      </c>
      <c r="BV110" s="2">
        <f t="shared" si="58"/>
        <v>-3.9198380008349652E-2</v>
      </c>
      <c r="BW110" s="2">
        <f t="shared" si="59"/>
        <v>7.9662526240680334E-2</v>
      </c>
      <c r="BX110" s="2">
        <f t="shared" si="60"/>
        <v>0.34950218271186451</v>
      </c>
      <c r="BY110"/>
      <c r="BZ110" s="2">
        <v>4</v>
      </c>
      <c r="CA110" s="2">
        <f t="shared" si="67"/>
        <v>3.1415926535897933E-3</v>
      </c>
      <c r="CB110" s="2">
        <v>-1.8106443936708103</v>
      </c>
      <c r="CC110" s="2">
        <f t="shared" si="68"/>
        <v>0.35617806710074279</v>
      </c>
      <c r="CD110" s="2">
        <v>0.38200198930267543</v>
      </c>
      <c r="CE110" s="2">
        <f t="shared" si="61"/>
        <v>0.1796598298771663</v>
      </c>
      <c r="CF110" s="2">
        <v>0.18986842499757259</v>
      </c>
      <c r="CG110" s="2">
        <f t="shared" si="62"/>
        <v>-0.34378419925696152</v>
      </c>
      <c r="CH110" s="2">
        <f t="shared" si="63"/>
        <v>7.2530116054838556E-2</v>
      </c>
      <c r="CI110" s="2">
        <f t="shared" si="64"/>
        <v>0.35303647444715297</v>
      </c>
    </row>
    <row r="111" spans="43:87" x14ac:dyDescent="0.2"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2">
        <v>5</v>
      </c>
      <c r="BP111" s="2">
        <f t="shared" si="65"/>
        <v>3.1415926535897934E-2</v>
      </c>
      <c r="BQ111" s="2">
        <v>-0.19023753968488208</v>
      </c>
      <c r="BR111" s="2">
        <f t="shared" si="66"/>
        <v>0.20616701789183017</v>
      </c>
      <c r="BS111" s="2">
        <v>0.20604965809208631</v>
      </c>
      <c r="BT111" s="2">
        <f t="shared" si="57"/>
        <v>0.11879147221386405</v>
      </c>
      <c r="BU111" s="2">
        <v>8.7001246173480234E-2</v>
      </c>
      <c r="BV111" s="2">
        <f t="shared" si="58"/>
        <v>-1.655090302156164E-2</v>
      </c>
      <c r="BW111" s="2">
        <f t="shared" si="59"/>
        <v>1.7926577027631035E-2</v>
      </c>
      <c r="BX111" s="2">
        <f t="shared" si="60"/>
        <v>0.17475109135593225</v>
      </c>
      <c r="BY111"/>
      <c r="BZ111" s="2">
        <v>5</v>
      </c>
      <c r="CA111" s="2">
        <f t="shared" si="67"/>
        <v>3.1415926535897933E-3</v>
      </c>
      <c r="CB111" s="2">
        <v>-1.8106443936708103</v>
      </c>
      <c r="CC111" s="2">
        <f t="shared" si="68"/>
        <v>0.1796598298771663</v>
      </c>
      <c r="CD111" s="2">
        <v>0.18986842499757259</v>
      </c>
      <c r="CE111" s="2">
        <f t="shared" si="61"/>
        <v>9.1400711265378048E-2</v>
      </c>
      <c r="CF111" s="2">
        <v>5.4276059844525534E-2</v>
      </c>
      <c r="CG111" s="2">
        <f t="shared" si="62"/>
        <v>-9.8274643468031553E-2</v>
      </c>
      <c r="CH111" s="2">
        <f t="shared" si="63"/>
        <v>1.0305309997754059E-2</v>
      </c>
      <c r="CI111" s="2">
        <f t="shared" si="64"/>
        <v>0.17651823722357651</v>
      </c>
    </row>
    <row r="112" spans="43:87" x14ac:dyDescent="0.2"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2">
        <v>6</v>
      </c>
      <c r="BP112" s="2">
        <f t="shared" si="65"/>
        <v>3.1415926535897934E-2</v>
      </c>
      <c r="BQ112" s="2">
        <v>-0.19023753968488208</v>
      </c>
      <c r="BR112" s="2">
        <f t="shared" si="66"/>
        <v>0.11879147221386405</v>
      </c>
      <c r="BS112" s="2">
        <v>8.7001246173480234E-2</v>
      </c>
      <c r="BT112" s="2">
        <f t="shared" si="57"/>
        <v>7.5103699374880983E-2</v>
      </c>
      <c r="BU112" s="2">
        <v>3.174769002460328E-3</v>
      </c>
      <c r="BV112" s="2">
        <f t="shared" si="58"/>
        <v>-6.0396024409588018E-4</v>
      </c>
      <c r="BW112" s="2">
        <f t="shared" si="59"/>
        <v>2.7620885952698529E-4</v>
      </c>
      <c r="BX112" s="2">
        <f t="shared" si="60"/>
        <v>8.7375545677966113E-2</v>
      </c>
      <c r="BY112"/>
      <c r="BZ112" s="2">
        <v>6</v>
      </c>
      <c r="CA112" s="2">
        <f t="shared" si="67"/>
        <v>3.1415926535897933E-3</v>
      </c>
      <c r="CB112" s="2">
        <v>-1.8106443936708103</v>
      </c>
      <c r="CC112" s="2">
        <f t="shared" si="68"/>
        <v>9.1400711265378048E-2</v>
      </c>
      <c r="CD112" s="2">
        <v>5.4276059844525534E-2</v>
      </c>
      <c r="CE112" s="2">
        <f t="shared" si="61"/>
        <v>4.727115195948392E-2</v>
      </c>
      <c r="CF112" s="2">
        <v>-5.3119626094691667E-2</v>
      </c>
      <c r="CG112" s="2">
        <f t="shared" si="62"/>
        <v>9.6180753182243145E-2</v>
      </c>
      <c r="CH112" s="2">
        <f t="shared" si="63"/>
        <v>-2.8831240048343052E-3</v>
      </c>
      <c r="CI112" s="2">
        <f t="shared" si="64"/>
        <v>8.8259118611788256E-2</v>
      </c>
    </row>
    <row r="113" spans="43:87" x14ac:dyDescent="0.2"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2">
        <v>7</v>
      </c>
      <c r="BP113" s="2">
        <f t="shared" si="65"/>
        <v>3.1415926535897934E-2</v>
      </c>
      <c r="BQ113" s="2">
        <v>-0.19023753968488208</v>
      </c>
      <c r="BR113" s="2">
        <f t="shared" si="66"/>
        <v>7.5103699374880983E-2</v>
      </c>
      <c r="BS113" s="2">
        <v>3.174769002460328E-3</v>
      </c>
      <c r="BT113" s="2">
        <f t="shared" si="57"/>
        <v>5.3259812955389459E-2</v>
      </c>
      <c r="BU113" s="2">
        <v>-6.2832464040995462E-2</v>
      </c>
      <c r="BV113" s="2">
        <f t="shared" si="58"/>
        <v>1.1953093371497801E-2</v>
      </c>
      <c r="BW113" s="2">
        <f t="shared" si="59"/>
        <v>-1.9947855918555558E-4</v>
      </c>
      <c r="BX113" s="2">
        <f t="shared" si="60"/>
        <v>4.3687772838983049E-2</v>
      </c>
      <c r="BY113"/>
      <c r="BZ113" s="2">
        <v>7</v>
      </c>
      <c r="CA113" s="2">
        <f t="shared" si="67"/>
        <v>4.727115195948392E-2</v>
      </c>
      <c r="CB113" s="2">
        <v>-5.3119626094691667E-2</v>
      </c>
      <c r="CC113" s="2">
        <f t="shared" si="68"/>
        <v>9.1400711265378048E-2</v>
      </c>
      <c r="CD113" s="2">
        <v>5.4276059844525534E-2</v>
      </c>
      <c r="CE113" s="2">
        <f t="shared" si="61"/>
        <v>6.9335931612430984E-2</v>
      </c>
      <c r="CF113" s="2">
        <v>8.840002420660166E-3</v>
      </c>
      <c r="CG113" s="2">
        <f t="shared" si="62"/>
        <v>-4.6957762326163728E-4</v>
      </c>
      <c r="CH113" s="2">
        <f t="shared" si="63"/>
        <v>4.7980050040950177E-4</v>
      </c>
      <c r="CI113" s="2">
        <f t="shared" si="64"/>
        <v>4.4129559305894128E-2</v>
      </c>
    </row>
    <row r="114" spans="43:87" x14ac:dyDescent="0.2"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2">
        <v>8</v>
      </c>
      <c r="BP114" s="2">
        <f t="shared" si="65"/>
        <v>5.3259812955389459E-2</v>
      </c>
      <c r="BQ114" s="2">
        <v>-6.2832464040995462E-2</v>
      </c>
      <c r="BR114" s="2">
        <f t="shared" si="66"/>
        <v>7.5103699374880983E-2</v>
      </c>
      <c r="BS114" s="2">
        <v>3.174769002460328E-3</v>
      </c>
      <c r="BT114" s="2">
        <f t="shared" si="57"/>
        <v>6.4181756165135218E-2</v>
      </c>
      <c r="BU114" s="2">
        <v>-2.6074670505792579E-2</v>
      </c>
      <c r="BV114" s="2">
        <f t="shared" si="58"/>
        <v>1.6383357969360173E-3</v>
      </c>
      <c r="BW114" s="2">
        <f t="shared" si="59"/>
        <v>-8.2781055671156845E-5</v>
      </c>
      <c r="BX114" s="2">
        <f t="shared" si="60"/>
        <v>2.1843886419491525E-2</v>
      </c>
      <c r="BY114"/>
      <c r="BZ114" s="2">
        <v>8</v>
      </c>
      <c r="CA114" s="2">
        <f t="shared" si="67"/>
        <v>4.727115195948392E-2</v>
      </c>
      <c r="CB114" s="2">
        <v>-5.3119626094691667E-2</v>
      </c>
      <c r="CC114" s="2">
        <f t="shared" si="68"/>
        <v>6.9335931612430984E-2</v>
      </c>
      <c r="CD114" s="2">
        <v>8.840002420660166E-3</v>
      </c>
      <c r="CE114" s="2">
        <f t="shared" si="61"/>
        <v>5.8303541785957452E-2</v>
      </c>
      <c r="CF114" s="2">
        <v>-1.8884543174660311E-2</v>
      </c>
      <c r="CG114" s="2">
        <f t="shared" si="62"/>
        <v>1.0031398724070172E-3</v>
      </c>
      <c r="CH114" s="2">
        <f t="shared" si="63"/>
        <v>-1.6693940737705855E-4</v>
      </c>
      <c r="CI114" s="2">
        <f t="shared" si="64"/>
        <v>2.2064779652947064E-2</v>
      </c>
    </row>
    <row r="115" spans="43:87" x14ac:dyDescent="0.2"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2">
        <v>9</v>
      </c>
      <c r="BP115" s="2">
        <f t="shared" si="65"/>
        <v>6.4181756165135218E-2</v>
      </c>
      <c r="BQ115" s="2">
        <v>-2.6074670505792579E-2</v>
      </c>
      <c r="BR115" s="2">
        <f t="shared" si="66"/>
        <v>7.5103699374880983E-2</v>
      </c>
      <c r="BS115" s="2">
        <v>3.174769002460328E-3</v>
      </c>
      <c r="BT115" s="2">
        <f t="shared" si="57"/>
        <v>6.96427277700081E-2</v>
      </c>
      <c r="BU115" s="2">
        <v>-1.073459376712836E-2</v>
      </c>
      <c r="BV115" s="2">
        <f t="shared" si="58"/>
        <v>2.7990099549140667E-4</v>
      </c>
      <c r="BW115" s="2">
        <f t="shared" si="59"/>
        <v>-3.4079855545882955E-5</v>
      </c>
      <c r="BX115" s="2">
        <f t="shared" si="60"/>
        <v>1.0921943209745766E-2</v>
      </c>
      <c r="BY115"/>
      <c r="BZ115" s="2">
        <v>9</v>
      </c>
      <c r="CA115" s="2">
        <f t="shared" si="67"/>
        <v>5.8303541785957452E-2</v>
      </c>
      <c r="CB115" s="2">
        <v>-1.8884543174660311E-2</v>
      </c>
      <c r="CC115" s="2">
        <f t="shared" si="68"/>
        <v>6.9335931612430984E-2</v>
      </c>
      <c r="CD115" s="2">
        <v>8.840002420660166E-3</v>
      </c>
      <c r="CE115" s="2">
        <f t="shared" si="61"/>
        <v>6.3819736699194218E-2</v>
      </c>
      <c r="CF115" s="2">
        <v>-4.4248616453510768E-3</v>
      </c>
      <c r="CG115" s="2">
        <f t="shared" si="62"/>
        <v>8.3561490783530876E-5</v>
      </c>
      <c r="CH115" s="2">
        <f t="shared" si="63"/>
        <v>-3.9115787655989843E-5</v>
      </c>
      <c r="CI115" s="2">
        <f t="shared" si="64"/>
        <v>1.1032389826473532E-2</v>
      </c>
    </row>
    <row r="116" spans="43:87" x14ac:dyDescent="0.2"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2">
        <v>10</v>
      </c>
      <c r="BP116" s="2">
        <f t="shared" si="65"/>
        <v>6.96427277700081E-2</v>
      </c>
      <c r="BQ116" s="2">
        <v>-1.073459376712836E-2</v>
      </c>
      <c r="BR116" s="2">
        <f t="shared" si="66"/>
        <v>7.5103699374880983E-2</v>
      </c>
      <c r="BS116" s="2">
        <v>3.174769002460328E-3</v>
      </c>
      <c r="BT116" s="2">
        <f t="shared" si="57"/>
        <v>7.2373213572444542E-2</v>
      </c>
      <c r="BU116" s="2">
        <v>-3.6216606664149602E-3</v>
      </c>
      <c r="BV116" s="2">
        <f t="shared" si="58"/>
        <v>3.8877056016351972E-5</v>
      </c>
      <c r="BW116" s="2">
        <f t="shared" si="59"/>
        <v>-1.149793602116403E-5</v>
      </c>
      <c r="BX116" s="2">
        <f t="shared" si="60"/>
        <v>5.4609716048728829E-3</v>
      </c>
      <c r="BY116"/>
      <c r="BZ116" s="2">
        <v>10</v>
      </c>
      <c r="CA116" s="2">
        <f t="shared" si="67"/>
        <v>6.3819736699194218E-2</v>
      </c>
      <c r="CB116" s="2">
        <v>-4.4248616453510768E-3</v>
      </c>
      <c r="CC116" s="2">
        <f t="shared" si="68"/>
        <v>6.9335931612430984E-2</v>
      </c>
      <c r="CD116" s="2">
        <v>8.840002420660166E-3</v>
      </c>
      <c r="CE116" s="2">
        <f t="shared" si="61"/>
        <v>6.6577834155812601E-2</v>
      </c>
      <c r="CF116" s="2">
        <v>2.3381068241214928E-3</v>
      </c>
      <c r="CG116" s="2">
        <f t="shared" si="62"/>
        <v>-1.0345799208788809E-5</v>
      </c>
      <c r="CH116" s="2">
        <f t="shared" si="63"/>
        <v>2.0668869984996051E-5</v>
      </c>
      <c r="CI116" s="2">
        <f t="shared" si="64"/>
        <v>5.516194913236766E-3</v>
      </c>
    </row>
    <row r="117" spans="43:87" x14ac:dyDescent="0.2"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2">
        <v>11</v>
      </c>
      <c r="BP117" s="2">
        <f t="shared" si="65"/>
        <v>7.2373213572444542E-2</v>
      </c>
      <c r="BQ117" s="2">
        <v>-3.6216606664149602E-3</v>
      </c>
      <c r="BR117" s="2">
        <f t="shared" si="66"/>
        <v>7.5103699374880983E-2</v>
      </c>
      <c r="BS117" s="2">
        <v>3.174769002460328E-3</v>
      </c>
      <c r="BT117" s="2">
        <f t="shared" si="57"/>
        <v>7.3738456473662756E-2</v>
      </c>
      <c r="BU117" s="2">
        <v>-1.8612441665063345E-4</v>
      </c>
      <c r="BV117" s="2">
        <f t="shared" si="58"/>
        <v>6.7407947884302883E-7</v>
      </c>
      <c r="BW117" s="2">
        <f t="shared" si="59"/>
        <v>-5.9090202858344199E-7</v>
      </c>
      <c r="BX117" s="2">
        <f t="shared" si="60"/>
        <v>2.7304858024364415E-3</v>
      </c>
      <c r="BY117"/>
      <c r="BZ117" s="2">
        <v>11</v>
      </c>
      <c r="CA117" s="2">
        <f t="shared" si="67"/>
        <v>6.3819736699194218E-2</v>
      </c>
      <c r="CB117" s="2">
        <v>-4.4248616453510768E-3</v>
      </c>
      <c r="CC117" s="2">
        <f t="shared" si="68"/>
        <v>6.6577834155812601E-2</v>
      </c>
      <c r="CD117" s="2">
        <v>2.3381068241214928E-3</v>
      </c>
      <c r="CE117" s="2">
        <f t="shared" si="61"/>
        <v>6.5198785427503403E-2</v>
      </c>
      <c r="CF117" s="2">
        <v>-1.0086532466195425E-3</v>
      </c>
      <c r="CG117" s="2">
        <f t="shared" si="62"/>
        <v>4.4631510644256538E-6</v>
      </c>
      <c r="CH117" s="2">
        <f t="shared" si="63"/>
        <v>-2.3583390390934512E-6</v>
      </c>
      <c r="CI117" s="2">
        <f t="shared" si="64"/>
        <v>2.758097456618383E-3</v>
      </c>
    </row>
    <row r="118" spans="43:87" x14ac:dyDescent="0.2"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2">
        <v>12</v>
      </c>
      <c r="BP118" s="2">
        <f t="shared" si="65"/>
        <v>7.3738456473662756E-2</v>
      </c>
      <c r="BQ118" s="2">
        <v>-1.8612441665063345E-4</v>
      </c>
      <c r="BR118" s="2">
        <f t="shared" si="66"/>
        <v>7.5103699374880983E-2</v>
      </c>
      <c r="BS118" s="2">
        <v>3.174769002460328E-3</v>
      </c>
      <c r="BT118" s="2">
        <f t="shared" si="57"/>
        <v>7.442107792427187E-2</v>
      </c>
      <c r="BU118" s="2">
        <v>1.5033903968210624E-3</v>
      </c>
      <c r="BV118" s="2">
        <f t="shared" si="58"/>
        <v>-2.798176606064846E-7</v>
      </c>
      <c r="BW118" s="2">
        <f t="shared" si="59"/>
        <v>4.7729172304240413E-6</v>
      </c>
      <c r="BX118" s="2">
        <f t="shared" si="60"/>
        <v>1.3652429012182277E-3</v>
      </c>
      <c r="BY118"/>
      <c r="BZ118" s="2">
        <v>12</v>
      </c>
      <c r="CA118" s="2">
        <f t="shared" si="67"/>
        <v>6.5198785427503403E-2</v>
      </c>
      <c r="CB118" s="2">
        <v>-1.0086532466195425E-3</v>
      </c>
      <c r="CC118" s="2">
        <f t="shared" si="68"/>
        <v>6.6577834155812601E-2</v>
      </c>
      <c r="CD118" s="2">
        <v>2.3381068241214928E-3</v>
      </c>
      <c r="CE118" s="2">
        <f t="shared" si="61"/>
        <v>6.5888309791657995E-2</v>
      </c>
      <c r="CF118" s="2">
        <v>6.7313218099641914E-4</v>
      </c>
      <c r="CG118" s="2">
        <f t="shared" si="62"/>
        <v>-6.7895695976613169E-7</v>
      </c>
      <c r="CH118" s="2">
        <f t="shared" si="63"/>
        <v>1.5738549459235114E-6</v>
      </c>
      <c r="CI118" s="2">
        <f t="shared" si="64"/>
        <v>1.3790487283091984E-3</v>
      </c>
    </row>
    <row r="119" spans="43:87" x14ac:dyDescent="0.2"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2">
        <v>13</v>
      </c>
      <c r="BP119" s="2">
        <f t="shared" si="65"/>
        <v>7.3738456473662756E-2</v>
      </c>
      <c r="BQ119" s="2">
        <v>-1.8612441665063345E-4</v>
      </c>
      <c r="BR119" s="2">
        <f t="shared" si="66"/>
        <v>7.442107792427187E-2</v>
      </c>
      <c r="BS119" s="2">
        <v>1.5033903968210624E-3</v>
      </c>
      <c r="BT119" s="2">
        <f t="shared" si="57"/>
        <v>7.4079767198967306E-2</v>
      </c>
      <c r="BU119" s="2">
        <v>6.6093204357287397E-4</v>
      </c>
      <c r="BV119" s="2">
        <f t="shared" si="58"/>
        <v>-1.2301559105571221E-7</v>
      </c>
      <c r="BW119" s="2">
        <f t="shared" si="59"/>
        <v>9.9363888725877876E-7</v>
      </c>
      <c r="BX119" s="2">
        <f t="shared" si="60"/>
        <v>6.8262145060911383E-4</v>
      </c>
      <c r="BY119"/>
      <c r="BZ119" s="2">
        <v>13</v>
      </c>
      <c r="CA119" s="2">
        <f t="shared" si="67"/>
        <v>6.5198785427503403E-2</v>
      </c>
      <c r="CB119" s="2">
        <v>-1.0086532466195425E-3</v>
      </c>
      <c r="CC119" s="2">
        <f t="shared" si="68"/>
        <v>6.5888309791657995E-2</v>
      </c>
      <c r="CD119" s="2">
        <v>6.7313218099641914E-4</v>
      </c>
      <c r="CE119" s="2">
        <f t="shared" si="61"/>
        <v>6.5543547609580699E-2</v>
      </c>
      <c r="CF119" s="2">
        <v>-1.656256828500291E-4</v>
      </c>
      <c r="CG119" s="2">
        <f t="shared" si="62"/>
        <v>1.6705888273026052E-7</v>
      </c>
      <c r="CH119" s="2">
        <f t="shared" si="63"/>
        <v>-1.114879771258613E-7</v>
      </c>
      <c r="CI119" s="2">
        <f t="shared" si="64"/>
        <v>6.8952436415459228E-4</v>
      </c>
    </row>
    <row r="120" spans="43:87" x14ac:dyDescent="0.2"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2">
        <v>14</v>
      </c>
      <c r="BP120" s="2">
        <f t="shared" si="65"/>
        <v>7.3738456473662756E-2</v>
      </c>
      <c r="BQ120" s="2">
        <v>-1.8612441665063345E-4</v>
      </c>
      <c r="BR120" s="2">
        <f t="shared" si="66"/>
        <v>7.4079767198967306E-2</v>
      </c>
      <c r="BS120" s="2">
        <v>6.6093204357287397E-4</v>
      </c>
      <c r="BT120" s="2">
        <f t="shared" si="57"/>
        <v>7.3909111836315031E-2</v>
      </c>
      <c r="BU120" s="2">
        <v>2.3798264487672263E-4</v>
      </c>
      <c r="BV120" s="2">
        <f t="shared" si="58"/>
        <v>-4.4294380950654863E-8</v>
      </c>
      <c r="BW120" s="2">
        <f t="shared" si="59"/>
        <v>1.5729035581324982E-7</v>
      </c>
      <c r="BX120" s="2">
        <f t="shared" si="60"/>
        <v>3.4131072530454998E-4</v>
      </c>
      <c r="BY120"/>
      <c r="BZ120" s="2">
        <v>14</v>
      </c>
      <c r="CA120" s="2">
        <f t="shared" si="67"/>
        <v>6.5543547609580699E-2</v>
      </c>
      <c r="CB120" s="2">
        <v>-1.656256828500291E-4</v>
      </c>
      <c r="CC120" s="2">
        <f t="shared" si="68"/>
        <v>6.5888309791657995E-2</v>
      </c>
      <c r="CD120" s="2">
        <v>6.7313218099641914E-4</v>
      </c>
      <c r="CE120" s="2">
        <f t="shared" si="61"/>
        <v>6.5715928700619347E-2</v>
      </c>
      <c r="CF120" s="2">
        <v>2.5428271599640603E-4</v>
      </c>
      <c r="CG120" s="2">
        <f t="shared" si="62"/>
        <v>-4.2115748473864764E-8</v>
      </c>
      <c r="CH120" s="2">
        <f t="shared" si="63"/>
        <v>1.7116587920835382E-7</v>
      </c>
      <c r="CI120" s="2">
        <f t="shared" si="64"/>
        <v>3.4476218207729614E-4</v>
      </c>
    </row>
    <row r="121" spans="43:87" x14ac:dyDescent="0.2"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2">
        <v>15</v>
      </c>
      <c r="BP121" s="2">
        <f t="shared" si="65"/>
        <v>7.3738456473662756E-2</v>
      </c>
      <c r="BQ121" s="2">
        <v>-1.8612441665063345E-4</v>
      </c>
      <c r="BR121" s="2">
        <f t="shared" si="66"/>
        <v>7.3909111836315031E-2</v>
      </c>
      <c r="BS121" s="2">
        <v>2.3798264487672263E-4</v>
      </c>
      <c r="BT121" s="2">
        <f t="shared" si="57"/>
        <v>7.3823784154988886E-2</v>
      </c>
      <c r="BU121" s="2">
        <v>2.6074334578976566E-5</v>
      </c>
      <c r="BV121" s="2">
        <f t="shared" si="58"/>
        <v>-4.8530703130654532E-9</v>
      </c>
      <c r="BW121" s="2">
        <f t="shared" si="59"/>
        <v>6.205239106505429E-9</v>
      </c>
      <c r="BX121" s="2">
        <f t="shared" si="60"/>
        <v>1.7065536265227499E-4</v>
      </c>
      <c r="BY121"/>
      <c r="BZ121" s="2">
        <v>15</v>
      </c>
      <c r="CA121" s="2">
        <f t="shared" si="67"/>
        <v>6.5543547609580699E-2</v>
      </c>
      <c r="CB121" s="2">
        <v>-1.656256828500291E-4</v>
      </c>
      <c r="CC121" s="2">
        <f t="shared" si="68"/>
        <v>6.5715928700619347E-2</v>
      </c>
      <c r="CD121" s="2">
        <v>2.5428271599640603E-4</v>
      </c>
      <c r="CE121" s="2">
        <f t="shared" si="61"/>
        <v>6.5629738155100023E-2</v>
      </c>
      <c r="CF121" s="2">
        <v>4.4461410330667861E-5</v>
      </c>
      <c r="CG121" s="2">
        <f t="shared" si="62"/>
        <v>-7.3639514464922025E-9</v>
      </c>
      <c r="CH121" s="2">
        <f t="shared" si="63"/>
        <v>1.1305768175912889E-8</v>
      </c>
      <c r="CI121" s="2">
        <f t="shared" si="64"/>
        <v>1.7238109103864807E-4</v>
      </c>
    </row>
    <row r="122" spans="43:87" x14ac:dyDescent="0.2"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2">
        <v>16</v>
      </c>
      <c r="BP122" s="2">
        <f t="shared" si="65"/>
        <v>7.3738456473662756E-2</v>
      </c>
      <c r="BQ122" s="2">
        <v>-1.8612441665063345E-4</v>
      </c>
      <c r="BR122" s="2">
        <f t="shared" si="66"/>
        <v>7.3823784154988886E-2</v>
      </c>
      <c r="BS122" s="2">
        <v>2.6074334578976566E-5</v>
      </c>
      <c r="BT122" s="2">
        <f t="shared" si="57"/>
        <v>7.3781120314325821E-2</v>
      </c>
      <c r="BU122" s="2">
        <v>-7.9988671583996335E-5</v>
      </c>
      <c r="BV122" s="2">
        <f t="shared" si="58"/>
        <v>1.4887844837230418E-8</v>
      </c>
      <c r="BW122" s="2">
        <f t="shared" si="59"/>
        <v>-2.0856513854089957E-9</v>
      </c>
      <c r="BX122" s="2">
        <f t="shared" si="60"/>
        <v>8.5327681326130556E-5</v>
      </c>
      <c r="BY122"/>
      <c r="BZ122" s="2">
        <v>16</v>
      </c>
      <c r="CA122" s="2">
        <f t="shared" si="67"/>
        <v>6.5543547609580699E-2</v>
      </c>
      <c r="CB122" s="2">
        <v>-1.656256828500291E-4</v>
      </c>
      <c r="CC122" s="2">
        <f t="shared" si="68"/>
        <v>6.5629738155100023E-2</v>
      </c>
      <c r="CD122" s="2">
        <v>4.4461410330667861E-5</v>
      </c>
      <c r="CE122" s="2">
        <f t="shared" si="61"/>
        <v>6.5586642882340368E-2</v>
      </c>
      <c r="CF122" s="2">
        <v>-6.0548846622886926E-5</v>
      </c>
      <c r="CG122" s="2">
        <f t="shared" si="62"/>
        <v>1.0028444067697325E-8</v>
      </c>
      <c r="CH122" s="2">
        <f t="shared" si="63"/>
        <v>-2.6920871147488486E-9</v>
      </c>
      <c r="CI122" s="2">
        <f t="shared" si="64"/>
        <v>8.6190545519324036E-5</v>
      </c>
    </row>
    <row r="123" spans="43:87" x14ac:dyDescent="0.2"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2">
        <v>17</v>
      </c>
      <c r="BP123" s="2">
        <f t="shared" si="65"/>
        <v>7.3781120314325821E-2</v>
      </c>
      <c r="BQ123" s="2">
        <v>-7.9988671583996335E-5</v>
      </c>
      <c r="BR123" s="2">
        <f t="shared" si="66"/>
        <v>7.3823784154988886E-2</v>
      </c>
      <c r="BS123" s="2">
        <v>2.6074334578976566E-5</v>
      </c>
      <c r="BT123" s="2">
        <f t="shared" si="57"/>
        <v>7.3802452234657354E-2</v>
      </c>
      <c r="BU123" s="2">
        <v>-2.6948084193078453E-5</v>
      </c>
      <c r="BV123" s="2">
        <f t="shared" si="58"/>
        <v>2.1555414563380351E-9</v>
      </c>
      <c r="BW123" s="2">
        <f t="shared" si="59"/>
        <v>-7.0265336351275733E-10</v>
      </c>
      <c r="BX123" s="2">
        <f t="shared" si="60"/>
        <v>4.2663840663065278E-5</v>
      </c>
      <c r="BY123"/>
      <c r="BZ123" s="2">
        <v>17</v>
      </c>
      <c r="CA123" s="2">
        <f t="shared" si="67"/>
        <v>6.5586642882340368E-2</v>
      </c>
      <c r="CB123" s="2">
        <v>-6.0548846622886926E-5</v>
      </c>
      <c r="CC123" s="2">
        <f t="shared" si="68"/>
        <v>6.5629738155100023E-2</v>
      </c>
      <c r="CD123" s="2">
        <v>4.4461410330667861E-5</v>
      </c>
      <c r="CE123" s="2">
        <f t="shared" si="61"/>
        <v>6.5608190518720189E-2</v>
      </c>
      <c r="CF123" s="2">
        <v>-8.0354040259203452E-6</v>
      </c>
      <c r="CG123" s="2">
        <f t="shared" si="62"/>
        <v>4.8653444591837906E-10</v>
      </c>
      <c r="CH123" s="2">
        <f t="shared" si="63"/>
        <v>-3.5726539556914494E-10</v>
      </c>
      <c r="CI123" s="2">
        <f t="shared" si="64"/>
        <v>4.3095272759655079E-5</v>
      </c>
    </row>
    <row r="124" spans="43:87" x14ac:dyDescent="0.2"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2">
        <v>18</v>
      </c>
      <c r="BP124" s="2">
        <f t="shared" si="65"/>
        <v>7.3802452234657354E-2</v>
      </c>
      <c r="BQ124" s="2">
        <v>-2.6948084193078453E-5</v>
      </c>
      <c r="BR124" s="2">
        <f t="shared" si="66"/>
        <v>7.3823784154988886E-2</v>
      </c>
      <c r="BS124" s="2">
        <v>2.6074334578976566E-5</v>
      </c>
      <c r="BT124" s="2">
        <f t="shared" si="57"/>
        <v>7.3813118194823113E-2</v>
      </c>
      <c r="BU124" s="2">
        <v>-4.346047353942506E-7</v>
      </c>
      <c r="BV124" s="2">
        <f t="shared" si="58"/>
        <v>1.1711765000114847E-11</v>
      </c>
      <c r="BW124" s="2">
        <f t="shared" si="59"/>
        <v>-1.1332029280277269E-11</v>
      </c>
      <c r="BX124" s="2">
        <f t="shared" si="60"/>
        <v>2.1331920331532639E-5</v>
      </c>
      <c r="BY124"/>
      <c r="BZ124" s="2">
        <v>18</v>
      </c>
      <c r="CA124" s="2">
        <f t="shared" si="67"/>
        <v>6.5608190518720189E-2</v>
      </c>
      <c r="CB124" s="2">
        <v>-8.0354040259203452E-6</v>
      </c>
      <c r="CC124" s="2">
        <f t="shared" si="68"/>
        <v>6.5629738155100023E-2</v>
      </c>
      <c r="CD124" s="2">
        <v>4.4461410330667861E-5</v>
      </c>
      <c r="CE124" s="2">
        <f t="shared" si="61"/>
        <v>6.5618964336910113E-2</v>
      </c>
      <c r="CF124" s="2">
        <v>1.8215080647580872E-5</v>
      </c>
      <c r="CG124" s="2">
        <f t="shared" si="62"/>
        <v>-1.463655323680351E-10</v>
      </c>
      <c r="CH124" s="2">
        <f t="shared" si="63"/>
        <v>8.0986817487830038E-10</v>
      </c>
      <c r="CI124" s="2">
        <f t="shared" si="64"/>
        <v>2.1547636379834478E-5</v>
      </c>
    </row>
    <row r="125" spans="43:87" x14ac:dyDescent="0.2"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2">
        <v>19</v>
      </c>
      <c r="BP125" s="2">
        <f t="shared" si="65"/>
        <v>7.3813118194823113E-2</v>
      </c>
      <c r="BQ125" s="2">
        <v>-4.346047353942506E-7</v>
      </c>
      <c r="BR125" s="2">
        <f t="shared" si="66"/>
        <v>7.3823784154988886E-2</v>
      </c>
      <c r="BS125" s="2">
        <v>2.6074334578976566E-5</v>
      </c>
      <c r="BT125" s="2">
        <f t="shared" si="57"/>
        <v>7.3818451174906E-2</v>
      </c>
      <c r="BU125" s="2">
        <v>1.2820432314056274E-5</v>
      </c>
      <c r="BV125" s="2">
        <f t="shared" si="58"/>
        <v>-5.5718205934903268E-12</v>
      </c>
      <c r="BW125" s="2">
        <f t="shared" si="59"/>
        <v>3.3428424160382605E-10</v>
      </c>
      <c r="BX125" s="2">
        <f t="shared" si="60"/>
        <v>1.0665960165773258E-5</v>
      </c>
      <c r="BY125"/>
      <c r="BZ125" s="2">
        <v>19</v>
      </c>
      <c r="CA125" s="2">
        <f t="shared" si="67"/>
        <v>6.5608190518720189E-2</v>
      </c>
      <c r="CB125" s="2">
        <v>-8.0354040259203452E-6</v>
      </c>
      <c r="CC125" s="2">
        <f t="shared" si="68"/>
        <v>6.5618964336910113E-2</v>
      </c>
      <c r="CD125" s="2">
        <v>1.8215080647580872E-5</v>
      </c>
      <c r="CE125" s="2">
        <f t="shared" si="61"/>
        <v>6.5613577427815151E-2</v>
      </c>
      <c r="CF125" s="2">
        <v>5.0903578139201155E-6</v>
      </c>
      <c r="CG125" s="2">
        <f t="shared" si="62"/>
        <v>-4.0903081671348784E-11</v>
      </c>
      <c r="CH125" s="2">
        <f t="shared" si="63"/>
        <v>9.2721278105598373E-11</v>
      </c>
      <c r="CI125" s="2">
        <f t="shared" si="64"/>
        <v>1.0773818189924178E-5</v>
      </c>
    </row>
    <row r="126" spans="43:87" x14ac:dyDescent="0.2"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2">
        <v>20</v>
      </c>
      <c r="BP126" s="2">
        <f t="shared" si="65"/>
        <v>7.3813118194823113E-2</v>
      </c>
      <c r="BQ126" s="2">
        <v>1.2820432314056274E-5</v>
      </c>
      <c r="BR126" s="2">
        <f t="shared" si="66"/>
        <v>7.3818451174906E-2</v>
      </c>
      <c r="BS126" s="2">
        <v>2.6074334578976566E-5</v>
      </c>
      <c r="BT126" s="2">
        <f t="shared" si="57"/>
        <v>7.3815784684864549E-2</v>
      </c>
      <c r="BU126" s="2">
        <v>1.9447525278912942E-5</v>
      </c>
      <c r="BV126" s="2">
        <f t="shared" si="58"/>
        <v>2.4932568151420172E-10</v>
      </c>
      <c r="BW126" s="2">
        <f t="shared" si="59"/>
        <v>5.0708128085548062E-10</v>
      </c>
      <c r="BX126" s="2">
        <f t="shared" si="60"/>
        <v>5.3329800828866292E-6</v>
      </c>
      <c r="BY126"/>
      <c r="BZ126" s="2">
        <v>20</v>
      </c>
      <c r="CA126" s="2">
        <f t="shared" si="67"/>
        <v>6.5608190518720189E-2</v>
      </c>
      <c r="CB126" s="2">
        <v>-8.0354040259203452E-6</v>
      </c>
      <c r="CC126" s="2">
        <f t="shared" si="68"/>
        <v>6.5613577427815151E-2</v>
      </c>
      <c r="CD126" s="2">
        <v>5.0903578139201155E-6</v>
      </c>
      <c r="CE126" s="2">
        <f t="shared" si="61"/>
        <v>6.561088397326767E-2</v>
      </c>
      <c r="CF126" s="2">
        <v>-1.4723932140400797E-6</v>
      </c>
      <c r="CG126" s="2">
        <f t="shared" si="62"/>
        <v>1.1831274359835454E-11</v>
      </c>
      <c r="CH126" s="2">
        <f t="shared" si="63"/>
        <v>-7.4950083022518722E-12</v>
      </c>
      <c r="CI126" s="2">
        <f t="shared" si="64"/>
        <v>5.386909094962089E-6</v>
      </c>
    </row>
    <row r="127" spans="43:87" x14ac:dyDescent="0.2"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2">
        <v>21</v>
      </c>
      <c r="BP127" s="2">
        <f t="shared" si="65"/>
        <v>7.3815784684864549E-2</v>
      </c>
      <c r="BQ127" s="2">
        <v>1.2820432314056274E-5</v>
      </c>
      <c r="BR127" s="2">
        <f t="shared" si="66"/>
        <v>7.3815784684864549E-2</v>
      </c>
      <c r="BS127" s="2">
        <v>1.9447525278912942E-5</v>
      </c>
      <c r="BT127" s="2">
        <f t="shared" si="57"/>
        <v>7.3815784684864549E-2</v>
      </c>
      <c r="BU127" s="2">
        <v>1.9447525278912942E-5</v>
      </c>
      <c r="BV127" s="2">
        <f t="shared" si="58"/>
        <v>2.4932568151420172E-10</v>
      </c>
      <c r="BW127" s="2">
        <f t="shared" si="59"/>
        <v>3.7820623947395788E-10</v>
      </c>
      <c r="BX127" s="2">
        <f t="shared" si="60"/>
        <v>0</v>
      </c>
      <c r="BY127"/>
      <c r="BZ127" s="2">
        <v>21</v>
      </c>
      <c r="CA127" s="2">
        <f t="shared" si="67"/>
        <v>6.561088397326767E-2</v>
      </c>
      <c r="CB127" s="2">
        <v>-1.4723932140400797E-6</v>
      </c>
      <c r="CC127" s="2">
        <f t="shared" si="68"/>
        <v>6.5613577427815151E-2</v>
      </c>
      <c r="CD127" s="2">
        <v>5.0903578139201155E-6</v>
      </c>
      <c r="CE127" s="2">
        <f t="shared" si="61"/>
        <v>6.561223070054141E-2</v>
      </c>
      <c r="CF127" s="2">
        <v>1.8090147709190485E-6</v>
      </c>
      <c r="CG127" s="2">
        <f t="shared" si="62"/>
        <v>-2.6635810727994763E-12</v>
      </c>
      <c r="CH127" s="2">
        <f t="shared" si="63"/>
        <v>9.2085324746446871E-12</v>
      </c>
      <c r="CI127" s="2">
        <f t="shared" si="64"/>
        <v>2.6934545474810445E-6</v>
      </c>
    </row>
    <row r="128" spans="43:87" x14ac:dyDescent="0.2"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2">
        <v>22</v>
      </c>
      <c r="BP128" s="2">
        <f t="shared" si="65"/>
        <v>7.3815784684864549E-2</v>
      </c>
      <c r="BQ128" s="2">
        <v>1.2820432314056274E-5</v>
      </c>
      <c r="BR128" s="2">
        <f t="shared" si="66"/>
        <v>7.3815784684864549E-2</v>
      </c>
      <c r="BS128" s="2">
        <v>1.6134014256558721E-5</v>
      </c>
      <c r="BT128" s="2">
        <f t="shared" si="57"/>
        <v>7.3815784684864549E-2</v>
      </c>
      <c r="BU128" s="2">
        <v>1.9447525278912942E-5</v>
      </c>
      <c r="BV128" s="2">
        <f t="shared" si="58"/>
        <v>2.4932568151420172E-10</v>
      </c>
      <c r="BW128" s="2">
        <f t="shared" si="59"/>
        <v>3.137666501047675E-10</v>
      </c>
      <c r="BX128" s="2">
        <f t="shared" si="60"/>
        <v>0</v>
      </c>
      <c r="BY128"/>
      <c r="BZ128" s="2">
        <v>22</v>
      </c>
      <c r="CA128" s="2">
        <f t="shared" si="67"/>
        <v>6.561088397326767E-2</v>
      </c>
      <c r="CB128" s="2">
        <v>-1.4723932140400797E-6</v>
      </c>
      <c r="CC128" s="2">
        <f t="shared" si="68"/>
        <v>6.561223070054141E-2</v>
      </c>
      <c r="CD128" s="2">
        <v>1.8090147709190485E-6</v>
      </c>
      <c r="CE128" s="2">
        <f t="shared" si="61"/>
        <v>6.5611557336904547E-2</v>
      </c>
      <c r="CF128" s="2">
        <v>1.6831889642840436E-7</v>
      </c>
      <c r="CG128" s="2">
        <f t="shared" si="62"/>
        <v>-2.4783160089589757E-13</v>
      </c>
      <c r="CH128" s="2">
        <f t="shared" si="63"/>
        <v>3.0449136986377697E-13</v>
      </c>
      <c r="CI128" s="2">
        <f t="shared" si="64"/>
        <v>1.3467272737405223E-6</v>
      </c>
    </row>
    <row r="129" spans="43:87" x14ac:dyDescent="0.2"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2">
        <v>23</v>
      </c>
      <c r="BP129" s="2">
        <f t="shared" si="65"/>
        <v>7.3815784684864549E-2</v>
      </c>
      <c r="BQ129" s="2">
        <v>1.2820432314056274E-5</v>
      </c>
      <c r="BR129" s="2">
        <f t="shared" si="66"/>
        <v>7.3815784684864549E-2</v>
      </c>
      <c r="BS129" s="2">
        <v>1.4477232150568453E-5</v>
      </c>
      <c r="BT129" s="2">
        <f t="shared" si="57"/>
        <v>7.3815784684864549E-2</v>
      </c>
      <c r="BU129" s="2">
        <v>1.9447525278912942E-5</v>
      </c>
      <c r="BV129" s="2">
        <f t="shared" si="58"/>
        <v>2.4932568151420172E-10</v>
      </c>
      <c r="BW129" s="2">
        <f t="shared" si="59"/>
        <v>2.8154633821687116E-10</v>
      </c>
      <c r="BX129" s="2">
        <f t="shared" si="60"/>
        <v>0</v>
      </c>
      <c r="BY129"/>
      <c r="BZ129" s="2">
        <v>23</v>
      </c>
      <c r="CA129" s="2">
        <f t="shared" si="67"/>
        <v>6.561088397326767E-2</v>
      </c>
      <c r="CB129" s="2">
        <v>-1.4723932140400797E-6</v>
      </c>
      <c r="CC129" s="2">
        <f t="shared" si="68"/>
        <v>6.5611557336904547E-2</v>
      </c>
      <c r="CD129" s="2">
        <v>1.6831889642840436E-7</v>
      </c>
      <c r="CE129" s="2">
        <f t="shared" si="61"/>
        <v>6.5611220655086108E-2</v>
      </c>
      <c r="CF129" s="2">
        <v>-6.5203512928171947E-7</v>
      </c>
      <c r="CG129" s="2">
        <f t="shared" si="62"/>
        <v>9.6005209967014975E-13</v>
      </c>
      <c r="CH129" s="2">
        <f t="shared" si="63"/>
        <v>-1.0974983339325098E-13</v>
      </c>
      <c r="CI129" s="2">
        <f t="shared" si="64"/>
        <v>6.7336363687720002E-7</v>
      </c>
    </row>
    <row r="130" spans="43:87" x14ac:dyDescent="0.2"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2">
        <v>24</v>
      </c>
      <c r="BP130" s="2">
        <f t="shared" si="65"/>
        <v>7.3815784684864549E-2</v>
      </c>
      <c r="BQ130" s="2">
        <v>1.2820432314056274E-5</v>
      </c>
      <c r="BR130" s="2">
        <f t="shared" si="66"/>
        <v>7.3815784684864549E-2</v>
      </c>
      <c r="BS130" s="2">
        <v>1.364883444869569E-5</v>
      </c>
      <c r="BT130" s="2">
        <f t="shared" si="57"/>
        <v>7.3815784684864549E-2</v>
      </c>
      <c r="BU130" s="2">
        <v>1.9447525278912942E-5</v>
      </c>
      <c r="BV130" s="2">
        <f t="shared" si="58"/>
        <v>2.4932568151420172E-10</v>
      </c>
      <c r="BW130" s="2">
        <f t="shared" si="59"/>
        <v>2.6543605296870722E-10</v>
      </c>
      <c r="BX130" s="2">
        <f t="shared" si="60"/>
        <v>0</v>
      </c>
      <c r="BY130"/>
      <c r="BZ130" s="2">
        <v>24</v>
      </c>
      <c r="CA130" s="2">
        <f t="shared" si="67"/>
        <v>6.5611220655086108E-2</v>
      </c>
      <c r="CB130" s="2">
        <v>-6.5203512928171947E-7</v>
      </c>
      <c r="CC130" s="2">
        <f t="shared" si="68"/>
        <v>6.5611557336904547E-2</v>
      </c>
      <c r="CD130" s="2">
        <v>1.6831889642840436E-7</v>
      </c>
      <c r="CE130" s="2">
        <f t="shared" si="61"/>
        <v>6.5611388995995334E-2</v>
      </c>
      <c r="CF130" s="2">
        <v>-2.4185760900963249E-7</v>
      </c>
      <c r="CG130" s="2">
        <f t="shared" si="62"/>
        <v>1.5769965735836328E-13</v>
      </c>
      <c r="CH130" s="2">
        <f t="shared" si="63"/>
        <v>-4.0709205841313847E-14</v>
      </c>
      <c r="CI130" s="2">
        <f t="shared" si="64"/>
        <v>3.3668181843860001E-7</v>
      </c>
    </row>
    <row r="131" spans="43:87" x14ac:dyDescent="0.2"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s="2">
        <v>25</v>
      </c>
      <c r="BP131" s="2">
        <f t="shared" si="65"/>
        <v>7.3815784684864549E-2</v>
      </c>
      <c r="BQ131" s="2">
        <v>1.2820432314056274E-5</v>
      </c>
      <c r="BR131" s="2">
        <f t="shared" si="66"/>
        <v>7.3815784684864549E-2</v>
      </c>
      <c r="BS131" s="2">
        <v>1.3234633935453599E-5</v>
      </c>
      <c r="BT131" s="2">
        <f t="shared" si="57"/>
        <v>7.3815784684864549E-2</v>
      </c>
      <c r="BU131" s="2">
        <v>1.9447525278912942E-5</v>
      </c>
      <c r="BV131" s="2">
        <f t="shared" si="58"/>
        <v>2.4932568151420172E-10</v>
      </c>
      <c r="BW131" s="2">
        <f t="shared" si="59"/>
        <v>2.5738087801689294E-10</v>
      </c>
      <c r="BX131" s="2">
        <f t="shared" si="60"/>
        <v>0</v>
      </c>
      <c r="BY131"/>
      <c r="BZ131" s="2">
        <v>25</v>
      </c>
      <c r="CA131" s="2">
        <f t="shared" si="67"/>
        <v>6.5611388995995334E-2</v>
      </c>
      <c r="CB131" s="2">
        <v>-2.4185760900963249E-7</v>
      </c>
      <c r="CC131" s="2">
        <f t="shared" si="68"/>
        <v>6.5611557336904547E-2</v>
      </c>
      <c r="CD131" s="2">
        <v>-2.4185760900963249E-7</v>
      </c>
      <c r="CE131" s="2">
        <f t="shared" si="61"/>
        <v>6.5611473166449941E-2</v>
      </c>
      <c r="CF131" s="2">
        <v>-2.4185760900963249E-7</v>
      </c>
      <c r="CG131" s="2">
        <f t="shared" si="62"/>
        <v>5.849510303585626E-14</v>
      </c>
      <c r="CH131" s="2">
        <f t="shared" si="63"/>
        <v>5.849510303585626E-14</v>
      </c>
      <c r="CI131" s="2">
        <f t="shared" si="64"/>
        <v>1.6834090921236111E-7</v>
      </c>
    </row>
    <row r="132" spans="43:87" x14ac:dyDescent="0.2"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2">
        <v>26</v>
      </c>
      <c r="BP132" s="2">
        <f t="shared" si="65"/>
        <v>7.3815784684864549E-2</v>
      </c>
      <c r="BQ132" s="2">
        <v>1.2820432314056274E-5</v>
      </c>
      <c r="BR132" s="2">
        <f t="shared" si="66"/>
        <v>7.3815784684864549E-2</v>
      </c>
      <c r="BS132" s="2">
        <v>1.3027533263293423E-5</v>
      </c>
      <c r="BT132" s="2">
        <f t="shared" si="57"/>
        <v>7.3815784684864549E-2</v>
      </c>
      <c r="BU132" s="2">
        <v>1.9447525278912942E-5</v>
      </c>
      <c r="BV132" s="2">
        <f t="shared" si="58"/>
        <v>2.4932568151420172E-10</v>
      </c>
      <c r="BW132" s="2">
        <f t="shared" si="59"/>
        <v>2.5335328245977803E-10</v>
      </c>
      <c r="BX132" s="2">
        <f t="shared" si="60"/>
        <v>0</v>
      </c>
      <c r="BY132"/>
      <c r="BZ132" s="2">
        <v>26</v>
      </c>
      <c r="CA132" s="2">
        <f t="shared" si="67"/>
        <v>6.5611473166449941E-2</v>
      </c>
      <c r="CB132" s="2">
        <v>-2.4185760900963249E-7</v>
      </c>
      <c r="CC132" s="2">
        <f t="shared" si="68"/>
        <v>6.5611473166449941E-2</v>
      </c>
      <c r="CD132" s="2">
        <v>-2.4185760900963249E-7</v>
      </c>
      <c r="CE132" s="2">
        <f t="shared" si="61"/>
        <v>6.5611473166449941E-2</v>
      </c>
      <c r="CF132" s="2">
        <v>-2.4185760900963249E-7</v>
      </c>
      <c r="CG132" s="2">
        <f t="shared" si="62"/>
        <v>5.849510303585626E-14</v>
      </c>
      <c r="CH132" s="2">
        <f t="shared" si="63"/>
        <v>5.849510303585626E-14</v>
      </c>
      <c r="CI132" s="2">
        <f t="shared" si="64"/>
        <v>0</v>
      </c>
    </row>
    <row r="133" spans="43:87" x14ac:dyDescent="0.2"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s="2">
        <v>27</v>
      </c>
      <c r="BP133" s="2">
        <f t="shared" si="65"/>
        <v>7.3815784684864549E-2</v>
      </c>
      <c r="BQ133" s="2">
        <v>1.2820432314056274E-5</v>
      </c>
      <c r="BR133" s="2">
        <f t="shared" si="66"/>
        <v>7.3815784684864549E-2</v>
      </c>
      <c r="BS133" s="2">
        <v>1.292398282329299E-5</v>
      </c>
      <c r="BT133" s="2">
        <f t="shared" si="57"/>
        <v>7.3815784684864549E-2</v>
      </c>
      <c r="BU133" s="2">
        <v>1.9447525278912942E-5</v>
      </c>
      <c r="BV133" s="2">
        <f t="shared" si="58"/>
        <v>2.4932568151420172E-10</v>
      </c>
      <c r="BW133" s="2">
        <f t="shared" si="59"/>
        <v>2.5133948266022706E-10</v>
      </c>
      <c r="BX133" s="2">
        <f t="shared" si="60"/>
        <v>0</v>
      </c>
      <c r="BY133"/>
      <c r="BZ133" s="2">
        <v>27</v>
      </c>
      <c r="CA133" s="2">
        <f t="shared" si="67"/>
        <v>6.5611473166449941E-2</v>
      </c>
      <c r="CB133" s="2">
        <v>-2.4185760900963249E-7</v>
      </c>
      <c r="CC133" s="2">
        <f t="shared" si="68"/>
        <v>6.5611473166449941E-2</v>
      </c>
      <c r="CD133" s="2">
        <v>-2.4185760900963249E-7</v>
      </c>
      <c r="CE133" s="2">
        <f t="shared" si="61"/>
        <v>6.5611473166449941E-2</v>
      </c>
      <c r="CF133" s="2">
        <v>-2.4185760900963249E-7</v>
      </c>
      <c r="CG133" s="2">
        <f t="shared" si="62"/>
        <v>5.849510303585626E-14</v>
      </c>
      <c r="CH133" s="2">
        <f t="shared" si="63"/>
        <v>5.849510303585626E-14</v>
      </c>
      <c r="CI133" s="2">
        <f t="shared" si="64"/>
        <v>0</v>
      </c>
    </row>
    <row r="134" spans="43:87" x14ac:dyDescent="0.2"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F134"/>
      <c r="BG134"/>
      <c r="BH134"/>
      <c r="BI134"/>
      <c r="BJ134"/>
      <c r="BK134"/>
      <c r="BL134"/>
      <c r="BM134"/>
      <c r="BN134"/>
      <c r="BO134" s="2">
        <v>28</v>
      </c>
      <c r="BP134" s="2">
        <f t="shared" si="65"/>
        <v>7.3815784684864549E-2</v>
      </c>
      <c r="BQ134" s="2">
        <v>1.2820432314056274E-5</v>
      </c>
      <c r="BR134" s="2">
        <f t="shared" si="66"/>
        <v>7.3815784684864549E-2</v>
      </c>
      <c r="BS134" s="2">
        <v>1.2872207577355188E-5</v>
      </c>
      <c r="BT134" s="2">
        <f t="shared" si="57"/>
        <v>7.3815784684864549E-2</v>
      </c>
      <c r="BU134" s="2">
        <v>1.9447525278912942E-5</v>
      </c>
      <c r="BV134" s="2">
        <f t="shared" si="58"/>
        <v>2.4932568151420172E-10</v>
      </c>
      <c r="BW134" s="2">
        <f t="shared" si="59"/>
        <v>2.5033258225602973E-10</v>
      </c>
      <c r="BX134" s="2">
        <f t="shared" si="60"/>
        <v>0</v>
      </c>
      <c r="BY134"/>
      <c r="BZ134" s="2">
        <v>28</v>
      </c>
      <c r="CA134" s="2">
        <f t="shared" si="67"/>
        <v>6.5611473166449941E-2</v>
      </c>
      <c r="CB134" s="2">
        <v>-2.4185760900963249E-7</v>
      </c>
      <c r="CC134" s="2">
        <f t="shared" si="68"/>
        <v>6.5611473166449941E-2</v>
      </c>
      <c r="CD134" s="2">
        <v>-2.4185760900963249E-7</v>
      </c>
      <c r="CE134" s="2">
        <f t="shared" si="61"/>
        <v>6.5611473166449941E-2</v>
      </c>
      <c r="CF134" s="2">
        <v>-2.4185760900963249E-7</v>
      </c>
      <c r="CG134" s="2">
        <f t="shared" si="62"/>
        <v>5.849510303585626E-14</v>
      </c>
      <c r="CH134" s="2">
        <f t="shared" si="63"/>
        <v>5.849510303585626E-14</v>
      </c>
      <c r="CI134" s="2">
        <f t="shared" si="64"/>
        <v>0</v>
      </c>
    </row>
    <row r="135" spans="43:87" x14ac:dyDescent="0.2"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F135"/>
      <c r="BG135"/>
      <c r="BH135"/>
      <c r="BI135"/>
      <c r="BJ135"/>
      <c r="BK135"/>
      <c r="BL135"/>
      <c r="BM135"/>
      <c r="BN135"/>
      <c r="BO135" s="2">
        <v>29</v>
      </c>
      <c r="BP135" s="2">
        <f t="shared" si="65"/>
        <v>7.3815784684864549E-2</v>
      </c>
      <c r="BQ135" s="2">
        <v>1.2820432314056274E-5</v>
      </c>
      <c r="BR135" s="2">
        <f t="shared" si="66"/>
        <v>7.3815784684864549E-2</v>
      </c>
      <c r="BS135" s="2">
        <v>1.2846319947894952E-5</v>
      </c>
      <c r="BT135" s="2">
        <f t="shared" si="57"/>
        <v>7.3815784684864549E-2</v>
      </c>
      <c r="BU135" s="2">
        <v>1.9447525278912942E-5</v>
      </c>
      <c r="BV135" s="2">
        <f t="shared" si="58"/>
        <v>2.4932568151420172E-10</v>
      </c>
      <c r="BW135" s="2">
        <f t="shared" si="59"/>
        <v>2.4982913192769066E-10</v>
      </c>
      <c r="BX135" s="2">
        <f t="shared" si="60"/>
        <v>0</v>
      </c>
      <c r="BY135"/>
      <c r="BZ135" s="2">
        <v>29</v>
      </c>
      <c r="CA135" s="2">
        <f t="shared" si="67"/>
        <v>6.5611473166449941E-2</v>
      </c>
      <c r="CB135" s="2">
        <v>-2.4185760900963249E-7</v>
      </c>
      <c r="CC135" s="2">
        <f t="shared" si="68"/>
        <v>6.5611473166449941E-2</v>
      </c>
      <c r="CD135" s="2">
        <v>-2.4185760900963249E-7</v>
      </c>
      <c r="CE135" s="2">
        <f t="shared" si="61"/>
        <v>6.5611473166449941E-2</v>
      </c>
      <c r="CF135" s="2">
        <v>-2.4185760900963249E-7</v>
      </c>
      <c r="CG135" s="2">
        <f t="shared" si="62"/>
        <v>5.849510303585626E-14</v>
      </c>
      <c r="CH135" s="2">
        <f t="shared" si="63"/>
        <v>5.849510303585626E-14</v>
      </c>
      <c r="CI135" s="2">
        <f t="shared" si="64"/>
        <v>0</v>
      </c>
    </row>
    <row r="136" spans="43:87" x14ac:dyDescent="0.2">
      <c r="AQ136"/>
      <c r="AR136"/>
      <c r="AS136"/>
      <c r="AT136"/>
      <c r="BF136"/>
      <c r="BG136"/>
      <c r="BH136"/>
      <c r="BI136"/>
      <c r="BJ136"/>
      <c r="BK136"/>
      <c r="BL136"/>
      <c r="BM136"/>
      <c r="BN136"/>
      <c r="BO136" s="2">
        <v>30</v>
      </c>
      <c r="BP136" s="2">
        <f t="shared" si="65"/>
        <v>7.3815784684864549E-2</v>
      </c>
      <c r="BQ136" s="2">
        <v>1.2820432314056274E-5</v>
      </c>
      <c r="BR136" s="2">
        <f t="shared" si="66"/>
        <v>7.3815784684864549E-2</v>
      </c>
      <c r="BS136" s="2">
        <v>1.283337613152552E-5</v>
      </c>
      <c r="BT136" s="5">
        <f t="shared" si="57"/>
        <v>7.3815784684864549E-2</v>
      </c>
      <c r="BU136" s="2">
        <v>1.9447525278912942E-5</v>
      </c>
      <c r="BV136" s="2">
        <f t="shared" si="58"/>
        <v>2.4932568151420172E-10</v>
      </c>
      <c r="BW136" s="2">
        <f t="shared" si="59"/>
        <v>2.4957740673164052E-10</v>
      </c>
      <c r="BX136" s="2">
        <f t="shared" si="60"/>
        <v>0</v>
      </c>
      <c r="BY136"/>
      <c r="BZ136" s="2">
        <v>30</v>
      </c>
      <c r="CA136" s="2">
        <f t="shared" si="67"/>
        <v>6.5611473166449941E-2</v>
      </c>
      <c r="CB136" s="2">
        <v>-2.4185760900963249E-7</v>
      </c>
      <c r="CC136" s="2">
        <f t="shared" si="68"/>
        <v>6.5611473166449941E-2</v>
      </c>
      <c r="CD136" s="2">
        <v>-2.4185760900963249E-7</v>
      </c>
      <c r="CE136" s="5">
        <f t="shared" si="61"/>
        <v>6.5611473166449941E-2</v>
      </c>
      <c r="CF136" s="2">
        <v>-2.4185760900963249E-7</v>
      </c>
      <c r="CG136" s="2">
        <f t="shared" si="62"/>
        <v>5.849510303585626E-14</v>
      </c>
      <c r="CH136" s="2">
        <f t="shared" si="63"/>
        <v>5.849510303585626E-14</v>
      </c>
      <c r="CI136" s="2">
        <f t="shared" si="64"/>
        <v>0</v>
      </c>
    </row>
  </sheetData>
  <mergeCells count="85">
    <mergeCell ref="B1:D1"/>
    <mergeCell ref="B3:D3"/>
    <mergeCell ref="F3:H3"/>
    <mergeCell ref="J3:L3"/>
    <mergeCell ref="B23:D23"/>
    <mergeCell ref="J7:L7"/>
    <mergeCell ref="J11:L11"/>
    <mergeCell ref="B12:D12"/>
    <mergeCell ref="B17:D17"/>
    <mergeCell ref="B51:D51"/>
    <mergeCell ref="J30:L30"/>
    <mergeCell ref="B28:D28"/>
    <mergeCell ref="B34:D34"/>
    <mergeCell ref="J38:L38"/>
    <mergeCell ref="B39:D39"/>
    <mergeCell ref="B45:D45"/>
    <mergeCell ref="N13:P13"/>
    <mergeCell ref="N3:P3"/>
    <mergeCell ref="N17:P17"/>
    <mergeCell ref="F15:H15"/>
    <mergeCell ref="F22:H22"/>
    <mergeCell ref="BZ2:CI2"/>
    <mergeCell ref="AY3:BA3"/>
    <mergeCell ref="BC3:BE3"/>
    <mergeCell ref="BG3:BI3"/>
    <mergeCell ref="AQ2:AS2"/>
    <mergeCell ref="AU2:AW2"/>
    <mergeCell ref="AY2:BE2"/>
    <mergeCell ref="BG2:BM2"/>
    <mergeCell ref="BO2:BX2"/>
    <mergeCell ref="BK3:BM3"/>
    <mergeCell ref="BK22:BM22"/>
    <mergeCell ref="AU23:AU29"/>
    <mergeCell ref="AV23:AW23"/>
    <mergeCell ref="AV24:AW24"/>
    <mergeCell ref="AU14:AW14"/>
    <mergeCell ref="AU22:AW22"/>
    <mergeCell ref="BG22:BI22"/>
    <mergeCell ref="AV25:AW25"/>
    <mergeCell ref="AV26:AW26"/>
    <mergeCell ref="AV27:AW27"/>
    <mergeCell ref="AV28:AW28"/>
    <mergeCell ref="AQ27:AQ34"/>
    <mergeCell ref="AV29:AW29"/>
    <mergeCell ref="AV30:AW30"/>
    <mergeCell ref="AY30:BA30"/>
    <mergeCell ref="BC30:BE30"/>
    <mergeCell ref="AQ7:AS7"/>
    <mergeCell ref="AU9:AW9"/>
    <mergeCell ref="AY12:BA12"/>
    <mergeCell ref="BC12:BE12"/>
    <mergeCell ref="AY21:BA21"/>
    <mergeCell ref="BC21:BE21"/>
    <mergeCell ref="AQ11:AQ18"/>
    <mergeCell ref="AQ19:AQ26"/>
    <mergeCell ref="AQ35:AQ42"/>
    <mergeCell ref="AV42:AX42"/>
    <mergeCell ref="BK60:BM60"/>
    <mergeCell ref="BZ36:CI36"/>
    <mergeCell ref="BK41:BM41"/>
    <mergeCell ref="AQ44:AS44"/>
    <mergeCell ref="BG41:BI41"/>
    <mergeCell ref="BO36:BX36"/>
    <mergeCell ref="AY42:BB42"/>
    <mergeCell ref="BC42:BE42"/>
    <mergeCell ref="AY43:AZ43"/>
    <mergeCell ref="AV41:AW41"/>
    <mergeCell ref="AV52:AX52"/>
    <mergeCell ref="AU50:AU52"/>
    <mergeCell ref="AU53:AU55"/>
    <mergeCell ref="AV55:AX55"/>
    <mergeCell ref="BZ104:CI104"/>
    <mergeCell ref="AF47:AI47"/>
    <mergeCell ref="BO104:BX104"/>
    <mergeCell ref="BG60:BI60"/>
    <mergeCell ref="BO70:BX70"/>
    <mergeCell ref="BZ70:CI70"/>
    <mergeCell ref="AY52:BA52"/>
    <mergeCell ref="AY55:BA55"/>
    <mergeCell ref="BB52:BD52"/>
    <mergeCell ref="BB55:BD55"/>
    <mergeCell ref="AV47:AW47"/>
    <mergeCell ref="AV48:AX48"/>
    <mergeCell ref="AY48:BA48"/>
    <mergeCell ref="BB48:BD48"/>
  </mergeCells>
  <conditionalFormatting sqref="G12">
    <cfRule type="containsText" dxfId="35" priority="1" operator="containsText" text="FALSE">
      <formula>NOT(ISERROR(SEARCH("FALSE",G12)))</formula>
    </cfRule>
    <cfRule type="containsText" dxfId="34" priority="2" operator="containsText" text="TRUE">
      <formula>NOT(ISERROR(SEARCH("TRUE",G12)))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NOT(ISERROR(SEARCH("YES",G12)))</formula>
    </cfRule>
    <cfRule type="cellIs" dxfId="30" priority="6" operator="equal">
      <formula>"""YES"""</formula>
    </cfRule>
  </conditionalFormatting>
  <conditionalFormatting sqref="K28">
    <cfRule type="containsText" dxfId="29" priority="13" operator="containsText" text="FALSE">
      <formula>NOT(ISERROR(SEARCH("FALSE",K28)))</formula>
    </cfRule>
    <cfRule type="containsText" dxfId="28" priority="14" operator="containsText" text="TRUE">
      <formula>NOT(ISERROR(SEARCH("TRUE",K28)))</formula>
    </cfRule>
    <cfRule type="cellIs" dxfId="27" priority="15" operator="equal">
      <formula>1</formula>
    </cfRule>
    <cfRule type="cellIs" dxfId="26" priority="16" operator="equal">
      <formula>TRUE</formula>
    </cfRule>
    <cfRule type="containsText" dxfId="25" priority="17" operator="containsText" text="YES">
      <formula>NOT(ISERROR(SEARCH("YES",K28)))</formula>
    </cfRule>
    <cfRule type="cellIs" dxfId="24" priority="18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79"/>
  <sheetViews>
    <sheetView zoomScale="88" workbookViewId="0">
      <selection activeCell="G33" sqref="G3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60" t="s">
        <v>0</v>
      </c>
      <c r="C1" s="60"/>
      <c r="D1" s="60"/>
    </row>
    <row r="2" spans="2:41" x14ac:dyDescent="0.2">
      <c r="U2" s="16" t="s">
        <v>96</v>
      </c>
      <c r="AF2" s="48" t="s">
        <v>226</v>
      </c>
    </row>
    <row r="3" spans="2:41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MAX(G10,G29)</f>
        <v>405.67558113273873</v>
      </c>
      <c r="L4" s="6" t="s">
        <v>104</v>
      </c>
      <c r="N4" s="6" t="s">
        <v>228</v>
      </c>
      <c r="O4" s="6">
        <f xml:space="preserve"> $C$5 * $C$72</f>
        <v>21002.25254664645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1.4945290488168048</v>
      </c>
      <c r="X4" s="3">
        <v>1</v>
      </c>
      <c r="Y4" s="2">
        <f t="shared" ref="Y4:Y34" si="1" xml:space="preserve"> $O$22 * TAN($O$19/180*PI()) + $O$23 / (2 * SQRT($O$22^2 + X4^2)) - X4</f>
        <v>-1.614678723564178E-2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0.52845936643881974</v>
      </c>
      <c r="AB4" s="2">
        <f>W4*AA4</f>
        <v>0.78979787426214054</v>
      </c>
      <c r="AC4" s="2">
        <f>Y4*AA4</f>
        <v>-8.532920952569677E-3</v>
      </c>
      <c r="AD4" s="2">
        <f>X4-V4</f>
        <v>1</v>
      </c>
      <c r="AF4" s="2">
        <v>0</v>
      </c>
      <c r="AH4" s="2">
        <f>K30</f>
        <v>1.4454144547926262E-9</v>
      </c>
      <c r="AJ4" s="2">
        <f>K30</f>
        <v>1.4454144547926262E-9</v>
      </c>
      <c r="AL4" s="2">
        <f>K30</f>
        <v>1.4454144547926262E-9</v>
      </c>
    </row>
    <row r="5" spans="2:41" x14ac:dyDescent="0.2">
      <c r="B5" s="10" t="s">
        <v>40</v>
      </c>
      <c r="C5" s="10">
        <f>AK44</f>
        <v>2142.9659246909978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K4/$C$21</f>
        <v>50.709447641592341</v>
      </c>
      <c r="L5" s="6" t="s">
        <v>104</v>
      </c>
      <c r="N5" s="6" t="s">
        <v>25</v>
      </c>
      <c r="O5" s="6">
        <f xml:space="preserve"> 0.5 * $C$69 * $C$7^2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0.52845936643881974</v>
      </c>
      <c r="X5" s="2">
        <f>IF(AC4&gt;0, Z4, X4)</f>
        <v>1</v>
      </c>
      <c r="Y5" s="2">
        <f t="shared" si="1"/>
        <v>-1.614678723564178E-2</v>
      </c>
      <c r="Z5" s="2">
        <f t="shared" ref="Z5:Z34" si="3" xml:space="preserve"> (V5 + X5)/2</f>
        <v>0.75</v>
      </c>
      <c r="AA5" s="2">
        <f t="shared" si="2"/>
        <v>0.24886471017907763</v>
      </c>
      <c r="AB5" s="2">
        <f t="shared" ref="AB5:AB34" si="4">W5*AA5</f>
        <v>0.13151488707021586</v>
      </c>
      <c r="AC5" s="2">
        <f t="shared" ref="AC5:AC34" si="5">Y5*AA5</f>
        <v>-4.0183655257212212E-3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-727.62059870954488</v>
      </c>
      <c r="AI5" s="3">
        <v>5000</v>
      </c>
      <c r="AJ5" s="2">
        <f t="dataTable" ref="AJ5:AJ44" dt2D="0" dtr="0" r1="C5"/>
        <v>1327.5365881905363</v>
      </c>
      <c r="AK5" s="2">
        <f>(AG5+AI5)/2</f>
        <v>2750</v>
      </c>
      <c r="AL5" s="2">
        <f t="dataTable" ref="AL5:AL44" dt2D="0" dtr="0" r1="C5" ca="1"/>
        <v>217.4570911392193</v>
      </c>
      <c r="AM5" s="2">
        <f>AH5*AL5</f>
        <v>-158226.2588483548</v>
      </c>
      <c r="AN5" s="2">
        <f>AJ5*AL5</f>
        <v>288682.24484879768</v>
      </c>
      <c r="AO5" s="2">
        <f>AI5-AG5</f>
        <v>4500</v>
      </c>
    </row>
    <row r="6" spans="2:41" x14ac:dyDescent="0.2">
      <c r="B6" s="6" t="s">
        <v>271</v>
      </c>
      <c r="C6" s="17">
        <v>370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MAX(G20)</f>
        <v>81.90656276067368</v>
      </c>
      <c r="L6" s="6" t="s">
        <v>104</v>
      </c>
      <c r="N6" s="6" t="s">
        <v>119</v>
      </c>
      <c r="O6" s="6">
        <f xml:space="preserve"> ($C$21+$C$27) * 0.4 * ($C$5/($C$21+$C$27) *2.20462/1000)^(2/3) * 0.3048^2</f>
        <v>0.21763901851185649</v>
      </c>
      <c r="P6" s="6" t="s">
        <v>120</v>
      </c>
      <c r="U6" s="2">
        <v>2</v>
      </c>
      <c r="V6" s="2">
        <f t="shared" ref="V6:V34" si="7">IF(AB5&gt;0, Z5, V5)</f>
        <v>0.75</v>
      </c>
      <c r="W6" s="2">
        <f t="shared" si="0"/>
        <v>0.24886471017907763</v>
      </c>
      <c r="X6" s="2">
        <f t="shared" ref="X6:X34" si="8">IF(AC5&gt;0, Z5, X5)</f>
        <v>1</v>
      </c>
      <c r="Y6" s="2">
        <f t="shared" si="1"/>
        <v>-1.614678723564178E-2</v>
      </c>
      <c r="Z6" s="2">
        <f t="shared" si="3"/>
        <v>0.875</v>
      </c>
      <c r="AA6" s="2">
        <f t="shared" si="2"/>
        <v>0.11530093817805498</v>
      </c>
      <c r="AB6" s="2">
        <f t="shared" si="4"/>
        <v>2.8694334563057401E-2</v>
      </c>
      <c r="AC6" s="2">
        <f t="shared" si="5"/>
        <v>-1.8617397168309402E-3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-727.62059870954488</v>
      </c>
      <c r="AI6" s="2">
        <f>IF(AN5&gt;0,AK5,AI5)</f>
        <v>2750</v>
      </c>
      <c r="AJ6" s="2">
        <v>217.4570911392193</v>
      </c>
      <c r="AK6" s="2">
        <f t="shared" ref="AK6:AK44" si="9">(AG6+AI6)/2</f>
        <v>1625</v>
      </c>
      <c r="AL6" s="2">
        <v>-211.44317467483575</v>
      </c>
      <c r="AM6" s="2">
        <f t="shared" ref="AM6:AM44" si="10">AH6*AL6</f>
        <v>153850.40934995087</v>
      </c>
      <c r="AN6" s="2">
        <f t="shared" ref="AN6:AN44" si="11">AJ6*AL6</f>
        <v>-45979.817706031623</v>
      </c>
      <c r="AO6" s="2">
        <f t="shared" ref="AO6:AO44" si="12">AI6-AG6</f>
        <v>2250</v>
      </c>
    </row>
    <row r="7" spans="2:41" x14ac:dyDescent="0.2">
      <c r="B7" s="6" t="s">
        <v>9</v>
      </c>
      <c r="C7" s="17">
        <v>50</v>
      </c>
      <c r="D7" s="6" t="s">
        <v>10</v>
      </c>
      <c r="F7" s="6" t="s">
        <v>21</v>
      </c>
      <c r="G7" s="6">
        <f xml:space="preserve"> $C$5 * $C$66 / $C$21</f>
        <v>2625.532704559269</v>
      </c>
      <c r="H7" s="6" t="s">
        <v>22</v>
      </c>
      <c r="J7" s="6" t="s">
        <v>230</v>
      </c>
      <c r="K7" s="6">
        <f>K6/$C$27</f>
        <v>81.90656276067368</v>
      </c>
      <c r="L7" s="6" t="s">
        <v>104</v>
      </c>
      <c r="N7" s="6" t="s">
        <v>121</v>
      </c>
      <c r="O7" s="6">
        <f xml:space="preserve"> O6 / $C$12</f>
        <v>1.0881950925592824E-2</v>
      </c>
      <c r="U7" s="2">
        <v>3</v>
      </c>
      <c r="V7" s="2">
        <f t="shared" si="7"/>
        <v>0.875</v>
      </c>
      <c r="W7" s="2">
        <f t="shared" si="0"/>
        <v>0.11530093817805498</v>
      </c>
      <c r="X7" s="2">
        <f t="shared" si="8"/>
        <v>1</v>
      </c>
      <c r="Y7" s="2">
        <f t="shared" si="1"/>
        <v>-1.614678723564178E-2</v>
      </c>
      <c r="Z7" s="2">
        <f t="shared" si="3"/>
        <v>0.9375</v>
      </c>
      <c r="AA7" s="2">
        <f t="shared" si="2"/>
        <v>4.9364611779079026E-2</v>
      </c>
      <c r="AB7" s="2">
        <f t="shared" si="4"/>
        <v>5.691786050923275E-3</v>
      </c>
      <c r="AC7" s="2">
        <f t="shared" si="5"/>
        <v>-7.9707988336684508E-4</v>
      </c>
      <c r="AD7" s="2">
        <f t="shared" si="6"/>
        <v>0.125</v>
      </c>
      <c r="AF7" s="2">
        <v>3</v>
      </c>
      <c r="AG7" s="2">
        <f t="shared" ref="AG7:AG44" si="13">IF(AM6&gt;0,AK6,AG6)</f>
        <v>1625</v>
      </c>
      <c r="AH7" s="2">
        <v>-211.44317467483575</v>
      </c>
      <c r="AI7" s="2">
        <f t="shared" ref="AI7:AI44" si="14">IF(AN6&gt;0,AK6,AI6)</f>
        <v>2750</v>
      </c>
      <c r="AJ7" s="2">
        <v>217.4570911392193</v>
      </c>
      <c r="AK7" s="2">
        <f t="shared" si="9"/>
        <v>2187.5</v>
      </c>
      <c r="AL7" s="2">
        <v>17.104494767642336</v>
      </c>
      <c r="AM7" s="2">
        <f t="shared" si="10"/>
        <v>-3616.6286748794128</v>
      </c>
      <c r="AN7" s="2">
        <f t="shared" si="11"/>
        <v>3719.4936775774991</v>
      </c>
      <c r="AO7" s="2">
        <f t="shared" si="12"/>
        <v>1125</v>
      </c>
    </row>
    <row r="8" spans="2:41" x14ac:dyDescent="0.2">
      <c r="B8" s="6" t="s">
        <v>98</v>
      </c>
      <c r="C8" s="17">
        <v>1.524</v>
      </c>
      <c r="D8" s="6" t="s">
        <v>8</v>
      </c>
      <c r="F8" t="s">
        <v>100</v>
      </c>
      <c r="G8" s="6">
        <f>G10/$C$21</f>
        <v>50.709447641592341</v>
      </c>
      <c r="H8" s="6" t="s">
        <v>20</v>
      </c>
      <c r="N8" s="6" t="s">
        <v>123</v>
      </c>
      <c r="O8" s="17">
        <v>2.3739199999999998E-2</v>
      </c>
      <c r="U8" s="2">
        <v>4</v>
      </c>
      <c r="V8" s="2">
        <f t="shared" si="7"/>
        <v>0.9375</v>
      </c>
      <c r="W8" s="2">
        <f t="shared" si="0"/>
        <v>4.9364611779079026E-2</v>
      </c>
      <c r="X8" s="2">
        <f t="shared" si="8"/>
        <v>1</v>
      </c>
      <c r="Y8" s="2">
        <f t="shared" si="1"/>
        <v>-1.614678723564178E-2</v>
      </c>
      <c r="Z8" s="2">
        <f t="shared" si="3"/>
        <v>0.96875</v>
      </c>
      <c r="AA8" s="2">
        <f t="shared" si="2"/>
        <v>1.6560861154213846E-2</v>
      </c>
      <c r="AB8" s="2">
        <f t="shared" si="4"/>
        <v>8.1752048160499706E-4</v>
      </c>
      <c r="AC8" s="2">
        <f t="shared" si="5"/>
        <v>-2.6740470149609592E-4</v>
      </c>
      <c r="AD8" s="2">
        <f t="shared" si="6"/>
        <v>6.25E-2</v>
      </c>
      <c r="AF8" s="2">
        <v>4</v>
      </c>
      <c r="AG8" s="2">
        <f t="shared" si="13"/>
        <v>1625</v>
      </c>
      <c r="AH8" s="2">
        <v>-211.44317467483575</v>
      </c>
      <c r="AI8" s="2">
        <f t="shared" si="14"/>
        <v>2187.5</v>
      </c>
      <c r="AJ8" s="2">
        <v>17.104494767642336</v>
      </c>
      <c r="AK8" s="2">
        <f t="shared" si="9"/>
        <v>1906.25</v>
      </c>
      <c r="AL8" s="2">
        <v>-93.836008996921692</v>
      </c>
      <c r="AM8" s="2">
        <f t="shared" si="10"/>
        <v>19840.983641125571</v>
      </c>
      <c r="AN8" s="2">
        <f t="shared" si="11"/>
        <v>-1605.0175249042863</v>
      </c>
      <c r="AO8" s="2">
        <f t="shared" si="12"/>
        <v>562.5</v>
      </c>
    </row>
    <row r="9" spans="2:41" x14ac:dyDescent="0.2">
      <c r="B9" s="6" t="s">
        <v>224</v>
      </c>
      <c r="C9" s="17">
        <f>(0.548288+0.530863+0.513438+0.496013+0.478588+0.461163+0.443738+0.426313)/8</f>
        <v>0.48730050000000003</v>
      </c>
      <c r="D9" s="6" t="s">
        <v>8</v>
      </c>
      <c r="F9" t="s">
        <v>274</v>
      </c>
      <c r="G9" s="6">
        <f xml:space="preserve"> (G7/$C$66*1000) / (G8*1000)</f>
        <v>5.2824622046694261</v>
      </c>
      <c r="H9" s="6" t="s">
        <v>275</v>
      </c>
      <c r="J9" s="54" t="s">
        <v>23</v>
      </c>
      <c r="K9" s="54"/>
      <c r="L9" s="54"/>
      <c r="N9" s="6" t="s">
        <v>122</v>
      </c>
      <c r="O9" s="6">
        <f xml:space="preserve"> $O$8 + O7</f>
        <v>3.4621150925592821E-2</v>
      </c>
      <c r="U9" s="2">
        <v>5</v>
      </c>
      <c r="V9" s="2">
        <f t="shared" si="7"/>
        <v>0.96875</v>
      </c>
      <c r="W9" s="2">
        <f t="shared" si="0"/>
        <v>1.6560861154213846E-2</v>
      </c>
      <c r="X9" s="2">
        <f t="shared" si="8"/>
        <v>1</v>
      </c>
      <c r="Y9" s="2">
        <f t="shared" si="1"/>
        <v>-1.614678723564178E-2</v>
      </c>
      <c r="Z9" s="2">
        <f t="shared" si="3"/>
        <v>0.984375</v>
      </c>
      <c r="AA9" s="2">
        <f t="shared" si="2"/>
        <v>1.9558820066700733E-4</v>
      </c>
      <c r="AB9" s="2">
        <f t="shared" si="4"/>
        <v>3.2391090346488243E-6</v>
      </c>
      <c r="AC9" s="2">
        <f t="shared" si="5"/>
        <v>-3.1581210619721769E-6</v>
      </c>
      <c r="AD9" s="2">
        <f t="shared" si="6"/>
        <v>3.125E-2</v>
      </c>
      <c r="AF9" s="2">
        <v>5</v>
      </c>
      <c r="AG9" s="2">
        <f t="shared" si="13"/>
        <v>1906.25</v>
      </c>
      <c r="AH9" s="2">
        <v>-93.836008996921692</v>
      </c>
      <c r="AI9" s="2">
        <f t="shared" si="14"/>
        <v>2187.5</v>
      </c>
      <c r="AJ9" s="2">
        <v>17.104494767642336</v>
      </c>
      <c r="AK9" s="2">
        <f t="shared" si="9"/>
        <v>2046.875</v>
      </c>
      <c r="AL9" s="2">
        <v>-37.504230994391946</v>
      </c>
      <c r="AM9" s="2">
        <f t="shared" si="10"/>
        <v>3519.2473570123921</v>
      </c>
      <c r="AN9" s="2">
        <f t="shared" si="11"/>
        <v>-641.49092280802654</v>
      </c>
      <c r="AO9" s="2">
        <f t="shared" si="12"/>
        <v>281.25</v>
      </c>
    </row>
    <row r="10" spans="2:41" x14ac:dyDescent="0.2">
      <c r="B10" s="6" t="s">
        <v>231</v>
      </c>
      <c r="C10" s="17">
        <v>1.37</v>
      </c>
      <c r="D10" s="6" t="s">
        <v>8</v>
      </c>
      <c r="F10" s="43" t="s">
        <v>85</v>
      </c>
      <c r="G10" s="43">
        <f xml:space="preserve"> 1/1000 * (($C$5*$C$66)/$C$24 * ( ($G$4/2) + SQRT( ($G$4/2)^2 + ($C$5*$C$66) / (2*$C$63*PI()*$C$8^2 * $C$21) ) ) )</f>
        <v>405.67558113273873</v>
      </c>
      <c r="H10" s="43" t="s">
        <v>104</v>
      </c>
      <c r="J10" s="6" t="s">
        <v>99</v>
      </c>
      <c r="K10" s="6">
        <f xml:space="preserve"> $C$18 * (G10*G6 + G20*G13 + G29*G25)/3600</f>
        <v>77.672430926228898</v>
      </c>
      <c r="L10" s="6" t="s">
        <v>105</v>
      </c>
      <c r="N10" s="6" t="s">
        <v>41</v>
      </c>
      <c r="O10" s="6">
        <f xml:space="preserve"> O5 * $C$12 * O9</f>
        <v>872.92428950978024</v>
      </c>
      <c r="P10" s="6" t="s">
        <v>22</v>
      </c>
      <c r="U10" s="2">
        <v>6</v>
      </c>
      <c r="V10" s="2">
        <f t="shared" si="7"/>
        <v>0.984375</v>
      </c>
      <c r="W10" s="2">
        <f t="shared" si="0"/>
        <v>1.9558820066700733E-4</v>
      </c>
      <c r="X10" s="2">
        <f t="shared" si="8"/>
        <v>1</v>
      </c>
      <c r="Y10" s="2">
        <f t="shared" si="1"/>
        <v>-1.614678723564178E-2</v>
      </c>
      <c r="Z10" s="2">
        <f t="shared" si="3"/>
        <v>0.9921875</v>
      </c>
      <c r="AA10" s="2">
        <f t="shared" si="2"/>
        <v>-7.9783950230044587E-3</v>
      </c>
      <c r="AB10" s="2">
        <f t="shared" si="4"/>
        <v>-1.5604799267600485E-6</v>
      </c>
      <c r="AC10" s="2">
        <f t="shared" si="5"/>
        <v>1.288254469183563E-4</v>
      </c>
      <c r="AD10" s="2">
        <f t="shared" si="6"/>
        <v>1.5625E-2</v>
      </c>
      <c r="AF10" s="2">
        <v>6</v>
      </c>
      <c r="AG10" s="2">
        <f t="shared" si="13"/>
        <v>2046.875</v>
      </c>
      <c r="AH10" s="2">
        <v>-37.504230994391946</v>
      </c>
      <c r="AI10" s="2">
        <f t="shared" si="14"/>
        <v>2187.5</v>
      </c>
      <c r="AJ10" s="2">
        <v>17.104494767642336</v>
      </c>
      <c r="AK10" s="2">
        <f t="shared" si="9"/>
        <v>2117.1875</v>
      </c>
      <c r="AL10" s="2">
        <v>-9.9814458742187071</v>
      </c>
      <c r="AM10" s="2">
        <f t="shared" si="10"/>
        <v>374.34645172471886</v>
      </c>
      <c r="AN10" s="2">
        <f t="shared" si="11"/>
        <v>-170.72758872907906</v>
      </c>
      <c r="AO10" s="2">
        <f t="shared" si="12"/>
        <v>140.625</v>
      </c>
    </row>
    <row r="11" spans="2:41" x14ac:dyDescent="0.2">
      <c r="B11" s="6" t="s">
        <v>259</v>
      </c>
      <c r="C11" s="17">
        <f>(0.500656+0.484769+0.468881+0.452994+0.437106+0.421219+0.405331+0.389444)/8</f>
        <v>0.44505</v>
      </c>
      <c r="D11" s="6" t="s">
        <v>8</v>
      </c>
      <c r="J11" s="6" t="s">
        <v>24</v>
      </c>
      <c r="K11" s="6">
        <f xml:space="preserve"> (G6 + G13 + G25)/60</f>
        <v>37.333333333333336</v>
      </c>
      <c r="L11" s="6" t="s">
        <v>106</v>
      </c>
      <c r="N11" s="6" t="s">
        <v>234</v>
      </c>
      <c r="O11" s="6">
        <f xml:space="preserve"> 1.78 * (1 - 0.045 * $C$13^0.68) - 0.64</f>
        <v>0.70601395642148124</v>
      </c>
      <c r="U11" s="2">
        <v>7</v>
      </c>
      <c r="V11" s="2">
        <f t="shared" si="7"/>
        <v>0.984375</v>
      </c>
      <c r="W11" s="2">
        <f t="shared" si="0"/>
        <v>1.9558820066700733E-4</v>
      </c>
      <c r="X11" s="2">
        <f t="shared" si="8"/>
        <v>0.9921875</v>
      </c>
      <c r="Y11" s="2">
        <f t="shared" si="1"/>
        <v>-7.9783950230044587E-3</v>
      </c>
      <c r="Z11" s="2">
        <f t="shared" si="3"/>
        <v>0.98828125</v>
      </c>
      <c r="AA11" s="2">
        <f t="shared" si="2"/>
        <v>-3.892110461173548E-3</v>
      </c>
      <c r="AB11" s="2">
        <f t="shared" si="4"/>
        <v>-7.6125088189817037E-7</v>
      </c>
      <c r="AC11" s="2">
        <f t="shared" si="5"/>
        <v>3.1052794732410625E-5</v>
      </c>
      <c r="AD11" s="2">
        <f t="shared" si="6"/>
        <v>7.8125E-3</v>
      </c>
      <c r="AF11" s="2">
        <v>7</v>
      </c>
      <c r="AG11" s="2">
        <f t="shared" si="13"/>
        <v>2117.1875</v>
      </c>
      <c r="AH11" s="2">
        <v>-9.9814458742187071</v>
      </c>
      <c r="AI11" s="2">
        <f t="shared" si="14"/>
        <v>2187.5</v>
      </c>
      <c r="AJ11" s="2">
        <v>17.104494767642336</v>
      </c>
      <c r="AK11" s="2">
        <f t="shared" si="9"/>
        <v>2152.34375</v>
      </c>
      <c r="AL11" s="2">
        <v>3.6164864705240234</v>
      </c>
      <c r="AM11" s="2">
        <f t="shared" si="10"/>
        <v>-36.097763960379787</v>
      </c>
      <c r="AN11" s="2">
        <f t="shared" si="11"/>
        <v>61.858173912327459</v>
      </c>
      <c r="AO11" s="2">
        <f t="shared" si="12"/>
        <v>70.3125</v>
      </c>
    </row>
    <row r="12" spans="2:41" x14ac:dyDescent="0.2">
      <c r="B12" s="6" t="s">
        <v>232</v>
      </c>
      <c r="C12" s="17">
        <v>20</v>
      </c>
      <c r="D12" s="6" t="s">
        <v>11</v>
      </c>
      <c r="F12" s="57" t="s">
        <v>89</v>
      </c>
      <c r="G12" s="58"/>
      <c r="H12" s="58"/>
      <c r="N12" s="6" t="s">
        <v>235</v>
      </c>
      <c r="O12" s="6">
        <f xml:space="preserve"> O4 / (O5 * $C$12)</f>
        <v>0.83297276056231939</v>
      </c>
      <c r="U12" s="2">
        <v>8</v>
      </c>
      <c r="V12" s="2">
        <f t="shared" si="7"/>
        <v>0.984375</v>
      </c>
      <c r="W12" s="2">
        <f t="shared" si="0"/>
        <v>1.9558820066700733E-4</v>
      </c>
      <c r="X12" s="2">
        <f t="shared" si="8"/>
        <v>0.98828125</v>
      </c>
      <c r="Y12" s="2">
        <f t="shared" si="1"/>
        <v>-3.892110461173548E-3</v>
      </c>
      <c r="Z12" s="2">
        <f t="shared" si="3"/>
        <v>0.986328125</v>
      </c>
      <c r="AA12" s="2">
        <f t="shared" si="2"/>
        <v>-1.8484389283760505E-3</v>
      </c>
      <c r="AB12" s="2">
        <f t="shared" si="4"/>
        <v>-3.6153284404392297E-7</v>
      </c>
      <c r="AC12" s="2">
        <f t="shared" si="5"/>
        <v>7.1943284899728489E-6</v>
      </c>
      <c r="AD12" s="2">
        <f t="shared" si="6"/>
        <v>3.90625E-3</v>
      </c>
      <c r="AF12" s="2">
        <v>8</v>
      </c>
      <c r="AG12" s="2">
        <f t="shared" si="13"/>
        <v>2117.1875</v>
      </c>
      <c r="AH12" s="2">
        <v>-9.9814458742187071</v>
      </c>
      <c r="AI12" s="2">
        <f t="shared" si="14"/>
        <v>2152.34375</v>
      </c>
      <c r="AJ12" s="2">
        <v>3.6164864705240234</v>
      </c>
      <c r="AK12" s="2">
        <f t="shared" si="9"/>
        <v>2134.765625</v>
      </c>
      <c r="AL12" s="2">
        <v>-3.168782629017187</v>
      </c>
      <c r="AM12" s="2">
        <f t="shared" si="10"/>
        <v>31.62903229869951</v>
      </c>
      <c r="AN12" s="2">
        <f t="shared" si="11"/>
        <v>-11.459859505872203</v>
      </c>
      <c r="AO12" s="2">
        <f t="shared" si="12"/>
        <v>35.15625</v>
      </c>
    </row>
    <row r="13" spans="2:41" x14ac:dyDescent="0.2">
      <c r="B13" s="6" t="s">
        <v>233</v>
      </c>
      <c r="C13" s="17">
        <v>12</v>
      </c>
      <c r="F13" s="9" t="s">
        <v>92</v>
      </c>
      <c r="G13" s="6">
        <f xml:space="preserve"> $C$17/$C$7</f>
        <v>1920</v>
      </c>
      <c r="H13" s="6" t="s">
        <v>14</v>
      </c>
      <c r="J13" s="45" t="s">
        <v>54</v>
      </c>
      <c r="K13" s="45"/>
      <c r="L13" s="45"/>
      <c r="N13" s="6" t="s">
        <v>236</v>
      </c>
      <c r="O13" s="6">
        <f xml:space="preserve"> O9 + O12^2 / ( PI() * O11 * $C$13 )</f>
        <v>6.0689720067823812E-2</v>
      </c>
      <c r="U13" s="2">
        <v>9</v>
      </c>
      <c r="V13" s="2">
        <f t="shared" si="7"/>
        <v>0.984375</v>
      </c>
      <c r="W13" s="2">
        <f t="shared" si="0"/>
        <v>1.9558820066700733E-4</v>
      </c>
      <c r="X13" s="2">
        <f t="shared" si="8"/>
        <v>0.986328125</v>
      </c>
      <c r="Y13" s="2">
        <f t="shared" si="1"/>
        <v>-1.8484389283760505E-3</v>
      </c>
      <c r="Z13" s="2">
        <f t="shared" si="3"/>
        <v>0.9853515625</v>
      </c>
      <c r="AA13" s="2">
        <f t="shared" si="2"/>
        <v>-8.2646994372037597E-4</v>
      </c>
      <c r="AB13" s="2">
        <f t="shared" si="4"/>
        <v>-1.6164776919763116E-7</v>
      </c>
      <c r="AC13" s="2">
        <f t="shared" si="5"/>
        <v>1.5276792171055065E-6</v>
      </c>
      <c r="AD13" s="2">
        <f t="shared" si="6"/>
        <v>1.953125E-3</v>
      </c>
      <c r="AF13" s="2">
        <v>9</v>
      </c>
      <c r="AG13" s="2">
        <f t="shared" si="13"/>
        <v>2134.765625</v>
      </c>
      <c r="AH13" s="2">
        <v>-3.168782629017187</v>
      </c>
      <c r="AI13" s="2">
        <f t="shared" si="14"/>
        <v>2152.34375</v>
      </c>
      <c r="AJ13" s="2">
        <v>3.6164864705240234</v>
      </c>
      <c r="AK13" s="2">
        <f t="shared" si="9"/>
        <v>2143.5546875</v>
      </c>
      <c r="AL13" s="2">
        <v>0.22728177225121726</v>
      </c>
      <c r="AM13" s="2">
        <f t="shared" si="10"/>
        <v>-0.72020653180189775</v>
      </c>
      <c r="AN13" s="2">
        <f t="shared" si="11"/>
        <v>0.82196145434324963</v>
      </c>
      <c r="AO13" s="2">
        <f t="shared" si="12"/>
        <v>17.578125</v>
      </c>
    </row>
    <row r="14" spans="2:41" x14ac:dyDescent="0.2">
      <c r="F14" s="6" t="s">
        <v>239</v>
      </c>
      <c r="G14" s="6">
        <f>O21*$C$10</f>
        <v>53.082443870155544</v>
      </c>
      <c r="H14" s="6" t="s">
        <v>10</v>
      </c>
      <c r="J14" s="10" t="s">
        <v>82</v>
      </c>
      <c r="K14" s="18">
        <f>C5</f>
        <v>2142.9659246909978</v>
      </c>
      <c r="L14" s="6" t="s">
        <v>7</v>
      </c>
      <c r="N14" s="6" t="s">
        <v>42</v>
      </c>
      <c r="O14" s="6">
        <f xml:space="preserve"> O5 * O13 * $C$12</f>
        <v>1530.2070946344606</v>
      </c>
      <c r="P14" s="6" t="s">
        <v>22</v>
      </c>
      <c r="U14" s="2">
        <v>10</v>
      </c>
      <c r="V14" s="2">
        <f t="shared" si="7"/>
        <v>0.984375</v>
      </c>
      <c r="W14" s="2">
        <f t="shared" si="0"/>
        <v>1.9558820066700733E-4</v>
      </c>
      <c r="X14" s="2">
        <f t="shared" si="8"/>
        <v>0.9853515625</v>
      </c>
      <c r="Y14" s="2">
        <f t="shared" si="1"/>
        <v>-8.2646994372037597E-4</v>
      </c>
      <c r="Z14" s="2">
        <f t="shared" si="3"/>
        <v>0.98486328125</v>
      </c>
      <c r="AA14" s="2">
        <f t="shared" si="2"/>
        <v>-3.1545203284066847E-4</v>
      </c>
      <c r="AB14" s="2">
        <f t="shared" si="4"/>
        <v>-6.1698695500056046E-8</v>
      </c>
      <c r="AC14" s="2">
        <f t="shared" si="5"/>
        <v>2.6071162382830544E-7</v>
      </c>
      <c r="AD14" s="2">
        <f t="shared" si="6"/>
        <v>9.765625E-4</v>
      </c>
      <c r="AF14" s="2">
        <v>10</v>
      </c>
      <c r="AG14" s="2">
        <f t="shared" si="13"/>
        <v>2134.765625</v>
      </c>
      <c r="AH14" s="2">
        <v>-3.168782629017187</v>
      </c>
      <c r="AI14" s="2">
        <f t="shared" si="14"/>
        <v>2143.5546875</v>
      </c>
      <c r="AJ14" s="2">
        <v>0.22728177225121726</v>
      </c>
      <c r="AK14" s="2">
        <f t="shared" si="9"/>
        <v>2139.16015625</v>
      </c>
      <c r="AL14" s="2">
        <v>-1.4698938660033036</v>
      </c>
      <c r="AM14" s="2">
        <f t="shared" si="10"/>
        <v>4.6577741490901854</v>
      </c>
      <c r="AN14" s="2">
        <f t="shared" si="11"/>
        <v>-0.3340800828864241</v>
      </c>
      <c r="AO14" s="2">
        <f t="shared" si="12"/>
        <v>8.7890625</v>
      </c>
    </row>
    <row r="15" spans="2:41" x14ac:dyDescent="0.2">
      <c r="B15" s="54" t="s">
        <v>12</v>
      </c>
      <c r="C15" s="54"/>
      <c r="D15" s="54"/>
      <c r="F15" s="6" t="s">
        <v>240</v>
      </c>
      <c r="G15" s="6">
        <f>G14/$C$71</f>
        <v>0.15954004668299768</v>
      </c>
      <c r="H15" s="6" t="s">
        <v>131</v>
      </c>
      <c r="J15" s="11" t="s">
        <v>55</v>
      </c>
      <c r="K15" s="6">
        <f xml:space="preserve"> 1000 * K10 / ($C$58 * $C$59 * $C$60)</f>
        <v>456.89665250722885</v>
      </c>
      <c r="L15" s="6" t="s">
        <v>7</v>
      </c>
      <c r="N15" s="6" t="s">
        <v>237</v>
      </c>
      <c r="O15" s="6">
        <f>O4/O14</f>
        <v>13.725104673928803</v>
      </c>
      <c r="U15" s="2">
        <v>11</v>
      </c>
      <c r="V15" s="2">
        <f t="shared" si="7"/>
        <v>0.984375</v>
      </c>
      <c r="W15" s="2">
        <f t="shared" si="0"/>
        <v>1.9558820066700733E-4</v>
      </c>
      <c r="X15" s="2">
        <f t="shared" si="8"/>
        <v>0.98486328125</v>
      </c>
      <c r="Y15" s="2">
        <f t="shared" si="1"/>
        <v>-3.1545203284066847E-4</v>
      </c>
      <c r="Z15" s="2">
        <f t="shared" si="3"/>
        <v>0.984619140625</v>
      </c>
      <c r="AA15" s="2">
        <f t="shared" si="2"/>
        <v>-5.9934708462217046E-5</v>
      </c>
      <c r="AB15" s="2">
        <f t="shared" si="4"/>
        <v>-1.172252178562669E-8</v>
      </c>
      <c r="AC15" s="2">
        <f t="shared" si="5"/>
        <v>1.8906525622119183E-8</v>
      </c>
      <c r="AD15" s="2">
        <f t="shared" si="6"/>
        <v>4.8828125E-4</v>
      </c>
      <c r="AF15" s="2">
        <v>11</v>
      </c>
      <c r="AG15" s="2">
        <f t="shared" si="13"/>
        <v>2139.16015625</v>
      </c>
      <c r="AH15" s="2">
        <v>-1.4698938660033036</v>
      </c>
      <c r="AI15" s="2">
        <f t="shared" si="14"/>
        <v>2143.5546875</v>
      </c>
      <c r="AJ15" s="2">
        <v>0.22728177225121726</v>
      </c>
      <c r="AK15" s="2">
        <f t="shared" si="9"/>
        <v>2141.357421875</v>
      </c>
      <c r="AL15" s="2">
        <v>-0.62109173692306285</v>
      </c>
      <c r="AM15" s="2">
        <f t="shared" si="10"/>
        <v>0.91293893432854767</v>
      </c>
      <c r="AN15" s="2">
        <f t="shared" si="11"/>
        <v>-0.14116283069846053</v>
      </c>
      <c r="AO15" s="2">
        <f t="shared" si="12"/>
        <v>4.39453125</v>
      </c>
    </row>
    <row r="16" spans="2:41" x14ac:dyDescent="0.2">
      <c r="B16" s="6" t="s">
        <v>71</v>
      </c>
      <c r="C16" s="6">
        <f>C33*100</f>
        <v>600</v>
      </c>
      <c r="D16" s="6" t="s">
        <v>7</v>
      </c>
      <c r="F16" s="9" t="s">
        <v>21</v>
      </c>
      <c r="G16" s="6">
        <f>O20</f>
        <v>1530.2070946344606</v>
      </c>
      <c r="H16" s="6" t="s">
        <v>22</v>
      </c>
      <c r="J16" s="12" t="s">
        <v>135</v>
      </c>
      <c r="K16" s="6">
        <f xml:space="preserve"> $C$76 * ( $C$21 * (0.0095 * MAX(G7,G26) - 1.9275) +  $C$27 * (0.0095 * MAX(O20) - 1.9275) )</f>
        <v>157.38396235642549</v>
      </c>
      <c r="L16" s="6" t="s">
        <v>7</v>
      </c>
      <c r="N16" s="6" t="s">
        <v>118</v>
      </c>
      <c r="O16" s="6">
        <f>(O13*$C$12)/(0.3048^2)/($C$5*2.20462/1000)^(2/3)</f>
        <v>4.6403335505485783</v>
      </c>
      <c r="U16" s="2">
        <v>12</v>
      </c>
      <c r="V16" s="2">
        <f t="shared" si="7"/>
        <v>0.984375</v>
      </c>
      <c r="W16" s="2">
        <f t="shared" si="0"/>
        <v>1.9558820066700733E-4</v>
      </c>
      <c r="X16" s="2">
        <f t="shared" si="8"/>
        <v>0.984619140625</v>
      </c>
      <c r="Y16" s="2">
        <f t="shared" si="1"/>
        <v>-5.9934708462217046E-5</v>
      </c>
      <c r="Z16" s="2">
        <f t="shared" si="3"/>
        <v>0.9844970703125</v>
      </c>
      <c r="AA16" s="2">
        <f t="shared" si="2"/>
        <v>6.7826047752461704E-5</v>
      </c>
      <c r="AB16" s="2">
        <f t="shared" si="4"/>
        <v>1.3265974638258501E-8</v>
      </c>
      <c r="AC16" s="2">
        <f t="shared" si="5"/>
        <v>-4.0651343981882041E-9</v>
      </c>
      <c r="AD16" s="2">
        <f t="shared" si="6"/>
        <v>2.44140625E-4</v>
      </c>
      <c r="AF16" s="2">
        <v>12</v>
      </c>
      <c r="AG16" s="2">
        <f t="shared" si="13"/>
        <v>2141.357421875</v>
      </c>
      <c r="AH16" s="2">
        <v>-0.62109173692306285</v>
      </c>
      <c r="AI16" s="2">
        <f t="shared" si="14"/>
        <v>2143.5546875</v>
      </c>
      <c r="AJ16" s="2">
        <v>0.22728177225121726</v>
      </c>
      <c r="AK16" s="2">
        <f t="shared" si="9"/>
        <v>2142.4560546875</v>
      </c>
      <c r="AL16" s="2">
        <v>-0.19685160033964166</v>
      </c>
      <c r="AM16" s="2">
        <f t="shared" si="10"/>
        <v>0.12226290237103263</v>
      </c>
      <c r="AN16" s="2">
        <f t="shared" si="11"/>
        <v>-4.4740780595682081E-2</v>
      </c>
      <c r="AO16" s="2">
        <f t="shared" si="12"/>
        <v>2.197265625</v>
      </c>
    </row>
    <row r="17" spans="2:41" x14ac:dyDescent="0.2">
      <c r="B17" s="6" t="s">
        <v>13</v>
      </c>
      <c r="C17" s="17">
        <v>96000</v>
      </c>
      <c r="D17" s="6" t="s">
        <v>8</v>
      </c>
      <c r="F17" s="9" t="s">
        <v>100</v>
      </c>
      <c r="G17" s="6">
        <f xml:space="preserve"> 1/1000 * (O25 + O20 * (O30 * O27 + $C$7 * SIN(O19/180*PI())))</f>
        <v>81.90656276067368</v>
      </c>
      <c r="H17" s="6" t="s">
        <v>104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7"/>
        <v>0.9844970703125</v>
      </c>
      <c r="W17" s="2">
        <f t="shared" si="0"/>
        <v>6.7826047752461704E-5</v>
      </c>
      <c r="X17" s="2">
        <f t="shared" si="8"/>
        <v>0.984619140625</v>
      </c>
      <c r="Y17" s="2">
        <f t="shared" si="1"/>
        <v>-5.9934708462217046E-5</v>
      </c>
      <c r="Z17" s="2">
        <f t="shared" si="3"/>
        <v>0.98455810546875</v>
      </c>
      <c r="AA17" s="2">
        <f t="shared" si="2"/>
        <v>3.9454950896411489E-6</v>
      </c>
      <c r="AB17" s="2">
        <f t="shared" si="4"/>
        <v>2.6760733835710371E-10</v>
      </c>
      <c r="AC17" s="2">
        <f t="shared" si="5"/>
        <v>-2.3647209793675115E-10</v>
      </c>
      <c r="AD17" s="2">
        <f t="shared" si="6"/>
        <v>1.220703125E-4</v>
      </c>
      <c r="AF17" s="2">
        <v>13</v>
      </c>
      <c r="AG17" s="2">
        <f t="shared" si="13"/>
        <v>2142.4560546875</v>
      </c>
      <c r="AH17" s="2">
        <v>-0.19685160033964166</v>
      </c>
      <c r="AI17" s="2">
        <f t="shared" si="14"/>
        <v>2143.5546875</v>
      </c>
      <c r="AJ17" s="2">
        <v>0.22728177225121726</v>
      </c>
      <c r="AK17" s="2">
        <f t="shared" si="9"/>
        <v>2143.00537109375</v>
      </c>
      <c r="AL17" s="2">
        <v>1.5228597906116192E-2</v>
      </c>
      <c r="AM17" s="2">
        <f t="shared" si="10"/>
        <v>-2.9977738687478887E-3</v>
      </c>
      <c r="AN17" s="2">
        <f t="shared" si="11"/>
        <v>3.4611827210032646E-3</v>
      </c>
      <c r="AO17" s="2">
        <f t="shared" si="12"/>
        <v>1.0986328125</v>
      </c>
    </row>
    <row r="18" spans="2:41" x14ac:dyDescent="0.2">
      <c r="B18" s="6" t="s">
        <v>263</v>
      </c>
      <c r="C18" s="17">
        <v>1</v>
      </c>
      <c r="F18" t="s">
        <v>274</v>
      </c>
      <c r="G18" s="6">
        <f xml:space="preserve"> (G16/$C$72*1000) / (G17*1000)</f>
        <v>1.906254575584708</v>
      </c>
      <c r="H18" s="6" t="s">
        <v>275</v>
      </c>
      <c r="J18" s="13" t="s">
        <v>56</v>
      </c>
      <c r="K18" s="6">
        <f xml:space="preserve"> $C$76 * (0.2138 * K4 + 0.2138 * K6)</f>
        <v>83.396049891529245</v>
      </c>
      <c r="L18" s="6" t="s">
        <v>7</v>
      </c>
      <c r="N18" s="57" t="s">
        <v>238</v>
      </c>
      <c r="O18" s="59"/>
      <c r="P18" s="59"/>
      <c r="U18" s="2">
        <v>14</v>
      </c>
      <c r="V18" s="2">
        <f t="shared" si="7"/>
        <v>0.98455810546875</v>
      </c>
      <c r="W18" s="2">
        <f t="shared" si="0"/>
        <v>3.9454950896411489E-6</v>
      </c>
      <c r="X18" s="2">
        <f t="shared" si="8"/>
        <v>0.984619140625</v>
      </c>
      <c r="Y18" s="2">
        <f t="shared" si="1"/>
        <v>-5.9934708462217046E-5</v>
      </c>
      <c r="Z18" s="2">
        <f t="shared" si="3"/>
        <v>0.984588623046875</v>
      </c>
      <c r="AA18" s="2">
        <f t="shared" si="2"/>
        <v>-2.7994650321105929E-5</v>
      </c>
      <c r="AB18" s="2">
        <f t="shared" si="4"/>
        <v>-1.1045275537814445E-10</v>
      </c>
      <c r="AC18" s="2">
        <f t="shared" si="5"/>
        <v>1.6778512054971947E-9</v>
      </c>
      <c r="AD18" s="2">
        <f t="shared" si="6"/>
        <v>6.103515625E-5</v>
      </c>
      <c r="AF18" s="2">
        <v>14</v>
      </c>
      <c r="AG18" s="2">
        <f t="shared" si="13"/>
        <v>2142.4560546875</v>
      </c>
      <c r="AH18" s="2">
        <v>-0.19685160033964166</v>
      </c>
      <c r="AI18" s="2">
        <f t="shared" si="14"/>
        <v>2143.00537109375</v>
      </c>
      <c r="AJ18" s="2">
        <v>1.5228597906116192E-2</v>
      </c>
      <c r="AK18" s="2">
        <f t="shared" si="9"/>
        <v>2142.730712890625</v>
      </c>
      <c r="AL18" s="2">
        <v>-9.080824724469494E-2</v>
      </c>
      <c r="AM18" s="2">
        <f t="shared" si="10"/>
        <v>1.7875748794156054E-2</v>
      </c>
      <c r="AN18" s="2">
        <f t="shared" si="11"/>
        <v>-1.3828822838486429E-3</v>
      </c>
      <c r="AO18" s="2">
        <f t="shared" si="12"/>
        <v>0.54931640625</v>
      </c>
    </row>
    <row r="19" spans="2:41" x14ac:dyDescent="0.2">
      <c r="F19" s="9" t="s">
        <v>276</v>
      </c>
      <c r="G19" s="6">
        <f>O23 / ($C$28*$C$11/PI())</f>
        <v>0.10743656995946378</v>
      </c>
      <c r="J19" s="13" t="s">
        <v>80</v>
      </c>
      <c r="K19" s="6">
        <f xml:space="preserve"> $C$76 * (0.1149 * K4 + 0.1149 * K6)</f>
        <v>44.818550666682476</v>
      </c>
      <c r="L19" s="6" t="s">
        <v>7</v>
      </c>
      <c r="N19" s="6" t="s">
        <v>28</v>
      </c>
      <c r="O19" s="6">
        <f xml:space="preserve"> 90 - $C$79</f>
        <v>85</v>
      </c>
      <c r="P19" s="6" t="s">
        <v>43</v>
      </c>
      <c r="U19" s="2">
        <v>15</v>
      </c>
      <c r="V19" s="2">
        <f t="shared" si="7"/>
        <v>0.98455810546875</v>
      </c>
      <c r="W19" s="2">
        <f t="shared" si="0"/>
        <v>3.9454950896411489E-6</v>
      </c>
      <c r="X19" s="2">
        <f t="shared" si="8"/>
        <v>0.984588623046875</v>
      </c>
      <c r="Y19" s="2">
        <f t="shared" si="1"/>
        <v>-2.7994650321105929E-5</v>
      </c>
      <c r="Z19" s="2">
        <f t="shared" si="3"/>
        <v>0.9845733642578125</v>
      </c>
      <c r="AA19" s="2">
        <f t="shared" si="2"/>
        <v>-1.2024588524894853E-5</v>
      </c>
      <c r="AB19" s="2">
        <f t="shared" si="4"/>
        <v>-4.7442954979927945E-11</v>
      </c>
      <c r="AC19" s="2">
        <f t="shared" si="5"/>
        <v>3.3662415100961437E-10</v>
      </c>
      <c r="AD19" s="2">
        <f t="shared" si="6"/>
        <v>3.0517578125E-5</v>
      </c>
      <c r="AF19" s="2">
        <v>15</v>
      </c>
      <c r="AG19" s="2">
        <f t="shared" si="13"/>
        <v>2142.730712890625</v>
      </c>
      <c r="AH19" s="2">
        <v>-9.080824724469494E-2</v>
      </c>
      <c r="AI19" s="2">
        <f t="shared" si="14"/>
        <v>2143.00537109375</v>
      </c>
      <c r="AJ19" s="2">
        <v>1.5228597906116192E-2</v>
      </c>
      <c r="AK19" s="2">
        <f t="shared" si="9"/>
        <v>2142.8680419921875</v>
      </c>
      <c r="AL19" s="2">
        <v>-3.7789011159929942E-2</v>
      </c>
      <c r="AM19" s="2">
        <f t="shared" si="10"/>
        <v>3.4315538685434546E-3</v>
      </c>
      <c r="AN19" s="2">
        <f t="shared" si="11"/>
        <v>-5.7547365622431053E-4</v>
      </c>
      <c r="AO19" s="2">
        <f t="shared" si="12"/>
        <v>0.274658203125</v>
      </c>
    </row>
    <row r="20" spans="2:41" x14ac:dyDescent="0.2">
      <c r="B20" s="54" t="s">
        <v>115</v>
      </c>
      <c r="C20" s="54"/>
      <c r="D20" s="54"/>
      <c r="F20" s="44" t="s">
        <v>225</v>
      </c>
      <c r="G20" s="43">
        <f xml:space="preserve"> $C$27 * G17</f>
        <v>81.90656276067368</v>
      </c>
      <c r="H20" s="43" t="s">
        <v>104</v>
      </c>
      <c r="J20" s="14" t="s">
        <v>63</v>
      </c>
      <c r="K20" s="6">
        <f xml:space="preserve"> $C$77 * (14.86 * ($C$5*2.20462)^0.144 * ($C$34/(PI()*$C$35))^0.778 * ($C$34*3.28084)^0.383 * $C$33^0.455 * 0.453592)</f>
        <v>214.09756543035465</v>
      </c>
      <c r="L20" s="6" t="s">
        <v>7</v>
      </c>
      <c r="N20" s="6" t="s">
        <v>21</v>
      </c>
      <c r="O20" s="6">
        <f xml:space="preserve"> O14 / $C$27</f>
        <v>1530.2070946344606</v>
      </c>
      <c r="P20" s="6" t="s">
        <v>22</v>
      </c>
      <c r="U20" s="2">
        <v>16</v>
      </c>
      <c r="V20" s="2">
        <f t="shared" si="7"/>
        <v>0.98455810546875</v>
      </c>
      <c r="W20" s="2">
        <f t="shared" si="0"/>
        <v>3.9454950896411489E-6</v>
      </c>
      <c r="X20" s="2">
        <f t="shared" si="8"/>
        <v>0.9845733642578125</v>
      </c>
      <c r="Y20" s="2">
        <f t="shared" si="1"/>
        <v>-1.2024588524894853E-5</v>
      </c>
      <c r="Z20" s="2">
        <f t="shared" si="3"/>
        <v>0.98456573486328125</v>
      </c>
      <c r="AA20" s="2">
        <f t="shared" si="2"/>
        <v>-4.0395494449452229E-6</v>
      </c>
      <c r="AB20" s="2">
        <f t="shared" si="4"/>
        <v>-1.5938022499394007E-11</v>
      </c>
      <c r="AC20" s="2">
        <f t="shared" si="5"/>
        <v>4.8573919901433696E-11</v>
      </c>
      <c r="AD20" s="2">
        <f t="shared" si="6"/>
        <v>1.52587890625E-5</v>
      </c>
      <c r="AF20" s="2">
        <v>16</v>
      </c>
      <c r="AG20" s="2">
        <f t="shared" si="13"/>
        <v>2142.8680419921875</v>
      </c>
      <c r="AH20" s="2">
        <v>-3.7789011159929942E-2</v>
      </c>
      <c r="AI20" s="2">
        <f t="shared" si="14"/>
        <v>2143.00537109375</v>
      </c>
      <c r="AJ20" s="2">
        <v>1.5228597906116192E-2</v>
      </c>
      <c r="AK20" s="2">
        <f t="shared" si="9"/>
        <v>2142.9367065429688</v>
      </c>
      <c r="AL20" s="2">
        <v>-1.1280168376060828E-2</v>
      </c>
      <c r="AM20" s="2">
        <f t="shared" si="10"/>
        <v>4.2626640864885143E-4</v>
      </c>
      <c r="AN20" s="2">
        <f t="shared" si="11"/>
        <v>-1.7178114851231803E-4</v>
      </c>
      <c r="AO20" s="2">
        <f t="shared" si="12"/>
        <v>0.1373291015625</v>
      </c>
    </row>
    <row r="21" spans="2:41" x14ac:dyDescent="0.2">
      <c r="B21" s="6" t="s">
        <v>97</v>
      </c>
      <c r="C21" s="17">
        <v>8</v>
      </c>
      <c r="J21" s="14" t="s">
        <v>64</v>
      </c>
      <c r="K21" s="6">
        <f xml:space="preserve"> $C$77 * C39 * $C$5</f>
        <v>55.717114041965949</v>
      </c>
      <c r="L21" s="6" t="s">
        <v>7</v>
      </c>
      <c r="N21" s="6" t="s">
        <v>29</v>
      </c>
      <c r="O21" s="6">
        <f>$C$6*2*PI()/60</f>
        <v>38.746309394274114</v>
      </c>
      <c r="P21" s="6" t="s">
        <v>30</v>
      </c>
      <c r="U21" s="2">
        <v>17</v>
      </c>
      <c r="V21" s="2">
        <f t="shared" si="7"/>
        <v>0.98455810546875</v>
      </c>
      <c r="W21" s="2">
        <f t="shared" si="0"/>
        <v>3.9454950896411489E-6</v>
      </c>
      <c r="X21" s="2">
        <f t="shared" si="8"/>
        <v>0.98456573486328125</v>
      </c>
      <c r="Y21" s="2">
        <f t="shared" si="1"/>
        <v>-4.0395494449452229E-6</v>
      </c>
      <c r="Z21" s="2">
        <f t="shared" si="3"/>
        <v>0.98456192016601562</v>
      </c>
      <c r="AA21" s="2">
        <f t="shared" si="2"/>
        <v>-4.7027859495507585E-8</v>
      </c>
      <c r="AB21" s="2">
        <f t="shared" si="4"/>
        <v>-1.8554818871585906E-13</v>
      </c>
      <c r="AC21" s="2">
        <f t="shared" si="5"/>
        <v>1.899713637220396E-13</v>
      </c>
      <c r="AD21" s="2">
        <f t="shared" si="6"/>
        <v>7.62939453125E-6</v>
      </c>
      <c r="AF21" s="2">
        <v>17</v>
      </c>
      <c r="AG21" s="2">
        <f t="shared" si="13"/>
        <v>2142.9367065429688</v>
      </c>
      <c r="AH21" s="2">
        <v>-1.1280168376060828E-2</v>
      </c>
      <c r="AI21" s="2">
        <f t="shared" si="14"/>
        <v>2143.00537109375</v>
      </c>
      <c r="AJ21" s="2">
        <v>1.5228597906116192E-2</v>
      </c>
      <c r="AK21" s="2">
        <f t="shared" si="9"/>
        <v>2142.9710388183594</v>
      </c>
      <c r="AL21" s="2">
        <v>1.9742656081689347E-3</v>
      </c>
      <c r="AM21" s="2">
        <f t="shared" si="10"/>
        <v>-2.2270048479211715E-5</v>
      </c>
      <c r="AN21" s="2">
        <f t="shared" si="11"/>
        <v>3.006529710667865E-5</v>
      </c>
      <c r="AO21" s="2">
        <f t="shared" si="12"/>
        <v>6.866455078125E-2</v>
      </c>
    </row>
    <row r="22" spans="2:41" x14ac:dyDescent="0.2">
      <c r="B22" s="6" t="s">
        <v>114</v>
      </c>
      <c r="C22" s="17">
        <v>2</v>
      </c>
      <c r="F22" s="54" t="s">
        <v>84</v>
      </c>
      <c r="G22" s="54"/>
      <c r="H22" s="54"/>
      <c r="J22" s="14" t="s">
        <v>241</v>
      </c>
      <c r="K22" s="6">
        <f xml:space="preserve"> $C$77 * (0.04674 * ($C$5*2.20462)^0.397 * ($C$12*3.28084^2)^0.36 * $C$44^0.397 * $C$13^1.712 * 0.453592)</f>
        <v>367.29592017112236</v>
      </c>
      <c r="L22" s="6" t="s">
        <v>7</v>
      </c>
      <c r="N22" s="6" t="s">
        <v>31</v>
      </c>
      <c r="O22" s="6">
        <f xml:space="preserve"> $C$7 * COS(O19/180*PI()) / (O21 * $C$10)</f>
        <v>8.2094696846333207E-2</v>
      </c>
      <c r="U22" s="2">
        <v>18</v>
      </c>
      <c r="V22" s="2">
        <f t="shared" si="7"/>
        <v>0.98455810546875</v>
      </c>
      <c r="W22" s="2">
        <f t="shared" si="0"/>
        <v>3.9454950896411489E-6</v>
      </c>
      <c r="X22" s="2">
        <f t="shared" si="8"/>
        <v>0.98456192016601562</v>
      </c>
      <c r="Y22" s="2">
        <f t="shared" si="1"/>
        <v>-4.7027859495507585E-8</v>
      </c>
      <c r="Z22" s="2">
        <f t="shared" si="3"/>
        <v>0.98456001281738281</v>
      </c>
      <c r="AA22" s="2">
        <f t="shared" si="2"/>
        <v>1.9492334446535864E-6</v>
      </c>
      <c r="AB22" s="2">
        <f t="shared" si="4"/>
        <v>7.6906909844450281E-12</v>
      </c>
      <c r="AC22" s="2">
        <f t="shared" si="5"/>
        <v>-9.1668276559113115E-14</v>
      </c>
      <c r="AD22" s="2">
        <f t="shared" si="6"/>
        <v>3.814697265625E-6</v>
      </c>
      <c r="AF22" s="2">
        <v>18</v>
      </c>
      <c r="AG22" s="2">
        <f t="shared" si="13"/>
        <v>2142.9367065429688</v>
      </c>
      <c r="AH22" s="2">
        <v>-1.1280168376060828E-2</v>
      </c>
      <c r="AI22" s="2">
        <f t="shared" si="14"/>
        <v>2142.9710388183594</v>
      </c>
      <c r="AJ22" s="2">
        <v>1.9742656081689347E-3</v>
      </c>
      <c r="AK22" s="2">
        <f t="shared" si="9"/>
        <v>2142.9538726806641</v>
      </c>
      <c r="AL22" s="2">
        <v>-4.6527735430572648E-3</v>
      </c>
      <c r="AM22" s="2">
        <f t="shared" si="10"/>
        <v>5.2484068981367054E-5</v>
      </c>
      <c r="AN22" s="2">
        <f t="shared" si="11"/>
        <v>-9.1858107886562802E-6</v>
      </c>
      <c r="AO22" s="2">
        <f t="shared" si="12"/>
        <v>3.4332275390625E-2</v>
      </c>
    </row>
    <row r="23" spans="2:41" x14ac:dyDescent="0.2">
      <c r="B23" s="6" t="s">
        <v>128</v>
      </c>
      <c r="C23" s="6">
        <f>$C$22*$C$9/PI()</f>
        <v>0.31022513338460861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$C$77 * (3.184 * ($C$5*2.20462)^0.887 * ($C$48*3.28084*3.28084)^0.101 * ($C$47)^0.138 ) / ( 174.04 * ($C$49*3.28084)^0.223 ) * 0.453592</f>
        <v>24.250678834257201</v>
      </c>
      <c r="L23" s="6" t="s">
        <v>7</v>
      </c>
      <c r="N23" s="6" t="s">
        <v>32</v>
      </c>
      <c r="O23" s="6">
        <f xml:space="preserve"> O20 / ( $C$69 * PI() * $C$10^2 * O21^2 * $C$10^2)</f>
        <v>9.1319246126622733E-2</v>
      </c>
      <c r="U23" s="2">
        <v>19</v>
      </c>
      <c r="V23" s="2">
        <f t="shared" si="7"/>
        <v>0.98456001281738281</v>
      </c>
      <c r="W23" s="2">
        <f t="shared" si="0"/>
        <v>1.9492334446535864E-6</v>
      </c>
      <c r="X23" s="2">
        <f t="shared" si="8"/>
        <v>0.98456192016601562</v>
      </c>
      <c r="Y23" s="2">
        <f t="shared" si="1"/>
        <v>-4.7027859495507585E-8</v>
      </c>
      <c r="Z23" s="2">
        <f t="shared" si="3"/>
        <v>0.98456096649169922</v>
      </c>
      <c r="AA23" s="2">
        <f t="shared" si="2"/>
        <v>9.5110274989096411E-7</v>
      </c>
      <c r="AB23" s="2">
        <f t="shared" si="4"/>
        <v>1.8539212893894625E-12</v>
      </c>
      <c r="AC23" s="2">
        <f t="shared" si="5"/>
        <v>-4.4728326487663153E-14</v>
      </c>
      <c r="AD23" s="2">
        <f t="shared" si="6"/>
        <v>1.9073486328125E-6</v>
      </c>
      <c r="AF23" s="2">
        <v>19</v>
      </c>
      <c r="AG23" s="2">
        <f t="shared" si="13"/>
        <v>2142.9538726806641</v>
      </c>
      <c r="AH23" s="2">
        <v>-4.6527735430572648E-3</v>
      </c>
      <c r="AI23" s="2">
        <f t="shared" si="14"/>
        <v>2142.9710388183594</v>
      </c>
      <c r="AJ23" s="2">
        <v>1.9742656081689347E-3</v>
      </c>
      <c r="AK23" s="2">
        <f t="shared" si="9"/>
        <v>2142.9624557495117</v>
      </c>
      <c r="AL23" s="2">
        <v>-1.3392507892149297E-3</v>
      </c>
      <c r="AM23" s="2">
        <f t="shared" si="10"/>
        <v>6.2312306395777862E-6</v>
      </c>
      <c r="AN23" s="2">
        <f t="shared" si="11"/>
        <v>-2.644036773860139E-6</v>
      </c>
      <c r="AO23" s="2">
        <f t="shared" si="12"/>
        <v>1.71661376953125E-2</v>
      </c>
    </row>
    <row r="24" spans="2:41" x14ac:dyDescent="0.2">
      <c r="B24" s="6" t="s">
        <v>242</v>
      </c>
      <c r="C24" s="17">
        <v>0.75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$C$77 * ( 1.68 * ($C$5*2.20462)^0.567 * ($C$53*3.28084*3.28084)^1.249 * ($C$52)^0.482 ) / (639.95 * ($C$54*3.28084)^0.747 * (COS($C$55/180*PI()))^0.882 ) * 0.453592</f>
        <v>8.53573653817344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0.98456096649169922</v>
      </c>
      <c r="W24" s="2">
        <f t="shared" si="0"/>
        <v>9.5110274989096411E-7</v>
      </c>
      <c r="X24" s="2">
        <f t="shared" si="8"/>
        <v>0.98456192016601562</v>
      </c>
      <c r="Y24" s="2">
        <f t="shared" si="1"/>
        <v>-4.7027859495507585E-8</v>
      </c>
      <c r="Z24" s="2">
        <f t="shared" si="3"/>
        <v>0.98456144332885742</v>
      </c>
      <c r="AA24" s="2">
        <f t="shared" si="2"/>
        <v>4.5203743459509838E-7</v>
      </c>
      <c r="AB24" s="2">
        <f t="shared" si="4"/>
        <v>4.2993404709705491E-13</v>
      </c>
      <c r="AC24" s="2">
        <f t="shared" si="5"/>
        <v>-2.1258352960847987E-14</v>
      </c>
      <c r="AD24" s="2">
        <f t="shared" si="6"/>
        <v>9.5367431640625E-7</v>
      </c>
      <c r="AF24" s="2">
        <v>20</v>
      </c>
      <c r="AG24" s="2">
        <f t="shared" si="13"/>
        <v>2142.9624557495117</v>
      </c>
      <c r="AH24" s="2">
        <v>-1.3392507892149297E-3</v>
      </c>
      <c r="AI24" s="2">
        <f t="shared" si="14"/>
        <v>2142.9710388183594</v>
      </c>
      <c r="AJ24" s="2">
        <v>1.9742656081689347E-3</v>
      </c>
      <c r="AK24" s="2">
        <f t="shared" si="9"/>
        <v>2142.9667472839355</v>
      </c>
      <c r="AL24" s="2">
        <v>3.1750820426168502E-4</v>
      </c>
      <c r="AM24" s="2">
        <f t="shared" si="10"/>
        <v>-4.2522311313967675E-7</v>
      </c>
      <c r="AN24" s="2">
        <f t="shared" si="11"/>
        <v>6.2684552798532193E-7</v>
      </c>
      <c r="AO24" s="2">
        <f t="shared" si="12"/>
        <v>8.58306884765625E-3</v>
      </c>
    </row>
    <row r="25" spans="2:41" x14ac:dyDescent="0.2"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$C$77*(0.14*$G$10*1000/745.7)*0.453592</f>
        <v>27.637460370232073</v>
      </c>
      <c r="L25" s="6" t="s">
        <v>7</v>
      </c>
      <c r="N25" s="6" t="s">
        <v>33</v>
      </c>
      <c r="O25" s="6">
        <f xml:space="preserve"> ($C$29 * $O$24 / 8) * (1 + 4.65 * O22^2) * ( PI() * $C$69 * O21^3 * $C$10^5)</f>
        <v>867.46185459393394</v>
      </c>
      <c r="P25" s="6" t="s">
        <v>20</v>
      </c>
      <c r="U25" s="2">
        <v>21</v>
      </c>
      <c r="V25" s="2">
        <f t="shared" si="7"/>
        <v>0.98456144332885742</v>
      </c>
      <c r="W25" s="2">
        <f t="shared" si="0"/>
        <v>4.5203743459509838E-7</v>
      </c>
      <c r="X25" s="2">
        <f t="shared" si="8"/>
        <v>0.98456192016601562</v>
      </c>
      <c r="Y25" s="2">
        <f t="shared" si="1"/>
        <v>-4.7027859495507585E-8</v>
      </c>
      <c r="Z25" s="2">
        <f t="shared" si="3"/>
        <v>0.98456168174743652</v>
      </c>
      <c r="AA25" s="2">
        <f t="shared" si="2"/>
        <v>2.0250478482974898E-7</v>
      </c>
      <c r="AB25" s="2">
        <f t="shared" si="4"/>
        <v>9.1539743427672126E-14</v>
      </c>
      <c r="AC25" s="2">
        <f t="shared" si="5"/>
        <v>-9.5233665681414309E-15</v>
      </c>
      <c r="AD25" s="2">
        <f t="shared" si="6"/>
        <v>4.76837158203125E-7</v>
      </c>
      <c r="AF25" s="2">
        <v>21</v>
      </c>
      <c r="AG25" s="2">
        <f t="shared" si="13"/>
        <v>2142.9624557495117</v>
      </c>
      <c r="AH25" s="2">
        <v>-1.3392507892149297E-3</v>
      </c>
      <c r="AI25" s="2">
        <f t="shared" si="14"/>
        <v>2142.9667472839355</v>
      </c>
      <c r="AJ25" s="2">
        <v>3.1750820426168502E-4</v>
      </c>
      <c r="AK25" s="2">
        <f t="shared" si="9"/>
        <v>2142.9646015167236</v>
      </c>
      <c r="AL25" s="2">
        <v>-5.1103622445225483E-4</v>
      </c>
      <c r="AM25" s="2">
        <f t="shared" si="10"/>
        <v>6.8440566691510028E-7</v>
      </c>
      <c r="AN25" s="2">
        <f t="shared" si="11"/>
        <v>-1.6225819393850685E-7</v>
      </c>
      <c r="AO25" s="2">
        <f t="shared" si="12"/>
        <v>4.291534423828125E-3</v>
      </c>
    </row>
    <row r="26" spans="2:41" x14ac:dyDescent="0.2">
      <c r="B26" s="54" t="s">
        <v>243</v>
      </c>
      <c r="C26" s="54"/>
      <c r="D26" s="54"/>
      <c r="F26" s="6" t="s">
        <v>21</v>
      </c>
      <c r="G26" s="6">
        <f xml:space="preserve"> $C$5 * $C$66 / $C$21</f>
        <v>2625.532704559269</v>
      </c>
      <c r="H26" s="6" t="s">
        <v>22</v>
      </c>
      <c r="J26" s="15" t="s">
        <v>67</v>
      </c>
      <c r="K26" s="6">
        <f xml:space="preserve"> $C$78 * (0.0268 * $C$5)</f>
        <v>45.945189425374991</v>
      </c>
      <c r="L26" s="6" t="s">
        <v>7</v>
      </c>
      <c r="N26" s="6" t="s">
        <v>34</v>
      </c>
      <c r="O26" s="18">
        <f>Z34</f>
        <v>0.98456187499687076</v>
      </c>
      <c r="U26" s="2">
        <v>22</v>
      </c>
      <c r="V26" s="2">
        <f t="shared" si="7"/>
        <v>0.98456168174743652</v>
      </c>
      <c r="W26" s="2">
        <f t="shared" si="0"/>
        <v>2.0250478482974898E-7</v>
      </c>
      <c r="X26" s="2">
        <f t="shared" si="8"/>
        <v>0.98456192016601562</v>
      </c>
      <c r="Y26" s="2">
        <f t="shared" si="1"/>
        <v>-4.7027859495507585E-8</v>
      </c>
      <c r="Z26" s="2">
        <f t="shared" si="3"/>
        <v>0.98456180095672607</v>
      </c>
      <c r="AA26" s="2">
        <f t="shared" si="2"/>
        <v>7.7738462000986885E-8</v>
      </c>
      <c r="AB26" s="2">
        <f t="shared" si="4"/>
        <v>1.5742410520505467E-14</v>
      </c>
      <c r="AC26" s="2">
        <f t="shared" si="5"/>
        <v>-3.6558734683792665E-15</v>
      </c>
      <c r="AD26" s="2">
        <f t="shared" si="6"/>
        <v>2.384185791015625E-7</v>
      </c>
      <c r="AF26" s="2">
        <v>22</v>
      </c>
      <c r="AG26" s="2">
        <f t="shared" si="13"/>
        <v>2142.9646015167236</v>
      </c>
      <c r="AH26" s="2">
        <v>-5.1103622445225483E-4</v>
      </c>
      <c r="AI26" s="2">
        <f t="shared" si="14"/>
        <v>2142.9667472839355</v>
      </c>
      <c r="AJ26" s="2">
        <v>3.1750820426168502E-4</v>
      </c>
      <c r="AK26" s="2">
        <f t="shared" si="9"/>
        <v>2142.9656744003296</v>
      </c>
      <c r="AL26" s="2">
        <v>-9.6763960527823656E-5</v>
      </c>
      <c r="AM26" s="2">
        <f t="shared" si="10"/>
        <v>4.9449889051186019E-8</v>
      </c>
      <c r="AN26" s="2">
        <f t="shared" si="11"/>
        <v>-3.0723351344437861E-8</v>
      </c>
      <c r="AO26" s="2">
        <f t="shared" si="12"/>
        <v>2.1457672119140625E-3</v>
      </c>
    </row>
    <row r="27" spans="2:41" x14ac:dyDescent="0.2">
      <c r="B27" s="6" t="s">
        <v>244</v>
      </c>
      <c r="C27" s="17">
        <v>1</v>
      </c>
      <c r="F27" t="s">
        <v>100</v>
      </c>
      <c r="G27" s="6">
        <f>G29/$C$16</f>
        <v>0.61399234248334944</v>
      </c>
      <c r="H27" t="s">
        <v>104</v>
      </c>
      <c r="J27" s="15" t="s">
        <v>68</v>
      </c>
      <c r="K27" s="6">
        <f xml:space="preserve"> $C$78 * (11.5 * ($C$5*2.20462/1000)^0.4 * 0.453592)</f>
        <v>7.7659182940435914</v>
      </c>
      <c r="L27" s="6" t="s">
        <v>7</v>
      </c>
      <c r="N27" s="6" t="s">
        <v>35</v>
      </c>
      <c r="O27" s="6">
        <f xml:space="preserve"> O21 * $C$10 * O26 - $C$7 * SIN(O19/180*PI())</f>
        <v>2.4532155616292073</v>
      </c>
      <c r="P27" s="6" t="s">
        <v>10</v>
      </c>
      <c r="U27" s="2">
        <v>23</v>
      </c>
      <c r="V27" s="2">
        <f t="shared" si="7"/>
        <v>0.98456180095672607</v>
      </c>
      <c r="W27" s="2">
        <f t="shared" si="0"/>
        <v>7.7738462000986885E-8</v>
      </c>
      <c r="X27" s="2">
        <f t="shared" si="8"/>
        <v>0.98456192016601562</v>
      </c>
      <c r="Y27" s="2">
        <f t="shared" si="1"/>
        <v>-4.7027859495507585E-8</v>
      </c>
      <c r="Z27" s="2">
        <f t="shared" si="3"/>
        <v>0.98456186056137085</v>
      </c>
      <c r="AA27" s="2">
        <f t="shared" si="2"/>
        <v>1.5355301141717348E-8</v>
      </c>
      <c r="AB27" s="2">
        <f t="shared" si="4"/>
        <v>1.1936974943191047E-15</v>
      </c>
      <c r="AC27" s="2">
        <f t="shared" si="5"/>
        <v>-7.2212694460389067E-16</v>
      </c>
      <c r="AD27" s="2">
        <f t="shared" si="6"/>
        <v>1.1920928955078125E-7</v>
      </c>
      <c r="AF27" s="2">
        <v>23</v>
      </c>
      <c r="AG27" s="2">
        <f t="shared" si="13"/>
        <v>2142.9656744003296</v>
      </c>
      <c r="AH27" s="2">
        <v>-9.6763960527823656E-5</v>
      </c>
      <c r="AI27" s="2">
        <f t="shared" si="14"/>
        <v>2142.9667472839355</v>
      </c>
      <c r="AJ27" s="2">
        <v>3.1750820426168502E-4</v>
      </c>
      <c r="AK27" s="2">
        <f t="shared" si="9"/>
        <v>2142.9662108421326</v>
      </c>
      <c r="AL27" s="2">
        <v>1.1053726530008134E-4</v>
      </c>
      <c r="AM27" s="2">
        <f t="shared" si="10"/>
        <v>-1.0696023576350643E-8</v>
      </c>
      <c r="AN27" s="2">
        <f t="shared" si="11"/>
        <v>3.5096488609426298E-8</v>
      </c>
      <c r="AO27" s="2">
        <f t="shared" si="12"/>
        <v>1.0728836059570312E-3</v>
      </c>
    </row>
    <row r="28" spans="2:41" x14ac:dyDescent="0.2">
      <c r="B28" s="6" t="s">
        <v>245</v>
      </c>
      <c r="C28" s="17">
        <v>6</v>
      </c>
      <c r="F28" t="s">
        <v>274</v>
      </c>
      <c r="G28" s="6">
        <f xml:space="preserve"> (G26/$C$66*1000) / (G27*1000)</f>
        <v>436.27700551271766</v>
      </c>
      <c r="H28" s="6" t="s">
        <v>275</v>
      </c>
      <c r="J28" s="15" t="s">
        <v>69</v>
      </c>
      <c r="K28" s="6">
        <f xml:space="preserve"> $C$78 * (8 * ($C$5/1000))</f>
        <v>13.714981918022387</v>
      </c>
      <c r="L28" s="6" t="s">
        <v>7</v>
      </c>
      <c r="N28" s="6" t="s">
        <v>36</v>
      </c>
      <c r="O28" s="6">
        <f xml:space="preserve"> 1/$C$30 - O25 * SQRT( (2*$C$69*PI()*$C$10^2) / O20^3 )</f>
        <v>1.283354846278937</v>
      </c>
      <c r="U28" s="2">
        <v>24</v>
      </c>
      <c r="V28" s="2">
        <f t="shared" si="7"/>
        <v>0.98456186056137085</v>
      </c>
      <c r="W28" s="2">
        <f t="shared" si="0"/>
        <v>1.5355301141717348E-8</v>
      </c>
      <c r="X28" s="2">
        <f t="shared" si="8"/>
        <v>0.98456192016601562</v>
      </c>
      <c r="Y28" s="2">
        <f t="shared" si="1"/>
        <v>-4.7027859495507585E-8</v>
      </c>
      <c r="Z28" s="2">
        <f t="shared" si="3"/>
        <v>0.98456189036369324</v>
      </c>
      <c r="AA28" s="2">
        <f t="shared" si="2"/>
        <v>-1.5836279287917421E-8</v>
      </c>
      <c r="AB28" s="2">
        <f t="shared" si="4"/>
        <v>-2.4317083743031317E-16</v>
      </c>
      <c r="AC28" s="2">
        <f t="shared" si="5"/>
        <v>7.4474631728379738E-16</v>
      </c>
      <c r="AD28" s="2">
        <f t="shared" si="6"/>
        <v>5.9604644775390625E-8</v>
      </c>
      <c r="AF28" s="2">
        <v>24</v>
      </c>
      <c r="AG28" s="2">
        <f t="shared" si="13"/>
        <v>2142.9656744003296</v>
      </c>
      <c r="AH28" s="2">
        <v>-9.6763960527823656E-5</v>
      </c>
      <c r="AI28" s="2">
        <f t="shared" si="14"/>
        <v>2142.9662108421326</v>
      </c>
      <c r="AJ28" s="2">
        <v>1.1053726530008134E-4</v>
      </c>
      <c r="AK28" s="2">
        <f t="shared" si="9"/>
        <v>2142.9659426212311</v>
      </c>
      <c r="AL28" s="2">
        <v>6.7215241870144382E-6</v>
      </c>
      <c r="AM28" s="2">
        <f t="shared" si="10"/>
        <v>-6.5040130111907709E-10</v>
      </c>
      <c r="AN28" s="2">
        <f t="shared" si="11"/>
        <v>7.4297890228092853E-10</v>
      </c>
      <c r="AO28" s="2">
        <f t="shared" si="12"/>
        <v>5.3644180297851562E-4</v>
      </c>
    </row>
    <row r="29" spans="2:41" x14ac:dyDescent="0.2">
      <c r="B29" s="6" t="s">
        <v>246</v>
      </c>
      <c r="C29" s="6">
        <f>$C$28*$C$11/PI()</f>
        <v>0.84998288907657626</v>
      </c>
      <c r="F29" s="43" t="s">
        <v>86</v>
      </c>
      <c r="G29" s="43">
        <f xml:space="preserve"> 1/1000 * IF( $G$23&gt;=2*SQRT(($C$5*$C$66)/(2*$C$63*$C$21*PI()*$C$8*$C$8)), ($C$5*$C$66)/$C$24 * ( ($G$23/2) - SQRT( ($G$23/2)^2 - ($C$5*$C$66)/(2*$C$63*$C$21*PI()*$C$8*$C$8 ) ) ), 1/$C$24 * SQRT(($C$5*$C$66)^3/(2*$C$63*$C$21*PI()*$C$8*$C$8)) )</f>
        <v>368.39540549000969</v>
      </c>
      <c r="H29" s="43" t="s">
        <v>104</v>
      </c>
      <c r="J29" s="15" t="s">
        <v>70</v>
      </c>
      <c r="K29" s="6">
        <f xml:space="preserve"> $C$78 * (13 * ($C$5*2.20462/1000)^1.3 * 0.453592)</f>
        <v>35.510144244139823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7"/>
        <v>0.98456186056137085</v>
      </c>
      <c r="W29" s="2">
        <f t="shared" si="0"/>
        <v>1.5355301141717348E-8</v>
      </c>
      <c r="X29" s="2">
        <f t="shared" si="8"/>
        <v>0.98456189036369324</v>
      </c>
      <c r="Y29" s="2">
        <f t="shared" si="1"/>
        <v>-1.5836279287917421E-8</v>
      </c>
      <c r="Z29" s="2">
        <f t="shared" si="3"/>
        <v>0.98456187546253204</v>
      </c>
      <c r="AA29" s="2">
        <f t="shared" si="2"/>
        <v>-2.4048907310003642E-10</v>
      </c>
      <c r="AB29" s="2">
        <f t="shared" si="4"/>
        <v>-3.692782138743536E-18</v>
      </c>
      <c r="AC29" s="2">
        <f t="shared" si="5"/>
        <v>3.8084521273045653E-18</v>
      </c>
      <c r="AD29" s="2">
        <f t="shared" si="6"/>
        <v>2.9802322387695312E-8</v>
      </c>
      <c r="AF29" s="2">
        <v>25</v>
      </c>
      <c r="AG29" s="2">
        <f t="shared" si="13"/>
        <v>2142.9656744003296</v>
      </c>
      <c r="AH29" s="2">
        <v>-9.6763960527823656E-5</v>
      </c>
      <c r="AI29" s="2">
        <f t="shared" si="14"/>
        <v>2142.9659426212311</v>
      </c>
      <c r="AJ29" s="2">
        <v>6.7215241870144382E-6</v>
      </c>
      <c r="AK29" s="2">
        <f t="shared" si="9"/>
        <v>2142.9658085107803</v>
      </c>
      <c r="AL29" s="2">
        <v>-4.5021217374596745E-5</v>
      </c>
      <c r="AM29" s="2">
        <f t="shared" si="10"/>
        <v>4.356431300950048E-9</v>
      </c>
      <c r="AN29" s="2">
        <f t="shared" si="11"/>
        <v>-3.0261120151218669E-10</v>
      </c>
      <c r="AO29" s="2">
        <f t="shared" si="12"/>
        <v>2.6822090148925781E-4</v>
      </c>
    </row>
    <row r="30" spans="2:41" x14ac:dyDescent="0.2">
      <c r="B30" s="6" t="s">
        <v>247</v>
      </c>
      <c r="C30" s="17">
        <v>0.75</v>
      </c>
      <c r="J30" s="10" t="s">
        <v>57</v>
      </c>
      <c r="K30" s="10">
        <f>$C$5 - $C$16 - SUM(K15:K29)</f>
        <v>1.4454144547926262E-9</v>
      </c>
      <c r="L30" s="10" t="s">
        <v>7</v>
      </c>
      <c r="N30" s="6" t="s">
        <v>38</v>
      </c>
      <c r="O30" s="6">
        <f xml:space="preserve"> 1/$C$75 * LN( EXP($C$75 * O28) + EXP($C$75 * O29) )</f>
        <v>1.2839594570624318</v>
      </c>
      <c r="U30" s="2">
        <v>26</v>
      </c>
      <c r="V30" s="2">
        <f>IF(AB29&gt;0, Z29, V29)</f>
        <v>0.98456186056137085</v>
      </c>
      <c r="W30" s="2">
        <f t="shared" si="0"/>
        <v>1.5355301141717348E-8</v>
      </c>
      <c r="X30" s="2">
        <f t="shared" si="8"/>
        <v>0.98456187546253204</v>
      </c>
      <c r="Y30" s="2">
        <f t="shared" si="1"/>
        <v>-2.4048907310003642E-10</v>
      </c>
      <c r="Z30" s="2">
        <f t="shared" si="3"/>
        <v>0.98456186801195145</v>
      </c>
      <c r="AA30" s="2">
        <f t="shared" si="2"/>
        <v>7.5574060343086558E-9</v>
      </c>
      <c r="AB30" s="2">
        <f t="shared" si="4"/>
        <v>1.1604624550704128E-16</v>
      </c>
      <c r="AC30" s="2">
        <f t="shared" si="5"/>
        <v>-1.8174735722315107E-18</v>
      </c>
      <c r="AD30" s="2">
        <f t="shared" si="6"/>
        <v>1.4901161193847656E-8</v>
      </c>
      <c r="AF30" s="2">
        <v>26</v>
      </c>
      <c r="AG30" s="2">
        <f t="shared" si="13"/>
        <v>2142.9658085107803</v>
      </c>
      <c r="AH30" s="2">
        <v>-4.5021217374596745E-5</v>
      </c>
      <c r="AI30" s="2">
        <f t="shared" si="14"/>
        <v>2142.9659426212311</v>
      </c>
      <c r="AJ30" s="2">
        <v>6.7215241870144382E-6</v>
      </c>
      <c r="AK30" s="2">
        <f t="shared" si="9"/>
        <v>2142.9658755660057</v>
      </c>
      <c r="AL30" s="2">
        <v>-1.8984715097758453E-5</v>
      </c>
      <c r="AM30" s="2">
        <f t="shared" si="10"/>
        <v>8.5471498521097202E-10</v>
      </c>
      <c r="AN30" s="2">
        <f t="shared" si="11"/>
        <v>-1.2760622171316162E-10</v>
      </c>
      <c r="AO30" s="2">
        <f t="shared" si="12"/>
        <v>1.3411045074462891E-4</v>
      </c>
    </row>
    <row r="31" spans="2:41" x14ac:dyDescent="0.2">
      <c r="J31" s="6" t="s">
        <v>58</v>
      </c>
      <c r="K31" s="4" t="str">
        <f>IF(ABS(K30)&lt;1, "TRUE", "FALSE")</f>
        <v>TRUE</v>
      </c>
      <c r="U31" s="2">
        <v>27</v>
      </c>
      <c r="V31" s="2">
        <f t="shared" si="7"/>
        <v>0.98456186801195145</v>
      </c>
      <c r="W31" s="2">
        <f t="shared" si="0"/>
        <v>7.5574060343086558E-9</v>
      </c>
      <c r="X31" s="2">
        <f t="shared" si="8"/>
        <v>0.98456187546253204</v>
      </c>
      <c r="Y31" s="2">
        <f t="shared" si="1"/>
        <v>-2.4048907310003642E-10</v>
      </c>
      <c r="Z31" s="2">
        <f t="shared" si="3"/>
        <v>0.98456187173724174</v>
      </c>
      <c r="AA31" s="2">
        <f t="shared" si="2"/>
        <v>3.6584584250931584E-9</v>
      </c>
      <c r="AB31" s="2">
        <f t="shared" si="4"/>
        <v>2.7648455778066377E-17</v>
      </c>
      <c r="AC31" s="2">
        <f t="shared" si="5"/>
        <v>-8.798192756256727E-19</v>
      </c>
      <c r="AD31" s="2">
        <f t="shared" si="6"/>
        <v>7.4505805969238281E-9</v>
      </c>
      <c r="AF31" s="2">
        <v>27</v>
      </c>
      <c r="AG31" s="2">
        <f t="shared" si="13"/>
        <v>2142.9658755660057</v>
      </c>
      <c r="AH31" s="2">
        <v>-1.8984715097758453E-5</v>
      </c>
      <c r="AI31" s="2">
        <f t="shared" si="14"/>
        <v>2142.9659426212311</v>
      </c>
      <c r="AJ31" s="2">
        <v>6.7215241870144382E-6</v>
      </c>
      <c r="AK31" s="2">
        <f t="shared" si="9"/>
        <v>2142.9659090936184</v>
      </c>
      <c r="AL31" s="2">
        <v>-6.131595682745683E-6</v>
      </c>
      <c r="AM31" s="2">
        <f t="shared" si="10"/>
        <v>1.1640659713157252E-10</v>
      </c>
      <c r="AN31" s="2">
        <f t="shared" si="11"/>
        <v>-4.1213668686568416E-11</v>
      </c>
      <c r="AO31" s="2">
        <f t="shared" si="12"/>
        <v>6.7055225372314453E-5</v>
      </c>
    </row>
    <row r="32" spans="2:41" x14ac:dyDescent="0.2">
      <c r="B32" s="54" t="s">
        <v>107</v>
      </c>
      <c r="C32" s="54"/>
      <c r="D32" s="54"/>
      <c r="U32" s="2">
        <v>28</v>
      </c>
      <c r="V32" s="2">
        <f t="shared" si="7"/>
        <v>0.98456187173724174</v>
      </c>
      <c r="W32" s="2">
        <f t="shared" si="0"/>
        <v>3.6584584250931584E-9</v>
      </c>
      <c r="X32" s="2">
        <f t="shared" si="8"/>
        <v>0.98456187546253204</v>
      </c>
      <c r="Y32" s="2">
        <f t="shared" si="1"/>
        <v>-2.4048907310003642E-10</v>
      </c>
      <c r="Z32" s="2">
        <f t="shared" si="3"/>
        <v>0.98456187359988689</v>
      </c>
      <c r="AA32" s="2">
        <f t="shared" si="2"/>
        <v>1.7089847315077122E-9</v>
      </c>
      <c r="AB32" s="2">
        <f t="shared" si="4"/>
        <v>6.2522495893399591E-18</v>
      </c>
      <c r="AC32" s="2">
        <f t="shared" si="5"/>
        <v>-4.1099215402240433E-19</v>
      </c>
      <c r="AD32" s="2">
        <f t="shared" si="6"/>
        <v>3.7252902984619141E-9</v>
      </c>
      <c r="AF32" s="2">
        <v>28</v>
      </c>
      <c r="AG32" s="2">
        <f t="shared" si="13"/>
        <v>2142.9659090936184</v>
      </c>
      <c r="AH32" s="2">
        <v>-6.131595682745683E-6</v>
      </c>
      <c r="AI32" s="2">
        <f t="shared" si="14"/>
        <v>2142.9659426212311</v>
      </c>
      <c r="AJ32" s="2">
        <v>6.7215241870144382E-6</v>
      </c>
      <c r="AK32" s="2">
        <f t="shared" si="9"/>
        <v>2142.9659258574247</v>
      </c>
      <c r="AL32" s="2">
        <v>4.6009563448023982E-7</v>
      </c>
      <c r="AM32" s="2">
        <f t="shared" si="10"/>
        <v>-2.8211204060291743E-12</v>
      </c>
      <c r="AN32" s="2">
        <f t="shared" si="11"/>
        <v>3.0925439354986861E-12</v>
      </c>
      <c r="AO32" s="2">
        <f t="shared" si="12"/>
        <v>3.3527612686157227E-5</v>
      </c>
    </row>
    <row r="33" spans="2:41" x14ac:dyDescent="0.2">
      <c r="B33" s="6" t="s">
        <v>108</v>
      </c>
      <c r="C33" s="17">
        <v>6</v>
      </c>
      <c r="J33" s="46" t="s">
        <v>59</v>
      </c>
      <c r="K33" s="46"/>
      <c r="L33" s="46"/>
      <c r="U33" s="2">
        <v>29</v>
      </c>
      <c r="V33" s="2">
        <f t="shared" si="7"/>
        <v>0.98456187359988689</v>
      </c>
      <c r="W33" s="2">
        <f t="shared" si="0"/>
        <v>1.7089847315077122E-9</v>
      </c>
      <c r="X33" s="2">
        <f t="shared" si="8"/>
        <v>0.98456187546253204</v>
      </c>
      <c r="Y33" s="2">
        <f t="shared" si="1"/>
        <v>-2.4048907310003642E-10</v>
      </c>
      <c r="Z33" s="2">
        <f t="shared" si="3"/>
        <v>0.98456187453120947</v>
      </c>
      <c r="AA33" s="2">
        <f t="shared" si="2"/>
        <v>7.3424777369268668E-10</v>
      </c>
      <c r="AB33" s="2">
        <f t="shared" si="4"/>
        <v>1.2548182343843316E-18</v>
      </c>
      <c r="AC33" s="2">
        <f t="shared" si="5"/>
        <v>-1.7657856652111953E-19</v>
      </c>
      <c r="AD33" s="2">
        <f t="shared" si="6"/>
        <v>1.862645149230957E-9</v>
      </c>
      <c r="AF33" s="2">
        <v>29</v>
      </c>
      <c r="AG33" s="2">
        <f t="shared" si="13"/>
        <v>2142.9659090936184</v>
      </c>
      <c r="AH33" s="2">
        <v>-6.131595682745683E-6</v>
      </c>
      <c r="AI33" s="2">
        <f t="shared" si="14"/>
        <v>2142.9659258574247</v>
      </c>
      <c r="AJ33" s="2">
        <v>4.6009563448023982E-7</v>
      </c>
      <c r="AK33" s="2">
        <f t="shared" si="9"/>
        <v>2142.9659174755216</v>
      </c>
      <c r="AL33" s="2">
        <v>-2.8357501378195593E-6</v>
      </c>
      <c r="AM33" s="2">
        <f t="shared" si="10"/>
        <v>1.7387673302399885E-11</v>
      </c>
      <c r="AN33" s="2">
        <f t="shared" si="11"/>
        <v>-1.3047162588875177E-12</v>
      </c>
      <c r="AO33" s="2">
        <f t="shared" si="12"/>
        <v>1.6763806343078613E-5</v>
      </c>
    </row>
    <row r="34" spans="2:41" x14ac:dyDescent="0.2">
      <c r="B34" s="6" t="s">
        <v>109</v>
      </c>
      <c r="C34" s="17">
        <v>9.1440000000000001</v>
      </c>
      <c r="D34" s="6" t="s">
        <v>8</v>
      </c>
      <c r="J34" s="6" t="s">
        <v>60</v>
      </c>
      <c r="K34" s="6">
        <f>ROUND($C$16/$C$5 * 100, 2)</f>
        <v>28</v>
      </c>
      <c r="L34" s="6" t="s">
        <v>61</v>
      </c>
      <c r="U34" s="2">
        <v>30</v>
      </c>
      <c r="V34" s="2">
        <f t="shared" si="7"/>
        <v>0.98456187453120947</v>
      </c>
      <c r="W34" s="2">
        <f t="shared" si="0"/>
        <v>7.3424777369268668E-10</v>
      </c>
      <c r="X34" s="2">
        <f t="shared" si="8"/>
        <v>0.98456187546253204</v>
      </c>
      <c r="Y34" s="2">
        <f t="shared" si="1"/>
        <v>-2.4048907310003642E-10</v>
      </c>
      <c r="Z34" s="2">
        <f t="shared" si="3"/>
        <v>0.98456187499687076</v>
      </c>
      <c r="AA34" s="2">
        <f t="shared" si="2"/>
        <v>2.4687940580747636E-10</v>
      </c>
      <c r="AB34" s="2">
        <f t="shared" si="4"/>
        <v>1.8127065408471286E-19</v>
      </c>
      <c r="AC34" s="2">
        <f t="shared" si="5"/>
        <v>-5.9371799470127738E-20</v>
      </c>
      <c r="AD34" s="2">
        <f t="shared" si="6"/>
        <v>9.3132257461547852E-10</v>
      </c>
      <c r="AF34" s="2">
        <v>30</v>
      </c>
      <c r="AG34" s="2">
        <f t="shared" si="13"/>
        <v>2142.9659174755216</v>
      </c>
      <c r="AH34" s="2">
        <v>-2.8357501378195593E-6</v>
      </c>
      <c r="AI34" s="2">
        <f t="shared" si="14"/>
        <v>2142.9659258574247</v>
      </c>
      <c r="AJ34" s="2">
        <v>4.6009563448023982E-7</v>
      </c>
      <c r="AK34" s="2">
        <f t="shared" si="9"/>
        <v>2142.9659216664732</v>
      </c>
      <c r="AL34" s="2">
        <v>-1.1878273653564975E-6</v>
      </c>
      <c r="AM34" s="2">
        <f t="shared" si="10"/>
        <v>3.3683816150155317E-12</v>
      </c>
      <c r="AN34" s="2">
        <f t="shared" si="11"/>
        <v>-5.4651418531668934E-13</v>
      </c>
      <c r="AO34" s="2">
        <f t="shared" si="12"/>
        <v>8.3819031715393066E-6</v>
      </c>
    </row>
    <row r="35" spans="2:41" x14ac:dyDescent="0.2">
      <c r="B35" s="6" t="s">
        <v>110</v>
      </c>
      <c r="C35" s="17">
        <v>1.8675309360000001</v>
      </c>
      <c r="D35" s="6" t="s">
        <v>8</v>
      </c>
      <c r="J35" s="11" t="s">
        <v>55</v>
      </c>
      <c r="K35" s="6">
        <f>ROUND(K15/$C$5 * 100, 2)</f>
        <v>21.32</v>
      </c>
      <c r="L35" s="6" t="s">
        <v>61</v>
      </c>
      <c r="AF35" s="2">
        <v>31</v>
      </c>
      <c r="AG35" s="2">
        <f t="shared" si="13"/>
        <v>2142.9659216664732</v>
      </c>
      <c r="AH35" s="2">
        <v>-1.1878273653564975E-6</v>
      </c>
      <c r="AI35" s="2">
        <f t="shared" si="14"/>
        <v>2142.9659258574247</v>
      </c>
      <c r="AJ35" s="2">
        <v>4.6009563448023982E-7</v>
      </c>
      <c r="AK35" s="2">
        <f t="shared" si="9"/>
        <v>2142.9659237619489</v>
      </c>
      <c r="AL35" s="2">
        <v>-3.6386563806445338E-7</v>
      </c>
      <c r="AM35" s="2">
        <f t="shared" si="10"/>
        <v>4.3220956220586053E-13</v>
      </c>
      <c r="AN35" s="2">
        <f t="shared" si="11"/>
        <v>-1.6741299161082198E-13</v>
      </c>
      <c r="AO35" s="2">
        <f t="shared" si="12"/>
        <v>4.1909515857696533E-6</v>
      </c>
    </row>
    <row r="36" spans="2:41" x14ac:dyDescent="0.2">
      <c r="J36" s="19" t="s">
        <v>81</v>
      </c>
      <c r="K36" s="6">
        <f>ROUND(SUM(K16:K19)/$C$5 * 100, 2)</f>
        <v>13.33</v>
      </c>
      <c r="L36" s="6" t="s">
        <v>61</v>
      </c>
      <c r="AF36" s="2">
        <v>32</v>
      </c>
      <c r="AG36" s="2">
        <f t="shared" si="13"/>
        <v>2142.9659237619489</v>
      </c>
      <c r="AH36" s="2">
        <v>-3.6386563806445338E-7</v>
      </c>
      <c r="AI36" s="2">
        <f t="shared" si="14"/>
        <v>2142.9659258574247</v>
      </c>
      <c r="AJ36" s="2">
        <v>4.6009563448023982E-7</v>
      </c>
      <c r="AK36" s="2">
        <f t="shared" si="9"/>
        <v>2142.9659248096868</v>
      </c>
      <c r="AL36" s="2">
        <v>4.8114543460542336E-8</v>
      </c>
      <c r="AM36" s="2">
        <f t="shared" si="10"/>
        <v>-1.750722905645011E-14</v>
      </c>
      <c r="AN36" s="2">
        <f t="shared" si="11"/>
        <v>2.21372914012053E-14</v>
      </c>
      <c r="AO36" s="2">
        <f t="shared" si="12"/>
        <v>2.0954757928848267E-6</v>
      </c>
    </row>
    <row r="37" spans="2:41" x14ac:dyDescent="0.2">
      <c r="B37" s="54" t="s">
        <v>111</v>
      </c>
      <c r="C37" s="54"/>
      <c r="D37" s="54"/>
      <c r="J37" s="20" t="s">
        <v>72</v>
      </c>
      <c r="K37" s="6">
        <f>ROUND(SUM(K20:K25)/$C$5 * 100, 2)</f>
        <v>32.549999999999997</v>
      </c>
      <c r="L37" s="6" t="s">
        <v>61</v>
      </c>
      <c r="AF37" s="2">
        <v>33</v>
      </c>
      <c r="AG37" s="2">
        <f t="shared" si="13"/>
        <v>2142.9659237619489</v>
      </c>
      <c r="AH37" s="2">
        <v>-3.6386563806445338E-7</v>
      </c>
      <c r="AI37" s="2">
        <f t="shared" si="14"/>
        <v>2142.9659248096868</v>
      </c>
      <c r="AJ37" s="2">
        <v>4.8114543460542336E-8</v>
      </c>
      <c r="AK37" s="2">
        <f t="shared" si="9"/>
        <v>2142.9659242858179</v>
      </c>
      <c r="AL37" s="2">
        <v>-1.5787577467563096E-7</v>
      </c>
      <c r="AM37" s="2">
        <f t="shared" si="10"/>
        <v>5.7445569487268331E-14</v>
      </c>
      <c r="AN37" s="2">
        <f t="shared" si="11"/>
        <v>-7.5961208219974352E-15</v>
      </c>
      <c r="AO37" s="2">
        <f t="shared" si="12"/>
        <v>1.0477378964424133E-6</v>
      </c>
    </row>
    <row r="38" spans="2:41" x14ac:dyDescent="0.2">
      <c r="B38" s="6" t="s">
        <v>124</v>
      </c>
      <c r="C38" s="22" t="s">
        <v>125</v>
      </c>
      <c r="J38" s="15" t="s">
        <v>73</v>
      </c>
      <c r="K38" s="6">
        <f>ROUND(SUM(K26:K29)/$C$5*100, 2)</f>
        <v>4.8</v>
      </c>
      <c r="L38" s="6" t="s">
        <v>61</v>
      </c>
      <c r="AF38" s="2">
        <v>34</v>
      </c>
      <c r="AG38" s="2">
        <f t="shared" si="13"/>
        <v>2142.9659242858179</v>
      </c>
      <c r="AH38" s="2">
        <v>-1.5787577467563096E-7</v>
      </c>
      <c r="AI38" s="2">
        <f t="shared" si="14"/>
        <v>2142.9659248096868</v>
      </c>
      <c r="AJ38" s="2">
        <v>4.8114543460542336E-8</v>
      </c>
      <c r="AK38" s="2">
        <f t="shared" si="9"/>
        <v>2142.9659245477524</v>
      </c>
      <c r="AL38" s="2">
        <v>-5.4880501920706593E-8</v>
      </c>
      <c r="AM38" s="2">
        <f t="shared" si="10"/>
        <v>8.6643017553190064E-15</v>
      </c>
      <c r="AN38" s="2">
        <f t="shared" si="11"/>
        <v>-2.6405502948002145E-15</v>
      </c>
      <c r="AO38" s="2">
        <f t="shared" si="12"/>
        <v>5.2386894822120667E-7</v>
      </c>
    </row>
    <row r="39" spans="2:41" x14ac:dyDescent="0.2">
      <c r="B39" s="6" t="s">
        <v>126</v>
      </c>
      <c r="C39" s="6">
        <f>IF(C38="wheeled",0.0325,0.014)</f>
        <v>3.2500000000000001E-2</v>
      </c>
      <c r="J39" s="10" t="s">
        <v>62</v>
      </c>
      <c r="K39" s="10">
        <f>SUM(K34:K38)</f>
        <v>99.999999999999986</v>
      </c>
      <c r="L39" s="10" t="s">
        <v>61</v>
      </c>
      <c r="AF39" s="2">
        <v>35</v>
      </c>
      <c r="AG39" s="2">
        <f t="shared" si="13"/>
        <v>2142.9659245477524</v>
      </c>
      <c r="AH39" s="2">
        <v>-5.4880501920706593E-8</v>
      </c>
      <c r="AI39" s="2">
        <f t="shared" si="14"/>
        <v>2142.9659248096868</v>
      </c>
      <c r="AJ39" s="2">
        <v>4.8114543460542336E-8</v>
      </c>
      <c r="AK39" s="2">
        <f t="shared" si="9"/>
        <v>2142.9659246787196</v>
      </c>
      <c r="AL39" s="2">
        <v>-3.3828655432444066E-9</v>
      </c>
      <c r="AM39" s="2">
        <f t="shared" si="10"/>
        <v>1.8565335894351681E-16</v>
      </c>
      <c r="AN39" s="2">
        <f t="shared" si="11"/>
        <v>-1.6276503120160416E-16</v>
      </c>
      <c r="AO39" s="2">
        <f t="shared" si="12"/>
        <v>2.6193447411060333E-7</v>
      </c>
    </row>
    <row r="40" spans="2:41" x14ac:dyDescent="0.2">
      <c r="B40" s="6" t="s">
        <v>112</v>
      </c>
      <c r="C40" s="17">
        <v>0.30480000000000002</v>
      </c>
      <c r="D40" s="6" t="s">
        <v>8</v>
      </c>
      <c r="AF40" s="2">
        <v>36</v>
      </c>
      <c r="AG40" s="2">
        <f t="shared" si="13"/>
        <v>2142.9659246787196</v>
      </c>
      <c r="AH40" s="2">
        <v>-3.3828655432444066E-9</v>
      </c>
      <c r="AI40" s="2">
        <f t="shared" si="14"/>
        <v>2142.9659248096868</v>
      </c>
      <c r="AJ40" s="2">
        <v>4.8114543460542336E-8</v>
      </c>
      <c r="AK40" s="2">
        <f t="shared" si="9"/>
        <v>2142.9659247442032</v>
      </c>
      <c r="AL40" s="2">
        <v>2.2366293705999851E-8</v>
      </c>
      <c r="AM40" s="2">
        <f t="shared" si="10"/>
        <v>-7.5662164308111138E-17</v>
      </c>
      <c r="AN40" s="2">
        <f t="shared" si="11"/>
        <v>1.0761440105685844E-15</v>
      </c>
      <c r="AO40" s="2">
        <f t="shared" si="12"/>
        <v>1.3096723705530167E-7</v>
      </c>
    </row>
    <row r="41" spans="2:41" x14ac:dyDescent="0.2">
      <c r="B41" s="6" t="s">
        <v>113</v>
      </c>
      <c r="C41" s="17">
        <v>5.7</v>
      </c>
      <c r="J41" s="54" t="s">
        <v>116</v>
      </c>
      <c r="K41" s="54"/>
      <c r="L41" s="54"/>
      <c r="AF41" s="2">
        <v>37</v>
      </c>
      <c r="AG41" s="2">
        <f t="shared" si="13"/>
        <v>2142.9659246787196</v>
      </c>
      <c r="AH41" s="2">
        <v>-3.3828655432444066E-9</v>
      </c>
      <c r="AI41" s="2">
        <f t="shared" si="14"/>
        <v>2142.9659247442032</v>
      </c>
      <c r="AJ41" s="2">
        <v>2.2366293705999851E-8</v>
      </c>
      <c r="AK41" s="2">
        <f t="shared" si="9"/>
        <v>2142.9659247114614</v>
      </c>
      <c r="AL41" s="2">
        <v>9.4912593340268359E-9</v>
      </c>
      <c r="AM41" s="2">
        <f t="shared" si="10"/>
        <v>-3.2107654163076237E-17</v>
      </c>
      <c r="AN41" s="2">
        <f t="shared" si="11"/>
        <v>2.1228429390465676E-16</v>
      </c>
      <c r="AO41" s="2">
        <f t="shared" si="12"/>
        <v>6.5483618527650833E-8</v>
      </c>
    </row>
    <row r="42" spans="2:41" x14ac:dyDescent="0.2">
      <c r="J42" s="6" t="s">
        <v>60</v>
      </c>
      <c r="K42" s="6">
        <f>ROUND(C16,2)</f>
        <v>600</v>
      </c>
      <c r="L42" s="6" t="s">
        <v>7</v>
      </c>
      <c r="AF42" s="2">
        <v>38</v>
      </c>
      <c r="AG42" s="2">
        <f t="shared" si="13"/>
        <v>2142.9659246787196</v>
      </c>
      <c r="AH42" s="2">
        <v>-3.3828655432444066E-9</v>
      </c>
      <c r="AI42" s="2">
        <f t="shared" si="14"/>
        <v>2142.9659247114614</v>
      </c>
      <c r="AJ42" s="2">
        <v>9.4912593340268359E-9</v>
      </c>
      <c r="AK42" s="2">
        <f t="shared" si="9"/>
        <v>2142.9659246950905</v>
      </c>
      <c r="AL42" s="2">
        <v>3.0547653295798227E-9</v>
      </c>
      <c r="AM42" s="2">
        <f t="shared" si="10"/>
        <v>-1.0333860376133226E-17</v>
      </c>
      <c r="AN42" s="2">
        <f t="shared" si="11"/>
        <v>2.8993569947636056E-17</v>
      </c>
      <c r="AO42" s="2">
        <f t="shared" si="12"/>
        <v>3.2741809263825417E-8</v>
      </c>
    </row>
    <row r="43" spans="2:41" x14ac:dyDescent="0.2">
      <c r="B43" s="54" t="s">
        <v>248</v>
      </c>
      <c r="C43" s="54"/>
      <c r="D43" s="54"/>
      <c r="J43" s="11" t="s">
        <v>55</v>
      </c>
      <c r="K43" s="6">
        <f>ROUND(K15, 2)</f>
        <v>456.9</v>
      </c>
      <c r="L43" s="6" t="s">
        <v>7</v>
      </c>
      <c r="AF43" s="2">
        <v>39</v>
      </c>
      <c r="AG43" s="2">
        <f t="shared" si="13"/>
        <v>2142.9659246787196</v>
      </c>
      <c r="AH43" s="2">
        <v>-3.3828655432444066E-9</v>
      </c>
      <c r="AI43" s="2">
        <f t="shared" si="14"/>
        <v>2142.9659246950905</v>
      </c>
      <c r="AJ43" s="2">
        <v>3.0547653295798227E-9</v>
      </c>
      <c r="AK43" s="2">
        <f t="shared" si="9"/>
        <v>2142.9659246869051</v>
      </c>
      <c r="AL43" s="2">
        <v>-1.6416379367001355E-10</v>
      </c>
      <c r="AM43" s="2">
        <f t="shared" si="10"/>
        <v>5.5534404105457305E-19</v>
      </c>
      <c r="AN43" s="2">
        <f t="shared" si="11"/>
        <v>-5.0148186527545295E-19</v>
      </c>
      <c r="AO43" s="2">
        <f t="shared" si="12"/>
        <v>1.6370904631912708E-8</v>
      </c>
    </row>
    <row r="44" spans="2:41" x14ac:dyDescent="0.2">
      <c r="B44" s="6" t="s">
        <v>113</v>
      </c>
      <c r="C44" s="17">
        <v>3</v>
      </c>
      <c r="J44" s="19" t="s">
        <v>81</v>
      </c>
      <c r="K44" s="6">
        <f>ROUND(SUM(K16:K19), 2)</f>
        <v>285.60000000000002</v>
      </c>
      <c r="L44" s="6" t="s">
        <v>7</v>
      </c>
      <c r="AF44" s="2">
        <v>40</v>
      </c>
      <c r="AG44" s="2">
        <f t="shared" si="13"/>
        <v>2142.9659246869051</v>
      </c>
      <c r="AH44" s="2">
        <v>-1.6416379367001355E-10</v>
      </c>
      <c r="AI44" s="2">
        <f t="shared" si="14"/>
        <v>2142.9659246950905</v>
      </c>
      <c r="AJ44" s="2">
        <v>3.0547653295798227E-9</v>
      </c>
      <c r="AK44" s="5">
        <f t="shared" si="9"/>
        <v>2142.9659246909978</v>
      </c>
      <c r="AL44" s="2">
        <v>1.4454144547926262E-9</v>
      </c>
      <c r="AM44" s="2">
        <f t="shared" si="10"/>
        <v>-2.3728472032423181E-19</v>
      </c>
      <c r="AN44" s="2">
        <f t="shared" si="11"/>
        <v>4.4154019633740365E-18</v>
      </c>
      <c r="AO44" s="2">
        <f t="shared" si="12"/>
        <v>8.1854523159563541E-9</v>
      </c>
    </row>
    <row r="45" spans="2:41" x14ac:dyDescent="0.2">
      <c r="J45" s="20" t="s">
        <v>72</v>
      </c>
      <c r="K45" s="6">
        <f>ROUND(SUM(K20:K25), 2)</f>
        <v>697.53</v>
      </c>
      <c r="L45" s="6" t="s">
        <v>7</v>
      </c>
    </row>
    <row r="46" spans="2:41" x14ac:dyDescent="0.2">
      <c r="B46" s="54" t="s">
        <v>249</v>
      </c>
      <c r="C46" s="54"/>
      <c r="D46" s="54"/>
      <c r="J46" s="15" t="s">
        <v>73</v>
      </c>
      <c r="K46" s="6">
        <f>ROUND(SUM(K26:K29), 2)</f>
        <v>102.94</v>
      </c>
      <c r="L46" s="6" t="s">
        <v>7</v>
      </c>
    </row>
    <row r="47" spans="2:41" x14ac:dyDescent="0.2">
      <c r="B47" s="6" t="s">
        <v>250</v>
      </c>
      <c r="C47" s="17">
        <v>4.3036300000000001</v>
      </c>
      <c r="J47" s="10" t="s">
        <v>62</v>
      </c>
      <c r="K47" s="10">
        <f>SUM(K42:K46)</f>
        <v>2142.9699999999998</v>
      </c>
      <c r="L47" s="6" t="s">
        <v>7</v>
      </c>
    </row>
    <row r="48" spans="2:41" x14ac:dyDescent="0.2">
      <c r="B48" s="6" t="s">
        <v>251</v>
      </c>
      <c r="C48" s="17">
        <f>39.5112*0.3048^2</f>
        <v>3.6707105940480003</v>
      </c>
      <c r="D48" s="6" t="s">
        <v>11</v>
      </c>
    </row>
    <row r="49" spans="2:4" x14ac:dyDescent="0.2">
      <c r="B49" s="6" t="s">
        <v>252</v>
      </c>
      <c r="C49" s="17">
        <f>0.15*3.7875*0.3048</f>
        <v>0.1731645</v>
      </c>
      <c r="D49" s="6" t="s">
        <v>8</v>
      </c>
    </row>
    <row r="51" spans="2:4" x14ac:dyDescent="0.2">
      <c r="B51" s="54" t="s">
        <v>253</v>
      </c>
      <c r="C51" s="54"/>
      <c r="D51" s="54"/>
    </row>
    <row r="52" spans="2:4" x14ac:dyDescent="0.2">
      <c r="B52" s="6" t="s">
        <v>254</v>
      </c>
      <c r="C52" s="17">
        <v>1.1798999999999999</v>
      </c>
    </row>
    <row r="53" spans="2:4" x14ac:dyDescent="0.2">
      <c r="B53" s="6" t="s">
        <v>255</v>
      </c>
      <c r="C53" s="17">
        <f>27.34325*0.3048^2</f>
        <v>2.5402710484800002</v>
      </c>
      <c r="D53" s="6" t="s">
        <v>11</v>
      </c>
    </row>
    <row r="54" spans="2:4" x14ac:dyDescent="0.2">
      <c r="B54" s="6" t="s">
        <v>256</v>
      </c>
      <c r="C54" s="17">
        <f>0.115*9.73719*0.3048</f>
        <v>0.34130798388000005</v>
      </c>
      <c r="D54" s="6" t="s">
        <v>8</v>
      </c>
    </row>
    <row r="55" spans="2:4" x14ac:dyDescent="0.2">
      <c r="B55" s="6" t="s">
        <v>257</v>
      </c>
      <c r="C55" s="17">
        <v>35</v>
      </c>
      <c r="D55" s="6" t="s">
        <v>43</v>
      </c>
    </row>
    <row r="57" spans="2:4" x14ac:dyDescent="0.2">
      <c r="B57" s="57" t="s">
        <v>2</v>
      </c>
      <c r="C57" s="58"/>
      <c r="D57" s="58"/>
    </row>
    <row r="58" spans="2:4" x14ac:dyDescent="0.2">
      <c r="B58" s="6" t="s">
        <v>3</v>
      </c>
      <c r="C58" s="17">
        <v>250</v>
      </c>
      <c r="D58" s="6" t="s">
        <v>4</v>
      </c>
    </row>
    <row r="59" spans="2:4" x14ac:dyDescent="0.2">
      <c r="B59" s="6" t="s">
        <v>5</v>
      </c>
      <c r="C59" s="17">
        <v>0.85</v>
      </c>
    </row>
    <row r="60" spans="2:4" x14ac:dyDescent="0.2">
      <c r="B60" s="6" t="s">
        <v>6</v>
      </c>
      <c r="C60" s="17">
        <v>0.8</v>
      </c>
    </row>
    <row r="62" spans="2:4" x14ac:dyDescent="0.2">
      <c r="B62" s="54" t="s">
        <v>272</v>
      </c>
      <c r="C62" s="55"/>
      <c r="D62" s="55"/>
    </row>
    <row r="63" spans="2:4" x14ac:dyDescent="0.2">
      <c r="B63" s="6" t="s">
        <v>15</v>
      </c>
      <c r="C63" s="17">
        <v>1.0397562309141399</v>
      </c>
      <c r="D63" s="6" t="s">
        <v>16</v>
      </c>
    </row>
    <row r="64" spans="2:4" x14ac:dyDescent="0.2">
      <c r="B64" s="6" t="s">
        <v>214</v>
      </c>
      <c r="C64" s="41">
        <v>1.7363179204150701E-5</v>
      </c>
      <c r="D64" s="6" t="s">
        <v>210</v>
      </c>
    </row>
    <row r="65" spans="2:4" x14ac:dyDescent="0.2">
      <c r="B65" s="6" t="s">
        <v>132</v>
      </c>
      <c r="C65" s="17">
        <v>333.91694458017901</v>
      </c>
      <c r="D65" s="6" t="s">
        <v>10</v>
      </c>
    </row>
    <row r="66" spans="2:4" x14ac:dyDescent="0.2">
      <c r="B66" s="6" t="s">
        <v>17</v>
      </c>
      <c r="C66" s="1">
        <v>9.80149119240094</v>
      </c>
      <c r="D66" s="6" t="s">
        <v>18</v>
      </c>
    </row>
    <row r="68" spans="2:4" x14ac:dyDescent="0.2">
      <c r="B68" s="54" t="s">
        <v>273</v>
      </c>
      <c r="C68" s="55"/>
      <c r="D68" s="55"/>
    </row>
    <row r="69" spans="2:4" x14ac:dyDescent="0.2">
      <c r="B69" s="6" t="s">
        <v>15</v>
      </c>
      <c r="C69" s="17">
        <v>1.00854450666398</v>
      </c>
      <c r="D69" s="6" t="s">
        <v>16</v>
      </c>
    </row>
    <row r="70" spans="2:4" x14ac:dyDescent="0.2">
      <c r="B70" s="6" t="s">
        <v>214</v>
      </c>
      <c r="C70" s="41">
        <v>1.7265641515845801E-5</v>
      </c>
      <c r="D70" s="6" t="s">
        <v>210</v>
      </c>
    </row>
    <row r="71" spans="2:4" x14ac:dyDescent="0.2">
      <c r="B71" s="6" t="s">
        <v>132</v>
      </c>
      <c r="C71" s="17">
        <v>332.721752148093</v>
      </c>
      <c r="D71" s="6" t="s">
        <v>10</v>
      </c>
    </row>
    <row r="72" spans="2:4" x14ac:dyDescent="0.2">
      <c r="B72" s="6" t="s">
        <v>17</v>
      </c>
      <c r="C72" s="1">
        <v>9.8005536647414697</v>
      </c>
      <c r="D72" s="6" t="s">
        <v>18</v>
      </c>
    </row>
    <row r="74" spans="2:4" x14ac:dyDescent="0.2">
      <c r="B74" s="54" t="s">
        <v>74</v>
      </c>
      <c r="C74" s="54"/>
      <c r="D74" s="54"/>
    </row>
    <row r="75" spans="2:4" x14ac:dyDescent="0.2">
      <c r="B75" s="6" t="s">
        <v>264</v>
      </c>
      <c r="C75" s="17">
        <v>30</v>
      </c>
    </row>
    <row r="76" spans="2:4" x14ac:dyDescent="0.2">
      <c r="B76" s="6" t="s">
        <v>266</v>
      </c>
      <c r="C76" s="17">
        <v>0.8</v>
      </c>
    </row>
    <row r="77" spans="2:4" x14ac:dyDescent="0.2">
      <c r="B77" s="6" t="s">
        <v>267</v>
      </c>
      <c r="C77" s="17">
        <v>0.8</v>
      </c>
    </row>
    <row r="78" spans="2:4" x14ac:dyDescent="0.2">
      <c r="B78" s="6" t="s">
        <v>268</v>
      </c>
      <c r="C78" s="17">
        <v>0.8</v>
      </c>
    </row>
    <row r="79" spans="2:4" x14ac:dyDescent="0.2">
      <c r="B79" s="6" t="s">
        <v>258</v>
      </c>
      <c r="C79" s="17">
        <v>5</v>
      </c>
      <c r="D79" s="6" t="s">
        <v>43</v>
      </c>
    </row>
  </sheetData>
  <mergeCells count="22">
    <mergeCell ref="B46:D46"/>
    <mergeCell ref="B51:D51"/>
    <mergeCell ref="B74:D74"/>
    <mergeCell ref="B57:D57"/>
    <mergeCell ref="B62:D62"/>
    <mergeCell ref="B68:D68"/>
    <mergeCell ref="F22:H22"/>
    <mergeCell ref="B26:D26"/>
    <mergeCell ref="B37:D37"/>
    <mergeCell ref="J41:L41"/>
    <mergeCell ref="B43:D43"/>
    <mergeCell ref="B32:D32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1E77-07DC-9243-A410-566ED0D9F438}">
  <dimension ref="B1:AS80"/>
  <sheetViews>
    <sheetView zoomScale="88" workbookViewId="0">
      <selection activeCell="C5" sqref="C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33203125" style="6" customWidth="1"/>
    <col min="15" max="15" width="13.1640625" style="6" customWidth="1"/>
    <col min="16" max="16" width="6.6640625" style="6" customWidth="1"/>
    <col min="17" max="17" width="6" style="6" customWidth="1"/>
    <col min="18" max="18" width="15.1640625" style="6" customWidth="1"/>
    <col min="19" max="19" width="11.6640625" style="6" customWidth="1"/>
    <col min="20" max="20" width="6.33203125" style="6" customWidth="1"/>
    <col min="21" max="21" width="7.1640625" style="6" customWidth="1"/>
    <col min="22" max="22" width="4" style="6" customWidth="1"/>
    <col min="23" max="24" width="3.83203125" style="6" customWidth="1"/>
    <col min="25" max="25" width="5.5" style="6" customWidth="1"/>
    <col min="26" max="26" width="9" style="6" customWidth="1"/>
    <col min="27" max="27" width="11.1640625" style="6" customWidth="1"/>
    <col min="28" max="28" width="6.6640625" style="6" customWidth="1"/>
    <col min="29" max="29" width="10.83203125" style="6" customWidth="1"/>
    <col min="30" max="30" width="14.6640625" style="6" customWidth="1"/>
    <col min="31" max="31" width="11.5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40" width="10.83203125" style="2"/>
    <col min="41" max="42" width="11" style="2" bestFit="1" customWidth="1"/>
    <col min="43" max="45" width="11.1640625" style="2" bestFit="1" customWidth="1"/>
    <col min="46" max="16384" width="10.83203125" style="6"/>
  </cols>
  <sheetData>
    <row r="1" spans="2:45" x14ac:dyDescent="0.2">
      <c r="B1" s="60" t="s">
        <v>0</v>
      </c>
      <c r="C1" s="60"/>
      <c r="D1" s="60"/>
    </row>
    <row r="2" spans="2:45" x14ac:dyDescent="0.2">
      <c r="Y2" s="16" t="s">
        <v>278</v>
      </c>
      <c r="AJ2" s="48" t="s">
        <v>226</v>
      </c>
    </row>
    <row r="3" spans="2:45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279</v>
      </c>
      <c r="O3" s="54"/>
      <c r="P3" s="54"/>
      <c r="R3" s="54" t="s">
        <v>95</v>
      </c>
      <c r="S3" s="54"/>
      <c r="T3" s="54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MAX(G14,G33)</f>
        <v>406.2220234730915</v>
      </c>
      <c r="L4" s="6" t="s">
        <v>104</v>
      </c>
      <c r="N4" s="6" t="s">
        <v>228</v>
      </c>
      <c r="O4" s="6">
        <v>0</v>
      </c>
      <c r="P4" s="6" t="s">
        <v>22</v>
      </c>
      <c r="R4" s="6" t="s">
        <v>228</v>
      </c>
      <c r="S4" s="6">
        <f xml:space="preserve"> $C$5 * $C$73</f>
        <v>21007.569900736617</v>
      </c>
      <c r="T4" s="6" t="s">
        <v>22</v>
      </c>
      <c r="Y4" s="2">
        <v>0</v>
      </c>
      <c r="Z4" s="3">
        <v>1.0000000000000001E-15</v>
      </c>
      <c r="AA4" s="2">
        <f xml:space="preserve"> $O$22 * TAN($O$19/180*PI()) + $O$23 / (2 * SQRT($O$22^2 + Z4^2)) - Z4</f>
        <v>8389452042442.4121</v>
      </c>
      <c r="AB4" s="3">
        <v>1</v>
      </c>
      <c r="AC4" s="2">
        <f xml:space="preserve"> $O$22 * TAN($O$19/180*PI()) + $O$23 / (2 * SQRT($O$22^2 + AB4^2)) - AB4</f>
        <v>-0.97392666047343013</v>
      </c>
      <c r="AD4" s="2">
        <f xml:space="preserve"> (Z4 + AB4)/2</f>
        <v>0.50000000000000056</v>
      </c>
      <c r="AE4" s="2">
        <f xml:space="preserve"> $O$22 * TAN($O$19/180*PI()) + $O$23 / (2 * SQRT($O$22^2 + AD4^2)) - AD4</f>
        <v>-0.46553720351262701</v>
      </c>
      <c r="AF4" s="2">
        <f>AA4*AE4</f>
        <v>-3905602042841.9375</v>
      </c>
      <c r="AG4" s="2">
        <f>AC4*AE4</f>
        <v>0.45339909394319244</v>
      </c>
      <c r="AH4" s="2">
        <f>AB4-Z4</f>
        <v>0.999999999999999</v>
      </c>
      <c r="AJ4" s="2">
        <v>0</v>
      </c>
      <c r="AL4" s="2">
        <f>K30</f>
        <v>-1.1045813153032213E-9</v>
      </c>
      <c r="AN4" s="2">
        <f>K30</f>
        <v>-1.1045813153032213E-9</v>
      </c>
      <c r="AP4" s="2">
        <f>K30</f>
        <v>-1.1045813153032213E-9</v>
      </c>
    </row>
    <row r="5" spans="2:45" x14ac:dyDescent="0.2">
      <c r="B5" s="10" t="s">
        <v>40</v>
      </c>
      <c r="C5" s="10">
        <f>AO44</f>
        <v>2143.5084811905654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50.777752934136437</v>
      </c>
      <c r="L5" s="6" t="s">
        <v>104</v>
      </c>
      <c r="N5" s="6" t="s">
        <v>25</v>
      </c>
      <c r="O5" s="6">
        <f xml:space="preserve"> 0.5 * $C$64 * $C$8^2</f>
        <v>1299.695288642675</v>
      </c>
      <c r="P5" s="6" t="s">
        <v>26</v>
      </c>
      <c r="R5" s="6" t="s">
        <v>25</v>
      </c>
      <c r="S5" s="6">
        <f xml:space="preserve"> 0.5 * $C$70 * $C$8^2</f>
        <v>1260.6806333299751</v>
      </c>
      <c r="T5" s="6" t="s">
        <v>26</v>
      </c>
      <c r="Y5" s="2">
        <v>1</v>
      </c>
      <c r="Z5" s="2">
        <f>IF(AF4&gt;0, AD4, Z4)</f>
        <v>1.0000000000000001E-15</v>
      </c>
      <c r="AA5" s="2">
        <f t="shared" ref="AA5:AA34" si="0" xml:space="preserve"> $O$22 * TAN($O$19/180*PI()) + $O$23 / (2 * SQRT($O$22^2 + Z5^2)) - Z5</f>
        <v>8389452042442.4121</v>
      </c>
      <c r="AB5" s="2">
        <f>IF(AG4&gt;0, AD4, AB4)</f>
        <v>0.50000000000000056</v>
      </c>
      <c r="AC5" s="2">
        <f t="shared" ref="AC5:AC34" si="1" xml:space="preserve"> $O$22 * TAN($O$19/180*PI()) + $O$23 / (2 * SQRT($O$22^2 + AB5^2)) - AB5</f>
        <v>-0.46553720351262701</v>
      </c>
      <c r="AD5" s="2">
        <f t="shared" ref="AD5:AD34" si="2" xml:space="preserve"> (Z5 + AB5)/2</f>
        <v>0.25000000000000078</v>
      </c>
      <c r="AE5" s="2">
        <f t="shared" ref="AE5:AE34" si="3" xml:space="preserve"> $O$22 * TAN($O$19/180*PI()) + $O$23 / (2 * SQRT($O$22^2 + AD5^2)) - AD5</f>
        <v>-0.19875828959101993</v>
      </c>
      <c r="AF5" s="2">
        <f t="shared" ref="AF5:AF34" si="4">AA5*AE5</f>
        <v>-1667473138561.7427</v>
      </c>
      <c r="AG5" s="2">
        <f t="shared" ref="AG5:AG34" si="5">AC5*AE5</f>
        <v>9.2529378311156305E-2</v>
      </c>
      <c r="AH5" s="2">
        <f t="shared" ref="AH5:AH34" si="6">AB5-Z5</f>
        <v>0.49999999999999956</v>
      </c>
      <c r="AJ5" s="2">
        <v>1</v>
      </c>
      <c r="AK5" s="3">
        <v>500</v>
      </c>
      <c r="AL5" s="2">
        <f t="dataTable" ref="AL5:AL44" dt2D="0" dtr="0" r1="C5" ca="1"/>
        <v>-755.68724560105102</v>
      </c>
      <c r="AM5" s="3">
        <v>5000</v>
      </c>
      <c r="AN5" s="2">
        <f t="dataTable" ref="AN5:AN44" dt2D="0" dtr="0" r1="C5"/>
        <v>1346.9733074579617</v>
      </c>
      <c r="AO5" s="2">
        <f>(AK5+AM5)/2</f>
        <v>2750</v>
      </c>
      <c r="AP5" s="2">
        <f t="dataTable" ref="AP5:AP44" dt2D="0" dtr="0" r1="C5" ca="1"/>
        <v>224.53753753227306</v>
      </c>
      <c r="AQ5" s="2">
        <f>AL5*AP5</f>
        <v>-169680.15327180605</v>
      </c>
      <c r="AR5" s="2">
        <f>AN5*AP5</f>
        <v>302446.06957831205</v>
      </c>
      <c r="AS5" s="2">
        <f>AM5-AK5</f>
        <v>4500</v>
      </c>
    </row>
    <row r="6" spans="2:45" x14ac:dyDescent="0.2">
      <c r="B6" s="6" t="s">
        <v>270</v>
      </c>
      <c r="C6" s="22">
        <v>900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MAX(G24)</f>
        <v>81.927853537111631</v>
      </c>
      <c r="L6" s="6" t="s">
        <v>104</v>
      </c>
      <c r="N6" s="6" t="s">
        <v>119</v>
      </c>
      <c r="O6" s="6">
        <v>0</v>
      </c>
      <c r="P6" s="6" t="s">
        <v>120</v>
      </c>
      <c r="R6" s="6" t="s">
        <v>119</v>
      </c>
      <c r="S6" s="6">
        <f xml:space="preserve"> ($C$22+$C$28) * 0.4 * ($C$5/($C$22+$C$28) *2.20462/1000)^(2/3) * 0.3048^2</f>
        <v>0.21767575155260949</v>
      </c>
      <c r="T6" s="6" t="s">
        <v>120</v>
      </c>
      <c r="Y6" s="2">
        <v>2</v>
      </c>
      <c r="Z6" s="2">
        <f t="shared" ref="Z6:Z29" si="7">IF(AF5&gt;0, AD5, Z5)</f>
        <v>1.0000000000000001E-15</v>
      </c>
      <c r="AA6" s="2">
        <f t="shared" si="0"/>
        <v>8389452042442.4121</v>
      </c>
      <c r="AB6" s="2">
        <f t="shared" ref="AB6:AB34" si="8">IF(AG5&gt;0, AD5, AB5)</f>
        <v>0.25000000000000078</v>
      </c>
      <c r="AC6" s="2">
        <f t="shared" si="1"/>
        <v>-0.19875828959101993</v>
      </c>
      <c r="AD6" s="2">
        <f t="shared" si="2"/>
        <v>0.12500000000000089</v>
      </c>
      <c r="AE6" s="2">
        <f t="shared" si="3"/>
        <v>-4.0200461747805574E-2</v>
      </c>
      <c r="AF6" s="2">
        <f t="shared" si="4"/>
        <v>-337259845917.25555</v>
      </c>
      <c r="AG6" s="2">
        <f t="shared" si="5"/>
        <v>7.9901750177630588E-3</v>
      </c>
      <c r="AH6" s="2">
        <f t="shared" si="6"/>
        <v>0.24999999999999978</v>
      </c>
      <c r="AJ6" s="2">
        <v>2</v>
      </c>
      <c r="AK6" s="2">
        <f>IF(AQ5&gt;0,AO5,AK5)</f>
        <v>500</v>
      </c>
      <c r="AL6" s="2">
        <v>-755.68724560105102</v>
      </c>
      <c r="AM6" s="2">
        <f>IF(AR5&gt;0,AO5,AM5)</f>
        <v>2750</v>
      </c>
      <c r="AN6" s="2">
        <v>224.53753753227306</v>
      </c>
      <c r="AO6" s="2">
        <f t="shared" ref="AO6:AO44" si="9">(AK6+AM6)/2</f>
        <v>1625</v>
      </c>
      <c r="AP6" s="2">
        <v>-221.29570671102215</v>
      </c>
      <c r="AQ6" s="2">
        <f t="shared" ref="AQ6:AQ44" si="10">AL6*AP6</f>
        <v>167230.34306779035</v>
      </c>
      <c r="AR6" s="2">
        <f t="shared" ref="AR6:AR44" si="11">AN6*AP6</f>
        <v>-49689.193051357026</v>
      </c>
      <c r="AS6" s="2">
        <f t="shared" ref="AS6:AS44" si="12">AM6-AK6</f>
        <v>2250</v>
      </c>
    </row>
    <row r="7" spans="2:45" x14ac:dyDescent="0.2">
      <c r="B7" s="6" t="s">
        <v>271</v>
      </c>
      <c r="C7" s="17">
        <v>370</v>
      </c>
      <c r="D7" s="6" t="s">
        <v>134</v>
      </c>
      <c r="F7" t="s">
        <v>130</v>
      </c>
      <c r="G7" s="8">
        <f>$C$6*2*PI()/60*$C$9</f>
        <v>143.63361612212535</v>
      </c>
      <c r="H7" s="6" t="s">
        <v>10</v>
      </c>
      <c r="J7" s="6" t="s">
        <v>230</v>
      </c>
      <c r="K7" s="6">
        <f>K6/$C$28</f>
        <v>81.927853537111631</v>
      </c>
      <c r="L7" s="6" t="s">
        <v>104</v>
      </c>
      <c r="N7" s="6" t="s">
        <v>121</v>
      </c>
      <c r="O7" s="6">
        <f xml:space="preserve"> O6 / $C$13</f>
        <v>0</v>
      </c>
      <c r="R7" s="6" t="s">
        <v>121</v>
      </c>
      <c r="S7" s="6">
        <f xml:space="preserve"> S6 / $C$13</f>
        <v>1.0883787577630474E-2</v>
      </c>
      <c r="Y7" s="2">
        <v>3</v>
      </c>
      <c r="Z7" s="2">
        <f t="shared" si="7"/>
        <v>1.0000000000000001E-15</v>
      </c>
      <c r="AA7" s="2">
        <f t="shared" si="0"/>
        <v>8389452042442.4121</v>
      </c>
      <c r="AB7" s="2">
        <f t="shared" si="8"/>
        <v>0.12500000000000089</v>
      </c>
      <c r="AC7" s="2">
        <f t="shared" si="1"/>
        <v>-4.0200461747805574E-2</v>
      </c>
      <c r="AD7" s="2">
        <f t="shared" si="2"/>
        <v>6.2500000000000944E-2</v>
      </c>
      <c r="AE7" s="2">
        <f t="shared" si="3"/>
        <v>8.9415193938622434E-2</v>
      </c>
      <c r="AF7" s="2">
        <f t="shared" si="4"/>
        <v>750144481413.76038</v>
      </c>
      <c r="AG7" s="2">
        <f t="shared" si="5"/>
        <v>-3.5945320836022082E-3</v>
      </c>
      <c r="AH7" s="2">
        <f t="shared" si="6"/>
        <v>0.12499999999999989</v>
      </c>
      <c r="AJ7" s="2">
        <v>3</v>
      </c>
      <c r="AK7" s="2">
        <f t="shared" ref="AK7:AK44" si="13">IF(AQ6&gt;0,AO6,AK6)</f>
        <v>1625</v>
      </c>
      <c r="AL7" s="2">
        <v>-221.29570671102215</v>
      </c>
      <c r="AM7" s="2">
        <f t="shared" ref="AM7:AM44" si="14">IF(AR6&gt;0,AO6,AM6)</f>
        <v>2750</v>
      </c>
      <c r="AN7" s="2">
        <v>224.53753753227306</v>
      </c>
      <c r="AO7" s="2">
        <f t="shared" si="9"/>
        <v>2187.5</v>
      </c>
      <c r="AP7" s="2">
        <v>17.602657910582366</v>
      </c>
      <c r="AQ7" s="2">
        <f t="shared" si="10"/>
        <v>-3895.3926223146891</v>
      </c>
      <c r="AR7" s="2">
        <f t="shared" si="11"/>
        <v>3952.4574612651513</v>
      </c>
      <c r="AS7" s="2">
        <f t="shared" si="12"/>
        <v>1125</v>
      </c>
    </row>
    <row r="8" spans="2:45" x14ac:dyDescent="0.2">
      <c r="B8" s="6" t="s">
        <v>9</v>
      </c>
      <c r="C8" s="17">
        <v>50</v>
      </c>
      <c r="D8" s="6" t="s">
        <v>10</v>
      </c>
      <c r="F8" t="s">
        <v>133</v>
      </c>
      <c r="G8" s="6">
        <f>G7/$C$66</f>
        <v>0.43014773120516658</v>
      </c>
      <c r="H8" s="6" t="s">
        <v>131</v>
      </c>
      <c r="N8" s="6" t="s">
        <v>123</v>
      </c>
      <c r="O8" s="17">
        <v>0</v>
      </c>
      <c r="R8" s="6" t="s">
        <v>123</v>
      </c>
      <c r="S8" s="17">
        <v>2.3739199999999998E-2</v>
      </c>
      <c r="Y8" s="2">
        <v>4</v>
      </c>
      <c r="Z8" s="2">
        <f t="shared" si="7"/>
        <v>6.2500000000000944E-2</v>
      </c>
      <c r="AA8" s="2">
        <f t="shared" si="0"/>
        <v>8.9415193938622434E-2</v>
      </c>
      <c r="AB8" s="2">
        <f t="shared" si="8"/>
        <v>0.12500000000000089</v>
      </c>
      <c r="AC8" s="2">
        <f t="shared" si="1"/>
        <v>-4.0200461747805574E-2</v>
      </c>
      <c r="AD8" s="2">
        <f t="shared" si="2"/>
        <v>9.3750000000000916E-2</v>
      </c>
      <c r="AE8" s="2">
        <f t="shared" si="3"/>
        <v>1.3421423481003877E-2</v>
      </c>
      <c r="AF8" s="2">
        <f t="shared" si="4"/>
        <v>1.2000791834863426E-3</v>
      </c>
      <c r="AG8" s="2">
        <f t="shared" si="5"/>
        <v>-5.3954742124919593E-4</v>
      </c>
      <c r="AH8" s="2">
        <f t="shared" si="6"/>
        <v>6.2499999999999944E-2</v>
      </c>
      <c r="AJ8" s="2">
        <v>4</v>
      </c>
      <c r="AK8" s="2">
        <f t="shared" si="13"/>
        <v>1625</v>
      </c>
      <c r="AL8" s="2">
        <v>-221.29570671102215</v>
      </c>
      <c r="AM8" s="2">
        <f t="shared" si="14"/>
        <v>2187.5</v>
      </c>
      <c r="AN8" s="2">
        <v>17.602657910582366</v>
      </c>
      <c r="AO8" s="2">
        <f t="shared" si="9"/>
        <v>1906.25</v>
      </c>
      <c r="AP8" s="2">
        <v>-98.272231384614088</v>
      </c>
      <c r="AQ8" s="2">
        <f t="shared" si="10"/>
        <v>21747.222894327264</v>
      </c>
      <c r="AR8" s="2">
        <f t="shared" si="11"/>
        <v>-1729.8524711729578</v>
      </c>
      <c r="AS8" s="2">
        <f t="shared" si="12"/>
        <v>562.5</v>
      </c>
    </row>
    <row r="9" spans="2:45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$C$67 / $C$22</f>
        <v>2626.1974374032552</v>
      </c>
      <c r="H9" s="6" t="s">
        <v>22</v>
      </c>
      <c r="J9" s="54" t="s">
        <v>23</v>
      </c>
      <c r="K9" s="54"/>
      <c r="L9" s="54"/>
      <c r="N9" s="6" t="s">
        <v>122</v>
      </c>
      <c r="O9" s="6">
        <f xml:space="preserve"> $O$8 + O7</f>
        <v>0</v>
      </c>
      <c r="R9" s="6" t="s">
        <v>122</v>
      </c>
      <c r="S9" s="6">
        <f xml:space="preserve"> $S$8 + S7</f>
        <v>3.4622987577630472E-2</v>
      </c>
      <c r="Y9" s="2">
        <v>5</v>
      </c>
      <c r="Z9" s="2">
        <f t="shared" si="7"/>
        <v>9.3750000000000916E-2</v>
      </c>
      <c r="AA9" s="2">
        <f t="shared" si="0"/>
        <v>1.3421423481003877E-2</v>
      </c>
      <c r="AB9" s="2">
        <f t="shared" si="8"/>
        <v>0.12500000000000089</v>
      </c>
      <c r="AC9" s="2">
        <f t="shared" si="1"/>
        <v>-4.0200461747805574E-2</v>
      </c>
      <c r="AD9" s="2">
        <f t="shared" si="2"/>
        <v>0.1093750000000009</v>
      </c>
      <c r="AE9" s="2">
        <f t="shared" si="3"/>
        <v>-1.4987510935458664E-2</v>
      </c>
      <c r="AF9" s="2">
        <f t="shared" si="4"/>
        <v>-2.0115373119096731E-4</v>
      </c>
      <c r="AG9" s="2">
        <f t="shared" si="5"/>
        <v>6.0250486005572381E-4</v>
      </c>
      <c r="AH9" s="2">
        <f t="shared" si="6"/>
        <v>3.1249999999999972E-2</v>
      </c>
      <c r="AJ9" s="2">
        <v>5</v>
      </c>
      <c r="AK9" s="2">
        <f t="shared" si="13"/>
        <v>1906.25</v>
      </c>
      <c r="AL9" s="2">
        <v>-98.272231384614088</v>
      </c>
      <c r="AM9" s="2">
        <f t="shared" si="14"/>
        <v>2187.5</v>
      </c>
      <c r="AN9" s="2">
        <v>17.602657910582366</v>
      </c>
      <c r="AO9" s="2">
        <f t="shared" si="9"/>
        <v>2046.875</v>
      </c>
      <c r="AP9" s="2">
        <v>-39.361577419957257</v>
      </c>
      <c r="AQ9" s="2">
        <f t="shared" si="10"/>
        <v>3868.1500438774406</v>
      </c>
      <c r="AR9" s="2">
        <f t="shared" si="11"/>
        <v>-692.86838214441082</v>
      </c>
      <c r="AS9" s="2">
        <f t="shared" si="12"/>
        <v>281.25</v>
      </c>
    </row>
    <row r="10" spans="2:45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t="s">
        <v>100</v>
      </c>
      <c r="G10" s="6">
        <f xml:space="preserve"> 1/1000 * (O25 + O20 * (O27 * O30 + $G$4 * SIN(O19/180*PI())))</f>
        <v>50.777752934136437</v>
      </c>
      <c r="H10" s="6" t="s">
        <v>104</v>
      </c>
      <c r="J10" s="6" t="s">
        <v>99</v>
      </c>
      <c r="K10" s="6">
        <f xml:space="preserve"> $C$19 * (G14*G6 + G24*G17 + G33*G29)/3600</f>
        <v>77.709773778220466</v>
      </c>
      <c r="L10" s="6" t="s">
        <v>105</v>
      </c>
      <c r="N10" s="6" t="s">
        <v>41</v>
      </c>
      <c r="O10" s="6">
        <f xml:space="preserve"> O5 * $C$13 * O9</f>
        <v>0</v>
      </c>
      <c r="P10" s="6" t="s">
        <v>22</v>
      </c>
      <c r="R10" s="6" t="s">
        <v>41</v>
      </c>
      <c r="S10" s="6">
        <f xml:space="preserve"> S5 * $C$13 * S9</f>
        <v>872.97059814286092</v>
      </c>
      <c r="T10" s="6" t="s">
        <v>22</v>
      </c>
      <c r="Y10" s="2">
        <v>6</v>
      </c>
      <c r="Z10" s="2">
        <f t="shared" si="7"/>
        <v>9.3750000000000916E-2</v>
      </c>
      <c r="AA10" s="2">
        <f t="shared" si="0"/>
        <v>1.3421423481003877E-2</v>
      </c>
      <c r="AB10" s="2">
        <f t="shared" si="8"/>
        <v>0.1093750000000009</v>
      </c>
      <c r="AC10" s="2">
        <f t="shared" si="1"/>
        <v>-1.4987510935458664E-2</v>
      </c>
      <c r="AD10" s="2">
        <f t="shared" si="2"/>
        <v>0.10156250000000092</v>
      </c>
      <c r="AE10" s="2">
        <f t="shared" si="3"/>
        <v>-1.2747335124759646E-3</v>
      </c>
      <c r="AF10" s="2">
        <f t="shared" si="4"/>
        <v>-1.7108738296367458E-5</v>
      </c>
      <c r="AG10" s="2">
        <f t="shared" si="5"/>
        <v>1.9105082458029151E-5</v>
      </c>
      <c r="AH10" s="2">
        <f t="shared" si="6"/>
        <v>1.5624999999999986E-2</v>
      </c>
      <c r="AJ10" s="2">
        <v>6</v>
      </c>
      <c r="AK10" s="2">
        <f t="shared" si="13"/>
        <v>2046.875</v>
      </c>
      <c r="AL10" s="2">
        <v>-39.361577419957257</v>
      </c>
      <c r="AM10" s="2">
        <f t="shared" si="14"/>
        <v>2187.5</v>
      </c>
      <c r="AN10" s="2">
        <v>17.602657910582366</v>
      </c>
      <c r="AO10" s="2">
        <f t="shared" si="9"/>
        <v>2117.1875</v>
      </c>
      <c r="AP10" s="2">
        <v>-10.627549924284949</v>
      </c>
      <c r="AQ10" s="2">
        <f t="shared" si="10"/>
        <v>418.3171291292029</v>
      </c>
      <c r="AR10" s="2">
        <f t="shared" si="11"/>
        <v>-187.07312574482347</v>
      </c>
      <c r="AS10" s="2">
        <f t="shared" si="12"/>
        <v>140.625</v>
      </c>
    </row>
    <row r="11" spans="2:45" x14ac:dyDescent="0.2">
      <c r="B11" s="6" t="s">
        <v>231</v>
      </c>
      <c r="C11" s="17">
        <v>1.37</v>
      </c>
      <c r="D11" s="6" t="s">
        <v>8</v>
      </c>
      <c r="F11" t="s">
        <v>274</v>
      </c>
      <c r="G11" s="6">
        <f xml:space="preserve"> (G9/$C$67*1000) / (G10*1000)</f>
        <v>5.2766919500428155</v>
      </c>
      <c r="H11" s="6" t="s">
        <v>275</v>
      </c>
      <c r="J11" s="6" t="s">
        <v>24</v>
      </c>
      <c r="K11" s="6">
        <f xml:space="preserve"> (G6 + G17 + G29)/60</f>
        <v>37.333333333333336</v>
      </c>
      <c r="L11" s="6" t="s">
        <v>106</v>
      </c>
      <c r="N11" s="6" t="s">
        <v>234</v>
      </c>
      <c r="O11" s="6">
        <v>0</v>
      </c>
      <c r="R11" s="6" t="s">
        <v>234</v>
      </c>
      <c r="S11" s="6">
        <f xml:space="preserve"> 1.78 * (1 - 0.045 * $C$14^0.68) - 0.64</f>
        <v>0.70601395642148124</v>
      </c>
      <c r="Y11" s="2">
        <v>7</v>
      </c>
      <c r="Z11" s="2">
        <f t="shared" si="7"/>
        <v>9.3750000000000916E-2</v>
      </c>
      <c r="AA11" s="2">
        <f t="shared" si="0"/>
        <v>1.3421423481003877E-2</v>
      </c>
      <c r="AB11" s="2">
        <f t="shared" si="8"/>
        <v>0.10156250000000092</v>
      </c>
      <c r="AC11" s="2">
        <f t="shared" si="1"/>
        <v>-1.2747335124759646E-3</v>
      </c>
      <c r="AD11" s="2">
        <f t="shared" si="2"/>
        <v>9.7656250000000916E-2</v>
      </c>
      <c r="AE11" s="2">
        <f t="shared" si="3"/>
        <v>5.9356718443943635E-3</v>
      </c>
      <c r="AF11" s="2">
        <f t="shared" si="4"/>
        <v>7.9665165467888107E-5</v>
      </c>
      <c r="AG11" s="2">
        <f t="shared" si="5"/>
        <v>-7.5663998191095141E-6</v>
      </c>
      <c r="AH11" s="2">
        <f t="shared" si="6"/>
        <v>7.8125E-3</v>
      </c>
      <c r="AJ11" s="2">
        <v>7</v>
      </c>
      <c r="AK11" s="2">
        <f t="shared" si="13"/>
        <v>2117.1875</v>
      </c>
      <c r="AL11" s="2">
        <v>-10.627549924284949</v>
      </c>
      <c r="AM11" s="2">
        <f t="shared" si="14"/>
        <v>2187.5</v>
      </c>
      <c r="AN11" s="2">
        <v>17.602657910582366</v>
      </c>
      <c r="AO11" s="2">
        <f t="shared" si="9"/>
        <v>2152.34375</v>
      </c>
      <c r="AP11" s="2">
        <v>3.5514232136006285</v>
      </c>
      <c r="AQ11" s="2">
        <f t="shared" si="10"/>
        <v>-37.742927504805174</v>
      </c>
      <c r="AR11" s="2">
        <f t="shared" si="11"/>
        <v>62.514487924712952</v>
      </c>
      <c r="AS11" s="2">
        <f t="shared" si="12"/>
        <v>70.3125</v>
      </c>
    </row>
    <row r="12" spans="2:45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t="s">
        <v>281</v>
      </c>
      <c r="G12" s="6">
        <f>G13/G14</f>
        <v>0.74926646311892176</v>
      </c>
      <c r="N12" s="6" t="s">
        <v>235</v>
      </c>
      <c r="O12" s="6">
        <f xml:space="preserve"> O4 / (O5 * $C$13)</f>
        <v>0</v>
      </c>
      <c r="R12" s="6" t="s">
        <v>235</v>
      </c>
      <c r="S12" s="6">
        <f xml:space="preserve"> S4 / (S5 * $C$13)</f>
        <v>0.83318365275617023</v>
      </c>
      <c r="Y12" s="2">
        <v>8</v>
      </c>
      <c r="Z12" s="2">
        <f t="shared" si="7"/>
        <v>9.7656250000000916E-2</v>
      </c>
      <c r="AA12" s="2">
        <f t="shared" si="0"/>
        <v>5.9356718443943635E-3</v>
      </c>
      <c r="AB12" s="2">
        <f t="shared" si="8"/>
        <v>0.10156250000000092</v>
      </c>
      <c r="AC12" s="2">
        <f t="shared" si="1"/>
        <v>-1.2747335124759646E-3</v>
      </c>
      <c r="AD12" s="2">
        <f t="shared" si="2"/>
        <v>9.9609375000000916E-2</v>
      </c>
      <c r="AE12" s="2">
        <f t="shared" si="3"/>
        <v>2.2980754859898839E-3</v>
      </c>
      <c r="AF12" s="2">
        <f t="shared" si="4"/>
        <v>1.3640621958483047E-5</v>
      </c>
      <c r="AG12" s="2">
        <f t="shared" si="5"/>
        <v>-2.9294338361907939E-6</v>
      </c>
      <c r="AH12" s="2">
        <f t="shared" si="6"/>
        <v>3.90625E-3</v>
      </c>
      <c r="AJ12" s="2">
        <v>8</v>
      </c>
      <c r="AK12" s="2">
        <f t="shared" si="13"/>
        <v>2117.1875</v>
      </c>
      <c r="AL12" s="2">
        <v>-10.627549924284949</v>
      </c>
      <c r="AM12" s="2">
        <f t="shared" si="14"/>
        <v>2152.34375</v>
      </c>
      <c r="AN12" s="2">
        <v>3.5514232136006285</v>
      </c>
      <c r="AO12" s="2">
        <f t="shared" si="9"/>
        <v>2134.765625</v>
      </c>
      <c r="AP12" s="2">
        <v>-3.5221969794968118</v>
      </c>
      <c r="AQ12" s="2">
        <f t="shared" si="10"/>
        <v>37.432324242768019</v>
      </c>
      <c r="AR12" s="2">
        <f t="shared" si="11"/>
        <v>-12.508812115858994</v>
      </c>
      <c r="AS12" s="2">
        <f t="shared" si="12"/>
        <v>35.15625</v>
      </c>
    </row>
    <row r="13" spans="2:45" x14ac:dyDescent="0.2">
      <c r="B13" s="6" t="s">
        <v>232</v>
      </c>
      <c r="C13" s="17">
        <v>20</v>
      </c>
      <c r="D13" s="6" t="s">
        <v>11</v>
      </c>
      <c r="F13" t="s">
        <v>282</v>
      </c>
      <c r="G13" s="6">
        <f xml:space="preserve"> 1/1000 * (($C$5*$C$67) * ( ($G$4/2) + SQRT( ($G$4/2)^2 + ($C$5*$C$67) / (2*$C$64*PI()*$C$9^2 * $C$22) ) ) )</f>
        <v>304.36853876869486</v>
      </c>
      <c r="H13" s="6" t="s">
        <v>104</v>
      </c>
      <c r="J13" s="45" t="s">
        <v>54</v>
      </c>
      <c r="K13" s="45"/>
      <c r="L13" s="45"/>
      <c r="N13" s="6" t="s">
        <v>236</v>
      </c>
      <c r="O13" s="6">
        <v>0</v>
      </c>
      <c r="R13" s="6" t="s">
        <v>236</v>
      </c>
      <c r="S13" s="6">
        <f xml:space="preserve"> S9 + S12^2 / ( PI() * S11 * $C$14 )</f>
        <v>6.0704758480942422E-2</v>
      </c>
      <c r="Y13" s="2">
        <v>9</v>
      </c>
      <c r="Z13" s="2">
        <f t="shared" si="7"/>
        <v>9.9609375000000916E-2</v>
      </c>
      <c r="AA13" s="2">
        <f t="shared" si="0"/>
        <v>2.2980754859898839E-3</v>
      </c>
      <c r="AB13" s="2">
        <f t="shared" si="8"/>
        <v>0.10156250000000092</v>
      </c>
      <c r="AC13" s="2">
        <f t="shared" si="1"/>
        <v>-1.2747335124759646E-3</v>
      </c>
      <c r="AD13" s="2">
        <f t="shared" si="2"/>
        <v>0.10058593750000092</v>
      </c>
      <c r="AE13" s="2">
        <f t="shared" si="3"/>
        <v>5.0380844307508499E-4</v>
      </c>
      <c r="AF13" s="2">
        <f t="shared" si="4"/>
        <v>1.1577898326655827E-6</v>
      </c>
      <c r="AG13" s="2">
        <f t="shared" si="5"/>
        <v>-6.4222150625615012E-7</v>
      </c>
      <c r="AH13" s="2">
        <f t="shared" si="6"/>
        <v>1.953125E-3</v>
      </c>
      <c r="AJ13" s="2">
        <v>9</v>
      </c>
      <c r="AK13" s="2">
        <f t="shared" si="13"/>
        <v>2134.765625</v>
      </c>
      <c r="AL13" s="2">
        <v>-3.5221969794968118</v>
      </c>
      <c r="AM13" s="2">
        <f t="shared" si="14"/>
        <v>2152.34375</v>
      </c>
      <c r="AN13" s="2">
        <v>3.5514232136006285</v>
      </c>
      <c r="AO13" s="2">
        <f t="shared" si="9"/>
        <v>2143.5546875</v>
      </c>
      <c r="AP13" s="2">
        <v>1.8592713478938094E-2</v>
      </c>
      <c r="AQ13" s="2">
        <f t="shared" si="10"/>
        <v>-6.5487199256165418E-2</v>
      </c>
      <c r="AR13" s="2">
        <f t="shared" si="11"/>
        <v>6.6030594252926053E-2</v>
      </c>
      <c r="AS13" s="2">
        <f t="shared" si="12"/>
        <v>17.578125</v>
      </c>
    </row>
    <row r="14" spans="2:45" x14ac:dyDescent="0.2">
      <c r="B14" s="6" t="s">
        <v>233</v>
      </c>
      <c r="C14" s="17">
        <v>12</v>
      </c>
      <c r="F14" s="43" t="s">
        <v>85</v>
      </c>
      <c r="G14" s="43">
        <f xml:space="preserve"> $C$22 * G10</f>
        <v>406.2220234730915</v>
      </c>
      <c r="H14" s="43" t="s">
        <v>104</v>
      </c>
      <c r="J14" s="10" t="s">
        <v>82</v>
      </c>
      <c r="K14" s="18">
        <f>C5</f>
        <v>2143.5084811905654</v>
      </c>
      <c r="L14" s="6" t="s">
        <v>7</v>
      </c>
      <c r="N14" s="6" t="s">
        <v>42</v>
      </c>
      <c r="O14" s="6">
        <f xml:space="preserve"> O5 * O13 * $C$13</f>
        <v>0</v>
      </c>
      <c r="P14" s="6" t="s">
        <v>22</v>
      </c>
      <c r="R14" s="6" t="s">
        <v>42</v>
      </c>
      <c r="S14" s="6">
        <f xml:space="preserve"> S5 * S13 * $C$13</f>
        <v>1530.5862673579534</v>
      </c>
      <c r="T14" s="6" t="s">
        <v>22</v>
      </c>
      <c r="Y14" s="2">
        <v>10</v>
      </c>
      <c r="Z14" s="2">
        <f t="shared" si="7"/>
        <v>0.10058593750000092</v>
      </c>
      <c r="AA14" s="2">
        <f t="shared" si="0"/>
        <v>5.0380844307508499E-4</v>
      </c>
      <c r="AB14" s="2">
        <f t="shared" si="8"/>
        <v>0.10156250000000092</v>
      </c>
      <c r="AC14" s="2">
        <f t="shared" si="1"/>
        <v>-1.2747335124759646E-3</v>
      </c>
      <c r="AD14" s="2">
        <f t="shared" si="2"/>
        <v>0.10107421875000092</v>
      </c>
      <c r="AE14" s="2">
        <f t="shared" si="3"/>
        <v>-3.8739968314380202E-4</v>
      </c>
      <c r="AF14" s="2">
        <f t="shared" si="4"/>
        <v>-1.9517523121246015E-7</v>
      </c>
      <c r="AG14" s="2">
        <f t="shared" si="5"/>
        <v>4.9383135882597452E-7</v>
      </c>
      <c r="AH14" s="2">
        <f t="shared" si="6"/>
        <v>9.765625E-4</v>
      </c>
      <c r="AJ14" s="2">
        <v>10</v>
      </c>
      <c r="AK14" s="2">
        <f t="shared" si="13"/>
        <v>2134.765625</v>
      </c>
      <c r="AL14" s="2">
        <v>-3.5221969794968118</v>
      </c>
      <c r="AM14" s="2">
        <f t="shared" si="14"/>
        <v>2143.5546875</v>
      </c>
      <c r="AN14" s="2">
        <v>1.8592713478938094E-2</v>
      </c>
      <c r="AO14" s="2">
        <f t="shared" si="9"/>
        <v>2139.16015625</v>
      </c>
      <c r="AP14" s="2">
        <v>-1.7508079570322934</v>
      </c>
      <c r="AQ14" s="2">
        <f t="shared" si="10"/>
        <v>6.1666904979381281</v>
      </c>
      <c r="AR14" s="2">
        <f t="shared" si="11"/>
        <v>-3.2552270701746391E-2</v>
      </c>
      <c r="AS14" s="2">
        <f t="shared" si="12"/>
        <v>8.7890625</v>
      </c>
    </row>
    <row r="15" spans="2:45" x14ac:dyDescent="0.2">
      <c r="J15" s="11" t="s">
        <v>55</v>
      </c>
      <c r="K15" s="6">
        <f xml:space="preserve"> 1000 * K10 / ($C$59 * $C$60 * $C$61)</f>
        <v>457.11631634247334</v>
      </c>
      <c r="L15" s="6" t="s">
        <v>7</v>
      </c>
      <c r="N15" s="6" t="s">
        <v>237</v>
      </c>
      <c r="O15" s="6">
        <v>0</v>
      </c>
      <c r="R15" s="6" t="s">
        <v>237</v>
      </c>
      <c r="S15" s="6">
        <f>S4/S14</f>
        <v>13.725178612113892</v>
      </c>
      <c r="Y15" s="2">
        <v>11</v>
      </c>
      <c r="Z15" s="2">
        <f t="shared" si="7"/>
        <v>0.10058593750000092</v>
      </c>
      <c r="AA15" s="2">
        <f t="shared" si="0"/>
        <v>5.0380844307508499E-4</v>
      </c>
      <c r="AB15" s="2">
        <f t="shared" si="8"/>
        <v>0.10107421875000092</v>
      </c>
      <c r="AC15" s="2">
        <f t="shared" si="1"/>
        <v>-3.8739968314380202E-4</v>
      </c>
      <c r="AD15" s="2">
        <f t="shared" si="2"/>
        <v>0.10083007812500092</v>
      </c>
      <c r="AE15" s="2">
        <f t="shared" si="3"/>
        <v>5.7716575030758444E-5</v>
      </c>
      <c r="AF15" s="2">
        <f t="shared" si="4"/>
        <v>2.9078097805872736E-8</v>
      </c>
      <c r="AG15" s="2">
        <f t="shared" si="5"/>
        <v>-2.2359382879061296E-8</v>
      </c>
      <c r="AH15" s="2">
        <f t="shared" si="6"/>
        <v>4.8828125E-4</v>
      </c>
      <c r="AJ15" s="2">
        <v>11</v>
      </c>
      <c r="AK15" s="2">
        <f t="shared" si="13"/>
        <v>2139.16015625</v>
      </c>
      <c r="AL15" s="2">
        <v>-1.7508079570322934</v>
      </c>
      <c r="AM15" s="2">
        <f t="shared" si="14"/>
        <v>2143.5546875</v>
      </c>
      <c r="AN15" s="2">
        <v>1.8592713478938094E-2</v>
      </c>
      <c r="AO15" s="2">
        <f t="shared" si="9"/>
        <v>2141.357421875</v>
      </c>
      <c r="AP15" s="2">
        <v>-0.86585860621312349</v>
      </c>
      <c r="AQ15" s="2">
        <f t="shared" si="10"/>
        <v>1.5159521374228278</v>
      </c>
      <c r="AR15" s="2">
        <f t="shared" si="11"/>
        <v>-1.6098660978593294E-2</v>
      </c>
      <c r="AS15" s="2">
        <f t="shared" si="12"/>
        <v>4.39453125</v>
      </c>
    </row>
    <row r="16" spans="2:45" x14ac:dyDescent="0.2">
      <c r="B16" s="54" t="s">
        <v>12</v>
      </c>
      <c r="C16" s="54"/>
      <c r="D16" s="54"/>
      <c r="F16" s="57" t="s">
        <v>89</v>
      </c>
      <c r="G16" s="58"/>
      <c r="H16" s="58"/>
      <c r="J16" s="12" t="s">
        <v>135</v>
      </c>
      <c r="K16" s="6">
        <f xml:space="preserve"> $C$77 * ( $C$22 * (0.0095 * MAX(G9,G30) - 1.9275) +  $C$28 * (0.0095 * MAX(S20) - 1.9275) )</f>
        <v>157.42725982603838</v>
      </c>
      <c r="L16" s="6" t="s">
        <v>7</v>
      </c>
      <c r="N16" s="6" t="s">
        <v>118</v>
      </c>
      <c r="O16" s="6">
        <f>(O13*$C$13)/(0.3048^2)/($C$5*2.20462/1000)^(2/3)</f>
        <v>0</v>
      </c>
      <c r="R16" s="6" t="s">
        <v>118</v>
      </c>
      <c r="S16" s="6">
        <f>(S13*$C$13)/(0.3048^2)/($C$5*2.20462/1000)^(2/3)</f>
        <v>4.6407001311935518</v>
      </c>
      <c r="Y16" s="2">
        <v>12</v>
      </c>
      <c r="Z16" s="2">
        <f t="shared" si="7"/>
        <v>0.10083007812500092</v>
      </c>
      <c r="AA16" s="2">
        <f t="shared" si="0"/>
        <v>5.7716575030758444E-5</v>
      </c>
      <c r="AB16" s="2">
        <f t="shared" si="8"/>
        <v>0.10107421875000092</v>
      </c>
      <c r="AC16" s="2">
        <f t="shared" si="1"/>
        <v>-3.8739968314380202E-4</v>
      </c>
      <c r="AD16" s="2">
        <f t="shared" si="2"/>
        <v>0.10095214843750092</v>
      </c>
      <c r="AE16" s="2">
        <f t="shared" si="3"/>
        <v>-1.6496306290365859E-4</v>
      </c>
      <c r="AF16" s="2">
        <f t="shared" si="4"/>
        <v>-9.5211029973827355E-9</v>
      </c>
      <c r="AG16" s="2">
        <f t="shared" si="5"/>
        <v>6.3906638299308424E-8</v>
      </c>
      <c r="AH16" s="2">
        <f t="shared" si="6"/>
        <v>2.44140625E-4</v>
      </c>
      <c r="AJ16" s="2">
        <v>12</v>
      </c>
      <c r="AK16" s="2">
        <f t="shared" si="13"/>
        <v>2141.357421875</v>
      </c>
      <c r="AL16" s="2">
        <v>-0.86585860621312349</v>
      </c>
      <c r="AM16" s="2">
        <f t="shared" si="14"/>
        <v>2143.5546875</v>
      </c>
      <c r="AN16" s="2">
        <v>1.8592713478938094E-2</v>
      </c>
      <c r="AO16" s="2">
        <f t="shared" si="9"/>
        <v>2142.4560546875</v>
      </c>
      <c r="AP16" s="2">
        <v>-0.42357152040335677</v>
      </c>
      <c r="AQ16" s="2">
        <f t="shared" si="10"/>
        <v>0.36675304628802408</v>
      </c>
      <c r="AR16" s="2">
        <f t="shared" si="11"/>
        <v>-7.875343916697794E-3</v>
      </c>
      <c r="AS16" s="2">
        <f t="shared" si="12"/>
        <v>2.197265625</v>
      </c>
    </row>
    <row r="17" spans="2:45" x14ac:dyDescent="0.2">
      <c r="B17" s="6" t="s">
        <v>71</v>
      </c>
      <c r="C17" s="6">
        <f>C34*100</f>
        <v>600</v>
      </c>
      <c r="D17" s="6" t="s">
        <v>7</v>
      </c>
      <c r="F17" s="9" t="s">
        <v>92</v>
      </c>
      <c r="G17" s="6">
        <f xml:space="preserve"> $C$18/$C$8</f>
        <v>1920</v>
      </c>
      <c r="H17" s="6" t="s">
        <v>14</v>
      </c>
      <c r="J17" s="12" t="s">
        <v>136</v>
      </c>
      <c r="K17" s="6">
        <v>0</v>
      </c>
      <c r="L17" s="6" t="s">
        <v>7</v>
      </c>
      <c r="Y17" s="2">
        <v>13</v>
      </c>
      <c r="Z17" s="2">
        <f t="shared" si="7"/>
        <v>0.10083007812500092</v>
      </c>
      <c r="AA17" s="2">
        <f t="shared" si="0"/>
        <v>5.7716575030758444E-5</v>
      </c>
      <c r="AB17" s="2">
        <f t="shared" si="8"/>
        <v>0.10095214843750092</v>
      </c>
      <c r="AC17" s="2">
        <f t="shared" si="1"/>
        <v>-1.6496306290365859E-4</v>
      </c>
      <c r="AD17" s="2">
        <f t="shared" si="2"/>
        <v>0.10089111328125092</v>
      </c>
      <c r="AE17" s="2">
        <f t="shared" si="3"/>
        <v>-5.365367627929718E-5</v>
      </c>
      <c r="AF17" s="2">
        <f t="shared" si="4"/>
        <v>-3.0967064326500801E-9</v>
      </c>
      <c r="AG17" s="2">
        <f t="shared" si="5"/>
        <v>8.8508747750742348E-9</v>
      </c>
      <c r="AH17" s="2">
        <f t="shared" si="6"/>
        <v>1.220703125E-4</v>
      </c>
      <c r="AJ17" s="2">
        <v>13</v>
      </c>
      <c r="AK17" s="2">
        <f t="shared" si="13"/>
        <v>2142.4560546875</v>
      </c>
      <c r="AL17" s="2">
        <v>-0.42357152040335677</v>
      </c>
      <c r="AM17" s="2">
        <f t="shared" si="14"/>
        <v>2143.5546875</v>
      </c>
      <c r="AN17" s="2">
        <v>1.8592713478938094E-2</v>
      </c>
      <c r="AO17" s="2">
        <f t="shared" si="9"/>
        <v>2143.00537109375</v>
      </c>
      <c r="AP17" s="2">
        <v>-0.20247237784496974</v>
      </c>
      <c r="AQ17" s="2">
        <f t="shared" si="10"/>
        <v>8.5761532923476769E-2</v>
      </c>
      <c r="AR17" s="2">
        <f t="shared" si="11"/>
        <v>-3.7645109086708157E-3</v>
      </c>
      <c r="AS17" s="2">
        <f t="shared" si="12"/>
        <v>1.0986328125</v>
      </c>
    </row>
    <row r="18" spans="2:45" x14ac:dyDescent="0.2">
      <c r="B18" s="6" t="s">
        <v>13</v>
      </c>
      <c r="C18" s="17">
        <v>96000</v>
      </c>
      <c r="D18" s="6" t="s">
        <v>8</v>
      </c>
      <c r="F18" s="6" t="s">
        <v>239</v>
      </c>
      <c r="G18" s="6">
        <f>S21*$C$11</f>
        <v>53.082443870155544</v>
      </c>
      <c r="H18" s="6" t="s">
        <v>10</v>
      </c>
      <c r="J18" s="13" t="s">
        <v>56</v>
      </c>
      <c r="K18" s="6">
        <f xml:space="preserve"> $C$77 * (0.2138 * K4 + 0.2138 * K6)</f>
        <v>83.493154963825148</v>
      </c>
      <c r="L18" s="6" t="s">
        <v>7</v>
      </c>
      <c r="N18" s="57" t="s">
        <v>238</v>
      </c>
      <c r="O18" s="59"/>
      <c r="P18" s="59"/>
      <c r="R18" s="57" t="s">
        <v>238</v>
      </c>
      <c r="S18" s="59"/>
      <c r="T18" s="59"/>
      <c r="Y18" s="2">
        <v>14</v>
      </c>
      <c r="Z18" s="2">
        <f t="shared" si="7"/>
        <v>0.10083007812500092</v>
      </c>
      <c r="AA18" s="2">
        <f t="shared" si="0"/>
        <v>5.7716575030758444E-5</v>
      </c>
      <c r="AB18" s="2">
        <f t="shared" si="8"/>
        <v>0.10089111328125092</v>
      </c>
      <c r="AC18" s="2">
        <f t="shared" si="1"/>
        <v>-5.365367627929718E-5</v>
      </c>
      <c r="AD18" s="2">
        <f t="shared" si="2"/>
        <v>0.10086059570312592</v>
      </c>
      <c r="AE18" s="2">
        <f t="shared" si="3"/>
        <v>2.0238343840378592E-6</v>
      </c>
      <c r="AF18" s="2">
        <f t="shared" si="4"/>
        <v>1.1680878907614991E-10</v>
      </c>
      <c r="AG18" s="2">
        <f t="shared" si="5"/>
        <v>-1.085861548840781E-10</v>
      </c>
      <c r="AH18" s="2">
        <f t="shared" si="6"/>
        <v>6.103515625E-5</v>
      </c>
      <c r="AJ18" s="2">
        <v>14</v>
      </c>
      <c r="AK18" s="2">
        <f t="shared" si="13"/>
        <v>2143.00537109375</v>
      </c>
      <c r="AL18" s="2">
        <v>-0.20247237784496974</v>
      </c>
      <c r="AM18" s="2">
        <f t="shared" si="14"/>
        <v>2143.5546875</v>
      </c>
      <c r="AN18" s="2">
        <v>1.8592713478938094E-2</v>
      </c>
      <c r="AO18" s="2">
        <f t="shared" si="9"/>
        <v>2143.280029296875</v>
      </c>
      <c r="AP18" s="2">
        <v>-9.1936722410991933E-2</v>
      </c>
      <c r="AQ18" s="2">
        <f t="shared" si="10"/>
        <v>1.8614646797826456E-2</v>
      </c>
      <c r="AR18" s="2">
        <f t="shared" si="11"/>
        <v>-1.7093531379802397E-3</v>
      </c>
      <c r="AS18" s="2">
        <f t="shared" si="12"/>
        <v>0.54931640625</v>
      </c>
    </row>
    <row r="19" spans="2:45" x14ac:dyDescent="0.2">
      <c r="B19" s="6" t="s">
        <v>263</v>
      </c>
      <c r="C19" s="17">
        <v>1</v>
      </c>
      <c r="F19" s="6" t="s">
        <v>240</v>
      </c>
      <c r="G19" s="6">
        <f>G18/$C$72</f>
        <v>0.15954004668299768</v>
      </c>
      <c r="H19" s="6" t="s">
        <v>131</v>
      </c>
      <c r="J19" s="13" t="s">
        <v>80</v>
      </c>
      <c r="K19" s="6">
        <f xml:space="preserve"> $C$77 * (0.1149 * K4 + 0.1149 * K6)</f>
        <v>44.870736694777875</v>
      </c>
      <c r="L19" s="6" t="s">
        <v>7</v>
      </c>
      <c r="N19" s="6" t="s">
        <v>28</v>
      </c>
      <c r="O19" s="6">
        <f xml:space="preserve"> 90</f>
        <v>90</v>
      </c>
      <c r="P19" s="6" t="s">
        <v>43</v>
      </c>
      <c r="R19" s="6" t="s">
        <v>28</v>
      </c>
      <c r="S19" s="6">
        <f xml:space="preserve"> 90 - $C$80</f>
        <v>85</v>
      </c>
      <c r="T19" s="6" t="s">
        <v>43</v>
      </c>
      <c r="Y19" s="2">
        <v>15</v>
      </c>
      <c r="Z19" s="2">
        <f t="shared" si="7"/>
        <v>0.10086059570312592</v>
      </c>
      <c r="AA19" s="2">
        <f t="shared" si="0"/>
        <v>2.0238343840378592E-6</v>
      </c>
      <c r="AB19" s="2">
        <f t="shared" si="8"/>
        <v>0.10089111328125092</v>
      </c>
      <c r="AC19" s="2">
        <f t="shared" si="1"/>
        <v>-5.365367627929718E-5</v>
      </c>
      <c r="AD19" s="2">
        <f t="shared" si="2"/>
        <v>0.10087585449218842</v>
      </c>
      <c r="AE19" s="2">
        <f t="shared" si="3"/>
        <v>-2.5816823831653624E-5</v>
      </c>
      <c r="AF19" s="2">
        <f t="shared" si="4"/>
        <v>-5.2248975757148636E-11</v>
      </c>
      <c r="AG19" s="2">
        <f t="shared" si="5"/>
        <v>1.3851675084231882E-9</v>
      </c>
      <c r="AH19" s="2">
        <f t="shared" si="6"/>
        <v>3.0517578125E-5</v>
      </c>
      <c r="AJ19" s="2">
        <v>15</v>
      </c>
      <c r="AK19" s="2">
        <f t="shared" si="13"/>
        <v>2143.280029296875</v>
      </c>
      <c r="AL19" s="2">
        <v>-9.1936722410991933E-2</v>
      </c>
      <c r="AM19" s="2">
        <f t="shared" si="14"/>
        <v>2143.5546875</v>
      </c>
      <c r="AN19" s="2">
        <v>1.8592713478938094E-2</v>
      </c>
      <c r="AO19" s="2">
        <f t="shared" si="9"/>
        <v>2143.4173583984375</v>
      </c>
      <c r="AP19" s="2">
        <v>-3.6670806023494151E-2</v>
      </c>
      <c r="AQ19" s="2">
        <f t="shared" si="10"/>
        <v>3.3713937139693128E-3</v>
      </c>
      <c r="AR19" s="2">
        <f t="shared" si="11"/>
        <v>-6.8180978943654393E-4</v>
      </c>
      <c r="AS19" s="2">
        <f t="shared" si="12"/>
        <v>0.274658203125</v>
      </c>
    </row>
    <row r="20" spans="2:45" x14ac:dyDescent="0.2">
      <c r="F20" s="9" t="s">
        <v>21</v>
      </c>
      <c r="G20" s="6">
        <f>S20</f>
        <v>1530.5862673579534</v>
      </c>
      <c r="H20" s="6" t="s">
        <v>22</v>
      </c>
      <c r="J20" s="14" t="s">
        <v>63</v>
      </c>
      <c r="K20" s="6">
        <f xml:space="preserve"> $C$78 * (14.86 * ($C$5*2.20462)^0.144 * ($C$35/(PI()*$C$36))^0.778 * ($C$35*3.28084)^0.383 * $C$34^0.455 * 0.453592)</f>
        <v>214.10537014214492</v>
      </c>
      <c r="L20" s="6" t="s">
        <v>7</v>
      </c>
      <c r="N20" s="6" t="s">
        <v>21</v>
      </c>
      <c r="O20" s="6">
        <f xml:space="preserve"> $C$5 * $C$67 / $C$22</f>
        <v>2626.1974374032552</v>
      </c>
      <c r="P20" s="6" t="s">
        <v>22</v>
      </c>
      <c r="R20" s="6" t="s">
        <v>21</v>
      </c>
      <c r="S20" s="6">
        <f xml:space="preserve"> S14 / $C$28</f>
        <v>1530.5862673579534</v>
      </c>
      <c r="T20" s="6" t="s">
        <v>22</v>
      </c>
      <c r="Y20" s="2">
        <v>16</v>
      </c>
      <c r="Z20" s="2">
        <f t="shared" si="7"/>
        <v>0.10086059570312592</v>
      </c>
      <c r="AA20" s="2">
        <f t="shared" si="0"/>
        <v>2.0238343840378592E-6</v>
      </c>
      <c r="AB20" s="2">
        <f t="shared" si="8"/>
        <v>0.10087585449218842</v>
      </c>
      <c r="AC20" s="2">
        <f t="shared" si="1"/>
        <v>-2.5816823831653624E-5</v>
      </c>
      <c r="AD20" s="2">
        <f t="shared" si="2"/>
        <v>0.10086822509765717</v>
      </c>
      <c r="AE20" s="2">
        <f t="shared" si="3"/>
        <v>-1.1896970552760511E-5</v>
      </c>
      <c r="AF20" s="2">
        <f t="shared" si="4"/>
        <v>-2.4077498070562619E-11</v>
      </c>
      <c r="AG20" s="2">
        <f t="shared" si="5"/>
        <v>3.0714199289098896E-10</v>
      </c>
      <c r="AH20" s="2">
        <f t="shared" si="6"/>
        <v>1.52587890625E-5</v>
      </c>
      <c r="AJ20" s="2">
        <v>16</v>
      </c>
      <c r="AK20" s="2">
        <f t="shared" si="13"/>
        <v>2143.4173583984375</v>
      </c>
      <c r="AL20" s="2">
        <v>-3.6670806023494151E-2</v>
      </c>
      <c r="AM20" s="2">
        <f t="shared" si="14"/>
        <v>2143.5546875</v>
      </c>
      <c r="AN20" s="2">
        <v>1.8592713478938094E-2</v>
      </c>
      <c r="AO20" s="2">
        <f t="shared" si="9"/>
        <v>2143.4860229492188</v>
      </c>
      <c r="AP20" s="2">
        <v>-9.0387879442914709E-3</v>
      </c>
      <c r="AQ20" s="2">
        <f t="shared" si="10"/>
        <v>3.3145963939260997E-4</v>
      </c>
      <c r="AR20" s="2">
        <f t="shared" si="11"/>
        <v>-1.6805559444509118E-4</v>
      </c>
      <c r="AS20" s="2">
        <f t="shared" si="12"/>
        <v>0.1373291015625</v>
      </c>
    </row>
    <row r="21" spans="2:45" x14ac:dyDescent="0.2">
      <c r="B21" s="54" t="s">
        <v>115</v>
      </c>
      <c r="C21" s="54"/>
      <c r="D21" s="54"/>
      <c r="F21" s="9" t="s">
        <v>100</v>
      </c>
      <c r="G21" s="6">
        <f xml:space="preserve"> 1/1000 * (S25 + S20 * (S30 * S27 + $C$8 * SIN(S19/180*PI())))</f>
        <v>81.927853537111631</v>
      </c>
      <c r="H21" s="6" t="s">
        <v>104</v>
      </c>
      <c r="J21" s="14" t="s">
        <v>64</v>
      </c>
      <c r="K21" s="6">
        <f xml:space="preserve"> $C$78 * C40 * $C$5</f>
        <v>55.731220510954707</v>
      </c>
      <c r="L21" s="6" t="s">
        <v>7</v>
      </c>
      <c r="N21" s="6" t="s">
        <v>29</v>
      </c>
      <c r="O21" s="6">
        <f>$C$6*2*PI()/60</f>
        <v>94.247779607693786</v>
      </c>
      <c r="P21" s="6" t="s">
        <v>30</v>
      </c>
      <c r="R21" s="6" t="s">
        <v>29</v>
      </c>
      <c r="S21" s="6">
        <f>$C$7*2*PI()/60</f>
        <v>38.746309394274114</v>
      </c>
      <c r="T21" s="6" t="s">
        <v>30</v>
      </c>
      <c r="Y21" s="2">
        <v>17</v>
      </c>
      <c r="Z21" s="2">
        <f t="shared" si="7"/>
        <v>0.10086059570312592</v>
      </c>
      <c r="AA21" s="2">
        <f t="shared" si="0"/>
        <v>2.0238343840378592E-6</v>
      </c>
      <c r="AB21" s="2">
        <f t="shared" si="8"/>
        <v>0.10086822509765717</v>
      </c>
      <c r="AC21" s="2">
        <f t="shared" si="1"/>
        <v>-1.1896970552760511E-5</v>
      </c>
      <c r="AD21" s="2">
        <f t="shared" si="2"/>
        <v>0.10086441040039154</v>
      </c>
      <c r="AE21" s="2">
        <f t="shared" si="3"/>
        <v>-4.9366870550904274E-6</v>
      </c>
      <c r="AF21" s="2">
        <f t="shared" si="4"/>
        <v>-9.9910370053266086E-12</v>
      </c>
      <c r="AG21" s="2">
        <f t="shared" si="5"/>
        <v>5.8731620522604819E-11</v>
      </c>
      <c r="AH21" s="2">
        <f t="shared" si="6"/>
        <v>7.62939453125E-6</v>
      </c>
      <c r="AJ21" s="2">
        <v>17</v>
      </c>
      <c r="AK21" s="2">
        <f t="shared" si="13"/>
        <v>2143.4860229492188</v>
      </c>
      <c r="AL21" s="2">
        <v>-9.0387879442914709E-3</v>
      </c>
      <c r="AM21" s="2">
        <f t="shared" si="14"/>
        <v>2143.5546875</v>
      </c>
      <c r="AN21" s="2">
        <v>1.8592713478938094E-2</v>
      </c>
      <c r="AO21" s="2">
        <f t="shared" si="9"/>
        <v>2143.5203552246094</v>
      </c>
      <c r="AP21" s="2">
        <v>4.776862174821872E-3</v>
      </c>
      <c r="AQ21" s="2">
        <f t="shared" si="10"/>
        <v>-4.3177044237321871E-5</v>
      </c>
      <c r="AR21" s="2">
        <f t="shared" si="11"/>
        <v>8.8814829744840158E-5</v>
      </c>
      <c r="AS21" s="2">
        <f t="shared" si="12"/>
        <v>6.866455078125E-2</v>
      </c>
    </row>
    <row r="22" spans="2:45" x14ac:dyDescent="0.2">
      <c r="B22" s="6" t="s">
        <v>97</v>
      </c>
      <c r="C22" s="17">
        <v>8</v>
      </c>
      <c r="F22" t="s">
        <v>274</v>
      </c>
      <c r="G22" s="6">
        <f xml:space="preserve"> (G20/$C$73*1000) / (G21*1000)</f>
        <v>1.9062314243428422</v>
      </c>
      <c r="H22" s="6" t="s">
        <v>275</v>
      </c>
      <c r="J22" s="14" t="s">
        <v>241</v>
      </c>
      <c r="K22" s="6">
        <f xml:space="preserve"> $C$78 * (0.04674 * ($C$5*2.20462)^0.397 * ($C$13*3.28084^2)^0.36 * $C$45^0.397 * $C$14^1.712 * 0.453592)</f>
        <v>367.33283519622432</v>
      </c>
      <c r="L22" s="6" t="s">
        <v>7</v>
      </c>
      <c r="N22" s="6" t="s">
        <v>31</v>
      </c>
      <c r="O22" s="6">
        <f xml:space="preserve"> $G$4 * COS(O19/180*PI()) / (O21 * $C$9)</f>
        <v>1.0828255090331599E-18</v>
      </c>
      <c r="R22" s="6" t="s">
        <v>31</v>
      </c>
      <c r="S22" s="6">
        <f xml:space="preserve"> $C$8 * COS(S19/180*PI()) / (S21 * $C$11)</f>
        <v>8.2094696846333207E-2</v>
      </c>
      <c r="Y22" s="2">
        <v>18</v>
      </c>
      <c r="Z22" s="2">
        <f t="shared" si="7"/>
        <v>0.10086059570312592</v>
      </c>
      <c r="AA22" s="2">
        <f t="shared" si="0"/>
        <v>2.0238343840378592E-6</v>
      </c>
      <c r="AB22" s="2">
        <f t="shared" si="8"/>
        <v>0.10086441040039154</v>
      </c>
      <c r="AC22" s="2">
        <f t="shared" si="1"/>
        <v>-4.9366870550904274E-6</v>
      </c>
      <c r="AD22" s="2">
        <f t="shared" si="2"/>
        <v>0.10086250305175873</v>
      </c>
      <c r="AE22" s="2">
        <f t="shared" si="3"/>
        <v>-1.456456079892976E-6</v>
      </c>
      <c r="AF22" s="2">
        <f t="shared" si="4"/>
        <v>-2.9476258933283963E-12</v>
      </c>
      <c r="AG22" s="2">
        <f t="shared" si="5"/>
        <v>7.1900678759154041E-12</v>
      </c>
      <c r="AH22" s="2">
        <f t="shared" si="6"/>
        <v>3.814697265625E-6</v>
      </c>
      <c r="AJ22" s="2">
        <v>18</v>
      </c>
      <c r="AK22" s="2">
        <f t="shared" si="13"/>
        <v>2143.4860229492188</v>
      </c>
      <c r="AL22" s="2">
        <v>-9.0387879442914709E-3</v>
      </c>
      <c r="AM22" s="2">
        <f t="shared" si="14"/>
        <v>2143.5203552246094</v>
      </c>
      <c r="AN22" s="2">
        <v>4.776862174821872E-3</v>
      </c>
      <c r="AO22" s="2">
        <f t="shared" si="9"/>
        <v>2143.5031890869141</v>
      </c>
      <c r="AP22" s="2">
        <v>-2.1309467390437931E-3</v>
      </c>
      <c r="AQ22" s="2">
        <f t="shared" si="10"/>
        <v>1.9261175694796261E-5</v>
      </c>
      <c r="AR22" s="2">
        <f t="shared" si="11"/>
        <v>-1.0179238874298309E-5</v>
      </c>
      <c r="AS22" s="2">
        <f t="shared" si="12"/>
        <v>3.4332275390625E-2</v>
      </c>
    </row>
    <row r="23" spans="2:45" x14ac:dyDescent="0.2">
      <c r="B23" s="6" t="s">
        <v>114</v>
      </c>
      <c r="C23" s="17">
        <v>2</v>
      </c>
      <c r="F23" s="9" t="s">
        <v>276</v>
      </c>
      <c r="G23" s="6">
        <f>S23 / ($C$29*$C$12/PI())</f>
        <v>0.10746319185722984</v>
      </c>
      <c r="J23" s="14" t="s">
        <v>65</v>
      </c>
      <c r="K23" s="6">
        <f xml:space="preserve"> $C$78 * (3.184 * ($C$5*2.20462)^0.887 * ($C$49*3.28084*3.28084)^0.101 * ($C$48)^0.138 ) / ( 174.04 * ($C$50*3.28084)^0.223 ) * 0.453592</f>
        <v>24.256124751194672</v>
      </c>
      <c r="L23" s="6" t="s">
        <v>7</v>
      </c>
      <c r="N23" s="6" t="s">
        <v>32</v>
      </c>
      <c r="O23" s="6">
        <f xml:space="preserve"> O20 / ( $C$64 * PI() * $C$9^2 * O21^2 * $C$9^2)</f>
        <v>1.6778913921607408E-2</v>
      </c>
      <c r="R23" s="6" t="s">
        <v>32</v>
      </c>
      <c r="S23" s="6">
        <f xml:space="preserve"> S20 / ( $C$70 * PI() * $C$11^2 * S21^2 * $C$11^2)</f>
        <v>9.1341874284198626E-2</v>
      </c>
      <c r="Y23" s="2">
        <v>19</v>
      </c>
      <c r="Z23" s="2">
        <f t="shared" si="7"/>
        <v>0.10086059570312592</v>
      </c>
      <c r="AA23" s="2">
        <f t="shared" si="0"/>
        <v>2.0238343840378592E-6</v>
      </c>
      <c r="AB23" s="2">
        <f t="shared" si="8"/>
        <v>0.10086250305175873</v>
      </c>
      <c r="AC23" s="2">
        <f t="shared" si="1"/>
        <v>-1.456456079892976E-6</v>
      </c>
      <c r="AD23" s="2">
        <f t="shared" si="2"/>
        <v>0.10086154937744232</v>
      </c>
      <c r="AE23" s="2">
        <f t="shared" si="3"/>
        <v>2.8368171577086709E-7</v>
      </c>
      <c r="AF23" s="2">
        <f t="shared" si="4"/>
        <v>5.7412481049993588E-13</v>
      </c>
      <c r="AG23" s="2">
        <f t="shared" si="5"/>
        <v>-4.1316995968895051E-13</v>
      </c>
      <c r="AH23" s="2">
        <f t="shared" si="6"/>
        <v>1.9073486328125E-6</v>
      </c>
      <c r="AJ23" s="2">
        <v>19</v>
      </c>
      <c r="AK23" s="2">
        <f t="shared" si="13"/>
        <v>2143.5031890869141</v>
      </c>
      <c r="AL23" s="2">
        <v>-2.1309467390437931E-3</v>
      </c>
      <c r="AM23" s="2">
        <f t="shared" si="14"/>
        <v>2143.5203552246094</v>
      </c>
      <c r="AN23" s="2">
        <v>4.776862174821872E-3</v>
      </c>
      <c r="AO23" s="2">
        <f t="shared" si="9"/>
        <v>2143.5117721557617</v>
      </c>
      <c r="AP23" s="2">
        <v>1.3229617547949601E-3</v>
      </c>
      <c r="AQ23" s="2">
        <f t="shared" si="10"/>
        <v>-2.8191610372599744E-6</v>
      </c>
      <c r="AR23" s="2">
        <f t="shared" si="11"/>
        <v>6.3196059652160137E-6</v>
      </c>
      <c r="AS23" s="2">
        <f t="shared" si="12"/>
        <v>1.71661376953125E-2</v>
      </c>
    </row>
    <row r="24" spans="2:45" x14ac:dyDescent="0.2">
      <c r="B24" s="6" t="s">
        <v>128</v>
      </c>
      <c r="C24" s="6">
        <f>$C$23*$C$10/PI()</f>
        <v>0.31022513338460861</v>
      </c>
      <c r="F24" s="44" t="s">
        <v>225</v>
      </c>
      <c r="G24" s="43">
        <f xml:space="preserve"> $C$28 * G21</f>
        <v>81.927853537111631</v>
      </c>
      <c r="H24" s="43" t="s">
        <v>104</v>
      </c>
      <c r="J24" s="14" t="s">
        <v>66</v>
      </c>
      <c r="K24" s="6">
        <f xml:space="preserve"> $C$78 * ( 1.68 * ($C$5*2.20462)^0.567 * ($C$54*3.28084*3.28084)^1.249 * ($C$53)^0.482 ) / (639.95 * ($C$55*3.28084)^0.747 * (COS($C$56/180*PI()))^0.882 ) * 0.453592</f>
        <v>8.5369618029896923</v>
      </c>
      <c r="L24" s="6" t="s">
        <v>7</v>
      </c>
      <c r="N24" s="6" t="s">
        <v>1</v>
      </c>
      <c r="O24" s="17">
        <v>8.8999999999999999E-3</v>
      </c>
      <c r="R24" s="6" t="s">
        <v>1</v>
      </c>
      <c r="S24" s="17">
        <v>8.8999999999999999E-3</v>
      </c>
      <c r="Y24" s="2">
        <v>20</v>
      </c>
      <c r="Z24" s="2">
        <f t="shared" si="7"/>
        <v>0.10086154937744232</v>
      </c>
      <c r="AA24" s="2">
        <f t="shared" si="0"/>
        <v>2.8368171577086709E-7</v>
      </c>
      <c r="AB24" s="2">
        <f t="shared" si="8"/>
        <v>0.10086250305175873</v>
      </c>
      <c r="AC24" s="2">
        <f t="shared" si="1"/>
        <v>-1.456456079892976E-6</v>
      </c>
      <c r="AD24" s="2">
        <f t="shared" si="2"/>
        <v>0.10086202621460053</v>
      </c>
      <c r="AE24" s="2">
        <f t="shared" si="3"/>
        <v>-5.8638904111563139E-7</v>
      </c>
      <c r="AF24" s="2">
        <f t="shared" si="4"/>
        <v>-1.6634784929291584E-13</v>
      </c>
      <c r="AG24" s="2">
        <f t="shared" si="5"/>
        <v>8.5404988411547361E-13</v>
      </c>
      <c r="AH24" s="2">
        <f t="shared" si="6"/>
        <v>9.5367431640625E-7</v>
      </c>
      <c r="AJ24" s="2">
        <v>20</v>
      </c>
      <c r="AK24" s="2">
        <f t="shared" si="13"/>
        <v>2143.5031890869141</v>
      </c>
      <c r="AL24" s="2">
        <v>-2.1309467390437931E-3</v>
      </c>
      <c r="AM24" s="2">
        <f t="shared" si="14"/>
        <v>2143.5117721557617</v>
      </c>
      <c r="AN24" s="2">
        <v>1.3229617547949601E-3</v>
      </c>
      <c r="AO24" s="2">
        <f t="shared" si="9"/>
        <v>2143.5074806213379</v>
      </c>
      <c r="AP24" s="2">
        <v>-4.0399148247161065E-4</v>
      </c>
      <c r="AQ24" s="2">
        <f t="shared" si="10"/>
        <v>8.6088433217434639E-7</v>
      </c>
      <c r="AR24" s="2">
        <f t="shared" si="11"/>
        <v>-5.3446528057285937E-7</v>
      </c>
      <c r="AS24" s="2">
        <f t="shared" si="12"/>
        <v>8.58306884765625E-3</v>
      </c>
    </row>
    <row r="25" spans="2:45" x14ac:dyDescent="0.2">
      <c r="B25" s="6" t="s">
        <v>242</v>
      </c>
      <c r="C25" s="17">
        <v>0.75</v>
      </c>
      <c r="J25" s="14" t="s">
        <v>117</v>
      </c>
      <c r="K25" s="6">
        <f>$C$78*(0.14*$G$14*1000/745.7)*0.453592</f>
        <v>27.674687847626569</v>
      </c>
      <c r="L25" s="6" t="s">
        <v>7</v>
      </c>
      <c r="N25" s="6" t="s">
        <v>33</v>
      </c>
      <c r="O25" s="6">
        <f xml:space="preserve"> ($C$24 * $O$24 / 8) * (1 + 4.65 * O22^2) * ( PI() * $C$64 * O21^3 * $C$9^5)</f>
        <v>7758.8368753729947</v>
      </c>
      <c r="P25" s="6" t="s">
        <v>20</v>
      </c>
      <c r="R25" s="6" t="s">
        <v>33</v>
      </c>
      <c r="S25" s="6">
        <f xml:space="preserve"> ($C$30 * $S$24 / 8) * (1 + 4.65 * S22^2) * ( PI() * $C$70 * S21^3 * $C$11^5)</f>
        <v>867.46185459393394</v>
      </c>
      <c r="T25" s="6" t="s">
        <v>20</v>
      </c>
      <c r="Y25" s="2">
        <v>21</v>
      </c>
      <c r="Z25" s="2">
        <f t="shared" si="7"/>
        <v>0.10086154937744232</v>
      </c>
      <c r="AA25" s="2">
        <f t="shared" si="0"/>
        <v>2.8368171577086709E-7</v>
      </c>
      <c r="AB25" s="2">
        <f t="shared" si="8"/>
        <v>0.10086202621460053</v>
      </c>
      <c r="AC25" s="2">
        <f t="shared" si="1"/>
        <v>-5.8638904111563139E-7</v>
      </c>
      <c r="AD25" s="2">
        <f t="shared" si="2"/>
        <v>0.10086178779602142</v>
      </c>
      <c r="AE25" s="2">
        <f t="shared" si="3"/>
        <v>-1.5135412743949583E-7</v>
      </c>
      <c r="AF25" s="2">
        <f t="shared" si="4"/>
        <v>-4.2936398561038655E-14</v>
      </c>
      <c r="AG25" s="2">
        <f t="shared" si="5"/>
        <v>8.8752401658139033E-14</v>
      </c>
      <c r="AH25" s="2">
        <f t="shared" si="6"/>
        <v>4.76837158203125E-7</v>
      </c>
      <c r="AJ25" s="2">
        <v>21</v>
      </c>
      <c r="AK25" s="2">
        <f t="shared" si="13"/>
        <v>2143.5074806213379</v>
      </c>
      <c r="AL25" s="2">
        <v>-4.0399148247161065E-4</v>
      </c>
      <c r="AM25" s="2">
        <f t="shared" si="14"/>
        <v>2143.5117721557617</v>
      </c>
      <c r="AN25" s="2">
        <v>1.3229617547949601E-3</v>
      </c>
      <c r="AO25" s="2">
        <f t="shared" si="9"/>
        <v>2143.5096263885498</v>
      </c>
      <c r="AP25" s="2">
        <v>4.5965056324348552E-4</v>
      </c>
      <c r="AQ25" s="2">
        <f t="shared" si="10"/>
        <v>-1.8569491246364653E-7</v>
      </c>
      <c r="AR25" s="2">
        <f t="shared" si="11"/>
        <v>6.0810011574109342E-7</v>
      </c>
      <c r="AS25" s="2">
        <f t="shared" si="12"/>
        <v>4.291534423828125E-3</v>
      </c>
    </row>
    <row r="26" spans="2:45" x14ac:dyDescent="0.2">
      <c r="F26" s="54" t="s">
        <v>84</v>
      </c>
      <c r="G26" s="54"/>
      <c r="H26" s="54"/>
      <c r="J26" s="15" t="s">
        <v>67</v>
      </c>
      <c r="K26" s="6">
        <f xml:space="preserve"> $C$79 * (0.0268 * $C$5)</f>
        <v>45.956821836725723</v>
      </c>
      <c r="L26" s="6" t="s">
        <v>7</v>
      </c>
      <c r="N26" s="6" t="s">
        <v>34</v>
      </c>
      <c r="O26" s="18">
        <f>AD34</f>
        <v>0.100861704442651</v>
      </c>
      <c r="R26" s="6" t="s">
        <v>34</v>
      </c>
      <c r="S26" s="18">
        <f>AD68</f>
        <v>0.98457281710579991</v>
      </c>
      <c r="Y26" s="2">
        <v>22</v>
      </c>
      <c r="Z26" s="2">
        <f t="shared" si="7"/>
        <v>0.10086154937744232</v>
      </c>
      <c r="AA26" s="2">
        <f t="shared" si="0"/>
        <v>2.8368171577086709E-7</v>
      </c>
      <c r="AB26" s="2">
        <f t="shared" si="8"/>
        <v>0.10086178779602142</v>
      </c>
      <c r="AC26" s="2">
        <f t="shared" si="1"/>
        <v>-1.5135412743949583E-7</v>
      </c>
      <c r="AD26" s="2">
        <f t="shared" si="2"/>
        <v>0.10086166858673187</v>
      </c>
      <c r="AE26" s="2">
        <f t="shared" si="3"/>
        <v>6.6163677980846103E-8</v>
      </c>
      <c r="AF26" s="2">
        <f t="shared" si="4"/>
        <v>1.8769425691317561E-14</v>
      </c>
      <c r="AG26" s="2">
        <f t="shared" si="5"/>
        <v>-1.0014145748978745E-14</v>
      </c>
      <c r="AH26" s="2">
        <f t="shared" si="6"/>
        <v>2.384185791015625E-7</v>
      </c>
      <c r="AJ26" s="2">
        <v>22</v>
      </c>
      <c r="AK26" s="2">
        <f t="shared" si="13"/>
        <v>2143.5074806213379</v>
      </c>
      <c r="AL26" s="2">
        <v>-4.0399148247161065E-4</v>
      </c>
      <c r="AM26" s="2">
        <f t="shared" si="14"/>
        <v>2143.5096263885498</v>
      </c>
      <c r="AN26" s="2">
        <v>4.5965056324348552E-4</v>
      </c>
      <c r="AO26" s="2">
        <f t="shared" si="9"/>
        <v>2143.5085535049438</v>
      </c>
      <c r="AP26" s="2">
        <v>2.8687795293080853E-5</v>
      </c>
      <c r="AQ26" s="2">
        <f t="shared" si="10"/>
        <v>-1.1589624949293828E-8</v>
      </c>
      <c r="AR26" s="2">
        <f t="shared" si="11"/>
        <v>1.3186361264678427E-8</v>
      </c>
      <c r="AS26" s="2">
        <f t="shared" si="12"/>
        <v>2.1457672119140625E-3</v>
      </c>
    </row>
    <row r="27" spans="2:45" x14ac:dyDescent="0.2">
      <c r="B27" s="54" t="s">
        <v>243</v>
      </c>
      <c r="C27" s="54"/>
      <c r="D27" s="54"/>
      <c r="F27" s="6" t="s">
        <v>88</v>
      </c>
      <c r="G27" s="17">
        <f>300*0.3048/60</f>
        <v>1.524</v>
      </c>
      <c r="H27" s="6" t="s">
        <v>10</v>
      </c>
      <c r="J27" s="15" t="s">
        <v>68</v>
      </c>
      <c r="K27" s="6">
        <f xml:space="preserve"> $C$79 * (11.5 * ($C$5*2.20462/1000)^0.4 * 0.453592)</f>
        <v>7.7667047049541216</v>
      </c>
      <c r="L27" s="6" t="s">
        <v>7</v>
      </c>
      <c r="N27" s="6" t="s">
        <v>35</v>
      </c>
      <c r="O27" s="6">
        <f xml:space="preserve"> O21 * $C$9 * O26 - $G$4 * SIN(O19/180*PI())</f>
        <v>11.947131337338998</v>
      </c>
      <c r="P27" s="6" t="s">
        <v>10</v>
      </c>
      <c r="R27" s="6" t="s">
        <v>35</v>
      </c>
      <c r="S27" s="6">
        <f xml:space="preserve"> S21 * $C$11 * S26 - $C$8 * SIN(S19/180*PI())</f>
        <v>2.4537963955122635</v>
      </c>
      <c r="T27" s="6" t="s">
        <v>10</v>
      </c>
      <c r="Y27" s="2">
        <v>23</v>
      </c>
      <c r="Z27" s="2">
        <f t="shared" si="7"/>
        <v>0.10086166858673187</v>
      </c>
      <c r="AA27" s="2">
        <f t="shared" si="0"/>
        <v>6.6163677980846103E-8</v>
      </c>
      <c r="AB27" s="2">
        <f t="shared" si="8"/>
        <v>0.10086178779602142</v>
      </c>
      <c r="AC27" s="2">
        <f t="shared" si="1"/>
        <v>-1.5135412743949583E-7</v>
      </c>
      <c r="AD27" s="2">
        <f t="shared" si="2"/>
        <v>0.10086172819137665</v>
      </c>
      <c r="AE27" s="2">
        <f t="shared" si="3"/>
        <v>-4.2595253782473641E-8</v>
      </c>
      <c r="AF27" s="2">
        <f t="shared" si="4"/>
        <v>-2.818258654776003E-15</v>
      </c>
      <c r="AG27" s="2">
        <f t="shared" si="5"/>
        <v>6.4469674693101825E-15</v>
      </c>
      <c r="AH27" s="2">
        <f t="shared" si="6"/>
        <v>1.1920928955078125E-7</v>
      </c>
      <c r="AJ27" s="2">
        <v>23</v>
      </c>
      <c r="AK27" s="2">
        <f t="shared" si="13"/>
        <v>2143.5074806213379</v>
      </c>
      <c r="AL27" s="2">
        <v>-4.0399148247161065E-4</v>
      </c>
      <c r="AM27" s="2">
        <f t="shared" si="14"/>
        <v>2143.5085535049438</v>
      </c>
      <c r="AN27" s="2">
        <v>2.8687795293080853E-5</v>
      </c>
      <c r="AO27" s="2">
        <f t="shared" si="9"/>
        <v>2143.5080170631409</v>
      </c>
      <c r="AP27" s="2">
        <v>-1.8781700237013865E-4</v>
      </c>
      <c r="AQ27" s="2">
        <f t="shared" si="10"/>
        <v>7.5876469220886332E-8</v>
      </c>
      <c r="AR27" s="2">
        <f t="shared" si="11"/>
        <v>-5.3880557165546191E-9</v>
      </c>
      <c r="AS27" s="2">
        <f t="shared" si="12"/>
        <v>1.0728836059570312E-3</v>
      </c>
    </row>
    <row r="28" spans="2:45" x14ac:dyDescent="0.2">
      <c r="B28" s="6" t="s">
        <v>244</v>
      </c>
      <c r="C28" s="17">
        <v>1</v>
      </c>
      <c r="F28" s="6" t="s">
        <v>94</v>
      </c>
      <c r="G28" s="17">
        <f>1000*0.3048</f>
        <v>304.8</v>
      </c>
      <c r="H28" s="6" t="s">
        <v>8</v>
      </c>
      <c r="J28" s="15" t="s">
        <v>69</v>
      </c>
      <c r="K28" s="6">
        <f xml:space="preserve"> $C$79 * (8 * ($C$5/1000))</f>
        <v>13.718454279619619</v>
      </c>
      <c r="L28" s="6" t="s">
        <v>7</v>
      </c>
      <c r="N28" s="6" t="s">
        <v>36</v>
      </c>
      <c r="O28" s="6">
        <f xml:space="preserve"> 1/$C$25 - O25 * SQRT( (2*$C$64*PI()*$C$9^2) / O20^3 )</f>
        <v>1.1087661828147155</v>
      </c>
      <c r="R28" s="6" t="s">
        <v>36</v>
      </c>
      <c r="S28" s="6">
        <f xml:space="preserve"> 1/$C$31 - S25 * SQRT( (2*$C$70*PI()*$C$11^2) / S20^3 )</f>
        <v>1.2833734169133622</v>
      </c>
      <c r="Y28" s="2">
        <v>24</v>
      </c>
      <c r="Z28" s="2">
        <f t="shared" si="7"/>
        <v>0.10086166858673187</v>
      </c>
      <c r="AA28" s="2">
        <f t="shared" si="0"/>
        <v>6.6163677980846103E-8</v>
      </c>
      <c r="AB28" s="2">
        <f t="shared" si="8"/>
        <v>0.10086172819137665</v>
      </c>
      <c r="AC28" s="2">
        <f t="shared" si="1"/>
        <v>-4.2595253782473641E-8</v>
      </c>
      <c r="AD28" s="2">
        <f t="shared" si="2"/>
        <v>0.10086169838905426</v>
      </c>
      <c r="AE28" s="2">
        <f t="shared" si="3"/>
        <v>1.1784204834164314E-8</v>
      </c>
      <c r="AF28" s="2">
        <f t="shared" si="4"/>
        <v>7.796863339079776E-16</v>
      </c>
      <c r="AG28" s="2">
        <f t="shared" si="5"/>
        <v>-5.0195119553588168E-16</v>
      </c>
      <c r="AH28" s="2">
        <f t="shared" si="6"/>
        <v>5.9604644775390625E-8</v>
      </c>
      <c r="AJ28" s="2">
        <v>24</v>
      </c>
      <c r="AK28" s="2">
        <f t="shared" si="13"/>
        <v>2143.5080170631409</v>
      </c>
      <c r="AL28" s="2">
        <v>-1.8781700237013865E-4</v>
      </c>
      <c r="AM28" s="2">
        <f t="shared" si="14"/>
        <v>2143.5085535049438</v>
      </c>
      <c r="AN28" s="2">
        <v>2.8687795293080853E-5</v>
      </c>
      <c r="AO28" s="2">
        <f t="shared" si="9"/>
        <v>2143.5082852840424</v>
      </c>
      <c r="AP28" s="2">
        <v>-7.9399425203519058E-5</v>
      </c>
      <c r="AQ28" s="2">
        <f t="shared" si="10"/>
        <v>1.4912562031636987E-8</v>
      </c>
      <c r="AR28" s="2">
        <f t="shared" si="11"/>
        <v>-2.2777944566268392E-9</v>
      </c>
      <c r="AS28" s="2">
        <f t="shared" si="12"/>
        <v>5.3644180297851562E-4</v>
      </c>
    </row>
    <row r="29" spans="2:45" x14ac:dyDescent="0.2">
      <c r="B29" s="6" t="s">
        <v>245</v>
      </c>
      <c r="C29" s="17">
        <v>6</v>
      </c>
      <c r="F29" s="6" t="s">
        <v>93</v>
      </c>
      <c r="G29" s="6">
        <f xml:space="preserve"> $G$28/$G$27</f>
        <v>200</v>
      </c>
      <c r="H29" s="6" t="s">
        <v>14</v>
      </c>
      <c r="J29" s="15" t="s">
        <v>70</v>
      </c>
      <c r="K29" s="6">
        <f xml:space="preserve"> $C$79 * (13 * ($C$5*2.20462/1000)^1.3 * 0.453592)</f>
        <v>35.521832292121054</v>
      </c>
      <c r="L29" s="6" t="s">
        <v>7</v>
      </c>
      <c r="N29" s="6" t="s">
        <v>37</v>
      </c>
      <c r="O29" s="17">
        <v>1.1499999999999999</v>
      </c>
      <c r="R29" s="6" t="s">
        <v>37</v>
      </c>
      <c r="S29" s="17">
        <v>1.1499999999999999</v>
      </c>
      <c r="Y29" s="2">
        <v>25</v>
      </c>
      <c r="Z29" s="2">
        <f t="shared" si="7"/>
        <v>0.10086169838905426</v>
      </c>
      <c r="AA29" s="2">
        <f t="shared" si="0"/>
        <v>1.1784204834164314E-8</v>
      </c>
      <c r="AB29" s="2">
        <f t="shared" si="8"/>
        <v>0.10086172819137665</v>
      </c>
      <c r="AC29" s="2">
        <f t="shared" si="1"/>
        <v>-4.2595253782473641E-8</v>
      </c>
      <c r="AD29" s="2">
        <f t="shared" si="2"/>
        <v>0.10086171329021545</v>
      </c>
      <c r="AE29" s="2">
        <f t="shared" si="3"/>
        <v>-1.5405526285205973E-8</v>
      </c>
      <c r="AF29" s="2">
        <f t="shared" si="4"/>
        <v>-1.8154187732296962E-16</v>
      </c>
      <c r="AG29" s="2">
        <f t="shared" si="5"/>
        <v>6.5620230177091678E-16</v>
      </c>
      <c r="AH29" s="2">
        <f t="shared" si="6"/>
        <v>2.9802322387695312E-8</v>
      </c>
      <c r="AJ29" s="2">
        <v>25</v>
      </c>
      <c r="AK29" s="2">
        <f t="shared" si="13"/>
        <v>2143.5082852840424</v>
      </c>
      <c r="AL29" s="2">
        <v>-7.9399425203519058E-5</v>
      </c>
      <c r="AM29" s="2">
        <f t="shared" si="14"/>
        <v>2143.5085535049438</v>
      </c>
      <c r="AN29" s="2">
        <v>2.8687795293080853E-5</v>
      </c>
      <c r="AO29" s="2">
        <f t="shared" si="9"/>
        <v>2143.5084193944931</v>
      </c>
      <c r="AP29" s="2">
        <v>-2.5355814159411239E-5</v>
      </c>
      <c r="AQ29" s="2">
        <f t="shared" si="10"/>
        <v>2.013237069824502E-9</v>
      </c>
      <c r="AR29" s="2">
        <f t="shared" si="11"/>
        <v>-7.2740240609459058E-10</v>
      </c>
      <c r="AS29" s="2">
        <f t="shared" si="12"/>
        <v>2.6822090148925781E-4</v>
      </c>
    </row>
    <row r="30" spans="2:45" x14ac:dyDescent="0.2">
      <c r="B30" s="6" t="s">
        <v>246</v>
      </c>
      <c r="C30" s="6">
        <f>$C$29*$C$12/PI()</f>
        <v>0.84998288907657626</v>
      </c>
      <c r="F30" s="6" t="s">
        <v>21</v>
      </c>
      <c r="G30" s="6">
        <f xml:space="preserve"> $C$5 * $C$67 / $C$22</f>
        <v>2626.1974374032552</v>
      </c>
      <c r="H30" s="6" t="s">
        <v>22</v>
      </c>
      <c r="J30" s="10" t="s">
        <v>57</v>
      </c>
      <c r="K30" s="10">
        <f>$C$5 - $C$17 - SUM(K15:K29)</f>
        <v>-1.1045813153032213E-9</v>
      </c>
      <c r="L30" s="10" t="s">
        <v>7</v>
      </c>
      <c r="N30" s="6" t="s">
        <v>38</v>
      </c>
      <c r="O30" s="6">
        <f xml:space="preserve"> 1/$C$76 * LN( EXP($C$76 * O28) + EXP($C$76 * O29) )</f>
        <v>1.1584945193422742</v>
      </c>
      <c r="R30" s="6" t="s">
        <v>38</v>
      </c>
      <c r="S30" s="6">
        <f xml:space="preserve"> 1/$C$76 * LN( EXP($C$76 * S28) + EXP($C$76 * S29) )</f>
        <v>1.2839776939844498</v>
      </c>
      <c r="Y30" s="2">
        <v>26</v>
      </c>
      <c r="Z30" s="2">
        <f>IF(AF29&gt;0, AD29, Z29)</f>
        <v>0.10086169838905426</v>
      </c>
      <c r="AA30" s="2">
        <f t="shared" si="0"/>
        <v>1.1784204834164314E-8</v>
      </c>
      <c r="AB30" s="2">
        <f t="shared" si="8"/>
        <v>0.10086171329021545</v>
      </c>
      <c r="AC30" s="2">
        <f t="shared" si="1"/>
        <v>-1.5405526285205973E-8</v>
      </c>
      <c r="AD30" s="2">
        <f t="shared" si="2"/>
        <v>0.10086170583963486</v>
      </c>
      <c r="AE30" s="2">
        <f t="shared" si="3"/>
        <v>-1.8106611765489333E-9</v>
      </c>
      <c r="AF30" s="2">
        <f t="shared" si="4"/>
        <v>-2.1337202189721584E-17</v>
      </c>
      <c r="AG30" s="2">
        <f t="shared" si="5"/>
        <v>2.7894188348926568E-17</v>
      </c>
      <c r="AH30" s="2">
        <f t="shared" si="6"/>
        <v>1.4901161193847656E-8</v>
      </c>
      <c r="AJ30" s="2">
        <v>26</v>
      </c>
      <c r="AK30" s="2">
        <f t="shared" si="13"/>
        <v>2143.5084193944931</v>
      </c>
      <c r="AL30" s="2">
        <v>-2.5355814159411239E-5</v>
      </c>
      <c r="AM30" s="2">
        <f t="shared" si="14"/>
        <v>2143.5085535049438</v>
      </c>
      <c r="AN30" s="2">
        <v>2.8687795293080853E-5</v>
      </c>
      <c r="AO30" s="2">
        <f t="shared" si="9"/>
        <v>2143.5084864497185</v>
      </c>
      <c r="AP30" s="2">
        <v>6.4262439991580322E-7</v>
      </c>
      <c r="AQ30" s="2">
        <f t="shared" si="10"/>
        <v>-1.6294264858568274E-11</v>
      </c>
      <c r="AR30" s="2">
        <f t="shared" si="11"/>
        <v>1.8435477235123488E-11</v>
      </c>
      <c r="AS30" s="2">
        <f t="shared" si="12"/>
        <v>1.3411045074462891E-4</v>
      </c>
    </row>
    <row r="31" spans="2:45" x14ac:dyDescent="0.2">
      <c r="B31" s="6" t="s">
        <v>247</v>
      </c>
      <c r="C31" s="17">
        <v>0.75</v>
      </c>
      <c r="F31" t="s">
        <v>100</v>
      </c>
      <c r="G31" s="6">
        <f>G33/$C$17</f>
        <v>0.61422553327973606</v>
      </c>
      <c r="H31" t="s">
        <v>104</v>
      </c>
      <c r="J31" s="6" t="s">
        <v>58</v>
      </c>
      <c r="K31" s="4" t="str">
        <f>IF(ABS(K30)&lt;1, "TRUE", "FALSE")</f>
        <v>TRUE</v>
      </c>
      <c r="Y31" s="2">
        <v>27</v>
      </c>
      <c r="Z31" s="2">
        <f t="shared" ref="Z31:Z34" si="15">IF(AF30&gt;0, AD30, Z30)</f>
        <v>0.10086169838905426</v>
      </c>
      <c r="AA31" s="2">
        <f t="shared" si="0"/>
        <v>1.1784204834164314E-8</v>
      </c>
      <c r="AB31" s="2">
        <f t="shared" si="8"/>
        <v>0.10086170583963486</v>
      </c>
      <c r="AC31" s="2">
        <f t="shared" si="1"/>
        <v>-1.8106611765489333E-9</v>
      </c>
      <c r="AD31" s="2">
        <f t="shared" si="2"/>
        <v>0.10086170211434456</v>
      </c>
      <c r="AE31" s="2">
        <f t="shared" si="3"/>
        <v>4.9867717177853876E-9</v>
      </c>
      <c r="AF31" s="2">
        <f t="shared" si="4"/>
        <v>5.8765139383600437E-17</v>
      </c>
      <c r="AG31" s="2">
        <f t="shared" si="5"/>
        <v>-9.0293539457062353E-18</v>
      </c>
      <c r="AH31" s="2">
        <f t="shared" si="6"/>
        <v>7.4505805969238281E-9</v>
      </c>
      <c r="AJ31" s="2">
        <v>27</v>
      </c>
      <c r="AK31" s="2">
        <f t="shared" si="13"/>
        <v>2143.5084193944931</v>
      </c>
      <c r="AL31" s="2">
        <v>-2.5355814159411239E-5</v>
      </c>
      <c r="AM31" s="2">
        <f t="shared" si="14"/>
        <v>2143.5084864497185</v>
      </c>
      <c r="AN31" s="2">
        <v>6.4262439991580322E-7</v>
      </c>
      <c r="AO31" s="2">
        <f t="shared" si="9"/>
        <v>2143.5084529221058</v>
      </c>
      <c r="AP31" s="2">
        <v>-1.2356594425000367E-5</v>
      </c>
      <c r="AQ31" s="2">
        <f t="shared" si="10"/>
        <v>3.1331151188352627E-10</v>
      </c>
      <c r="AR31" s="2">
        <f t="shared" si="11"/>
        <v>-7.9406490773688203E-12</v>
      </c>
      <c r="AS31" s="2">
        <f t="shared" si="12"/>
        <v>6.7055225372314453E-5</v>
      </c>
    </row>
    <row r="32" spans="2:45" x14ac:dyDescent="0.2">
      <c r="F32" t="s">
        <v>274</v>
      </c>
      <c r="G32" s="6">
        <f xml:space="preserve"> (G30/$C$67*1000) / (G31*1000)</f>
        <v>436.22178765205081</v>
      </c>
      <c r="H32" s="6" t="s">
        <v>275</v>
      </c>
      <c r="Y32" s="2">
        <v>28</v>
      </c>
      <c r="Z32" s="2">
        <f t="shared" si="15"/>
        <v>0.10086170211434456</v>
      </c>
      <c r="AA32" s="2">
        <f t="shared" si="0"/>
        <v>4.9867717177853876E-9</v>
      </c>
      <c r="AB32" s="2">
        <f t="shared" si="8"/>
        <v>0.10086170583963486</v>
      </c>
      <c r="AC32" s="2">
        <f t="shared" si="1"/>
        <v>-1.8106611765489333E-9</v>
      </c>
      <c r="AD32" s="2">
        <f t="shared" si="2"/>
        <v>0.10086170397698971</v>
      </c>
      <c r="AE32" s="2">
        <f t="shared" si="3"/>
        <v>1.5880552428626515E-9</v>
      </c>
      <c r="AF32" s="2">
        <f t="shared" si="4"/>
        <v>7.9192689713882758E-18</v>
      </c>
      <c r="AG32" s="2">
        <f t="shared" si="5"/>
        <v>-2.8754299744663907E-18</v>
      </c>
      <c r="AH32" s="2">
        <f t="shared" si="6"/>
        <v>3.7252902984619141E-9</v>
      </c>
      <c r="AJ32" s="2">
        <v>28</v>
      </c>
      <c r="AK32" s="2">
        <f t="shared" si="13"/>
        <v>2143.5084529221058</v>
      </c>
      <c r="AL32" s="2">
        <v>-1.2356594425000367E-5</v>
      </c>
      <c r="AM32" s="2">
        <f t="shared" si="14"/>
        <v>2143.5084864497185</v>
      </c>
      <c r="AN32" s="2">
        <v>6.4262439991580322E-7</v>
      </c>
      <c r="AO32" s="2">
        <f t="shared" si="9"/>
        <v>2143.5084696859121</v>
      </c>
      <c r="AP32" s="2">
        <v>-4.8336189593101153E-6</v>
      </c>
      <c r="AQ32" s="2">
        <f t="shared" si="10"/>
        <v>5.9727069085187446E-11</v>
      </c>
      <c r="AR32" s="2">
        <f t="shared" si="11"/>
        <v>-3.1062014831483121E-12</v>
      </c>
      <c r="AS32" s="2">
        <f t="shared" si="12"/>
        <v>3.3527612686157227E-5</v>
      </c>
    </row>
    <row r="33" spans="2:45" x14ac:dyDescent="0.2">
      <c r="B33" s="54" t="s">
        <v>107</v>
      </c>
      <c r="C33" s="54"/>
      <c r="D33" s="54"/>
      <c r="F33" s="43" t="s">
        <v>86</v>
      </c>
      <c r="G33" s="43">
        <f xml:space="preserve"> 1/1000 * IF( $G$27&gt;=2*SQRT(($C$5*$C$67)/(2*$C$64*$C$22*PI()*$C$9*$C$9)), ($C$5*$C$67)/$C$25 * ( ($G$27/2) - SQRT( ($G$27/2)^2 - ($C$5*$C$67)/(2*$C$64*$C$22*PI()*$C$9*$C$9 ) ) ), 1/$C$25 * SQRT(($C$5*$C$67)^3/(2*$C$64*$C$22*PI()*$C$9*$C$9)) )</f>
        <v>368.53531996784164</v>
      </c>
      <c r="H33" s="43" t="s">
        <v>104</v>
      </c>
      <c r="J33" s="46" t="s">
        <v>59</v>
      </c>
      <c r="K33" s="46"/>
      <c r="L33" s="46"/>
      <c r="Y33" s="2">
        <v>29</v>
      </c>
      <c r="Z33" s="2">
        <f t="shared" si="15"/>
        <v>0.10086170397698971</v>
      </c>
      <c r="AA33" s="2">
        <f t="shared" si="0"/>
        <v>1.5880552428626515E-9</v>
      </c>
      <c r="AB33" s="2">
        <f t="shared" si="8"/>
        <v>0.10086170583963486</v>
      </c>
      <c r="AC33" s="2">
        <f t="shared" si="1"/>
        <v>-1.8106611765489333E-9</v>
      </c>
      <c r="AD33" s="2">
        <f t="shared" si="2"/>
        <v>0.10086170490831228</v>
      </c>
      <c r="AE33" s="2">
        <f t="shared" si="3"/>
        <v>-1.113029807209287E-10</v>
      </c>
      <c r="AF33" s="2">
        <f t="shared" si="4"/>
        <v>-1.7675528208011145E-19</v>
      </c>
      <c r="AG33" s="2">
        <f t="shared" si="5"/>
        <v>2.0153198602556001E-19</v>
      </c>
      <c r="AH33" s="2">
        <f t="shared" si="6"/>
        <v>1.862645149230957E-9</v>
      </c>
      <c r="AJ33" s="2">
        <v>29</v>
      </c>
      <c r="AK33" s="2">
        <f t="shared" si="13"/>
        <v>2143.5084696859121</v>
      </c>
      <c r="AL33" s="2">
        <v>-4.8336189593101153E-6</v>
      </c>
      <c r="AM33" s="2">
        <f t="shared" si="14"/>
        <v>2143.5084864497185</v>
      </c>
      <c r="AN33" s="2">
        <v>6.4262439991580322E-7</v>
      </c>
      <c r="AO33" s="2">
        <f t="shared" si="9"/>
        <v>2143.5084780678153</v>
      </c>
      <c r="AP33" s="2">
        <v>-1.4024792562850052E-6</v>
      </c>
      <c r="AQ33" s="2">
        <f t="shared" si="10"/>
        <v>6.7790503232183516E-12</v>
      </c>
      <c r="AR33" s="2">
        <f t="shared" si="11"/>
        <v>-9.012673904645135E-13</v>
      </c>
      <c r="AS33" s="2">
        <f t="shared" si="12"/>
        <v>1.6763806343078613E-5</v>
      </c>
    </row>
    <row r="34" spans="2:45" x14ac:dyDescent="0.2">
      <c r="B34" s="6" t="s">
        <v>108</v>
      </c>
      <c r="C34" s="17">
        <v>6</v>
      </c>
      <c r="J34" s="6" t="s">
        <v>60</v>
      </c>
      <c r="K34" s="6">
        <f>ROUND($C$17/$C$5 * 100, 2)</f>
        <v>27.99</v>
      </c>
      <c r="L34" s="6" t="s">
        <v>61</v>
      </c>
      <c r="Y34" s="2">
        <v>30</v>
      </c>
      <c r="Z34" s="2">
        <f t="shared" si="15"/>
        <v>0.10086170397698971</v>
      </c>
      <c r="AA34" s="2">
        <f t="shared" si="0"/>
        <v>1.5880552428626515E-9</v>
      </c>
      <c r="AB34" s="2">
        <f t="shared" si="8"/>
        <v>0.10086170490831228</v>
      </c>
      <c r="AC34" s="2">
        <f t="shared" si="1"/>
        <v>-1.113029807209287E-10</v>
      </c>
      <c r="AD34" s="5">
        <f t="shared" si="2"/>
        <v>0.100861704442651</v>
      </c>
      <c r="AE34" s="2">
        <f t="shared" si="3"/>
        <v>7.3837612413196752E-10</v>
      </c>
      <c r="AF34" s="2">
        <f t="shared" si="4"/>
        <v>1.172582075132375E-18</v>
      </c>
      <c r="AG34" s="2">
        <f t="shared" si="5"/>
        <v>-8.2183463509054438E-20</v>
      </c>
      <c r="AH34" s="2">
        <f t="shared" si="6"/>
        <v>9.3132257461547852E-10</v>
      </c>
      <c r="AJ34" s="2">
        <v>30</v>
      </c>
      <c r="AK34" s="2">
        <f t="shared" si="13"/>
        <v>2143.5084780678153</v>
      </c>
      <c r="AL34" s="2">
        <v>-1.4024792562850052E-6</v>
      </c>
      <c r="AM34" s="2">
        <f t="shared" si="14"/>
        <v>2143.5084864497185</v>
      </c>
      <c r="AN34" s="2">
        <v>6.4262439991580322E-7</v>
      </c>
      <c r="AO34" s="2">
        <f t="shared" si="9"/>
        <v>2143.5084822587669</v>
      </c>
      <c r="AP34" s="2">
        <v>4.7826415539020672E-7</v>
      </c>
      <c r="AQ34" s="2">
        <f t="shared" si="10"/>
        <v>-6.7075555695943331E-13</v>
      </c>
      <c r="AR34" s="2">
        <f t="shared" si="11"/>
        <v>3.0734421585887006E-13</v>
      </c>
      <c r="AS34" s="2">
        <f t="shared" si="12"/>
        <v>8.3819031715393066E-6</v>
      </c>
    </row>
    <row r="35" spans="2:45" x14ac:dyDescent="0.2">
      <c r="B35" s="6" t="s">
        <v>109</v>
      </c>
      <c r="C35" s="17">
        <v>9.1440000000000001</v>
      </c>
      <c r="D35" s="6" t="s">
        <v>8</v>
      </c>
      <c r="J35" s="11" t="s">
        <v>55</v>
      </c>
      <c r="K35" s="6">
        <f>ROUND(K15/$C$5 * 100, 2)</f>
        <v>21.33</v>
      </c>
      <c r="L35" s="6" t="s">
        <v>61</v>
      </c>
      <c r="AJ35" s="2">
        <v>31</v>
      </c>
      <c r="AK35" s="2">
        <f t="shared" si="13"/>
        <v>2143.5084780678153</v>
      </c>
      <c r="AL35" s="2">
        <v>-1.4024792562850052E-6</v>
      </c>
      <c r="AM35" s="2">
        <f t="shared" si="14"/>
        <v>2143.5084822587669</v>
      </c>
      <c r="AN35" s="2">
        <v>4.7826415539020672E-7</v>
      </c>
      <c r="AO35" s="2">
        <f t="shared" si="9"/>
        <v>2143.5084801632911</v>
      </c>
      <c r="AP35" s="2">
        <v>-4.6210789150791243E-7</v>
      </c>
      <c r="AQ35" s="2">
        <f t="shared" si="10"/>
        <v>6.4809673200544891E-13</v>
      </c>
      <c r="AR35" s="2">
        <f t="shared" si="11"/>
        <v>-2.2100964043118102E-13</v>
      </c>
      <c r="AS35" s="2">
        <f t="shared" si="12"/>
        <v>4.1909515857696533E-6</v>
      </c>
    </row>
    <row r="36" spans="2:45" x14ac:dyDescent="0.2">
      <c r="B36" s="6" t="s">
        <v>110</v>
      </c>
      <c r="C36" s="17">
        <v>1.8675309360000001</v>
      </c>
      <c r="D36" s="6" t="s">
        <v>8</v>
      </c>
      <c r="J36" s="19" t="s">
        <v>81</v>
      </c>
      <c r="K36" s="6">
        <f>ROUND(SUM(K16:K19)/$C$5 * 100, 2)</f>
        <v>13.33</v>
      </c>
      <c r="L36" s="6" t="s">
        <v>61</v>
      </c>
      <c r="Y36" s="16" t="s">
        <v>96</v>
      </c>
      <c r="AJ36" s="2">
        <v>32</v>
      </c>
      <c r="AK36" s="2">
        <f t="shared" si="13"/>
        <v>2143.5084801632911</v>
      </c>
      <c r="AL36" s="2">
        <v>-4.6210789150791243E-7</v>
      </c>
      <c r="AM36" s="2">
        <f t="shared" si="14"/>
        <v>2143.5084822587669</v>
      </c>
      <c r="AN36" s="2">
        <v>4.7826415539020672E-7</v>
      </c>
      <c r="AO36" s="2">
        <f t="shared" si="9"/>
        <v>2143.508481211029</v>
      </c>
      <c r="AP36" s="2">
        <v>8.0788140621734783E-9</v>
      </c>
      <c r="AQ36" s="2">
        <f t="shared" si="10"/>
        <v>-3.733283732155459E-15</v>
      </c>
      <c r="AR36" s="2">
        <f t="shared" si="11"/>
        <v>3.8638071839999236E-15</v>
      </c>
      <c r="AS36" s="2">
        <f t="shared" si="12"/>
        <v>2.0954757928848267E-6</v>
      </c>
    </row>
    <row r="37" spans="2:45" x14ac:dyDescent="0.2">
      <c r="J37" s="20" t="s">
        <v>72</v>
      </c>
      <c r="K37" s="6">
        <f>ROUND(SUM(K20:K25)/$C$5 * 100, 2)</f>
        <v>32.549999999999997</v>
      </c>
      <c r="L37" s="6" t="s">
        <v>61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2143.5084801632911</v>
      </c>
      <c r="AL37" s="2">
        <v>-4.6210789150791243E-7</v>
      </c>
      <c r="AM37" s="2">
        <f t="shared" si="14"/>
        <v>2143.508481211029</v>
      </c>
      <c r="AN37" s="2">
        <v>8.0788140621734783E-9</v>
      </c>
      <c r="AO37" s="2">
        <f t="shared" si="9"/>
        <v>2143.50848068716</v>
      </c>
      <c r="AP37" s="2">
        <v>-2.2701397028868087E-7</v>
      </c>
      <c r="AQ37" s="2">
        <f t="shared" si="10"/>
        <v>1.0490494715294219E-13</v>
      </c>
      <c r="AR37" s="2">
        <f t="shared" si="11"/>
        <v>-1.8340036554780272E-15</v>
      </c>
      <c r="AS37" s="2">
        <f t="shared" si="12"/>
        <v>1.0477378964424133E-6</v>
      </c>
    </row>
    <row r="38" spans="2:45" x14ac:dyDescent="0.2">
      <c r="B38" s="54" t="s">
        <v>111</v>
      </c>
      <c r="C38" s="54"/>
      <c r="D38" s="54"/>
      <c r="J38" s="15" t="s">
        <v>73</v>
      </c>
      <c r="K38" s="6">
        <f>ROUND(SUM(K26:K29)/$C$5*100, 2)</f>
        <v>4.8</v>
      </c>
      <c r="L38" s="6" t="s">
        <v>61</v>
      </c>
      <c r="Y38" s="2">
        <v>0</v>
      </c>
      <c r="Z38" s="3">
        <v>0</v>
      </c>
      <c r="AA38" s="2">
        <f t="shared" ref="AA38:AA68" si="16" xml:space="preserve"> $S$22 * TAN($S$19/180*PI()) + $S$23 / (2 * SQRT($S$22^2 + Z38^2)) - Z38</f>
        <v>1.4946668662303844</v>
      </c>
      <c r="AB38" s="3">
        <v>1</v>
      </c>
      <c r="AC38" s="2">
        <f t="shared" ref="AC38:AC68" si="17" xml:space="preserve"> $S$22 * TAN($S$19/180*PI()) + $S$23 / (2 * SQRT($S$22^2 + AB38^2)) - AB38</f>
        <v>-1.6135511091055932E-2</v>
      </c>
      <c r="AD38" s="2">
        <f xml:space="preserve"> (Z38 + AB38)/2</f>
        <v>0.5</v>
      </c>
      <c r="AE38" s="2">
        <f t="shared" ref="AE38:AE68" si="18" xml:space="preserve"> $S$22 * TAN($S$19/180*PI()) + $S$23 / (2 * SQRT($S$22^2 + AD38^2)) - AD38</f>
        <v>0.52848169562114977</v>
      </c>
      <c r="AF38" s="2">
        <f>AA38*AE38</f>
        <v>0.78990407985418376</v>
      </c>
      <c r="AG38" s="2">
        <f>AC38*AE38</f>
        <v>-8.5273222611151073E-3</v>
      </c>
      <c r="AH38" s="2">
        <f>AB38-Z38</f>
        <v>1</v>
      </c>
      <c r="AJ38" s="2">
        <v>34</v>
      </c>
      <c r="AK38" s="2">
        <f t="shared" si="13"/>
        <v>2143.50848068716</v>
      </c>
      <c r="AL38" s="2">
        <v>-2.2701397028868087E-7</v>
      </c>
      <c r="AM38" s="2">
        <f t="shared" si="14"/>
        <v>2143.508481211029</v>
      </c>
      <c r="AN38" s="2">
        <v>8.0788140621734783E-9</v>
      </c>
      <c r="AO38" s="2">
        <f t="shared" si="9"/>
        <v>2143.5084809490945</v>
      </c>
      <c r="AP38" s="2">
        <v>-1.0946746442641597E-7</v>
      </c>
      <c r="AQ38" s="2">
        <f t="shared" si="10"/>
        <v>2.4850643716875625E-14</v>
      </c>
      <c r="AR38" s="2">
        <f t="shared" si="11"/>
        <v>-8.8436729095860435E-16</v>
      </c>
      <c r="AS38" s="2">
        <f t="shared" si="12"/>
        <v>5.2386894822120667E-7</v>
      </c>
    </row>
    <row r="39" spans="2:45" x14ac:dyDescent="0.2">
      <c r="B39" s="6" t="s">
        <v>124</v>
      </c>
      <c r="C39" s="22" t="s">
        <v>125</v>
      </c>
      <c r="J39" s="10" t="s">
        <v>62</v>
      </c>
      <c r="K39" s="10">
        <f>SUM(K34:K38)</f>
        <v>99.999999999999986</v>
      </c>
      <c r="L39" s="10" t="s">
        <v>61</v>
      </c>
      <c r="Y39" s="2">
        <v>1</v>
      </c>
      <c r="Z39" s="2">
        <f>IF(AF38&gt;0, AD38, Z38)</f>
        <v>0.5</v>
      </c>
      <c r="AA39" s="2">
        <f t="shared" si="16"/>
        <v>0.52848169562114977</v>
      </c>
      <c r="AB39" s="2">
        <f>IF(AG38&gt;0, AD38, AB38)</f>
        <v>1</v>
      </c>
      <c r="AC39" s="2">
        <f t="shared" si="17"/>
        <v>-1.6135511091055932E-2</v>
      </c>
      <c r="AD39" s="2">
        <f t="shared" ref="AD39:AD68" si="19" xml:space="preserve"> (Z39 + AB39)/2</f>
        <v>0.75</v>
      </c>
      <c r="AE39" s="2">
        <f t="shared" si="18"/>
        <v>0.24887970604916887</v>
      </c>
      <c r="AF39" s="2">
        <f t="shared" ref="AF39:AF68" si="20">AA39*AE39</f>
        <v>0.13152836905855808</v>
      </c>
      <c r="AG39" s="2">
        <f t="shared" ref="AG39:AG68" si="21">AC39*AE39</f>
        <v>-4.0158012572951048E-3</v>
      </c>
      <c r="AH39" s="2">
        <f t="shared" ref="AH39:AH68" si="22">AB39-Z39</f>
        <v>0.5</v>
      </c>
      <c r="AJ39" s="2">
        <v>35</v>
      </c>
      <c r="AK39" s="2">
        <f t="shared" si="13"/>
        <v>2143.5084809490945</v>
      </c>
      <c r="AL39" s="2">
        <v>-1.0946746442641597E-7</v>
      </c>
      <c r="AM39" s="2">
        <f t="shared" si="14"/>
        <v>2143.508481211029</v>
      </c>
      <c r="AN39" s="2">
        <v>8.0788140621734783E-9</v>
      </c>
      <c r="AO39" s="2">
        <f t="shared" si="9"/>
        <v>2143.5084810800618</v>
      </c>
      <c r="AP39" s="2">
        <v>-5.069455255579669E-8</v>
      </c>
      <c r="AQ39" s="2">
        <f t="shared" si="10"/>
        <v>5.5494041285147491E-15</v>
      </c>
      <c r="AR39" s="2">
        <f t="shared" si="11"/>
        <v>-4.0955186406336275E-16</v>
      </c>
      <c r="AS39" s="2">
        <f t="shared" si="12"/>
        <v>2.6193447411060333E-7</v>
      </c>
    </row>
    <row r="40" spans="2:45" x14ac:dyDescent="0.2">
      <c r="B40" s="6" t="s">
        <v>126</v>
      </c>
      <c r="C40" s="6">
        <f>IF(C39="wheeled",0.0325,0.014)</f>
        <v>3.2500000000000001E-2</v>
      </c>
      <c r="Y40" s="2">
        <v>2</v>
      </c>
      <c r="Z40" s="2">
        <f t="shared" ref="Z40:Z68" si="23">IF(AF39&gt;0, AD39, Z39)</f>
        <v>0.75</v>
      </c>
      <c r="AA40" s="2">
        <f t="shared" si="16"/>
        <v>0.24887970604916887</v>
      </c>
      <c r="AB40" s="2">
        <f t="shared" ref="AB40:AB68" si="24">IF(AG39&gt;0, AD39, AB39)</f>
        <v>1</v>
      </c>
      <c r="AC40" s="2">
        <f t="shared" si="17"/>
        <v>-1.6135511091055932E-2</v>
      </c>
      <c r="AD40" s="2">
        <f t="shared" si="19"/>
        <v>0.875</v>
      </c>
      <c r="AE40" s="2">
        <f t="shared" si="18"/>
        <v>0.11531381201592961</v>
      </c>
      <c r="AF40" s="2">
        <f t="shared" si="20"/>
        <v>2.8699267637933679E-2</v>
      </c>
      <c r="AG40" s="2">
        <f t="shared" si="21"/>
        <v>-1.860647292734971E-3</v>
      </c>
      <c r="AH40" s="2">
        <f t="shared" si="22"/>
        <v>0.25</v>
      </c>
      <c r="AJ40" s="2">
        <v>36</v>
      </c>
      <c r="AK40" s="2">
        <f t="shared" si="13"/>
        <v>2143.5084810800618</v>
      </c>
      <c r="AL40" s="2">
        <v>-5.069455255579669E-8</v>
      </c>
      <c r="AM40" s="2">
        <f t="shared" si="14"/>
        <v>2143.508481211029</v>
      </c>
      <c r="AN40" s="2">
        <v>8.0788140621734783E-9</v>
      </c>
      <c r="AO40" s="2">
        <f t="shared" si="9"/>
        <v>2143.5084811455454</v>
      </c>
      <c r="AP40" s="2">
        <v>-2.1308323994162492E-8</v>
      </c>
      <c r="AQ40" s="2">
        <f t="shared" si="10"/>
        <v>1.0802159505980141E-15</v>
      </c>
      <c r="AR40" s="2">
        <f t="shared" si="11"/>
        <v>-1.7214598752538848E-16</v>
      </c>
      <c r="AS40" s="2">
        <f t="shared" si="12"/>
        <v>1.3096723705530167E-7</v>
      </c>
    </row>
    <row r="41" spans="2:45" x14ac:dyDescent="0.2">
      <c r="B41" s="6" t="s">
        <v>112</v>
      </c>
      <c r="C41" s="17">
        <v>0.30480000000000002</v>
      </c>
      <c r="D41" s="6" t="s">
        <v>8</v>
      </c>
      <c r="J41" s="54" t="s">
        <v>116</v>
      </c>
      <c r="K41" s="54"/>
      <c r="L41" s="54"/>
      <c r="Y41" s="2">
        <v>3</v>
      </c>
      <c r="Z41" s="2">
        <f t="shared" si="23"/>
        <v>0.875</v>
      </c>
      <c r="AA41" s="2">
        <f t="shared" si="16"/>
        <v>0.11531381201592961</v>
      </c>
      <c r="AB41" s="2">
        <f t="shared" si="24"/>
        <v>1</v>
      </c>
      <c r="AC41" s="2">
        <f t="shared" si="17"/>
        <v>-1.6135511091055932E-2</v>
      </c>
      <c r="AD41" s="2">
        <f t="shared" si="19"/>
        <v>0.9375</v>
      </c>
      <c r="AE41" s="2">
        <f t="shared" si="18"/>
        <v>4.9376634123555085E-2</v>
      </c>
      <c r="AF41" s="2">
        <f t="shared" si="20"/>
        <v>5.6938079053029667E-3</v>
      </c>
      <c r="AG41" s="2">
        <f t="shared" si="21"/>
        <v>-7.967172275396339E-4</v>
      </c>
      <c r="AH41" s="2">
        <f t="shared" si="22"/>
        <v>0.125</v>
      </c>
      <c r="AJ41" s="2">
        <v>37</v>
      </c>
      <c r="AK41" s="2">
        <f t="shared" si="13"/>
        <v>2143.5084811455454</v>
      </c>
      <c r="AL41" s="2">
        <v>-2.1308323994162492E-8</v>
      </c>
      <c r="AM41" s="2">
        <f t="shared" si="14"/>
        <v>2143.508481211029</v>
      </c>
      <c r="AN41" s="2">
        <v>8.0788140621734783E-9</v>
      </c>
      <c r="AO41" s="2">
        <f t="shared" si="9"/>
        <v>2143.5084811782872</v>
      </c>
      <c r="AP41" s="2">
        <v>-6.6145275923190638E-9</v>
      </c>
      <c r="AQ41" s="2">
        <f t="shared" si="10"/>
        <v>1.4094449700546217E-16</v>
      </c>
      <c r="AR41" s="2">
        <f t="shared" si="11"/>
        <v>-5.3437538527461733E-17</v>
      </c>
      <c r="AS41" s="2">
        <f t="shared" si="12"/>
        <v>6.5483618527650833E-8</v>
      </c>
    </row>
    <row r="42" spans="2:45" x14ac:dyDescent="0.2">
      <c r="B42" s="6" t="s">
        <v>113</v>
      </c>
      <c r="C42" s="17">
        <v>5.7</v>
      </c>
      <c r="J42" s="6" t="s">
        <v>60</v>
      </c>
      <c r="K42" s="6">
        <f>ROUND(C17,2)</f>
        <v>600</v>
      </c>
      <c r="L42" s="6" t="s">
        <v>7</v>
      </c>
      <c r="Y42" s="2">
        <v>4</v>
      </c>
      <c r="Z42" s="2">
        <f t="shared" si="23"/>
        <v>0.9375</v>
      </c>
      <c r="AA42" s="2">
        <f t="shared" si="16"/>
        <v>4.9376634123555085E-2</v>
      </c>
      <c r="AB42" s="2">
        <f t="shared" si="24"/>
        <v>1</v>
      </c>
      <c r="AC42" s="2">
        <f t="shared" si="17"/>
        <v>-1.6135511091055932E-2</v>
      </c>
      <c r="AD42" s="2">
        <f t="shared" si="19"/>
        <v>0.96875</v>
      </c>
      <c r="AE42" s="2">
        <f t="shared" si="18"/>
        <v>1.6572498492073429E-2</v>
      </c>
      <c r="AF42" s="2">
        <f t="shared" si="20"/>
        <v>8.1829419455627811E-4</v>
      </c>
      <c r="AG42" s="2">
        <f t="shared" si="21"/>
        <v>-2.6740573322535854E-4</v>
      </c>
      <c r="AH42" s="2">
        <f t="shared" si="22"/>
        <v>6.25E-2</v>
      </c>
      <c r="AJ42" s="2">
        <v>38</v>
      </c>
      <c r="AK42" s="2">
        <f t="shared" si="13"/>
        <v>2143.5084811782872</v>
      </c>
      <c r="AL42" s="2">
        <v>-6.6145275923190638E-9</v>
      </c>
      <c r="AM42" s="2">
        <f t="shared" si="14"/>
        <v>2143.508481211029</v>
      </c>
      <c r="AN42" s="2">
        <v>8.0788140621734783E-9</v>
      </c>
      <c r="AO42" s="2">
        <f t="shared" si="9"/>
        <v>2143.5084811946581</v>
      </c>
      <c r="AP42" s="2">
        <v>7.312337402254343E-10</v>
      </c>
      <c r="AQ42" s="2">
        <f t="shared" si="10"/>
        <v>-4.8367657511558057E-18</v>
      </c>
      <c r="AR42" s="2">
        <f t="shared" si="11"/>
        <v>5.9075014232689469E-18</v>
      </c>
      <c r="AS42" s="2">
        <f t="shared" si="12"/>
        <v>3.2741809263825417E-8</v>
      </c>
    </row>
    <row r="43" spans="2:45" x14ac:dyDescent="0.2">
      <c r="J43" s="11" t="s">
        <v>55</v>
      </c>
      <c r="K43" s="6">
        <f>ROUND(K15, 2)</f>
        <v>457.12</v>
      </c>
      <c r="L43" s="6" t="s">
        <v>7</v>
      </c>
      <c r="Y43" s="2">
        <v>5</v>
      </c>
      <c r="Z43" s="2">
        <f t="shared" si="23"/>
        <v>0.96875</v>
      </c>
      <c r="AA43" s="2">
        <f t="shared" si="16"/>
        <v>1.6572498492073429E-2</v>
      </c>
      <c r="AB43" s="2">
        <f t="shared" si="24"/>
        <v>1</v>
      </c>
      <c r="AC43" s="2">
        <f t="shared" si="17"/>
        <v>-1.6135511091055932E-2</v>
      </c>
      <c r="AD43" s="2">
        <f t="shared" si="19"/>
        <v>0.984375</v>
      </c>
      <c r="AE43" s="2">
        <f t="shared" si="18"/>
        <v>2.0704210498156961E-4</v>
      </c>
      <c r="AF43" s="2">
        <f t="shared" si="20"/>
        <v>3.4312049726027708E-6</v>
      </c>
      <c r="AG43" s="2">
        <f t="shared" si="21"/>
        <v>-3.3407301812456829E-6</v>
      </c>
      <c r="AH43" s="2">
        <f t="shared" si="22"/>
        <v>3.125E-2</v>
      </c>
      <c r="AJ43" s="2">
        <v>39</v>
      </c>
      <c r="AK43" s="2">
        <f t="shared" si="13"/>
        <v>2143.5084811782872</v>
      </c>
      <c r="AL43" s="2">
        <v>-6.6145275923190638E-9</v>
      </c>
      <c r="AM43" s="2">
        <f t="shared" si="14"/>
        <v>2143.5084811946581</v>
      </c>
      <c r="AN43" s="2">
        <v>7.312337402254343E-10</v>
      </c>
      <c r="AO43" s="2">
        <f t="shared" si="9"/>
        <v>2143.5084811864726</v>
      </c>
      <c r="AP43" s="2">
        <v>-2.9415332392090932E-9</v>
      </c>
      <c r="AQ43" s="2">
        <f t="shared" si="10"/>
        <v>1.945685277447222E-17</v>
      </c>
      <c r="AR43" s="2">
        <f t="shared" si="11"/>
        <v>-2.1509483525043023E-18</v>
      </c>
      <c r="AS43" s="2">
        <f t="shared" si="12"/>
        <v>1.6370904631912708E-8</v>
      </c>
    </row>
    <row r="44" spans="2:45" x14ac:dyDescent="0.2">
      <c r="B44" s="54" t="s">
        <v>248</v>
      </c>
      <c r="C44" s="54"/>
      <c r="D44" s="54"/>
      <c r="J44" s="19" t="s">
        <v>81</v>
      </c>
      <c r="K44" s="6">
        <f>ROUND(SUM(K16:K19), 2)</f>
        <v>285.79000000000002</v>
      </c>
      <c r="L44" s="6" t="s">
        <v>7</v>
      </c>
      <c r="Y44" s="2">
        <v>6</v>
      </c>
      <c r="Z44" s="2">
        <f t="shared" si="23"/>
        <v>0.984375</v>
      </c>
      <c r="AA44" s="2">
        <f t="shared" si="16"/>
        <v>2.0704210498156961E-4</v>
      </c>
      <c r="AB44" s="2">
        <f t="shared" si="24"/>
        <v>1</v>
      </c>
      <c r="AC44" s="2">
        <f t="shared" si="17"/>
        <v>-1.6135511091055932E-2</v>
      </c>
      <c r="AD44" s="2">
        <f t="shared" si="19"/>
        <v>0.9921875</v>
      </c>
      <c r="AE44" s="2">
        <f t="shared" si="18"/>
        <v>-7.9670306912574818E-3</v>
      </c>
      <c r="AF44" s="2">
        <f t="shared" si="20"/>
        <v>-1.6495108047707185E-6</v>
      </c>
      <c r="AG44" s="2">
        <f t="shared" si="21"/>
        <v>1.2855211208156811E-4</v>
      </c>
      <c r="AH44" s="2">
        <f t="shared" si="22"/>
        <v>1.5625E-2</v>
      </c>
      <c r="AJ44" s="2">
        <v>40</v>
      </c>
      <c r="AK44" s="2">
        <f t="shared" si="13"/>
        <v>2143.5084811864726</v>
      </c>
      <c r="AL44" s="2">
        <v>-2.9415332392090932E-9</v>
      </c>
      <c r="AM44" s="2">
        <f t="shared" si="14"/>
        <v>2143.5084811946581</v>
      </c>
      <c r="AN44" s="2">
        <v>7.312337402254343E-10</v>
      </c>
      <c r="AO44" s="5">
        <f t="shared" si="9"/>
        <v>2143.5084811905654</v>
      </c>
      <c r="AP44" s="2">
        <v>-1.1045813153032213E-9</v>
      </c>
      <c r="AQ44" s="2">
        <f t="shared" si="10"/>
        <v>3.2491626543737253E-18</v>
      </c>
      <c r="AR44" s="2">
        <f t="shared" si="11"/>
        <v>-8.077071265723043E-19</v>
      </c>
      <c r="AS44" s="2">
        <f t="shared" si="12"/>
        <v>8.1854523159563541E-9</v>
      </c>
    </row>
    <row r="45" spans="2:45" x14ac:dyDescent="0.2">
      <c r="B45" s="6" t="s">
        <v>113</v>
      </c>
      <c r="C45" s="17">
        <v>3</v>
      </c>
      <c r="J45" s="20" t="s">
        <v>72</v>
      </c>
      <c r="K45" s="6">
        <f>ROUND(SUM(K20:K25), 2)</f>
        <v>697.64</v>
      </c>
      <c r="L45" s="6" t="s">
        <v>7</v>
      </c>
      <c r="Y45" s="2">
        <v>7</v>
      </c>
      <c r="Z45" s="2">
        <f t="shared" si="23"/>
        <v>0.984375</v>
      </c>
      <c r="AA45" s="2">
        <f t="shared" si="16"/>
        <v>2.0704210498156961E-4</v>
      </c>
      <c r="AB45" s="2">
        <f t="shared" si="24"/>
        <v>0.9921875</v>
      </c>
      <c r="AC45" s="2">
        <f t="shared" si="17"/>
        <v>-7.9670306912574818E-3</v>
      </c>
      <c r="AD45" s="2">
        <f t="shared" si="19"/>
        <v>0.98828125</v>
      </c>
      <c r="AE45" s="2">
        <f t="shared" si="18"/>
        <v>-3.8807015183439653E-3</v>
      </c>
      <c r="AF45" s="2">
        <f t="shared" si="20"/>
        <v>-8.0346861116310781E-7</v>
      </c>
      <c r="AG45" s="2">
        <f t="shared" si="21"/>
        <v>3.091766810025588E-5</v>
      </c>
      <c r="AH45" s="2">
        <f t="shared" si="22"/>
        <v>7.8125E-3</v>
      </c>
    </row>
    <row r="46" spans="2:45" x14ac:dyDescent="0.2">
      <c r="J46" s="15" t="s">
        <v>73</v>
      </c>
      <c r="K46" s="6">
        <f>ROUND(SUM(K26:K29), 2)</f>
        <v>102.96</v>
      </c>
      <c r="L46" s="6" t="s">
        <v>7</v>
      </c>
      <c r="Y46" s="2">
        <v>8</v>
      </c>
      <c r="Z46" s="2">
        <f t="shared" si="23"/>
        <v>0.984375</v>
      </c>
      <c r="AA46" s="2">
        <f t="shared" si="16"/>
        <v>2.0704210498156961E-4</v>
      </c>
      <c r="AB46" s="2">
        <f t="shared" si="24"/>
        <v>0.98828125</v>
      </c>
      <c r="AC46" s="2">
        <f t="shared" si="17"/>
        <v>-3.8807015183439653E-3</v>
      </c>
      <c r="AD46" s="2">
        <f t="shared" si="19"/>
        <v>0.986328125</v>
      </c>
      <c r="AE46" s="2">
        <f t="shared" si="18"/>
        <v>-1.8370075488608473E-3</v>
      </c>
      <c r="AF46" s="2">
        <f t="shared" si="20"/>
        <v>-3.8033790978318341E-7</v>
      </c>
      <c r="AG46" s="2">
        <f t="shared" si="21"/>
        <v>7.1288779840736159E-6</v>
      </c>
      <c r="AH46" s="2">
        <f t="shared" si="22"/>
        <v>3.90625E-3</v>
      </c>
    </row>
    <row r="47" spans="2:45" x14ac:dyDescent="0.2">
      <c r="B47" s="54" t="s">
        <v>249</v>
      </c>
      <c r="C47" s="54"/>
      <c r="D47" s="54"/>
      <c r="J47" s="10" t="s">
        <v>62</v>
      </c>
      <c r="K47" s="10">
        <f>SUM(K42:K46)</f>
        <v>2143.5099999999998</v>
      </c>
      <c r="L47" s="6" t="s">
        <v>7</v>
      </c>
      <c r="Y47" s="2">
        <v>9</v>
      </c>
      <c r="Z47" s="2">
        <f t="shared" si="23"/>
        <v>0.984375</v>
      </c>
      <c r="AA47" s="2">
        <f t="shared" si="16"/>
        <v>2.0704210498156961E-4</v>
      </c>
      <c r="AB47" s="2">
        <f t="shared" si="24"/>
        <v>0.986328125</v>
      </c>
      <c r="AC47" s="2">
        <f t="shared" si="17"/>
        <v>-1.8370075488608473E-3</v>
      </c>
      <c r="AD47" s="2">
        <f t="shared" si="19"/>
        <v>0.9853515625</v>
      </c>
      <c r="AE47" s="2">
        <f t="shared" si="18"/>
        <v>-8.1502731285210128E-4</v>
      </c>
      <c r="AF47" s="2">
        <f t="shared" si="20"/>
        <v>-1.6874497047037134E-7</v>
      </c>
      <c r="AG47" s="2">
        <f t="shared" si="21"/>
        <v>1.4972113262370816E-6</v>
      </c>
      <c r="AH47" s="2">
        <f t="shared" si="22"/>
        <v>1.953125E-3</v>
      </c>
    </row>
    <row r="48" spans="2:45" x14ac:dyDescent="0.2">
      <c r="B48" s="6" t="s">
        <v>250</v>
      </c>
      <c r="C48" s="17">
        <v>4.3036300000000001</v>
      </c>
      <c r="Y48" s="2">
        <v>10</v>
      </c>
      <c r="Z48" s="2">
        <f t="shared" si="23"/>
        <v>0.984375</v>
      </c>
      <c r="AA48" s="2">
        <f t="shared" si="16"/>
        <v>2.0704210498156961E-4</v>
      </c>
      <c r="AB48" s="2">
        <f t="shared" si="24"/>
        <v>0.9853515625</v>
      </c>
      <c r="AC48" s="2">
        <f t="shared" si="17"/>
        <v>-8.1502731285210128E-4</v>
      </c>
      <c r="AD48" s="2">
        <f t="shared" si="19"/>
        <v>0.98486328125</v>
      </c>
      <c r="AE48" s="2">
        <f t="shared" si="18"/>
        <v>-3.0400376801487106E-4</v>
      </c>
      <c r="AF48" s="2">
        <f t="shared" si="20"/>
        <v>-6.2941580052127672E-8</v>
      </c>
      <c r="AG48" s="2">
        <f t="shared" si="21"/>
        <v>2.4777137414207396E-7</v>
      </c>
      <c r="AH48" s="2">
        <f t="shared" si="22"/>
        <v>9.765625E-4</v>
      </c>
    </row>
    <row r="49" spans="2:34" x14ac:dyDescent="0.2">
      <c r="B49" s="6" t="s">
        <v>251</v>
      </c>
      <c r="C49" s="17">
        <f>39.5112*0.3048^2</f>
        <v>3.6707105940480003</v>
      </c>
      <c r="D49" s="6" t="s">
        <v>11</v>
      </c>
      <c r="Y49" s="2">
        <v>11</v>
      </c>
      <c r="Z49" s="2">
        <f t="shared" si="23"/>
        <v>0.984375</v>
      </c>
      <c r="AA49" s="2">
        <f t="shared" si="16"/>
        <v>2.0704210498156961E-4</v>
      </c>
      <c r="AB49" s="2">
        <f t="shared" si="24"/>
        <v>0.98486328125</v>
      </c>
      <c r="AC49" s="2">
        <f t="shared" si="17"/>
        <v>-3.0400376801487106E-4</v>
      </c>
      <c r="AD49" s="2">
        <f t="shared" si="19"/>
        <v>0.984619140625</v>
      </c>
      <c r="AE49" s="2">
        <f t="shared" si="18"/>
        <v>-4.8483624583983698E-5</v>
      </c>
      <c r="AF49" s="2">
        <f t="shared" si="20"/>
        <v>-1.0038151691004162E-8</v>
      </c>
      <c r="AG49" s="2">
        <f t="shared" si="21"/>
        <v>1.473920456054948E-8</v>
      </c>
      <c r="AH49" s="2">
        <f t="shared" si="22"/>
        <v>4.8828125E-4</v>
      </c>
    </row>
    <row r="50" spans="2:34" x14ac:dyDescent="0.2">
      <c r="B50" s="6" t="s">
        <v>252</v>
      </c>
      <c r="C50" s="17">
        <f>0.15*3.7875*0.3048</f>
        <v>0.1731645</v>
      </c>
      <c r="D50" s="6" t="s">
        <v>8</v>
      </c>
      <c r="Y50" s="2">
        <v>12</v>
      </c>
      <c r="Z50" s="2">
        <f t="shared" si="23"/>
        <v>0.984375</v>
      </c>
      <c r="AA50" s="2">
        <f t="shared" si="16"/>
        <v>2.0704210498156961E-4</v>
      </c>
      <c r="AB50" s="2">
        <f t="shared" si="24"/>
        <v>0.984619140625</v>
      </c>
      <c r="AC50" s="2">
        <f t="shared" si="17"/>
        <v>-4.8483624583983698E-5</v>
      </c>
      <c r="AD50" s="2">
        <f t="shared" si="19"/>
        <v>0.9844970703125</v>
      </c>
      <c r="AE50" s="2">
        <f t="shared" si="18"/>
        <v>7.9278541675775749E-5</v>
      </c>
      <c r="AF50" s="2">
        <f t="shared" si="20"/>
        <v>1.6413996148421705E-8</v>
      </c>
      <c r="AG50" s="2">
        <f t="shared" si="21"/>
        <v>-3.8437110521740168E-9</v>
      </c>
      <c r="AH50" s="2">
        <f t="shared" si="22"/>
        <v>2.44140625E-4</v>
      </c>
    </row>
    <row r="51" spans="2:34" x14ac:dyDescent="0.2">
      <c r="Y51" s="2">
        <v>13</v>
      </c>
      <c r="Z51" s="2">
        <f t="shared" si="23"/>
        <v>0.9844970703125</v>
      </c>
      <c r="AA51" s="2">
        <f t="shared" si="16"/>
        <v>7.9278541675775749E-5</v>
      </c>
      <c r="AB51" s="2">
        <f t="shared" si="24"/>
        <v>0.984619140625</v>
      </c>
      <c r="AC51" s="2">
        <f t="shared" si="17"/>
        <v>-4.8483624583983698E-5</v>
      </c>
      <c r="AD51" s="2">
        <f t="shared" si="19"/>
        <v>0.98455810546875</v>
      </c>
      <c r="AE51" s="2">
        <f t="shared" si="18"/>
        <v>1.5397283947171658E-5</v>
      </c>
      <c r="AF51" s="2">
        <f t="shared" si="20"/>
        <v>1.2206742170996013E-9</v>
      </c>
      <c r="AG51" s="2">
        <f t="shared" si="21"/>
        <v>-7.4651613450766931E-10</v>
      </c>
      <c r="AH51" s="2">
        <f t="shared" si="22"/>
        <v>1.220703125E-4</v>
      </c>
    </row>
    <row r="52" spans="2:34" x14ac:dyDescent="0.2">
      <c r="B52" s="54" t="s">
        <v>253</v>
      </c>
      <c r="C52" s="54"/>
      <c r="D52" s="54"/>
      <c r="Y52" s="2">
        <v>14</v>
      </c>
      <c r="Z52" s="2">
        <f t="shared" si="23"/>
        <v>0.98455810546875</v>
      </c>
      <c r="AA52" s="2">
        <f t="shared" si="16"/>
        <v>1.5397283947171658E-5</v>
      </c>
      <c r="AB52" s="2">
        <f t="shared" si="24"/>
        <v>0.984619140625</v>
      </c>
      <c r="AC52" s="2">
        <f t="shared" si="17"/>
        <v>-4.8483624583983698E-5</v>
      </c>
      <c r="AD52" s="2">
        <f t="shared" si="19"/>
        <v>0.984588623046875</v>
      </c>
      <c r="AE52" s="2">
        <f t="shared" si="18"/>
        <v>-1.6543213964048675E-5</v>
      </c>
      <c r="AF52" s="2">
        <f t="shared" si="20"/>
        <v>-2.5472056280327269E-10</v>
      </c>
      <c r="AG52" s="2">
        <f t="shared" si="21"/>
        <v>8.0207497524545275E-10</v>
      </c>
      <c r="AH52" s="2">
        <f t="shared" si="22"/>
        <v>6.103515625E-5</v>
      </c>
    </row>
    <row r="53" spans="2:34" x14ac:dyDescent="0.2">
      <c r="B53" s="6" t="s">
        <v>254</v>
      </c>
      <c r="C53" s="17">
        <v>1.1798999999999999</v>
      </c>
      <c r="Y53" s="2">
        <v>15</v>
      </c>
      <c r="Z53" s="2">
        <f t="shared" si="23"/>
        <v>0.98455810546875</v>
      </c>
      <c r="AA53" s="2">
        <f t="shared" si="16"/>
        <v>1.5397283947171658E-5</v>
      </c>
      <c r="AB53" s="2">
        <f t="shared" si="24"/>
        <v>0.984588623046875</v>
      </c>
      <c r="AC53" s="2">
        <f t="shared" si="17"/>
        <v>-1.6543213964048675E-5</v>
      </c>
      <c r="AD53" s="2">
        <f t="shared" si="19"/>
        <v>0.9845733642578125</v>
      </c>
      <c r="AE53" s="2">
        <f t="shared" si="18"/>
        <v>-5.7297592037652834E-7</v>
      </c>
      <c r="AF53" s="2">
        <f t="shared" si="20"/>
        <v>-8.8222729409294252E-12</v>
      </c>
      <c r="AG53" s="2">
        <f t="shared" si="21"/>
        <v>9.478863247036626E-12</v>
      </c>
      <c r="AH53" s="2">
        <f t="shared" si="22"/>
        <v>3.0517578125E-5</v>
      </c>
    </row>
    <row r="54" spans="2:34" x14ac:dyDescent="0.2">
      <c r="B54" s="6" t="s">
        <v>255</v>
      </c>
      <c r="C54" s="17">
        <f>27.34325*0.3048^2</f>
        <v>2.5402710484800002</v>
      </c>
      <c r="D54" s="6" t="s">
        <v>11</v>
      </c>
      <c r="Y54" s="2">
        <v>16</v>
      </c>
      <c r="Z54" s="2">
        <f t="shared" si="23"/>
        <v>0.98455810546875</v>
      </c>
      <c r="AA54" s="2">
        <f t="shared" si="16"/>
        <v>1.5397283947171658E-5</v>
      </c>
      <c r="AB54" s="2">
        <f t="shared" si="24"/>
        <v>0.9845733642578125</v>
      </c>
      <c r="AC54" s="2">
        <f t="shared" si="17"/>
        <v>-5.7297592037652834E-7</v>
      </c>
      <c r="AD54" s="2">
        <f t="shared" si="19"/>
        <v>0.98456573486328125</v>
      </c>
      <c r="AE54" s="2">
        <f t="shared" si="18"/>
        <v>7.41215128541306E-6</v>
      </c>
      <c r="AF54" s="2">
        <f t="shared" si="20"/>
        <v>1.1412699800089828E-10</v>
      </c>
      <c r="AG54" s="2">
        <f t="shared" si="21"/>
        <v>-4.2469842047296157E-12</v>
      </c>
      <c r="AH54" s="2">
        <f t="shared" si="22"/>
        <v>1.52587890625E-5</v>
      </c>
    </row>
    <row r="55" spans="2:34" x14ac:dyDescent="0.2">
      <c r="B55" s="6" t="s">
        <v>256</v>
      </c>
      <c r="C55" s="17">
        <f>0.115*9.73719*0.3048</f>
        <v>0.34130798388000005</v>
      </c>
      <c r="D55" s="6" t="s">
        <v>8</v>
      </c>
      <c r="Y55" s="2">
        <v>17</v>
      </c>
      <c r="Z55" s="2">
        <f t="shared" si="23"/>
        <v>0.98456573486328125</v>
      </c>
      <c r="AA55" s="2">
        <f t="shared" si="16"/>
        <v>7.41215128541306E-6</v>
      </c>
      <c r="AB55" s="2">
        <f t="shared" si="24"/>
        <v>0.9845733642578125</v>
      </c>
      <c r="AC55" s="2">
        <f t="shared" si="17"/>
        <v>-5.7297592037652834E-7</v>
      </c>
      <c r="AD55" s="2">
        <f t="shared" si="19"/>
        <v>0.98456954956054688</v>
      </c>
      <c r="AE55" s="2">
        <f t="shared" si="18"/>
        <v>3.4195870004527507E-6</v>
      </c>
      <c r="AF55" s="2">
        <f t="shared" si="20"/>
        <v>2.5346496180987646E-11</v>
      </c>
      <c r="AG55" s="2">
        <f t="shared" si="21"/>
        <v>-1.9593410088920266E-12</v>
      </c>
      <c r="AH55" s="2">
        <f t="shared" si="22"/>
        <v>7.62939453125E-6</v>
      </c>
    </row>
    <row r="56" spans="2:34" x14ac:dyDescent="0.2">
      <c r="B56" s="6" t="s">
        <v>257</v>
      </c>
      <c r="C56" s="17">
        <v>35</v>
      </c>
      <c r="D56" s="6" t="s">
        <v>43</v>
      </c>
      <c r="Y56" s="2">
        <v>18</v>
      </c>
      <c r="Z56" s="2">
        <f t="shared" si="23"/>
        <v>0.98456954956054688</v>
      </c>
      <c r="AA56" s="2">
        <f t="shared" si="16"/>
        <v>3.4195870004527507E-6</v>
      </c>
      <c r="AB56" s="2">
        <f t="shared" si="24"/>
        <v>0.9845733642578125</v>
      </c>
      <c r="AC56" s="2">
        <f t="shared" si="17"/>
        <v>-5.7297592037652834E-7</v>
      </c>
      <c r="AD56" s="2">
        <f t="shared" si="19"/>
        <v>0.98457145690917969</v>
      </c>
      <c r="AE56" s="2">
        <f t="shared" si="18"/>
        <v>1.4233053695633657E-6</v>
      </c>
      <c r="AF56" s="2">
        <f t="shared" si="20"/>
        <v>4.8671165394334838E-12</v>
      </c>
      <c r="AG56" s="2">
        <f t="shared" si="21"/>
        <v>-8.1551970410242423E-13</v>
      </c>
      <c r="AH56" s="2">
        <f t="shared" si="22"/>
        <v>3.814697265625E-6</v>
      </c>
    </row>
    <row r="57" spans="2:34" x14ac:dyDescent="0.2">
      <c r="Y57" s="2">
        <v>19</v>
      </c>
      <c r="Z57" s="2">
        <f t="shared" si="23"/>
        <v>0.98457145690917969</v>
      </c>
      <c r="AA57" s="2">
        <f t="shared" si="16"/>
        <v>1.4233053695633657E-6</v>
      </c>
      <c r="AB57" s="2">
        <f t="shared" si="24"/>
        <v>0.9845733642578125</v>
      </c>
      <c r="AC57" s="2">
        <f t="shared" si="17"/>
        <v>-5.7297592037652834E-7</v>
      </c>
      <c r="AD57" s="2">
        <f t="shared" si="19"/>
        <v>0.98457241058349609</v>
      </c>
      <c r="AE57" s="2">
        <f t="shared" si="18"/>
        <v>4.251646820163657E-7</v>
      </c>
      <c r="AF57" s="2">
        <f t="shared" si="20"/>
        <v>6.0513917486259423E-13</v>
      </c>
      <c r="AG57" s="2">
        <f t="shared" si="21"/>
        <v>-2.4360912498992117E-13</v>
      </c>
      <c r="AH57" s="2">
        <f t="shared" si="22"/>
        <v>1.9073486328125E-6</v>
      </c>
    </row>
    <row r="58" spans="2:34" x14ac:dyDescent="0.2">
      <c r="B58" s="57" t="s">
        <v>2</v>
      </c>
      <c r="C58" s="58"/>
      <c r="D58" s="58"/>
      <c r="Y58" s="2">
        <v>20</v>
      </c>
      <c r="Z58" s="2">
        <f t="shared" si="23"/>
        <v>0.98457241058349609</v>
      </c>
      <c r="AA58" s="2">
        <f t="shared" si="16"/>
        <v>4.251646820163657E-7</v>
      </c>
      <c r="AB58" s="2">
        <f t="shared" si="24"/>
        <v>0.9845733642578125</v>
      </c>
      <c r="AC58" s="2">
        <f t="shared" si="17"/>
        <v>-5.7297592037652834E-7</v>
      </c>
      <c r="AD58" s="2">
        <f t="shared" si="19"/>
        <v>0.9845728874206543</v>
      </c>
      <c r="AE58" s="2">
        <f t="shared" si="18"/>
        <v>-7.3905629838222353E-8</v>
      </c>
      <c r="AF58" s="2">
        <f t="shared" si="20"/>
        <v>-3.1422063609387036E-14</v>
      </c>
      <c r="AG58" s="2">
        <f t="shared" si="21"/>
        <v>4.2346146277562467E-14</v>
      </c>
      <c r="AH58" s="2">
        <f t="shared" si="22"/>
        <v>9.5367431640625E-7</v>
      </c>
    </row>
    <row r="59" spans="2:34" x14ac:dyDescent="0.2">
      <c r="B59" s="6" t="s">
        <v>3</v>
      </c>
      <c r="C59" s="17">
        <v>250</v>
      </c>
      <c r="D59" s="6" t="s">
        <v>4</v>
      </c>
      <c r="Y59" s="2">
        <v>21</v>
      </c>
      <c r="Z59" s="2">
        <f t="shared" si="23"/>
        <v>0.98457241058349609</v>
      </c>
      <c r="AA59" s="2">
        <f t="shared" si="16"/>
        <v>4.251646820163657E-7</v>
      </c>
      <c r="AB59" s="2">
        <f t="shared" si="24"/>
        <v>0.9845728874206543</v>
      </c>
      <c r="AC59" s="2">
        <f t="shared" si="17"/>
        <v>-7.3905629838222353E-8</v>
      </c>
      <c r="AD59" s="2">
        <f t="shared" si="19"/>
        <v>0.9845726490020752</v>
      </c>
      <c r="AE59" s="2">
        <f t="shared" si="18"/>
        <v>1.7562952336902526E-7</v>
      </c>
      <c r="AF59" s="2">
        <f t="shared" si="20"/>
        <v>7.4671470455877491E-14</v>
      </c>
      <c r="AG59" s="2">
        <f t="shared" si="21"/>
        <v>-1.2980010542774604E-14</v>
      </c>
      <c r="AH59" s="2">
        <f t="shared" si="22"/>
        <v>4.76837158203125E-7</v>
      </c>
    </row>
    <row r="60" spans="2:34" x14ac:dyDescent="0.2">
      <c r="B60" s="6" t="s">
        <v>5</v>
      </c>
      <c r="C60" s="17">
        <v>0.85</v>
      </c>
      <c r="Y60" s="2">
        <v>22</v>
      </c>
      <c r="Z60" s="2">
        <f t="shared" si="23"/>
        <v>0.9845726490020752</v>
      </c>
      <c r="AA60" s="2">
        <f t="shared" si="16"/>
        <v>1.7562952336902526E-7</v>
      </c>
      <c r="AB60" s="2">
        <f t="shared" si="24"/>
        <v>0.9845728874206543</v>
      </c>
      <c r="AC60" s="2">
        <f t="shared" si="17"/>
        <v>-7.3905629838222353E-8</v>
      </c>
      <c r="AD60" s="2">
        <f t="shared" si="19"/>
        <v>0.98457276821136475</v>
      </c>
      <c r="AE60" s="2">
        <f t="shared" si="18"/>
        <v>5.0861946099267641E-8</v>
      </c>
      <c r="AF60" s="2">
        <f t="shared" si="20"/>
        <v>8.9328593510354295E-15</v>
      </c>
      <c r="AG60" s="2">
        <f t="shared" si="21"/>
        <v>-3.7589841612640915E-15</v>
      </c>
      <c r="AH60" s="2">
        <f t="shared" si="22"/>
        <v>2.384185791015625E-7</v>
      </c>
    </row>
    <row r="61" spans="2:34" x14ac:dyDescent="0.2">
      <c r="B61" s="6" t="s">
        <v>6</v>
      </c>
      <c r="C61" s="17">
        <v>0.8</v>
      </c>
      <c r="Y61" s="2">
        <v>23</v>
      </c>
      <c r="Z61" s="2">
        <f t="shared" si="23"/>
        <v>0.98457276821136475</v>
      </c>
      <c r="AA61" s="2">
        <f t="shared" si="16"/>
        <v>5.0861946099267641E-8</v>
      </c>
      <c r="AB61" s="2">
        <f t="shared" si="24"/>
        <v>0.9845728874206543</v>
      </c>
      <c r="AC61" s="2">
        <f t="shared" si="17"/>
        <v>-7.3905629838222353E-8</v>
      </c>
      <c r="AD61" s="2">
        <f t="shared" si="19"/>
        <v>0.98457282781600952</v>
      </c>
      <c r="AE61" s="2">
        <f t="shared" si="18"/>
        <v>-1.152184203601081E-8</v>
      </c>
      <c r="AF61" s="2">
        <f t="shared" si="20"/>
        <v>-5.8602330859985798E-16</v>
      </c>
      <c r="AG61" s="2">
        <f t="shared" si="21"/>
        <v>8.5152899256788507E-16</v>
      </c>
      <c r="AH61" s="2">
        <f t="shared" si="22"/>
        <v>1.1920928955078125E-7</v>
      </c>
    </row>
    <row r="62" spans="2:34" x14ac:dyDescent="0.2">
      <c r="Y62" s="2">
        <v>24</v>
      </c>
      <c r="Z62" s="2">
        <f t="shared" si="23"/>
        <v>0.98457276821136475</v>
      </c>
      <c r="AA62" s="2">
        <f t="shared" si="16"/>
        <v>5.0861946099267641E-8</v>
      </c>
      <c r="AB62" s="2">
        <f t="shared" si="24"/>
        <v>0.98457282781600952</v>
      </c>
      <c r="AC62" s="2">
        <f t="shared" si="17"/>
        <v>-1.152184203601081E-8</v>
      </c>
      <c r="AD62" s="2">
        <f t="shared" si="19"/>
        <v>0.98457279801368713</v>
      </c>
      <c r="AE62" s="2">
        <f t="shared" si="18"/>
        <v>1.9670052031628416E-8</v>
      </c>
      <c r="AF62" s="2">
        <f t="shared" si="20"/>
        <v>1.0004571262024745E-15</v>
      </c>
      <c r="AG62" s="2">
        <f t="shared" si="21"/>
        <v>-2.2663523234853608E-16</v>
      </c>
      <c r="AH62" s="2">
        <f t="shared" si="22"/>
        <v>5.9604644775390625E-8</v>
      </c>
    </row>
    <row r="63" spans="2:34" x14ac:dyDescent="0.2">
      <c r="B63" s="54" t="s">
        <v>272</v>
      </c>
      <c r="C63" s="55"/>
      <c r="D63" s="55"/>
      <c r="Y63" s="2">
        <v>25</v>
      </c>
      <c r="Z63" s="2">
        <f t="shared" si="23"/>
        <v>0.98457279801368713</v>
      </c>
      <c r="AA63" s="2">
        <f t="shared" si="16"/>
        <v>1.9670052031628416E-8</v>
      </c>
      <c r="AB63" s="2">
        <f t="shared" si="24"/>
        <v>0.98457282781600952</v>
      </c>
      <c r="AC63" s="2">
        <f t="shared" si="17"/>
        <v>-1.152184203601081E-8</v>
      </c>
      <c r="AD63" s="2">
        <f t="shared" si="19"/>
        <v>0.98457281291484833</v>
      </c>
      <c r="AE63" s="2">
        <f t="shared" si="18"/>
        <v>4.0741049422976516E-9</v>
      </c>
      <c r="AF63" s="2">
        <f t="shared" si="20"/>
        <v>8.0137856197309291E-17</v>
      </c>
      <c r="AG63" s="2">
        <f t="shared" si="21"/>
        <v>-4.6941193583284477E-17</v>
      </c>
      <c r="AH63" s="2">
        <f t="shared" si="22"/>
        <v>2.9802322387695312E-8</v>
      </c>
    </row>
    <row r="64" spans="2:34" x14ac:dyDescent="0.2">
      <c r="B64" s="6" t="s">
        <v>15</v>
      </c>
      <c r="C64" s="17">
        <v>1.0397562309141399</v>
      </c>
      <c r="D64" s="6" t="s">
        <v>16</v>
      </c>
      <c r="Y64" s="2">
        <v>26</v>
      </c>
      <c r="Z64" s="2">
        <f>IF(AF63&gt;0, AD63, Z63)</f>
        <v>0.98457281291484833</v>
      </c>
      <c r="AA64" s="2">
        <f t="shared" si="16"/>
        <v>4.0741049422976516E-9</v>
      </c>
      <c r="AB64" s="2">
        <f t="shared" si="24"/>
        <v>0.98457282781600952</v>
      </c>
      <c r="AC64" s="2">
        <f t="shared" si="17"/>
        <v>-1.152184203601081E-8</v>
      </c>
      <c r="AD64" s="2">
        <f t="shared" si="19"/>
        <v>0.98457282036542892</v>
      </c>
      <c r="AE64" s="2">
        <f t="shared" si="18"/>
        <v>-3.7238685468565791E-9</v>
      </c>
      <c r="AF64" s="2">
        <f t="shared" si="20"/>
        <v>-1.5171431251215163E-17</v>
      </c>
      <c r="AG64" s="2">
        <f t="shared" si="21"/>
        <v>4.2905825159750623E-17</v>
      </c>
      <c r="AH64" s="2">
        <f t="shared" si="22"/>
        <v>1.4901161193847656E-8</v>
      </c>
    </row>
    <row r="65" spans="2:34" x14ac:dyDescent="0.2">
      <c r="B65" s="6" t="s">
        <v>214</v>
      </c>
      <c r="C65" s="41">
        <v>1.7363179204150701E-5</v>
      </c>
      <c r="D65" s="6" t="s">
        <v>210</v>
      </c>
      <c r="Y65" s="2">
        <v>27</v>
      </c>
      <c r="Z65" s="2">
        <f t="shared" si="23"/>
        <v>0.98457281291484833</v>
      </c>
      <c r="AA65" s="2">
        <f t="shared" si="16"/>
        <v>4.0741049422976516E-9</v>
      </c>
      <c r="AB65" s="2">
        <f t="shared" si="24"/>
        <v>0.98457282036542892</v>
      </c>
      <c r="AC65" s="2">
        <f t="shared" si="17"/>
        <v>-3.7238685468565791E-9</v>
      </c>
      <c r="AD65" s="2">
        <f t="shared" si="19"/>
        <v>0.98457281664013863</v>
      </c>
      <c r="AE65" s="2">
        <f t="shared" si="18"/>
        <v>1.751182532316875E-10</v>
      </c>
      <c r="AF65" s="2">
        <f t="shared" si="20"/>
        <v>7.1345014097774977E-19</v>
      </c>
      <c r="AG65" s="2">
        <f t="shared" si="21"/>
        <v>-6.5211735518994658E-19</v>
      </c>
      <c r="AH65" s="2">
        <f t="shared" si="22"/>
        <v>7.4505805969238281E-9</v>
      </c>
    </row>
    <row r="66" spans="2:34" x14ac:dyDescent="0.2">
      <c r="B66" s="6" t="s">
        <v>132</v>
      </c>
      <c r="C66" s="17">
        <v>333.91694458017901</v>
      </c>
      <c r="D66" s="6" t="s">
        <v>10</v>
      </c>
      <c r="Y66" s="2">
        <v>28</v>
      </c>
      <c r="Z66" s="2">
        <f t="shared" si="23"/>
        <v>0.98457281664013863</v>
      </c>
      <c r="AA66" s="2">
        <f t="shared" si="16"/>
        <v>1.751182532316875E-10</v>
      </c>
      <c r="AB66" s="2">
        <f t="shared" si="24"/>
        <v>0.98457282036542892</v>
      </c>
      <c r="AC66" s="2">
        <f t="shared" si="17"/>
        <v>-3.7238685468565791E-9</v>
      </c>
      <c r="AD66" s="2">
        <f t="shared" si="19"/>
        <v>0.98457281850278378</v>
      </c>
      <c r="AE66" s="2">
        <f t="shared" si="18"/>
        <v>-1.7743750913012946E-9</v>
      </c>
      <c r="AF66" s="2">
        <f t="shared" si="20"/>
        <v>-3.1072546656649874E-19</v>
      </c>
      <c r="AG66" s="2">
        <f t="shared" si="21"/>
        <v>6.6075395928226616E-18</v>
      </c>
      <c r="AH66" s="2">
        <f t="shared" si="22"/>
        <v>3.7252902984619141E-9</v>
      </c>
    </row>
    <row r="67" spans="2:34" x14ac:dyDescent="0.2">
      <c r="B67" s="6" t="s">
        <v>17</v>
      </c>
      <c r="C67" s="1">
        <v>9.80149119240094</v>
      </c>
      <c r="D67" s="6" t="s">
        <v>18</v>
      </c>
      <c r="Y67" s="2">
        <v>29</v>
      </c>
      <c r="Z67" s="2">
        <f t="shared" si="23"/>
        <v>0.98457281664013863</v>
      </c>
      <c r="AA67" s="2">
        <f t="shared" si="16"/>
        <v>1.751182532316875E-10</v>
      </c>
      <c r="AB67" s="2">
        <f t="shared" si="24"/>
        <v>0.98457281850278378</v>
      </c>
      <c r="AC67" s="2">
        <f t="shared" si="17"/>
        <v>-1.7743750913012946E-9</v>
      </c>
      <c r="AD67" s="2">
        <f t="shared" si="19"/>
        <v>0.9845728175714612</v>
      </c>
      <c r="AE67" s="2">
        <f t="shared" si="18"/>
        <v>-7.9962847454595476E-10</v>
      </c>
      <c r="AF67" s="2">
        <f t="shared" si="20"/>
        <v>-1.4002954169680649E-19</v>
      </c>
      <c r="AG67" s="2">
        <f t="shared" si="21"/>
        <v>1.4188408475295934E-18</v>
      </c>
      <c r="AH67" s="2">
        <f t="shared" si="22"/>
        <v>1.862645149230957E-9</v>
      </c>
    </row>
    <row r="68" spans="2:34" x14ac:dyDescent="0.2">
      <c r="Y68" s="2">
        <v>30</v>
      </c>
      <c r="Z68" s="2">
        <f t="shared" si="23"/>
        <v>0.98457281664013863</v>
      </c>
      <c r="AA68" s="2">
        <f t="shared" si="16"/>
        <v>1.751182532316875E-10</v>
      </c>
      <c r="AB68" s="2">
        <f t="shared" si="24"/>
        <v>0.9845728175714612</v>
      </c>
      <c r="AC68" s="2">
        <f t="shared" si="17"/>
        <v>-7.9962847454595476E-10</v>
      </c>
      <c r="AD68" s="5">
        <f t="shared" si="19"/>
        <v>0.98457281710579991</v>
      </c>
      <c r="AE68" s="2">
        <f t="shared" si="18"/>
        <v>-3.1225511065713363E-10</v>
      </c>
      <c r="AF68" s="2">
        <f t="shared" si="20"/>
        <v>-5.468156954094453E-20</v>
      </c>
      <c r="AG68" s="2">
        <f t="shared" si="21"/>
        <v>2.4968807780394206E-19</v>
      </c>
      <c r="AH68" s="2">
        <f t="shared" si="22"/>
        <v>9.3132257461547852E-10</v>
      </c>
    </row>
    <row r="69" spans="2:34" x14ac:dyDescent="0.2">
      <c r="B69" s="54" t="s">
        <v>273</v>
      </c>
      <c r="C69" s="55"/>
      <c r="D69" s="55"/>
    </row>
    <row r="70" spans="2:34" x14ac:dyDescent="0.2">
      <c r="B70" s="6" t="s">
        <v>15</v>
      </c>
      <c r="C70" s="17">
        <v>1.00854450666398</v>
      </c>
      <c r="D70" s="6" t="s">
        <v>16</v>
      </c>
    </row>
    <row r="71" spans="2:34" x14ac:dyDescent="0.2">
      <c r="B71" s="6" t="s">
        <v>214</v>
      </c>
      <c r="C71" s="41">
        <v>1.7265641515845801E-5</v>
      </c>
      <c r="D71" s="6" t="s">
        <v>210</v>
      </c>
    </row>
    <row r="72" spans="2:34" x14ac:dyDescent="0.2">
      <c r="B72" s="6" t="s">
        <v>132</v>
      </c>
      <c r="C72" s="17">
        <v>332.721752148093</v>
      </c>
      <c r="D72" s="6" t="s">
        <v>10</v>
      </c>
    </row>
    <row r="73" spans="2:34" x14ac:dyDescent="0.2">
      <c r="B73" s="6" t="s">
        <v>17</v>
      </c>
      <c r="C73" s="1">
        <v>9.8005536647414697</v>
      </c>
      <c r="D73" s="6" t="s">
        <v>18</v>
      </c>
    </row>
    <row r="75" spans="2:34" x14ac:dyDescent="0.2">
      <c r="B75" s="54" t="s">
        <v>74</v>
      </c>
      <c r="C75" s="54"/>
      <c r="D75" s="54"/>
    </row>
    <row r="76" spans="2:34" x14ac:dyDescent="0.2">
      <c r="B76" s="6" t="s">
        <v>264</v>
      </c>
      <c r="C76" s="17">
        <v>30</v>
      </c>
    </row>
    <row r="77" spans="2:34" x14ac:dyDescent="0.2">
      <c r="B77" s="6" t="s">
        <v>266</v>
      </c>
      <c r="C77" s="17">
        <v>0.8</v>
      </c>
    </row>
    <row r="78" spans="2:34" x14ac:dyDescent="0.2">
      <c r="B78" s="6" t="s">
        <v>267</v>
      </c>
      <c r="C78" s="17">
        <v>0.8</v>
      </c>
    </row>
    <row r="79" spans="2:34" x14ac:dyDescent="0.2">
      <c r="B79" s="6" t="s">
        <v>268</v>
      </c>
      <c r="C79" s="17">
        <v>0.8</v>
      </c>
    </row>
    <row r="80" spans="2:34" x14ac:dyDescent="0.2">
      <c r="B80" s="6" t="s">
        <v>258</v>
      </c>
      <c r="C80" s="17">
        <v>5</v>
      </c>
      <c r="D80" s="6" t="s">
        <v>43</v>
      </c>
    </row>
  </sheetData>
  <mergeCells count="24">
    <mergeCell ref="R18:T18"/>
    <mergeCell ref="B21:D21"/>
    <mergeCell ref="F26:H26"/>
    <mergeCell ref="B27:D27"/>
    <mergeCell ref="B1:D1"/>
    <mergeCell ref="B3:D3"/>
    <mergeCell ref="F3:H3"/>
    <mergeCell ref="J3:L3"/>
    <mergeCell ref="R3:T3"/>
    <mergeCell ref="J9:L9"/>
    <mergeCell ref="B58:D58"/>
    <mergeCell ref="B63:D63"/>
    <mergeCell ref="B69:D69"/>
    <mergeCell ref="B75:D75"/>
    <mergeCell ref="N3:P3"/>
    <mergeCell ref="N18:P18"/>
    <mergeCell ref="B33:D33"/>
    <mergeCell ref="B38:D38"/>
    <mergeCell ref="J41:L41"/>
    <mergeCell ref="B44:D44"/>
    <mergeCell ref="B47:D47"/>
    <mergeCell ref="B52:D52"/>
    <mergeCell ref="F16:H16"/>
    <mergeCell ref="B16:D16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topLeftCell="A2" zoomScale="88" workbookViewId="0">
      <selection activeCell="F30" sqref="F3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60" t="s">
        <v>0</v>
      </c>
      <c r="C1" s="60"/>
      <c r="D1" s="60"/>
    </row>
    <row r="2" spans="2:87" x14ac:dyDescent="0.2">
      <c r="U2" s="16" t="s">
        <v>96</v>
      </c>
      <c r="AF2" s="48" t="s">
        <v>226</v>
      </c>
      <c r="AQ2" s="61" t="s">
        <v>137</v>
      </c>
      <c r="AR2" s="61"/>
      <c r="AS2" s="61"/>
      <c r="AU2" s="61" t="s">
        <v>138</v>
      </c>
      <c r="AV2" s="61"/>
      <c r="AW2" s="61"/>
      <c r="AY2" s="61" t="s">
        <v>139</v>
      </c>
      <c r="AZ2" s="61"/>
      <c r="BA2" s="61"/>
      <c r="BB2" s="61"/>
      <c r="BC2" s="61"/>
      <c r="BD2" s="61"/>
      <c r="BE2" s="61"/>
      <c r="BG2" s="61" t="s">
        <v>140</v>
      </c>
      <c r="BH2" s="61"/>
      <c r="BI2" s="61"/>
      <c r="BJ2" s="61"/>
      <c r="BK2" s="61"/>
      <c r="BL2" s="61"/>
      <c r="BM2" s="61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3" t="s">
        <v>146</v>
      </c>
      <c r="AZ3" s="63"/>
      <c r="BA3" s="63"/>
      <c r="BC3" s="63" t="s">
        <v>147</v>
      </c>
      <c r="BD3" s="63"/>
      <c r="BE3" s="63"/>
      <c r="BG3" s="63" t="s">
        <v>146</v>
      </c>
      <c r="BH3" s="63"/>
      <c r="BI3" s="63"/>
      <c r="BJ3" s="2"/>
      <c r="BK3" s="63" t="s">
        <v>147</v>
      </c>
      <c r="BL3" s="63"/>
      <c r="BM3" s="6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MAX(G13,G27)</f>
        <v>580.64311519654223</v>
      </c>
      <c r="L4" s="6" t="s">
        <v>104</v>
      </c>
      <c r="N4" s="6" t="s">
        <v>228</v>
      </c>
      <c r="O4" s="6">
        <f xml:space="preserve"> $C$5 * $C$67</f>
        <v>22723.557321743177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1.5406640102663198</v>
      </c>
      <c r="X4" s="3">
        <v>1</v>
      </c>
      <c r="Y4" s="2">
        <f t="shared" ref="Y4:Y34" si="1" xml:space="preserve"> $O$22 * TAN($O$19/180*PI()) + $O$23 / (2 * SQRT($O$22^2 + X4^2)) - X4</f>
        <v>-1.2372050195838313E-2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0.53593415456055893</v>
      </c>
      <c r="AB4" s="2">
        <f>W4*AA4</f>
        <v>0.82569446380396039</v>
      </c>
      <c r="AC4" s="2">
        <f>Y4*AA4</f>
        <v>-6.6306042618874041E-3</v>
      </c>
      <c r="AD4" s="2">
        <f>X4-V4</f>
        <v>1</v>
      </c>
      <c r="AF4" s="2">
        <v>0</v>
      </c>
      <c r="AH4" s="2">
        <f>K30</f>
        <v>-2.9481328730526002E-2</v>
      </c>
      <c r="AJ4" s="2">
        <f>K30</f>
        <v>-2.9481328730526002E-2</v>
      </c>
      <c r="AL4" s="2">
        <f>K30</f>
        <v>-2.9481328730526002E-2</v>
      </c>
      <c r="AQ4" s="2" t="s">
        <v>151</v>
      </c>
      <c r="AR4" s="2">
        <f>$C$6</f>
        <v>567.09229209301498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0.52636750870146964</v>
      </c>
      <c r="BI4" s="5" t="s">
        <v>155</v>
      </c>
      <c r="BJ4" s="2"/>
      <c r="BK4" s="28" t="s">
        <v>154</v>
      </c>
      <c r="BL4" s="29">
        <f>CE34</f>
        <v>0.44577263887935586</v>
      </c>
      <c r="BM4" s="5" t="s">
        <v>155</v>
      </c>
      <c r="BO4" s="30">
        <v>0</v>
      </c>
      <c r="BP4" s="30"/>
      <c r="BQ4" s="30">
        <f>$BH$20</f>
        <v>7.0109706928889182E-9</v>
      </c>
      <c r="BR4" s="30"/>
      <c r="BS4" s="30">
        <f>$BH$20</f>
        <v>7.0109706928889182E-9</v>
      </c>
      <c r="BT4" s="30"/>
      <c r="BU4" s="30">
        <f>$BH$20</f>
        <v>7.0109706928889182E-9</v>
      </c>
      <c r="BV4" s="30"/>
      <c r="BW4" s="30"/>
      <c r="BX4" s="30"/>
      <c r="BZ4" s="30">
        <v>0</v>
      </c>
      <c r="CA4" s="30"/>
      <c r="CB4" s="30">
        <f>$BL$20</f>
        <v>9.1550736991408144E-9</v>
      </c>
      <c r="CC4" s="30"/>
      <c r="CD4" s="30">
        <f>$BL$20</f>
        <v>9.1550736991408144E-9</v>
      </c>
      <c r="CE4" s="30"/>
      <c r="CF4" s="30">
        <f>$BL$20</f>
        <v>9.1550736991408144E-9</v>
      </c>
      <c r="CG4" s="30"/>
      <c r="CH4" s="30"/>
      <c r="CI4" s="30"/>
    </row>
    <row r="5" spans="2:87" x14ac:dyDescent="0.2">
      <c r="B5" s="10" t="s">
        <v>40</v>
      </c>
      <c r="C5" s="10">
        <v>2318.37756885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72.580389399567778</v>
      </c>
      <c r="L5" s="6" t="s">
        <v>104</v>
      </c>
      <c r="N5" s="6" t="s">
        <v>25</v>
      </c>
      <c r="O5" s="6">
        <f xml:space="preserve"> 0.5 * $C$70 * $C$8^2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0.53593415456055893</v>
      </c>
      <c r="X5" s="2">
        <f>IF(AC4&gt;0, Z4, X4)</f>
        <v>1</v>
      </c>
      <c r="Y5" s="2">
        <f t="shared" si="1"/>
        <v>-1.2372050195838313E-2</v>
      </c>
      <c r="Z5" s="2">
        <f t="shared" ref="Z5:Z34" si="3" xml:space="preserve"> (V5 + X5)/2</f>
        <v>0.75</v>
      </c>
      <c r="AA5" s="2">
        <f t="shared" si="2"/>
        <v>0.25388464104698305</v>
      </c>
      <c r="AB5" s="2">
        <f t="shared" ref="AB5:AB34" si="4">W5*AA5</f>
        <v>0.13606545045542584</v>
      </c>
      <c r="AC5" s="2">
        <f t="shared" ref="AC5:AC34" si="5">Y5*AA5</f>
        <v>-3.1410735229856664E-3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-1007.0218559622217</v>
      </c>
      <c r="AI5" s="3">
        <v>5000</v>
      </c>
      <c r="AJ5" s="2">
        <f t="dataTable" ref="AJ5:AJ44" dt2D="0" dtr="0" r1="C5" ca="1"/>
        <v>1566.0943742010145</v>
      </c>
      <c r="AK5" s="2">
        <f>(AG5+AI5)/2</f>
        <v>2750</v>
      </c>
      <c r="AL5" s="2">
        <f t="dataTable" ref="AL5:AL44" dt2D="0" dtr="0" r1="C5" ca="1"/>
        <v>218.72136577865308</v>
      </c>
      <c r="AM5" s="2">
        <f>AH5*AL5</f>
        <v>-220257.1957050112</v>
      </c>
      <c r="AN5" s="2">
        <f>AJ5*AL5</f>
        <v>342538.30046351091</v>
      </c>
      <c r="AO5" s="2">
        <f>AI5-AG5</f>
        <v>4500</v>
      </c>
      <c r="AQ5" s="2" t="s">
        <v>157</v>
      </c>
      <c r="AR5" s="3">
        <v>27.5936609772473</v>
      </c>
      <c r="AS5" s="26" t="s">
        <v>43</v>
      </c>
      <c r="AU5" s="2" t="s">
        <v>29</v>
      </c>
      <c r="AV5" s="2">
        <f>AR4*2*PI()/60</f>
        <v>59.385765958227104</v>
      </c>
      <c r="AW5" s="26" t="s">
        <v>30</v>
      </c>
      <c r="AY5" s="2" t="s">
        <v>158</v>
      </c>
      <c r="AZ5" s="2">
        <f>(1+$BH$18)*$AR$3</f>
        <v>10.402098769228962</v>
      </c>
      <c r="BA5" s="26" t="s">
        <v>10</v>
      </c>
      <c r="BC5" s="2" t="s">
        <v>158</v>
      </c>
      <c r="BD5" s="2">
        <f>(1+$BL$18)*$AR$3</f>
        <v>12.840646473654543</v>
      </c>
      <c r="BE5" s="26" t="s">
        <v>10</v>
      </c>
      <c r="BG5" s="2" t="s">
        <v>159</v>
      </c>
      <c r="BH5" s="2">
        <f>($AR$35+$AR$5)/180*PI()</f>
        <v>0.61004556137099919</v>
      </c>
      <c r="BI5" s="2" t="s">
        <v>155</v>
      </c>
      <c r="BJ5" s="2"/>
      <c r="BK5" s="2" t="s">
        <v>159</v>
      </c>
      <c r="BL5" s="2">
        <f>($AR$36+$AR$5)/180*PI()</f>
        <v>0.58419287182583324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 ca="1"/>
        <v>-7.4374525453840032</v>
      </c>
      <c r="BR5" s="3">
        <f>0.9*PI()</f>
        <v>2.8274333882308138</v>
      </c>
      <c r="BS5" s="2">
        <f t="dataTable" ref="BS5:BS34" dt2D="0" dtr="0" r1="BH4" ca="1"/>
        <v>0.99467147410145551</v>
      </c>
      <c r="BT5" s="2">
        <f t="shared" ref="BT5:BT34" si="7">(BP5+BR5)/2</f>
        <v>1.4294246573833558</v>
      </c>
      <c r="BU5" s="2">
        <f t="dataTable" ref="BU5:BU34" dt2D="0" dtr="0" r1="BH4"/>
        <v>1.3254151119613151</v>
      </c>
      <c r="BV5" s="2">
        <f t="shared" ref="BV5:BV34" si="8">BQ5*BU5</f>
        <v>-9.8577119981471064</v>
      </c>
      <c r="BW5" s="2">
        <f t="shared" ref="BW5:BW34" si="9">BS5*BU5</f>
        <v>1.318352603210907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 ca="1"/>
        <v>-4.572350718311931</v>
      </c>
      <c r="CC5" s="3">
        <f>0.9*PI()</f>
        <v>2.8274333882308138</v>
      </c>
      <c r="CD5" s="2">
        <f t="dataTable" ref="CD5:CD34" dt2D="0" dtr="0" r1="BL4"/>
        <v>0.68948715198263566</v>
      </c>
      <c r="CE5" s="2">
        <f t="shared" ref="CE5:CE34" si="11">(CA5+CC5)/2</f>
        <v>1.4294246573833558</v>
      </c>
      <c r="CF5" s="2">
        <f t="dataTable" ref="CF5:CF34" dt2D="0" dtr="0" r1="BL4" ca="1"/>
        <v>1.1676547551384502</v>
      </c>
      <c r="CG5" s="2">
        <f t="shared" ref="CG5:CG34" si="12">CB5*CF5</f>
        <v>-5.3389270583976343</v>
      </c>
      <c r="CH5" s="2">
        <f t="shared" ref="CH5:CH34" si="13">CD5*CF5</f>
        <v>0.80508295161939181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567.09229209301498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MAX(G20)</f>
        <v>89.065228555846474</v>
      </c>
      <c r="L6" s="6" t="s">
        <v>104</v>
      </c>
      <c r="N6" s="6" t="s">
        <v>119</v>
      </c>
      <c r="O6" s="6">
        <f xml:space="preserve"> ($C$22+$C$28) * 0.4 * ($C$5/($C$22+$C$28) *2.20462/1000)^(2/3) * 0.3048^2</f>
        <v>0.22935912647196666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0.25388464104698305</v>
      </c>
      <c r="X6" s="2">
        <f t="shared" ref="X6:X34" si="16">IF(AC5&gt;0, Z5, X5)</f>
        <v>1</v>
      </c>
      <c r="Y6" s="2">
        <f t="shared" si="1"/>
        <v>-1.2372050195838313E-2</v>
      </c>
      <c r="Z6" s="2">
        <f t="shared" si="3"/>
        <v>0.875</v>
      </c>
      <c r="AA6" s="2">
        <f t="shared" si="2"/>
        <v>0.11961050979622367</v>
      </c>
      <c r="AB6" s="2">
        <f t="shared" si="4"/>
        <v>3.0367271345060898E-2</v>
      </c>
      <c r="AC6" s="2">
        <f t="shared" si="5"/>
        <v>-1.4798272311486896E-3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-1007.0218559622217</v>
      </c>
      <c r="AI6" s="2">
        <f>IF(AN5&gt;0,AK5,AI5)</f>
        <v>2750</v>
      </c>
      <c r="AJ6" s="2">
        <v>218.72136577865308</v>
      </c>
      <c r="AK6" s="2">
        <f t="shared" ref="AK6:AK44" si="17">(AG6+AI6)/2</f>
        <v>1625</v>
      </c>
      <c r="AL6" s="2">
        <v>-374.31008553680454</v>
      </c>
      <c r="AM6" s="2">
        <f t="shared" ref="AM6:AM44" si="18">AH6*AL6</f>
        <v>376938.43704265088</v>
      </c>
      <c r="AN6" s="2">
        <f t="shared" ref="AN6:AN44" si="19">AJ6*AL6</f>
        <v>-81869.613133334351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9.4515382015502496</v>
      </c>
      <c r="AW6" s="26" t="s">
        <v>162</v>
      </c>
      <c r="AY6" s="2" t="s">
        <v>163</v>
      </c>
      <c r="AZ6" s="2">
        <f>(1-$BH$19)*$AV$5*$AR$19</f>
        <v>17.902311591381327</v>
      </c>
      <c r="BA6" s="26" t="s">
        <v>10</v>
      </c>
      <c r="BC6" s="2" t="s">
        <v>163</v>
      </c>
      <c r="BD6" s="2">
        <f>(1-$BL$19)*$AV$5*$AR$20</f>
        <v>26.871607022683843</v>
      </c>
      <c r="BE6" s="26" t="s">
        <v>10</v>
      </c>
      <c r="BG6" s="2" t="s">
        <v>28</v>
      </c>
      <c r="BH6" s="2">
        <f>BH5-BH4</f>
        <v>8.3678052669529546E-2</v>
      </c>
      <c r="BI6" s="2" t="s">
        <v>155</v>
      </c>
      <c r="BJ6" s="2"/>
      <c r="BK6" s="2" t="s">
        <v>28</v>
      </c>
      <c r="BL6" s="2">
        <f>BL5-BL4</f>
        <v>0.13842023294647737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-7.4374525453840032</v>
      </c>
      <c r="BR6" s="2">
        <f t="shared" ref="BR6:BR34" si="22">IF(BW5&gt;0,BT5,BR5)</f>
        <v>1.4294246573833558</v>
      </c>
      <c r="BS6" s="2">
        <v>1.3254151119613151</v>
      </c>
      <c r="BT6" s="2">
        <f t="shared" si="7"/>
        <v>0.73042029195962688</v>
      </c>
      <c r="BU6" s="2">
        <v>0.94902731865993772</v>
      </c>
      <c r="BV6" s="2">
        <f t="shared" si="8"/>
        <v>-7.058345646806309</v>
      </c>
      <c r="BW6" s="2">
        <f t="shared" si="9"/>
        <v>1.257855149816008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-4.572350718311931</v>
      </c>
      <c r="CC6" s="2">
        <f t="shared" ref="CC6:CC34" si="24">IF(CH5&gt;0,CE5,CC5)</f>
        <v>1.4294246573833558</v>
      </c>
      <c r="CD6" s="2">
        <v>1.1676547551384502</v>
      </c>
      <c r="CE6" s="2">
        <f t="shared" si="11"/>
        <v>0.73042029195962688</v>
      </c>
      <c r="CF6" s="2">
        <v>0.83620089735667846</v>
      </c>
      <c r="CG6" s="2">
        <f t="shared" si="12"/>
        <v>-3.82340377368189</v>
      </c>
      <c r="CH6" s="2">
        <f t="shared" si="13"/>
        <v>0.97639395404956475</v>
      </c>
      <c r="CI6" s="2">
        <f t="shared" si="14"/>
        <v>1.3980087308474578</v>
      </c>
    </row>
    <row r="7" spans="2:87" x14ac:dyDescent="0.2">
      <c r="B7" s="6" t="s">
        <v>271</v>
      </c>
      <c r="C7" s="17">
        <v>370</v>
      </c>
      <c r="D7" s="6" t="s">
        <v>134</v>
      </c>
      <c r="F7" s="6" t="s">
        <v>130</v>
      </c>
      <c r="G7" s="6">
        <f>$C$6*2*PI()*$C$9/60</f>
        <v>90.503907320338115</v>
      </c>
      <c r="H7" s="6" t="s">
        <v>10</v>
      </c>
      <c r="J7" s="6" t="s">
        <v>230</v>
      </c>
      <c r="K7" s="6">
        <f>K6/$C$28</f>
        <v>89.065228555846474</v>
      </c>
      <c r="L7" s="6" t="s">
        <v>104</v>
      </c>
      <c r="N7" s="6" t="s">
        <v>121</v>
      </c>
      <c r="O7" s="6">
        <f xml:space="preserve"> O6 / $C$13</f>
        <v>1.1467956323598334E-2</v>
      </c>
      <c r="U7" s="2">
        <v>3</v>
      </c>
      <c r="V7" s="2">
        <f t="shared" si="15"/>
        <v>0.875</v>
      </c>
      <c r="W7" s="2">
        <f t="shared" si="0"/>
        <v>0.11961050979622367</v>
      </c>
      <c r="X7" s="2">
        <f t="shared" si="16"/>
        <v>1</v>
      </c>
      <c r="Y7" s="2">
        <f t="shared" si="1"/>
        <v>-1.2372050195838313E-2</v>
      </c>
      <c r="Z7" s="2">
        <f t="shared" si="3"/>
        <v>0.9375</v>
      </c>
      <c r="AA7" s="2">
        <f t="shared" si="2"/>
        <v>5.3389142384673294E-2</v>
      </c>
      <c r="AB7" s="2">
        <f t="shared" si="4"/>
        <v>6.3859025382139454E-3</v>
      </c>
      <c r="AC7" s="2">
        <f t="shared" si="5"/>
        <v>-6.6053314949593683E-4</v>
      </c>
      <c r="AD7" s="2">
        <f t="shared" si="6"/>
        <v>0.125</v>
      </c>
      <c r="AF7" s="2">
        <v>3</v>
      </c>
      <c r="AG7" s="2">
        <f t="shared" ref="AG7:AG44" si="25">IF(AM6&gt;0,AK6,AG6)</f>
        <v>1625</v>
      </c>
      <c r="AH7" s="2">
        <v>-374.31008553680454</v>
      </c>
      <c r="AI7" s="2">
        <f t="shared" ref="AI7:AI44" si="26">IF(AN6&gt;0,AK6,AI6)</f>
        <v>2750</v>
      </c>
      <c r="AJ7" s="2">
        <v>218.72136577865308</v>
      </c>
      <c r="AK7" s="2">
        <f t="shared" si="17"/>
        <v>2187.5</v>
      </c>
      <c r="AL7" s="2">
        <v>-68.674218289311284</v>
      </c>
      <c r="AM7" s="2">
        <f t="shared" si="18"/>
        <v>25705.452522045292</v>
      </c>
      <c r="AN7" s="2">
        <f t="shared" si="19"/>
        <v>-15020.51881801952</v>
      </c>
      <c r="AO7" s="2">
        <f t="shared" si="20"/>
        <v>1125</v>
      </c>
      <c r="AQ7" s="61" t="s">
        <v>165</v>
      </c>
      <c r="AR7" s="61"/>
      <c r="AS7" s="61"/>
      <c r="AU7" s="2" t="s">
        <v>166</v>
      </c>
      <c r="AV7" s="2">
        <f>$AR$3/(AV6*AR9)</f>
        <v>8.8169070003510042E-2</v>
      </c>
      <c r="AY7" s="2" t="s">
        <v>167</v>
      </c>
      <c r="AZ7" s="2">
        <f>SQRT(AZ5^2 + AZ6^2)</f>
        <v>20.704985368739116</v>
      </c>
      <c r="BA7" s="26" t="s">
        <v>10</v>
      </c>
      <c r="BC7" s="2" t="s">
        <v>167</v>
      </c>
      <c r="BD7" s="2">
        <f>SQRT(BD5^2 + BD6^2)</f>
        <v>29.781965446271819</v>
      </c>
      <c r="BE7" s="26" t="s">
        <v>10</v>
      </c>
      <c r="BG7" s="2" t="s">
        <v>168</v>
      </c>
      <c r="BH7" s="2">
        <f>BH6/PI()*180</f>
        <v>4.7943992558374546</v>
      </c>
      <c r="BI7" s="2" t="s">
        <v>43</v>
      </c>
      <c r="BJ7" s="2"/>
      <c r="BK7" s="2" t="s">
        <v>168</v>
      </c>
      <c r="BL7" s="2">
        <f>BL6/PI()*180</f>
        <v>7.9308951470508608</v>
      </c>
      <c r="BM7" s="2" t="s">
        <v>43</v>
      </c>
      <c r="BO7" s="2">
        <v>3</v>
      </c>
      <c r="BP7" s="2">
        <f t="shared" si="21"/>
        <v>3.1415926535897934E-2</v>
      </c>
      <c r="BQ7" s="2">
        <v>-7.4374525453840032</v>
      </c>
      <c r="BR7" s="2">
        <f t="shared" si="22"/>
        <v>0.73042029195962688</v>
      </c>
      <c r="BS7" s="2">
        <v>0.94902731865993772</v>
      </c>
      <c r="BT7" s="2">
        <f t="shared" si="7"/>
        <v>0.38091810924776243</v>
      </c>
      <c r="BU7" s="2">
        <v>-0.81945501479240734</v>
      </c>
      <c r="BV7" s="2">
        <f t="shared" si="8"/>
        <v>6.0946577855954764</v>
      </c>
      <c r="BW7" s="2">
        <f t="shared" si="9"/>
        <v>-0.777685195450878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-4.572350718311931</v>
      </c>
      <c r="CC7" s="2">
        <f t="shared" si="24"/>
        <v>0.73042029195962688</v>
      </c>
      <c r="CD7" s="2">
        <v>0.83620089735667846</v>
      </c>
      <c r="CE7" s="2">
        <f t="shared" si="11"/>
        <v>0.38091810924776243</v>
      </c>
      <c r="CF7" s="2">
        <v>-0.23611007814219193</v>
      </c>
      <c r="CG7" s="2">
        <f t="shared" si="12"/>
        <v>1.0795780853941375</v>
      </c>
      <c r="CH7" s="2">
        <f t="shared" si="13"/>
        <v>-0.19743545921745637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G7/$C$66</f>
        <v>0.27103718091972007</v>
      </c>
      <c r="H8" s="6" t="s">
        <v>131</v>
      </c>
      <c r="N8" s="6" t="s">
        <v>123</v>
      </c>
      <c r="O8" s="17">
        <v>2.3739199999999998E-2</v>
      </c>
      <c r="U8" s="2">
        <v>4</v>
      </c>
      <c r="V8" s="2">
        <f t="shared" si="15"/>
        <v>0.9375</v>
      </c>
      <c r="W8" s="2">
        <f t="shared" si="0"/>
        <v>5.3389142384673294E-2</v>
      </c>
      <c r="X8" s="2">
        <f t="shared" si="16"/>
        <v>1</v>
      </c>
      <c r="Y8" s="2">
        <f t="shared" si="1"/>
        <v>-1.2372050195838313E-2</v>
      </c>
      <c r="Z8" s="2">
        <f t="shared" si="3"/>
        <v>0.96875</v>
      </c>
      <c r="AA8" s="2">
        <f t="shared" si="2"/>
        <v>2.0456509168348957E-2</v>
      </c>
      <c r="AB8" s="2">
        <f t="shared" si="4"/>
        <v>1.0921554806823572E-3</v>
      </c>
      <c r="AC8" s="2">
        <f t="shared" si="5"/>
        <v>-2.5308895826243999E-4</v>
      </c>
      <c r="AD8" s="2">
        <f t="shared" si="6"/>
        <v>6.25E-2</v>
      </c>
      <c r="AF8" s="2">
        <v>4</v>
      </c>
      <c r="AG8" s="2">
        <f t="shared" si="25"/>
        <v>2187.5</v>
      </c>
      <c r="AH8" s="2">
        <v>-68.674218289311284</v>
      </c>
      <c r="AI8" s="2">
        <f t="shared" si="26"/>
        <v>2750</v>
      </c>
      <c r="AJ8" s="2">
        <v>218.72136577865308</v>
      </c>
      <c r="AK8" s="2">
        <f t="shared" si="17"/>
        <v>2468.75</v>
      </c>
      <c r="AL8" s="2">
        <v>77.548432223827831</v>
      </c>
      <c r="AM8" s="2">
        <f t="shared" si="18"/>
        <v>-5325.5779625330133</v>
      </c>
      <c r="AN8" s="2">
        <f t="shared" si="19"/>
        <v>16961.499009988933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7">
        <f>$AR$45*AZ7*$AR$27/$AR$46</f>
        <v>1036026.6329109432</v>
      </c>
      <c r="BA8" s="26"/>
      <c r="BC8" s="2" t="s">
        <v>170</v>
      </c>
      <c r="BD8" s="37">
        <f>$AR$45*BD7*$AR$27/$AR$46</f>
        <v>1490216.4301625893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-0.81945501479240734</v>
      </c>
      <c r="BR8" s="2">
        <f t="shared" si="22"/>
        <v>0.73042029195962688</v>
      </c>
      <c r="BS8" s="2">
        <v>0.94902731865993772</v>
      </c>
      <c r="BT8" s="2">
        <f t="shared" si="7"/>
        <v>0.55566920060369462</v>
      </c>
      <c r="BU8" s="2">
        <v>0.15992568841249422</v>
      </c>
      <c r="BV8" s="2">
        <f t="shared" si="8"/>
        <v>-0.13105190736374636</v>
      </c>
      <c r="BW8" s="2">
        <f t="shared" si="9"/>
        <v>0.15177384725895407</v>
      </c>
      <c r="BX8" s="2">
        <f t="shared" si="10"/>
        <v>0.34950218271186445</v>
      </c>
      <c r="BZ8" s="2">
        <v>4</v>
      </c>
      <c r="CA8" s="2">
        <f t="shared" si="23"/>
        <v>0.38091810924776243</v>
      </c>
      <c r="CB8" s="2">
        <v>-0.23611007814219193</v>
      </c>
      <c r="CC8" s="2">
        <f t="shared" si="24"/>
        <v>0.73042029195962688</v>
      </c>
      <c r="CD8" s="2">
        <v>0.83620089735667846</v>
      </c>
      <c r="CE8" s="2">
        <f t="shared" si="11"/>
        <v>0.55566920060369462</v>
      </c>
      <c r="CF8" s="2">
        <v>0.37430505077975884</v>
      </c>
      <c r="CG8" s="2">
        <f t="shared" si="12"/>
        <v>-8.8377194788625976E-2</v>
      </c>
      <c r="CH8" s="2">
        <f t="shared" si="13"/>
        <v>0.31299421934717142</v>
      </c>
      <c r="CI8" s="2">
        <f t="shared" si="14"/>
        <v>0.34950218271186445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$C$67 / $C$22</f>
        <v>2840.4446652178972</v>
      </c>
      <c r="H9" s="6" t="s">
        <v>22</v>
      </c>
      <c r="J9" s="54" t="s">
        <v>23</v>
      </c>
      <c r="K9" s="54"/>
      <c r="L9" s="54"/>
      <c r="N9" s="6" t="s">
        <v>122</v>
      </c>
      <c r="O9" s="6">
        <f xml:space="preserve"> $O$8 + O7</f>
        <v>3.5207156323598332E-2</v>
      </c>
      <c r="U9" s="2">
        <v>5</v>
      </c>
      <c r="V9" s="2">
        <f t="shared" si="15"/>
        <v>0.96875</v>
      </c>
      <c r="W9" s="2">
        <f t="shared" si="0"/>
        <v>2.0456509168348957E-2</v>
      </c>
      <c r="X9" s="2">
        <f t="shared" si="16"/>
        <v>1</v>
      </c>
      <c r="Y9" s="2">
        <f t="shared" si="1"/>
        <v>-1.2372050195838313E-2</v>
      </c>
      <c r="Z9" s="2">
        <f t="shared" si="3"/>
        <v>0.984375</v>
      </c>
      <c r="AA9" s="2">
        <f t="shared" si="2"/>
        <v>4.0298310606459165E-3</v>
      </c>
      <c r="AB9" s="2">
        <f t="shared" si="4"/>
        <v>8.2436276039000598E-5</v>
      </c>
      <c r="AC9" s="2">
        <f t="shared" si="5"/>
        <v>-4.9857272163059627E-5</v>
      </c>
      <c r="AD9" s="2">
        <f t="shared" si="6"/>
        <v>3.125E-2</v>
      </c>
      <c r="AF9" s="2">
        <v>5</v>
      </c>
      <c r="AG9" s="2">
        <f t="shared" si="25"/>
        <v>2187.5</v>
      </c>
      <c r="AH9" s="2">
        <v>-68.674218289311284</v>
      </c>
      <c r="AI9" s="2">
        <f t="shared" si="26"/>
        <v>2468.75</v>
      </c>
      <c r="AJ9" s="2">
        <v>77.548432223827831</v>
      </c>
      <c r="AK9" s="2">
        <f t="shared" si="17"/>
        <v>2328.125</v>
      </c>
      <c r="AL9" s="2">
        <v>5.0417930080020597</v>
      </c>
      <c r="AM9" s="2">
        <f t="shared" si="18"/>
        <v>-346.24119360105681</v>
      </c>
      <c r="AN9" s="2">
        <f t="shared" si="19"/>
        <v>390.98314336761678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1" t="s">
        <v>173</v>
      </c>
      <c r="AV9" s="61"/>
      <c r="AW9" s="61"/>
      <c r="AY9" s="2" t="s">
        <v>174</v>
      </c>
      <c r="AZ9" s="2">
        <f xml:space="preserve"> $BH$8 * PI() * $AR$45 * AZ7^2 *$BH$14 * $AR$19 * AZ4</f>
        <v>32.980161197077166</v>
      </c>
      <c r="BA9" s="26" t="s">
        <v>22</v>
      </c>
      <c r="BC9" s="2" t="s">
        <v>174</v>
      </c>
      <c r="BD9" s="2">
        <f xml:space="preserve"> $BL$8 * PI() * $AR$45 * BD7^2 * $BL$14 * $AR$20 * BD4</f>
        <v>105.35548385070517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0.99783468565176636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0.99003387224990547</v>
      </c>
      <c r="BM9" s="2"/>
      <c r="BO9" s="2">
        <v>5</v>
      </c>
      <c r="BP9" s="2">
        <f t="shared" si="21"/>
        <v>0.38091810924776243</v>
      </c>
      <c r="BQ9" s="2">
        <v>-0.81945501479240734</v>
      </c>
      <c r="BR9" s="2">
        <f t="shared" si="22"/>
        <v>0.55566920060369462</v>
      </c>
      <c r="BS9" s="2">
        <v>0.15992568841249422</v>
      </c>
      <c r="BT9" s="2">
        <f t="shared" si="7"/>
        <v>0.4682936549257285</v>
      </c>
      <c r="BU9" s="2">
        <v>-0.33178680798867355</v>
      </c>
      <c r="BV9" s="2">
        <f t="shared" si="8"/>
        <v>0.27188436364828411</v>
      </c>
      <c r="BW9" s="2">
        <f t="shared" si="9"/>
        <v>-5.3061233673772655E-2</v>
      </c>
      <c r="BX9" s="2">
        <f t="shared" si="10"/>
        <v>0.1747510913559322</v>
      </c>
      <c r="BZ9" s="2">
        <v>5</v>
      </c>
      <c r="CA9" s="2">
        <f t="shared" si="23"/>
        <v>0.38091810924776243</v>
      </c>
      <c r="CB9" s="2">
        <v>-0.23611007814219193</v>
      </c>
      <c r="CC9" s="2">
        <f t="shared" si="24"/>
        <v>0.55566920060369462</v>
      </c>
      <c r="CD9" s="2">
        <v>0.37430505077975884</v>
      </c>
      <c r="CE9" s="2">
        <f t="shared" si="11"/>
        <v>0.4682936549257285</v>
      </c>
      <c r="CF9" s="2">
        <v>8.0834762891276599E-2</v>
      </c>
      <c r="CG9" s="2">
        <f t="shared" si="12"/>
        <v>-1.9085902182864874E-2</v>
      </c>
      <c r="CH9" s="2">
        <f t="shared" si="13"/>
        <v>3.0256860028789054E-2</v>
      </c>
      <c r="CI9" s="2">
        <f t="shared" si="14"/>
        <v>0.1747510913559322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7" t="s">
        <v>215</v>
      </c>
      <c r="G10" s="6">
        <f>AV10</f>
        <v>2840.1289326141105</v>
      </c>
      <c r="H10" s="6" t="s">
        <v>22</v>
      </c>
      <c r="J10" s="6" t="s">
        <v>99</v>
      </c>
      <c r="K10" s="6">
        <f xml:space="preserve"> $C$19 * (G13*G6 + G20*G16 + G27*G25)/3600</f>
        <v>89.88628477442559</v>
      </c>
      <c r="L10" s="6" t="s">
        <v>105</v>
      </c>
      <c r="N10" s="6" t="s">
        <v>41</v>
      </c>
      <c r="O10" s="6">
        <f xml:space="preserve"> O5 * $C$13 * O9</f>
        <v>887.69960263562768</v>
      </c>
      <c r="P10" s="6" t="s">
        <v>22</v>
      </c>
      <c r="U10" s="2">
        <v>6</v>
      </c>
      <c r="V10" s="2">
        <f t="shared" si="15"/>
        <v>0.984375</v>
      </c>
      <c r="W10" s="2">
        <f t="shared" si="0"/>
        <v>4.0298310606459165E-3</v>
      </c>
      <c r="X10" s="2">
        <f t="shared" si="16"/>
        <v>1</v>
      </c>
      <c r="Y10" s="2">
        <f t="shared" si="1"/>
        <v>-1.2372050195838313E-2</v>
      </c>
      <c r="Z10" s="2">
        <f t="shared" si="3"/>
        <v>0.9921875</v>
      </c>
      <c r="AA10" s="2">
        <f t="shared" si="2"/>
        <v>-4.1741369584555876E-3</v>
      </c>
      <c r="AB10" s="2">
        <f t="shared" si="4"/>
        <v>-1.68210667665744E-5</v>
      </c>
      <c r="AC10" s="2">
        <f t="shared" si="5"/>
        <v>5.1642631974316396E-5</v>
      </c>
      <c r="AD10" s="2">
        <f t="shared" si="6"/>
        <v>1.5625E-2</v>
      </c>
      <c r="AF10" s="2">
        <v>6</v>
      </c>
      <c r="AG10" s="2">
        <f t="shared" si="25"/>
        <v>2187.5</v>
      </c>
      <c r="AH10" s="2">
        <v>-68.674218289311284</v>
      </c>
      <c r="AI10" s="2">
        <f t="shared" si="26"/>
        <v>2328.125</v>
      </c>
      <c r="AJ10" s="2">
        <v>5.0417930080020597</v>
      </c>
      <c r="AK10" s="2">
        <f t="shared" si="17"/>
        <v>2257.8125</v>
      </c>
      <c r="AL10" s="2">
        <v>-31.668627764873463</v>
      </c>
      <c r="AM10" s="2">
        <f t="shared" si="18"/>
        <v>2174.8182560478645</v>
      </c>
      <c r="AN10" s="2">
        <f t="shared" si="19"/>
        <v>-159.66666603795892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8">
        <f>AZ9+BD9+AZ18+BD18+AZ27+BD27+AZ36+BD36</f>
        <v>2840.1289326141105</v>
      </c>
      <c r="AW10" s="26" t="s">
        <v>22</v>
      </c>
      <c r="AY10" s="2" t="s">
        <v>178</v>
      </c>
      <c r="AZ10" s="2">
        <f xml:space="preserve"> $BH$8 * PI() * $AR$45 * AZ7^2 * $BH$15 * $AR$19^2 * AZ4</f>
        <v>9.2395177738283536</v>
      </c>
      <c r="BA10" s="26" t="s">
        <v>179</v>
      </c>
      <c r="BC10" s="2" t="s">
        <v>178</v>
      </c>
      <c r="BD10" s="2">
        <f xml:space="preserve"> $BL$8 * PI() * $AR$45 * BD7^2 * $BL$15 * $AR$20^2 * BD4</f>
        <v>30.926459386960822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0.5199458593246753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0.74967421230139919</v>
      </c>
      <c r="BM10" s="2"/>
      <c r="BO10" s="2">
        <v>6</v>
      </c>
      <c r="BP10" s="2">
        <f t="shared" si="21"/>
        <v>0.4682936549257285</v>
      </c>
      <c r="BQ10" s="2">
        <v>-0.33178680798867355</v>
      </c>
      <c r="BR10" s="2">
        <f t="shared" si="22"/>
        <v>0.55566920060369462</v>
      </c>
      <c r="BS10" s="2">
        <v>0.15992568841249422</v>
      </c>
      <c r="BT10" s="2">
        <f t="shared" si="7"/>
        <v>0.51198142776471156</v>
      </c>
      <c r="BU10" s="2">
        <v>-8.0727243391647135E-2</v>
      </c>
      <c r="BV10" s="2">
        <f t="shared" si="8"/>
        <v>2.6784234402639343E-2</v>
      </c>
      <c r="BW10" s="2">
        <f t="shared" si="9"/>
        <v>-1.2910359973052142E-2</v>
      </c>
      <c r="BX10" s="2">
        <f t="shared" si="10"/>
        <v>8.7375545677966127E-2</v>
      </c>
      <c r="BZ10" s="2">
        <v>6</v>
      </c>
      <c r="CA10" s="2">
        <f t="shared" si="23"/>
        <v>0.38091810924776243</v>
      </c>
      <c r="CB10" s="2">
        <v>-0.23611007814219193</v>
      </c>
      <c r="CC10" s="2">
        <f t="shared" si="24"/>
        <v>0.4682936549257285</v>
      </c>
      <c r="CD10" s="2">
        <v>8.0834762891276599E-2</v>
      </c>
      <c r="CE10" s="2">
        <f t="shared" si="11"/>
        <v>0.42460588208674543</v>
      </c>
      <c r="CF10" s="2">
        <v>-7.7040654842826392E-2</v>
      </c>
      <c r="CG10" s="2">
        <f t="shared" si="12"/>
        <v>1.8190075035065378E-2</v>
      </c>
      <c r="CH10" s="2">
        <f t="shared" si="13"/>
        <v>-6.2275630672085514E-3</v>
      </c>
      <c r="CI10" s="2">
        <f t="shared" si="14"/>
        <v>8.7375545677966071E-2</v>
      </c>
    </row>
    <row r="11" spans="2:87" x14ac:dyDescent="0.2">
      <c r="B11" s="6" t="s">
        <v>231</v>
      </c>
      <c r="C11" s="17">
        <v>1.37</v>
      </c>
      <c r="D11" s="6" t="s">
        <v>8</v>
      </c>
      <c r="F11" s="47" t="s">
        <v>216</v>
      </c>
      <c r="G11" s="6">
        <f>G9-G10</f>
        <v>0.31573260378672785</v>
      </c>
      <c r="H11" s="6" t="s">
        <v>22</v>
      </c>
      <c r="J11" s="6" t="s">
        <v>24</v>
      </c>
      <c r="K11" s="6">
        <f xml:space="preserve"> (G6 + G16 + G25)/60</f>
        <v>37.333333333333336</v>
      </c>
      <c r="L11" s="6" t="s">
        <v>106</v>
      </c>
      <c r="N11" s="6" t="s">
        <v>234</v>
      </c>
      <c r="O11" s="6">
        <f xml:space="preserve"> 1.78 * (1 - 0.045 * $C$14^0.68) - 0.64</f>
        <v>0.70601395642148124</v>
      </c>
      <c r="U11" s="2">
        <v>7</v>
      </c>
      <c r="V11" s="2">
        <f t="shared" si="15"/>
        <v>0.984375</v>
      </c>
      <c r="W11" s="2">
        <f t="shared" si="0"/>
        <v>4.0298310606459165E-3</v>
      </c>
      <c r="X11" s="2">
        <f t="shared" si="16"/>
        <v>0.9921875</v>
      </c>
      <c r="Y11" s="2">
        <f t="shared" si="1"/>
        <v>-4.1741369584555876E-3</v>
      </c>
      <c r="Z11" s="2">
        <f t="shared" si="3"/>
        <v>0.98828125</v>
      </c>
      <c r="AA11" s="2">
        <f t="shared" si="2"/>
        <v>-7.2918648242215056E-5</v>
      </c>
      <c r="AB11" s="2">
        <f t="shared" si="4"/>
        <v>-2.93849833586792E-7</v>
      </c>
      <c r="AC11" s="2">
        <f t="shared" si="5"/>
        <v>3.0437242458845245E-7</v>
      </c>
      <c r="AD11" s="2">
        <f t="shared" si="6"/>
        <v>7.8125E-3</v>
      </c>
      <c r="AF11" s="2">
        <v>7</v>
      </c>
      <c r="AG11" s="2">
        <f t="shared" si="25"/>
        <v>2257.8125</v>
      </c>
      <c r="AH11" s="2">
        <v>-31.668627764873463</v>
      </c>
      <c r="AI11" s="2">
        <f t="shared" si="26"/>
        <v>2328.125</v>
      </c>
      <c r="AJ11" s="2">
        <v>5.0417930080020597</v>
      </c>
      <c r="AK11" s="2">
        <f t="shared" si="17"/>
        <v>2292.96875</v>
      </c>
      <c r="AL11" s="2">
        <v>-13.276058739004839</v>
      </c>
      <c r="AM11" s="2">
        <f t="shared" si="18"/>
        <v>420.4345623901396</v>
      </c>
      <c r="AN11" s="2">
        <f t="shared" si="19"/>
        <v>-66.935140124139238</v>
      </c>
      <c r="AO11" s="2">
        <f t="shared" si="20"/>
        <v>70.3125</v>
      </c>
      <c r="AQ11" s="67" t="s">
        <v>181</v>
      </c>
      <c r="AR11" s="3" t="s">
        <v>219</v>
      </c>
      <c r="AS11" s="26"/>
      <c r="AU11" s="4" t="s">
        <v>182</v>
      </c>
      <c r="AV11" s="38">
        <f>AZ10+BD10+AZ19+BD19+AZ28+BD28+AZ37+BD37</f>
        <v>1222.1849500202115</v>
      </c>
      <c r="AW11" s="26" t="s">
        <v>179</v>
      </c>
      <c r="AZ11" s="2"/>
      <c r="BG11" s="2" t="s">
        <v>183</v>
      </c>
      <c r="BH11" s="2">
        <f>IF(BH4=0,1,BH9*BH10)</f>
        <v>0.51882001309517489</v>
      </c>
      <c r="BI11" s="2"/>
      <c r="BJ11" s="2"/>
      <c r="BK11" s="2" t="s">
        <v>183</v>
      </c>
      <c r="BL11" s="2">
        <f>IF(BL4=0,1,BL9*BL10)</f>
        <v>0.742202863330652</v>
      </c>
      <c r="BM11" s="2"/>
      <c r="BO11" s="2">
        <v>7</v>
      </c>
      <c r="BP11" s="2">
        <f t="shared" si="21"/>
        <v>0.51198142776471156</v>
      </c>
      <c r="BQ11" s="2">
        <v>-8.0727243391647135E-2</v>
      </c>
      <c r="BR11" s="2">
        <f t="shared" si="22"/>
        <v>0.55566920060369462</v>
      </c>
      <c r="BS11" s="2">
        <v>0.15992568841249422</v>
      </c>
      <c r="BT11" s="2">
        <f t="shared" si="7"/>
        <v>0.53382531418420309</v>
      </c>
      <c r="BU11" s="2">
        <v>4.1313658961991448E-2</v>
      </c>
      <c r="BV11" s="2">
        <f t="shared" si="8"/>
        <v>-3.3351378024241876E-3</v>
      </c>
      <c r="BW11" s="2">
        <f t="shared" si="9"/>
        <v>6.6071153503354935E-3</v>
      </c>
      <c r="BX11" s="2">
        <f t="shared" si="10"/>
        <v>4.3687772838983063E-2</v>
      </c>
      <c r="BZ11" s="2">
        <v>7</v>
      </c>
      <c r="CA11" s="2">
        <f t="shared" si="23"/>
        <v>0.42460588208674543</v>
      </c>
      <c r="CB11" s="2">
        <v>-7.7040654842826392E-2</v>
      </c>
      <c r="CC11" s="2">
        <f t="shared" si="24"/>
        <v>0.4682936549257285</v>
      </c>
      <c r="CD11" s="2">
        <v>8.0834762891276599E-2</v>
      </c>
      <c r="CE11" s="2">
        <f t="shared" si="11"/>
        <v>0.44644976850623697</v>
      </c>
      <c r="CF11" s="2">
        <v>2.4508476389137612E-3</v>
      </c>
      <c r="CG11" s="2">
        <f t="shared" si="12"/>
        <v>-1.888149070219111E-4</v>
      </c>
      <c r="CH11" s="2">
        <f t="shared" si="13"/>
        <v>1.9811368777423899E-4</v>
      </c>
      <c r="CI11" s="2">
        <f t="shared" si="14"/>
        <v>4.3687772838983063E-2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7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0.90124162777534433</v>
      </c>
      <c r="U12" s="2">
        <v>8</v>
      </c>
      <c r="V12" s="2">
        <f t="shared" si="15"/>
        <v>0.984375</v>
      </c>
      <c r="W12" s="2">
        <f t="shared" si="0"/>
        <v>4.0298310606459165E-3</v>
      </c>
      <c r="X12" s="2">
        <f t="shared" si="16"/>
        <v>0.98828125</v>
      </c>
      <c r="Y12" s="2">
        <f t="shared" si="1"/>
        <v>-7.2918648242215056E-5</v>
      </c>
      <c r="Z12" s="2">
        <f t="shared" si="3"/>
        <v>0.986328125</v>
      </c>
      <c r="AA12" s="2">
        <f t="shared" si="2"/>
        <v>1.9782636598418835E-3</v>
      </c>
      <c r="AB12" s="2">
        <f t="shared" si="4"/>
        <v>7.9720683425778899E-6</v>
      </c>
      <c r="AC12" s="2">
        <f t="shared" si="5"/>
        <v>-1.4425231194236728E-7</v>
      </c>
      <c r="AD12" s="2">
        <f t="shared" si="6"/>
        <v>3.90625E-3</v>
      </c>
      <c r="AF12" s="2">
        <v>8</v>
      </c>
      <c r="AG12" s="2">
        <f t="shared" si="25"/>
        <v>2292.96875</v>
      </c>
      <c r="AH12" s="2">
        <v>-13.276058739004839</v>
      </c>
      <c r="AI12" s="2">
        <f t="shared" si="26"/>
        <v>2328.125</v>
      </c>
      <c r="AJ12" s="2">
        <v>5.0417930080020597</v>
      </c>
      <c r="AK12" s="2">
        <f t="shared" si="17"/>
        <v>2310.546875</v>
      </c>
      <c r="AL12" s="2">
        <v>-4.1077366955080379</v>
      </c>
      <c r="AM12" s="2">
        <f t="shared" si="18"/>
        <v>54.534553653930345</v>
      </c>
      <c r="AN12" s="2">
        <f t="shared" si="19"/>
        <v>-20.710358150125909</v>
      </c>
      <c r="AO12" s="2">
        <f t="shared" si="20"/>
        <v>35.15625</v>
      </c>
      <c r="AQ12" s="67"/>
      <c r="AR12" s="3" t="s">
        <v>219</v>
      </c>
      <c r="AS12" s="26"/>
      <c r="AU12" s="4" t="s">
        <v>184</v>
      </c>
      <c r="AV12" s="38">
        <f>AV11*AV5/1000</f>
        <v>72.580389399567778</v>
      </c>
      <c r="AW12" s="26" t="s">
        <v>104</v>
      </c>
      <c r="AY12" s="63" t="s">
        <v>185</v>
      </c>
      <c r="AZ12" s="63"/>
      <c r="BA12" s="63"/>
      <c r="BC12" s="63" t="s">
        <v>186</v>
      </c>
      <c r="BD12" s="63"/>
      <c r="BE12" s="63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0.71823338122876068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1.064162000272824</v>
      </c>
      <c r="BM12" s="2"/>
      <c r="BO12" s="2">
        <v>8</v>
      </c>
      <c r="BP12" s="2">
        <f t="shared" si="21"/>
        <v>0.51198142776471156</v>
      </c>
      <c r="BQ12" s="2">
        <v>-8.0727243391647135E-2</v>
      </c>
      <c r="BR12" s="2">
        <f t="shared" si="22"/>
        <v>0.53382531418420309</v>
      </c>
      <c r="BS12" s="2">
        <v>4.1313658961991448E-2</v>
      </c>
      <c r="BT12" s="2">
        <f t="shared" si="7"/>
        <v>0.52290337097445727</v>
      </c>
      <c r="BU12" s="2">
        <v>-1.931941925431413E-2</v>
      </c>
      <c r="BV12" s="2">
        <f t="shared" si="8"/>
        <v>1.5596034603282908E-3</v>
      </c>
      <c r="BW12" s="2">
        <f t="shared" si="9"/>
        <v>-7.9815589841646507E-4</v>
      </c>
      <c r="BX12" s="2">
        <f t="shared" si="10"/>
        <v>2.1843886419491532E-2</v>
      </c>
      <c r="BZ12" s="2">
        <v>8</v>
      </c>
      <c r="CA12" s="2">
        <f t="shared" si="23"/>
        <v>0.42460588208674543</v>
      </c>
      <c r="CB12" s="2">
        <v>-7.7040654842826392E-2</v>
      </c>
      <c r="CC12" s="2">
        <f t="shared" si="24"/>
        <v>0.44644976850623697</v>
      </c>
      <c r="CD12" s="2">
        <v>2.4508476389137612E-3</v>
      </c>
      <c r="CE12" s="2">
        <f t="shared" si="11"/>
        <v>0.4355278252964912</v>
      </c>
      <c r="CF12" s="2">
        <v>-3.7198436093794723E-2</v>
      </c>
      <c r="CG12" s="2">
        <f t="shared" si="12"/>
        <v>2.8657918757949746E-3</v>
      </c>
      <c r="CH12" s="2">
        <f t="shared" si="13"/>
        <v>-9.116769927176124E-5</v>
      </c>
      <c r="CI12" s="2">
        <f t="shared" si="14"/>
        <v>2.1843886419491532E-2</v>
      </c>
    </row>
    <row r="13" spans="2:87" x14ac:dyDescent="0.2">
      <c r="B13" s="6" t="s">
        <v>232</v>
      </c>
      <c r="C13" s="17">
        <v>20</v>
      </c>
      <c r="D13" s="6" t="s">
        <v>11</v>
      </c>
      <c r="F13" s="43" t="s">
        <v>85</v>
      </c>
      <c r="G13" s="43">
        <f xml:space="preserve"> $C$22 * AV12</f>
        <v>580.64311519654223</v>
      </c>
      <c r="H13" s="43" t="s">
        <v>104</v>
      </c>
      <c r="J13" s="45" t="s">
        <v>54</v>
      </c>
      <c r="K13" s="45"/>
      <c r="L13" s="45"/>
      <c r="N13" s="6" t="s">
        <v>236</v>
      </c>
      <c r="O13" s="6">
        <f xml:space="preserve"> O9 + O12^2 / ( PI() * O11 * $C$14 )</f>
        <v>6.5723892393869721E-2</v>
      </c>
      <c r="U13" s="2">
        <v>9</v>
      </c>
      <c r="V13" s="2">
        <f t="shared" si="15"/>
        <v>0.986328125</v>
      </c>
      <c r="W13" s="2">
        <f t="shared" si="0"/>
        <v>1.9782636598418835E-3</v>
      </c>
      <c r="X13" s="2">
        <f t="shared" si="16"/>
        <v>0.98828125</v>
      </c>
      <c r="Y13" s="2">
        <f t="shared" si="1"/>
        <v>-7.2918648242215056E-5</v>
      </c>
      <c r="Z13" s="2">
        <f t="shared" si="3"/>
        <v>0.9873046875</v>
      </c>
      <c r="AA13" s="2">
        <f t="shared" si="2"/>
        <v>9.5262451008193416E-4</v>
      </c>
      <c r="AB13" s="2">
        <f t="shared" si="4"/>
        <v>1.8845424497697684E-6</v>
      </c>
      <c r="AC13" s="2">
        <f t="shared" si="5"/>
        <v>-6.9464091557577005E-8</v>
      </c>
      <c r="AD13" s="2">
        <f t="shared" si="6"/>
        <v>1.953125E-3</v>
      </c>
      <c r="AF13" s="2">
        <v>9</v>
      </c>
      <c r="AG13" s="2">
        <f t="shared" si="25"/>
        <v>2310.546875</v>
      </c>
      <c r="AH13" s="2">
        <v>-4.1077366955080379</v>
      </c>
      <c r="AI13" s="2">
        <f t="shared" si="26"/>
        <v>2328.125</v>
      </c>
      <c r="AJ13" s="2">
        <v>5.0417930080020597</v>
      </c>
      <c r="AK13" s="2">
        <f t="shared" si="17"/>
        <v>2319.3359375</v>
      </c>
      <c r="AL13" s="2">
        <v>0.4693841346154386</v>
      </c>
      <c r="AM13" s="2">
        <f t="shared" si="18"/>
        <v>-1.9281064340491219</v>
      </c>
      <c r="AN13" s="2">
        <f t="shared" si="19"/>
        <v>2.3665376479712159</v>
      </c>
      <c r="AO13" s="2">
        <f t="shared" si="20"/>
        <v>17.578125</v>
      </c>
      <c r="AQ13" s="67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6.4958299431907798E-2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5.0785310828156849E-2</v>
      </c>
      <c r="BM13" s="2"/>
      <c r="BO13" s="2">
        <v>9</v>
      </c>
      <c r="BP13" s="2">
        <f t="shared" si="21"/>
        <v>0.52290337097445727</v>
      </c>
      <c r="BQ13" s="2">
        <v>-1.931941925431413E-2</v>
      </c>
      <c r="BR13" s="2">
        <f t="shared" si="22"/>
        <v>0.53382531418420309</v>
      </c>
      <c r="BS13" s="2">
        <v>4.1313658961991448E-2</v>
      </c>
      <c r="BT13" s="2">
        <f t="shared" si="7"/>
        <v>0.52836434257933018</v>
      </c>
      <c r="BU13" s="2">
        <v>1.1099700939309023E-2</v>
      </c>
      <c r="BV13" s="2">
        <f t="shared" si="8"/>
        <v>-2.1443977604401537E-4</v>
      </c>
      <c r="BW13" s="2">
        <f t="shared" si="9"/>
        <v>4.5856925918670913E-4</v>
      </c>
      <c r="BX13" s="2">
        <f t="shared" si="10"/>
        <v>1.0921943209745821E-2</v>
      </c>
      <c r="BZ13" s="2">
        <v>9</v>
      </c>
      <c r="CA13" s="2">
        <f t="shared" si="23"/>
        <v>0.4355278252964912</v>
      </c>
      <c r="CB13" s="2">
        <v>-3.7198436093794723E-2</v>
      </c>
      <c r="CC13" s="2">
        <f t="shared" si="24"/>
        <v>0.44644976850623697</v>
      </c>
      <c r="CD13" s="2">
        <v>2.4508476389137612E-3</v>
      </c>
      <c r="CE13" s="2">
        <f t="shared" si="11"/>
        <v>0.44098879690136406</v>
      </c>
      <c r="CF13" s="2">
        <v>-1.7343949352178464E-2</v>
      </c>
      <c r="CG13" s="2">
        <f t="shared" si="12"/>
        <v>6.4516779159102297E-4</v>
      </c>
      <c r="CH13" s="2">
        <f t="shared" si="13"/>
        <v>-4.2507377319226446E-5</v>
      </c>
      <c r="CI13" s="2">
        <f t="shared" si="14"/>
        <v>1.0921943209745766E-2</v>
      </c>
    </row>
    <row r="14" spans="2:87" x14ac:dyDescent="0.2">
      <c r="B14" s="6" t="s">
        <v>233</v>
      </c>
      <c r="C14" s="17">
        <v>12</v>
      </c>
      <c r="J14" s="10" t="s">
        <v>82</v>
      </c>
      <c r="K14" s="18">
        <f>C5</f>
        <v>2318.37756885</v>
      </c>
      <c r="L14" s="6" t="s">
        <v>7</v>
      </c>
      <c r="N14" s="6" t="s">
        <v>42</v>
      </c>
      <c r="O14" s="6">
        <f xml:space="preserve"> O5 * O13 * $C$13</f>
        <v>1657.1367657602964</v>
      </c>
      <c r="P14" s="6" t="s">
        <v>22</v>
      </c>
      <c r="U14" s="2">
        <v>10</v>
      </c>
      <c r="V14" s="2">
        <f t="shared" si="15"/>
        <v>0.9873046875</v>
      </c>
      <c r="W14" s="2">
        <f t="shared" si="0"/>
        <v>9.5262451008193416E-4</v>
      </c>
      <c r="X14" s="2">
        <f t="shared" si="16"/>
        <v>0.98828125</v>
      </c>
      <c r="Y14" s="2">
        <f t="shared" si="1"/>
        <v>-7.2918648242215056E-5</v>
      </c>
      <c r="Z14" s="2">
        <f t="shared" si="3"/>
        <v>0.98779296875</v>
      </c>
      <c r="AA14" s="2">
        <f t="shared" si="2"/>
        <v>4.3984094953952724E-4</v>
      </c>
      <c r="AB14" s="2">
        <f t="shared" si="4"/>
        <v>4.1900326906906488E-7</v>
      </c>
      <c r="AC14" s="2">
        <f t="shared" si="5"/>
        <v>-3.2072607481994651E-8</v>
      </c>
      <c r="AD14" s="2">
        <f t="shared" si="6"/>
        <v>9.765625E-4</v>
      </c>
      <c r="AF14" s="2">
        <v>10</v>
      </c>
      <c r="AG14" s="2">
        <f t="shared" si="25"/>
        <v>2310.546875</v>
      </c>
      <c r="AH14" s="2">
        <v>-4.1077366955080379</v>
      </c>
      <c r="AI14" s="2">
        <f t="shared" si="26"/>
        <v>2319.3359375</v>
      </c>
      <c r="AJ14" s="2">
        <v>0.4693841346154386</v>
      </c>
      <c r="AK14" s="2">
        <f t="shared" si="17"/>
        <v>2314.94140625</v>
      </c>
      <c r="AL14" s="2">
        <v>-1.8185883006847234</v>
      </c>
      <c r="AM14" s="2">
        <f t="shared" si="18"/>
        <v>7.4702818967442441</v>
      </c>
      <c r="AN14" s="2">
        <f t="shared" si="19"/>
        <v>-0.85361649573865994</v>
      </c>
      <c r="AO14" s="2">
        <f t="shared" si="20"/>
        <v>8.7890625</v>
      </c>
      <c r="AQ14" s="67"/>
      <c r="AR14" s="3" t="s">
        <v>219</v>
      </c>
      <c r="AS14" s="26"/>
      <c r="AU14" s="61" t="s">
        <v>189</v>
      </c>
      <c r="AV14" s="61"/>
      <c r="AW14" s="61"/>
      <c r="AY14" s="2" t="s">
        <v>158</v>
      </c>
      <c r="AZ14" s="2">
        <f>(1+$BH$37)*$AR$3</f>
        <v>14.771929972762905</v>
      </c>
      <c r="BA14" s="26" t="s">
        <v>10</v>
      </c>
      <c r="BC14" s="2" t="s">
        <v>158</v>
      </c>
      <c r="BD14" s="2">
        <f>(1+$BL$37)*$AR$3</f>
        <v>16.422884708733758</v>
      </c>
      <c r="BE14" s="26" t="s">
        <v>10</v>
      </c>
      <c r="BG14" s="2" t="s">
        <v>190</v>
      </c>
      <c r="BH14" s="2">
        <f xml:space="preserve"> BH12*COS(BH4) - BH13*SIN(BH4)</f>
        <v>0.58837689127589865</v>
      </c>
      <c r="BI14" s="2"/>
      <c r="BJ14" s="2"/>
      <c r="BK14" s="2" t="s">
        <v>190</v>
      </c>
      <c r="BL14" s="2">
        <f xml:space="preserve"> BL12*COS(BL4) - BL13*SIN(BL4)</f>
        <v>0.93827340845602802</v>
      </c>
      <c r="BM14" s="2"/>
      <c r="BO14" s="2">
        <v>10</v>
      </c>
      <c r="BP14" s="2">
        <f t="shared" si="21"/>
        <v>0.52290337097445727</v>
      </c>
      <c r="BQ14" s="2">
        <v>-1.931941925431413E-2</v>
      </c>
      <c r="BR14" s="2">
        <f t="shared" si="22"/>
        <v>0.52836434257933018</v>
      </c>
      <c r="BS14" s="2">
        <v>1.1099700939309023E-2</v>
      </c>
      <c r="BT14" s="2">
        <f t="shared" si="7"/>
        <v>0.52563385677689367</v>
      </c>
      <c r="BU14" s="2">
        <v>-4.0848925057950375E-3</v>
      </c>
      <c r="BV14" s="2">
        <f t="shared" si="8"/>
        <v>7.8917750928260143E-5</v>
      </c>
      <c r="BW14" s="2">
        <f t="shared" si="9"/>
        <v>-4.5341085183549571E-5</v>
      </c>
      <c r="BX14" s="2">
        <f t="shared" si="10"/>
        <v>5.4609716048729107E-3</v>
      </c>
      <c r="BZ14" s="2">
        <v>10</v>
      </c>
      <c r="CA14" s="2">
        <f t="shared" si="23"/>
        <v>0.44098879690136406</v>
      </c>
      <c r="CB14" s="2">
        <v>-1.7343949352178464E-2</v>
      </c>
      <c r="CC14" s="2">
        <f t="shared" si="24"/>
        <v>0.44644976850623697</v>
      </c>
      <c r="CD14" s="2">
        <v>2.4508476389137612E-3</v>
      </c>
      <c r="CE14" s="2">
        <f t="shared" si="11"/>
        <v>0.44371928270380051</v>
      </c>
      <c r="CF14" s="2">
        <v>-7.4384174984742091E-3</v>
      </c>
      <c r="CG14" s="2">
        <f t="shared" si="12"/>
        <v>1.290115363538947E-4</v>
      </c>
      <c r="CH14" s="2">
        <f t="shared" si="13"/>
        <v>-1.8230427963390322E-5</v>
      </c>
      <c r="CI14" s="2">
        <f t="shared" si="14"/>
        <v>5.4609716048729107E-3</v>
      </c>
    </row>
    <row r="15" spans="2:87" x14ac:dyDescent="0.2">
      <c r="F15" s="57" t="s">
        <v>89</v>
      </c>
      <c r="G15" s="58"/>
      <c r="H15" s="58"/>
      <c r="J15" s="11" t="s">
        <v>55</v>
      </c>
      <c r="K15" s="6">
        <f xml:space="preserve"> 1000 * K10 / ($C$59 * $C$60 * $C$61)</f>
        <v>528.74285161426815</v>
      </c>
      <c r="L15" s="6" t="s">
        <v>7</v>
      </c>
      <c r="N15" s="6" t="s">
        <v>237</v>
      </c>
      <c r="O15" s="6">
        <f>O4/O14</f>
        <v>13.712541892290695</v>
      </c>
      <c r="U15" s="2">
        <v>11</v>
      </c>
      <c r="V15" s="2">
        <f t="shared" si="15"/>
        <v>0.98779296875</v>
      </c>
      <c r="W15" s="2">
        <f t="shared" si="0"/>
        <v>4.3984094953952724E-4</v>
      </c>
      <c r="X15" s="2">
        <f t="shared" si="16"/>
        <v>0.98828125</v>
      </c>
      <c r="Y15" s="2">
        <f t="shared" si="1"/>
        <v>-7.2918648242215056E-5</v>
      </c>
      <c r="Z15" s="2">
        <f t="shared" si="3"/>
        <v>0.988037109375</v>
      </c>
      <c r="AA15" s="2">
        <f t="shared" si="2"/>
        <v>1.8345815749354344E-4</v>
      </c>
      <c r="AB15" s="2">
        <f t="shared" si="4"/>
        <v>8.0692410192732286E-8</v>
      </c>
      <c r="AC15" s="2">
        <f t="shared" si="5"/>
        <v>-1.3377520853436584E-8</v>
      </c>
      <c r="AD15" s="2">
        <f t="shared" si="6"/>
        <v>4.8828125E-4</v>
      </c>
      <c r="AF15" s="2">
        <v>11</v>
      </c>
      <c r="AG15" s="2">
        <f t="shared" si="25"/>
        <v>2314.94140625</v>
      </c>
      <c r="AH15" s="2">
        <v>-1.8185883006847234</v>
      </c>
      <c r="AI15" s="2">
        <f t="shared" si="26"/>
        <v>2319.3359375</v>
      </c>
      <c r="AJ15" s="2">
        <v>0.4693841346154386</v>
      </c>
      <c r="AK15" s="2">
        <f t="shared" si="17"/>
        <v>2317.138671875</v>
      </c>
      <c r="AL15" s="2">
        <v>-0.67445479845878253</v>
      </c>
      <c r="AM15" s="2">
        <f t="shared" si="18"/>
        <v>1.2265556058178149</v>
      </c>
      <c r="AN15" s="2">
        <f t="shared" si="19"/>
        <v>-0.31657838191180571</v>
      </c>
      <c r="AO15" s="2">
        <f t="shared" si="20"/>
        <v>4.39453125</v>
      </c>
      <c r="AQ15" s="67"/>
      <c r="AR15" s="3" t="s">
        <v>219</v>
      </c>
      <c r="AS15" s="26"/>
      <c r="AU15" s="2" t="s">
        <v>191</v>
      </c>
      <c r="AV15" s="2">
        <f>AV10*(AR3/2 + SQRT( (AR3/2)^2 + AV10/(2*AR45*PI()*AV3^2) ) )/1000</f>
        <v>42.630761844285139</v>
      </c>
      <c r="AW15" s="26" t="s">
        <v>104</v>
      </c>
      <c r="AY15" s="2" t="s">
        <v>163</v>
      </c>
      <c r="AZ15" s="2">
        <f>(1-$BH$38)*$AV$5*$AR$21</f>
        <v>35.715093017669673</v>
      </c>
      <c r="BA15" s="26" t="s">
        <v>10</v>
      </c>
      <c r="BC15" s="2" t="s">
        <v>163</v>
      </c>
      <c r="BD15" s="2">
        <f>(1-$BL$38)*$AV$5*$AR$22</f>
        <v>44.576673159057989</v>
      </c>
      <c r="BE15" s="26" t="s">
        <v>10</v>
      </c>
      <c r="BG15" s="2" t="s">
        <v>192</v>
      </c>
      <c r="BH15" s="2">
        <f xml:space="preserve"> BH12*SIN(BH4) + BH13*COS(BH4)</f>
        <v>0.41700288295033772</v>
      </c>
      <c r="BI15" s="2"/>
      <c r="BJ15" s="2"/>
      <c r="BK15" s="2" t="s">
        <v>192</v>
      </c>
      <c r="BL15" s="2">
        <f xml:space="preserve"> BL12*SIN(BL4) + BL13*COS(BL4)</f>
        <v>0.50464137920396324</v>
      </c>
      <c r="BM15" s="2"/>
      <c r="BO15" s="2">
        <v>11</v>
      </c>
      <c r="BP15" s="2">
        <f t="shared" si="21"/>
        <v>0.52563385677689367</v>
      </c>
      <c r="BQ15" s="2">
        <v>-4.0848925057950375E-3</v>
      </c>
      <c r="BR15" s="2">
        <f t="shared" si="22"/>
        <v>0.52836434257933018</v>
      </c>
      <c r="BS15" s="2">
        <v>1.1099700939309023E-2</v>
      </c>
      <c r="BT15" s="2">
        <f t="shared" si="7"/>
        <v>0.52699909967811198</v>
      </c>
      <c r="BU15" s="2">
        <v>3.5137330522563293E-3</v>
      </c>
      <c r="BV15" s="2">
        <f t="shared" si="8"/>
        <v>-1.4353221812526201E-5</v>
      </c>
      <c r="BW15" s="2">
        <f t="shared" si="9"/>
        <v>3.9001386060610741E-5</v>
      </c>
      <c r="BX15" s="2">
        <f t="shared" si="10"/>
        <v>2.7304858024365108E-3</v>
      </c>
      <c r="BZ15" s="2">
        <v>11</v>
      </c>
      <c r="CA15" s="2">
        <f t="shared" si="23"/>
        <v>0.44371928270380051</v>
      </c>
      <c r="CB15" s="2">
        <v>-7.4384174984742091E-3</v>
      </c>
      <c r="CC15" s="2">
        <f t="shared" si="24"/>
        <v>0.44644976850623697</v>
      </c>
      <c r="CD15" s="2">
        <v>2.4508476389137612E-3</v>
      </c>
      <c r="CE15" s="2">
        <f t="shared" si="11"/>
        <v>0.44508452560501877</v>
      </c>
      <c r="CF15" s="2">
        <v>-2.491670215926417E-3</v>
      </c>
      <c r="CG15" s="2">
        <f t="shared" si="12"/>
        <v>1.853408333457407E-5</v>
      </c>
      <c r="CH15" s="2">
        <f t="shared" si="13"/>
        <v>-6.1067040656550006E-6</v>
      </c>
      <c r="CI15" s="2">
        <f t="shared" si="14"/>
        <v>2.7304858024364553E-3</v>
      </c>
    </row>
    <row r="16" spans="2:87" x14ac:dyDescent="0.2">
      <c r="B16" s="54" t="s">
        <v>12</v>
      </c>
      <c r="C16" s="54"/>
      <c r="D16" s="54"/>
      <c r="F16" s="9" t="s">
        <v>92</v>
      </c>
      <c r="G16" s="6">
        <f xml:space="preserve"> $C$18/$C$8</f>
        <v>1920</v>
      </c>
      <c r="H16" s="6" t="s">
        <v>14</v>
      </c>
      <c r="J16" s="12" t="s">
        <v>135</v>
      </c>
      <c r="K16" s="6">
        <f xml:space="preserve"> $C$77 * ( $C$22 * (0.0095 * MAX(G9,G26) - 1.9275) +  $C$28 * (0.0095 * MAX(O20) - 1.9275) )</f>
        <v>171.41527506502641</v>
      </c>
      <c r="L16" s="6" t="s">
        <v>7</v>
      </c>
      <c r="N16" s="6" t="s">
        <v>118</v>
      </c>
      <c r="O16" s="6">
        <f>(O13*$C$13)/(0.3048^2)/($C$5*2.20462/1000)^(2/3)</f>
        <v>4.7684592266949366</v>
      </c>
      <c r="U16" s="2">
        <v>12</v>
      </c>
      <c r="V16" s="2">
        <f t="shared" si="15"/>
        <v>0.988037109375</v>
      </c>
      <c r="W16" s="2">
        <f t="shared" si="0"/>
        <v>1.8345815749354344E-4</v>
      </c>
      <c r="X16" s="2">
        <f t="shared" si="16"/>
        <v>0.98828125</v>
      </c>
      <c r="Y16" s="2">
        <f t="shared" si="1"/>
        <v>-7.2918648242215056E-5</v>
      </c>
      <c r="Z16" s="2">
        <f t="shared" si="3"/>
        <v>0.9881591796875</v>
      </c>
      <c r="AA16" s="2">
        <f t="shared" si="2"/>
        <v>5.5269006610347837E-5</v>
      </c>
      <c r="AB16" s="2">
        <f t="shared" si="4"/>
        <v>1.0139550119232886E-8</v>
      </c>
      <c r="AC16" s="2">
        <f t="shared" si="5"/>
        <v>-4.0301412517166122E-9</v>
      </c>
      <c r="AD16" s="2">
        <f t="shared" si="6"/>
        <v>2.44140625E-4</v>
      </c>
      <c r="AF16" s="2">
        <v>12</v>
      </c>
      <c r="AG16" s="2">
        <f t="shared" si="25"/>
        <v>2317.138671875</v>
      </c>
      <c r="AH16" s="2">
        <v>-0.67445479845878253</v>
      </c>
      <c r="AI16" s="2">
        <f t="shared" si="26"/>
        <v>2319.3359375</v>
      </c>
      <c r="AJ16" s="2">
        <v>0.4693841346154386</v>
      </c>
      <c r="AK16" s="2">
        <f t="shared" si="17"/>
        <v>2318.2373046875</v>
      </c>
      <c r="AL16" s="2">
        <v>-0.10249872144231631</v>
      </c>
      <c r="AM16" s="2">
        <f t="shared" si="18"/>
        <v>6.9130754512660333E-2</v>
      </c>
      <c r="AN16" s="2">
        <f t="shared" si="19"/>
        <v>-4.811127366339054E-2</v>
      </c>
      <c r="AO16" s="2">
        <f t="shared" si="20"/>
        <v>2.197265625</v>
      </c>
      <c r="AQ16" s="67"/>
      <c r="AR16" s="3" t="s">
        <v>219</v>
      </c>
      <c r="AS16" s="26"/>
      <c r="AU16" s="2" t="s">
        <v>193</v>
      </c>
      <c r="AV16" s="2">
        <f>AV15/AV12</f>
        <v>0.58735923294094383</v>
      </c>
      <c r="AW16" s="26"/>
      <c r="AY16" s="2" t="s">
        <v>167</v>
      </c>
      <c r="AZ16" s="2">
        <f>SQRT(AZ14^2 + AZ15^2)</f>
        <v>38.649421527120019</v>
      </c>
      <c r="BA16" s="26" t="s">
        <v>10</v>
      </c>
      <c r="BC16" s="2" t="s">
        <v>167</v>
      </c>
      <c r="BD16" s="2">
        <f>SQRT(BD14^2 + BD15^2)</f>
        <v>47.505693680714124</v>
      </c>
      <c r="BE16" s="26" t="s">
        <v>10</v>
      </c>
      <c r="BG16" s="2" t="s">
        <v>38</v>
      </c>
      <c r="BH16" s="2">
        <f xml:space="preserve"> 4*BH11*SIN(BH4)*SIN(BH4) / (BH8*BH14)</f>
        <v>1.3230689507413933</v>
      </c>
      <c r="BI16" s="2"/>
      <c r="BJ16" s="2"/>
      <c r="BK16" s="2" t="s">
        <v>38</v>
      </c>
      <c r="BL16" s="2">
        <f xml:space="preserve"> 4*BL11*SIN(BL4)*SIN(BL4) / (BL8*BL14)</f>
        <v>1.2465864648880469</v>
      </c>
      <c r="BM16" s="2"/>
      <c r="BO16" s="2">
        <v>12</v>
      </c>
      <c r="BP16" s="2">
        <f t="shared" si="21"/>
        <v>0.52563385677689367</v>
      </c>
      <c r="BQ16" s="2">
        <v>-4.0848925057950375E-3</v>
      </c>
      <c r="BR16" s="2">
        <f t="shared" si="22"/>
        <v>0.52699909967811198</v>
      </c>
      <c r="BS16" s="2">
        <v>3.5137330522563293E-3</v>
      </c>
      <c r="BT16" s="2">
        <f t="shared" si="7"/>
        <v>0.52631647822750283</v>
      </c>
      <c r="BU16" s="2">
        <v>-2.8400826578199589E-4</v>
      </c>
      <c r="BV16" s="2">
        <f t="shared" si="8"/>
        <v>1.1601432364767201E-6</v>
      </c>
      <c r="BW16" s="2">
        <f t="shared" si="9"/>
        <v>-9.9792923059219922E-7</v>
      </c>
      <c r="BX16" s="2">
        <f t="shared" si="10"/>
        <v>1.3652429012183109E-3</v>
      </c>
      <c r="BZ16" s="2">
        <v>12</v>
      </c>
      <c r="CA16" s="2">
        <f t="shared" si="23"/>
        <v>0.44508452560501877</v>
      </c>
      <c r="CB16" s="2">
        <v>-2.491670215926417E-3</v>
      </c>
      <c r="CC16" s="2">
        <f t="shared" si="24"/>
        <v>0.44644976850623697</v>
      </c>
      <c r="CD16" s="2">
        <v>2.4508476389137612E-3</v>
      </c>
      <c r="CE16" s="2">
        <f t="shared" si="11"/>
        <v>0.44576714705562787</v>
      </c>
      <c r="CF16" s="2">
        <v>-1.987260047126016E-5</v>
      </c>
      <c r="CG16" s="2">
        <f t="shared" si="12"/>
        <v>4.9515966707244222E-8</v>
      </c>
      <c r="CH16" s="2">
        <f t="shared" si="13"/>
        <v>-4.8704715944064459E-8</v>
      </c>
      <c r="CI16" s="2">
        <f t="shared" si="14"/>
        <v>1.3652429012181999E-3</v>
      </c>
    </row>
    <row r="17" spans="2:87" x14ac:dyDescent="0.2">
      <c r="B17" s="6" t="s">
        <v>71</v>
      </c>
      <c r="C17" s="6">
        <f>C34*100</f>
        <v>600</v>
      </c>
      <c r="D17" s="6" t="s">
        <v>7</v>
      </c>
      <c r="F17" s="6" t="s">
        <v>239</v>
      </c>
      <c r="G17" s="6">
        <f>O21*$C$11</f>
        <v>53.082443870155544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0.9881591796875</v>
      </c>
      <c r="W17" s="2">
        <f t="shared" si="0"/>
        <v>5.5269006610347837E-5</v>
      </c>
      <c r="X17" s="2">
        <f t="shared" si="16"/>
        <v>0.98828125</v>
      </c>
      <c r="Y17" s="2">
        <f t="shared" si="1"/>
        <v>-7.2918648242215056E-5</v>
      </c>
      <c r="Z17" s="2">
        <f t="shared" si="3"/>
        <v>0.98822021484375</v>
      </c>
      <c r="AA17" s="2">
        <f t="shared" si="2"/>
        <v>-8.8250077855400733E-6</v>
      </c>
      <c r="AB17" s="2">
        <f t="shared" si="4"/>
        <v>-4.8774941363538544E-10</v>
      </c>
      <c r="AC17" s="2">
        <f t="shared" si="5"/>
        <v>6.4350763844860582E-10</v>
      </c>
      <c r="AD17" s="2">
        <f t="shared" si="6"/>
        <v>1.220703125E-4</v>
      </c>
      <c r="AF17" s="2">
        <v>13</v>
      </c>
      <c r="AG17" s="2">
        <f t="shared" si="25"/>
        <v>2318.2373046875</v>
      </c>
      <c r="AH17" s="2">
        <v>-0.10249872144231631</v>
      </c>
      <c r="AI17" s="2">
        <f t="shared" si="26"/>
        <v>2319.3359375</v>
      </c>
      <c r="AJ17" s="2">
        <v>0.4693841346154386</v>
      </c>
      <c r="AK17" s="2">
        <f t="shared" si="17"/>
        <v>2318.78662109375</v>
      </c>
      <c r="AL17" s="2">
        <v>0.18345204052320696</v>
      </c>
      <c r="AM17" s="2">
        <f t="shared" si="18"/>
        <v>-1.8803599599612714E-2</v>
      </c>
      <c r="AN17" s="2">
        <f t="shared" si="19"/>
        <v>8.6109477284421879E-2</v>
      </c>
      <c r="AO17" s="2">
        <f t="shared" si="20"/>
        <v>1.0986328125</v>
      </c>
      <c r="AQ17" s="67"/>
      <c r="AR17" s="3" t="s">
        <v>219</v>
      </c>
      <c r="AS17" s="26"/>
      <c r="AU17" s="2" t="s">
        <v>190</v>
      </c>
      <c r="AV17" s="2">
        <f>AV10/($AR$45*AV6^2*AR9^4)</f>
        <v>0.35427596177226189</v>
      </c>
      <c r="AW17" s="2"/>
      <c r="AY17" s="2" t="s">
        <v>170</v>
      </c>
      <c r="AZ17" s="37">
        <f>$AR$45*AZ16*$AR$27/$AR$46</f>
        <v>1933922.1610440738</v>
      </c>
      <c r="BA17" s="26"/>
      <c r="BC17" s="2" t="s">
        <v>170</v>
      </c>
      <c r="BD17" s="37">
        <f>$AR$45*BD16*$AR$27/$AR$46</f>
        <v>2377068.2756645745</v>
      </c>
      <c r="BE17" s="26"/>
      <c r="BG17" s="2" t="s">
        <v>194</v>
      </c>
      <c r="BH17" s="2">
        <f xml:space="preserve"> 4*BH11*SIN(BH4)*COS(BH4) / (BH8*BH15)</f>
        <v>3.2128255241259533</v>
      </c>
      <c r="BI17" s="2"/>
      <c r="BJ17" s="2"/>
      <c r="BK17" s="2" t="s">
        <v>194</v>
      </c>
      <c r="BL17" s="2">
        <f xml:space="preserve"> 4*BL11*SIN(BL4)*COS(BL4) / (BL8*BL15)</f>
        <v>4.8503788391493234</v>
      </c>
      <c r="BM17" s="2"/>
      <c r="BO17" s="2">
        <v>13</v>
      </c>
      <c r="BP17" s="2">
        <f t="shared" si="21"/>
        <v>0.52631647822750283</v>
      </c>
      <c r="BQ17" s="2">
        <v>-2.8400826578199589E-4</v>
      </c>
      <c r="BR17" s="2">
        <f t="shared" si="22"/>
        <v>0.52699909967811198</v>
      </c>
      <c r="BS17" s="2">
        <v>3.5137330522563293E-3</v>
      </c>
      <c r="BT17" s="2">
        <f t="shared" si="7"/>
        <v>0.52665778895280746</v>
      </c>
      <c r="BU17" s="2">
        <v>1.6152566111964917E-3</v>
      </c>
      <c r="BV17" s="2">
        <f t="shared" si="8"/>
        <v>-4.5874622893881921E-7</v>
      </c>
      <c r="BW17" s="2">
        <f t="shared" si="9"/>
        <v>5.6755805426366633E-6</v>
      </c>
      <c r="BX17" s="2">
        <f t="shared" si="10"/>
        <v>6.8262145060915547E-4</v>
      </c>
      <c r="BZ17" s="2">
        <v>13</v>
      </c>
      <c r="CA17" s="2">
        <f t="shared" si="23"/>
        <v>0.44576714705562787</v>
      </c>
      <c r="CB17" s="2">
        <v>-1.987260047126016E-5</v>
      </c>
      <c r="CC17" s="2">
        <f t="shared" si="24"/>
        <v>0.44644976850623697</v>
      </c>
      <c r="CD17" s="2">
        <v>2.4508476389137612E-3</v>
      </c>
      <c r="CE17" s="2">
        <f t="shared" si="11"/>
        <v>0.44610845778093244</v>
      </c>
      <c r="CF17" s="2">
        <v>1.2156234323797699E-3</v>
      </c>
      <c r="CG17" s="2">
        <f t="shared" si="12"/>
        <v>-2.4157598795185109E-8</v>
      </c>
      <c r="CH17" s="2">
        <f t="shared" si="13"/>
        <v>2.9793078190562012E-6</v>
      </c>
      <c r="CI17" s="2">
        <f t="shared" si="14"/>
        <v>6.8262145060909996E-4</v>
      </c>
    </row>
    <row r="18" spans="2:87" x14ac:dyDescent="0.2">
      <c r="B18" s="6" t="s">
        <v>13</v>
      </c>
      <c r="C18" s="17">
        <v>96000</v>
      </c>
      <c r="D18" s="6" t="s">
        <v>8</v>
      </c>
      <c r="F18" s="6" t="s">
        <v>240</v>
      </c>
      <c r="G18" s="6">
        <f>G17/$C$72</f>
        <v>0.15954004668299768</v>
      </c>
      <c r="H18" s="6" t="s">
        <v>131</v>
      </c>
      <c r="J18" s="13" t="s">
        <v>56</v>
      </c>
      <c r="K18" s="6">
        <f xml:space="preserve"> $C$77 * (0.2138 * K4 + 0.2138 * K6)</f>
        <v>114.54691511540855</v>
      </c>
      <c r="L18" s="6" t="s">
        <v>7</v>
      </c>
      <c r="N18" s="57" t="s">
        <v>238</v>
      </c>
      <c r="O18" s="59"/>
      <c r="P18" s="59"/>
      <c r="U18" s="2">
        <v>14</v>
      </c>
      <c r="V18" s="2">
        <f t="shared" si="15"/>
        <v>0.9881591796875</v>
      </c>
      <c r="W18" s="2">
        <f t="shared" si="0"/>
        <v>5.5269006610347837E-5</v>
      </c>
      <c r="X18" s="2">
        <f t="shared" si="16"/>
        <v>0.98822021484375</v>
      </c>
      <c r="Y18" s="2">
        <f t="shared" si="1"/>
        <v>-8.8250077855400733E-6</v>
      </c>
      <c r="Z18" s="2">
        <f t="shared" si="3"/>
        <v>0.988189697265625</v>
      </c>
      <c r="AA18" s="2">
        <f t="shared" si="2"/>
        <v>2.3221952665686274E-5</v>
      </c>
      <c r="AB18" s="2">
        <f t="shared" si="4"/>
        <v>1.2834542553849992E-9</v>
      </c>
      <c r="AC18" s="2">
        <f t="shared" si="5"/>
        <v>-2.0493391307012443E-10</v>
      </c>
      <c r="AD18" s="2">
        <f t="shared" si="6"/>
        <v>6.103515625E-5</v>
      </c>
      <c r="AF18" s="2">
        <v>14</v>
      </c>
      <c r="AG18" s="2">
        <f t="shared" si="25"/>
        <v>2318.2373046875</v>
      </c>
      <c r="AH18" s="2">
        <v>-0.10249872144231631</v>
      </c>
      <c r="AI18" s="2">
        <f t="shared" si="26"/>
        <v>2318.78662109375</v>
      </c>
      <c r="AJ18" s="2">
        <v>0.18345204052320696</v>
      </c>
      <c r="AK18" s="2">
        <f t="shared" si="17"/>
        <v>2318.511962890625</v>
      </c>
      <c r="AL18" s="2">
        <v>4.0478858088135894E-2</v>
      </c>
      <c r="AM18" s="2">
        <f t="shared" si="18"/>
        <v>-4.1490311994788935E-3</v>
      </c>
      <c r="AN18" s="2">
        <f t="shared" si="19"/>
        <v>7.4259291143178498E-3</v>
      </c>
      <c r="AO18" s="2">
        <f t="shared" si="20"/>
        <v>0.54931640625</v>
      </c>
      <c r="AQ18" s="67"/>
      <c r="AR18" s="3" t="s">
        <v>219</v>
      </c>
      <c r="AU18" s="2" t="s">
        <v>192</v>
      </c>
      <c r="AV18" s="2">
        <f>AV11/($AR$45*AV6^2*AR9^5)</f>
        <v>5.0017916650562842E-2</v>
      </c>
      <c r="AW18" s="26"/>
      <c r="AY18" s="2" t="s">
        <v>174</v>
      </c>
      <c r="AZ18" s="2">
        <f xml:space="preserve"> $BH$27 * PI() * $AR$45 * AZ16^2 *$BH$33 * $AR$21 * AZ13</f>
        <v>202.76897613652386</v>
      </c>
      <c r="BA18" s="26" t="s">
        <v>22</v>
      </c>
      <c r="BC18" s="2" t="s">
        <v>174</v>
      </c>
      <c r="BD18" s="2">
        <f xml:space="preserve"> $BL$27 * PI() * $AR$45 * BD16^2 * $BL$33 * $AR$22 * BD13</f>
        <v>318.0574485442603</v>
      </c>
      <c r="BE18" s="26" t="s">
        <v>22</v>
      </c>
      <c r="BG18" s="2" t="s">
        <v>45</v>
      </c>
      <c r="BH18" s="2">
        <f>1/(BH16-1)</f>
        <v>3.0953144760743938</v>
      </c>
      <c r="BI18" s="2"/>
      <c r="BJ18" s="2"/>
      <c r="BK18" s="2" t="s">
        <v>45</v>
      </c>
      <c r="BL18" s="2">
        <f>1/(BL16-1)</f>
        <v>4.0553726274230479</v>
      </c>
      <c r="BM18" s="2"/>
      <c r="BO18" s="2">
        <v>14</v>
      </c>
      <c r="BP18" s="2">
        <f t="shared" si="21"/>
        <v>0.52631647822750283</v>
      </c>
      <c r="BQ18" s="2">
        <v>-2.8400826578199589E-4</v>
      </c>
      <c r="BR18" s="2">
        <f t="shared" si="22"/>
        <v>0.52665778895280746</v>
      </c>
      <c r="BS18" s="2">
        <v>1.6152566111964917E-3</v>
      </c>
      <c r="BT18" s="2">
        <f t="shared" si="7"/>
        <v>0.52648713359015509</v>
      </c>
      <c r="BU18" s="2">
        <v>6.6572255868635466E-4</v>
      </c>
      <c r="BV18" s="2">
        <f t="shared" si="8"/>
        <v>-1.8907070938446456E-7</v>
      </c>
      <c r="BW18" s="2">
        <f t="shared" si="9"/>
        <v>1.0753127641407788E-6</v>
      </c>
      <c r="BX18" s="2">
        <f t="shared" si="10"/>
        <v>3.4131072530463324E-4</v>
      </c>
      <c r="BZ18" s="2">
        <v>14</v>
      </c>
      <c r="CA18" s="2">
        <f t="shared" si="23"/>
        <v>0.44576714705562787</v>
      </c>
      <c r="CB18" s="2">
        <v>-1.987260047126016E-5</v>
      </c>
      <c r="CC18" s="2">
        <f t="shared" si="24"/>
        <v>0.44610845778093244</v>
      </c>
      <c r="CD18" s="2">
        <v>1.2156234323797699E-3</v>
      </c>
      <c r="CE18" s="2">
        <f t="shared" si="11"/>
        <v>0.44593780241828018</v>
      </c>
      <c r="CF18" s="2">
        <v>5.9790923954695929E-4</v>
      </c>
      <c r="CG18" s="2">
        <f t="shared" si="12"/>
        <v>-1.1882011435591708E-8</v>
      </c>
      <c r="CH18" s="2">
        <f t="shared" si="13"/>
        <v>7.2683248202965267E-7</v>
      </c>
      <c r="CI18" s="2">
        <f t="shared" si="14"/>
        <v>3.4131072530457773E-4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89.065228555846474</v>
      </c>
      <c r="H19" s="6" t="s">
        <v>104</v>
      </c>
      <c r="J19" s="13" t="s">
        <v>80</v>
      </c>
      <c r="K19" s="6">
        <f xml:space="preserve"> $C$77 * (0.1149 * K4 + 0.1149 * K6)</f>
        <v>61.559590957719571</v>
      </c>
      <c r="L19" s="6" t="s">
        <v>7</v>
      </c>
      <c r="N19" s="6" t="s">
        <v>28</v>
      </c>
      <c r="O19" s="6">
        <f xml:space="preserve"> 90 - $C$80</f>
        <v>85</v>
      </c>
      <c r="P19" s="6" t="s">
        <v>43</v>
      </c>
      <c r="U19" s="2">
        <v>15</v>
      </c>
      <c r="V19" s="2">
        <f t="shared" si="15"/>
        <v>0.988189697265625</v>
      </c>
      <c r="W19" s="2">
        <f t="shared" si="0"/>
        <v>2.3221952665686274E-5</v>
      </c>
      <c r="X19" s="2">
        <f t="shared" si="16"/>
        <v>0.98822021484375</v>
      </c>
      <c r="Y19" s="2">
        <f t="shared" si="1"/>
        <v>-8.8250077855400733E-6</v>
      </c>
      <c r="Z19" s="2">
        <f t="shared" si="3"/>
        <v>0.9882049560546875</v>
      </c>
      <c r="AA19" s="2">
        <f t="shared" si="2"/>
        <v>7.1984607539210543E-6</v>
      </c>
      <c r="AB19" s="2">
        <f t="shared" si="4"/>
        <v>1.6716231489335506E-10</v>
      </c>
      <c r="AC19" s="2">
        <f t="shared" si="5"/>
        <v>-6.3526472197257972E-11</v>
      </c>
      <c r="AD19" s="2">
        <f t="shared" si="6"/>
        <v>3.0517578125E-5</v>
      </c>
      <c r="AF19" s="2">
        <v>15</v>
      </c>
      <c r="AG19" s="2">
        <f t="shared" si="25"/>
        <v>2318.2373046875</v>
      </c>
      <c r="AH19" s="2">
        <v>-0.10249872144231631</v>
      </c>
      <c r="AI19" s="2">
        <f t="shared" si="26"/>
        <v>2318.511962890625</v>
      </c>
      <c r="AJ19" s="2">
        <v>4.0478858088135894E-2</v>
      </c>
      <c r="AK19" s="2">
        <f t="shared" si="17"/>
        <v>2318.3746337890625</v>
      </c>
      <c r="AL19" s="2">
        <v>-3.1009022862463098E-2</v>
      </c>
      <c r="AM19" s="2">
        <f t="shared" si="18"/>
        <v>3.1783851965780231E-3</v>
      </c>
      <c r="AN19" s="2">
        <f t="shared" si="19"/>
        <v>-1.2552098359014051E-3</v>
      </c>
      <c r="AO19" s="2">
        <f t="shared" si="20"/>
        <v>0.274658203125</v>
      </c>
      <c r="AQ19" s="67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0.31427183899454963</v>
      </c>
      <c r="AW19" s="26"/>
      <c r="AY19" s="2" t="s">
        <v>178</v>
      </c>
      <c r="AZ19" s="2">
        <f xml:space="preserve"> $BH$27 * PI() * $AR$45 * AZ16^2 * $BH$34 * $AR$21^2 * AZ13</f>
        <v>65.027402534759062</v>
      </c>
      <c r="BA19" s="26" t="s">
        <v>179</v>
      </c>
      <c r="BC19" s="2" t="s">
        <v>178</v>
      </c>
      <c r="BD19" s="2">
        <f xml:space="preserve"> $BL$27 * PI() * $AR$45 * BD16^2 * $BL$34 * $AR$22^2 * BD13</f>
        <v>110.7631401529615</v>
      </c>
      <c r="BE19" s="26" t="s">
        <v>179</v>
      </c>
      <c r="BG19" s="2" t="s">
        <v>197</v>
      </c>
      <c r="BH19" s="2">
        <f>1/(BH17+1)</f>
        <v>0.23737038105974556</v>
      </c>
      <c r="BI19" s="2"/>
      <c r="BJ19" s="2"/>
      <c r="BK19" s="2" t="s">
        <v>197</v>
      </c>
      <c r="BL19" s="2">
        <f>1/(BL17+1)</f>
        <v>0.17092910177170773</v>
      </c>
      <c r="BM19" s="2"/>
      <c r="BO19" s="2">
        <v>15</v>
      </c>
      <c r="BP19" s="2">
        <f t="shared" si="21"/>
        <v>0.52631647822750283</v>
      </c>
      <c r="BQ19" s="2">
        <v>-2.8400826578199589E-4</v>
      </c>
      <c r="BR19" s="2">
        <f t="shared" si="22"/>
        <v>0.52648713359015509</v>
      </c>
      <c r="BS19" s="2">
        <v>6.6572255868635466E-4</v>
      </c>
      <c r="BT19" s="2">
        <f t="shared" si="7"/>
        <v>0.5264018059088289</v>
      </c>
      <c r="BU19" s="2">
        <v>1.9088172183225061E-4</v>
      </c>
      <c r="BV19" s="2">
        <f t="shared" si="8"/>
        <v>-5.4211986787058837E-8</v>
      </c>
      <c r="BW19" s="2">
        <f t="shared" si="9"/>
        <v>1.2707426826462287E-7</v>
      </c>
      <c r="BX19" s="2">
        <f t="shared" si="10"/>
        <v>1.7065536265226111E-4</v>
      </c>
      <c r="BZ19" s="2">
        <v>15</v>
      </c>
      <c r="CA19" s="2">
        <f t="shared" si="23"/>
        <v>0.44576714705562787</v>
      </c>
      <c r="CB19" s="2">
        <v>-1.987260047126016E-5</v>
      </c>
      <c r="CC19" s="2">
        <f t="shared" si="24"/>
        <v>0.44593780241828018</v>
      </c>
      <c r="CD19" s="2">
        <v>5.9790923954695929E-4</v>
      </c>
      <c r="CE19" s="2">
        <f t="shared" si="11"/>
        <v>0.445852474736954</v>
      </c>
      <c r="CF19" s="2">
        <v>2.8902675605976813E-4</v>
      </c>
      <c r="CG19" s="2">
        <f t="shared" si="12"/>
        <v>-5.7437132486801436E-9</v>
      </c>
      <c r="CH19" s="2">
        <f t="shared" si="13"/>
        <v>1.7281176792442047E-7</v>
      </c>
      <c r="CI19" s="2">
        <f t="shared" si="14"/>
        <v>1.7065536265231662E-4</v>
      </c>
    </row>
    <row r="20" spans="2:87" x14ac:dyDescent="0.2">
      <c r="F20" s="44" t="s">
        <v>225</v>
      </c>
      <c r="G20" s="43">
        <f xml:space="preserve"> $C$28 * G19</f>
        <v>89.065228555846474</v>
      </c>
      <c r="H20" s="43" t="s">
        <v>104</v>
      </c>
      <c r="J20" s="14" t="s">
        <v>63</v>
      </c>
      <c r="K20" s="6">
        <f xml:space="preserve"> $C$78 * (14.86 * ($C$5*2.20462)^0.144 * ($C$35/(PI()*$C$36))^0.778 * ($C$35*3.28084)^0.383 * $C$34^0.455 * 0.453592)</f>
        <v>216.53696757472255</v>
      </c>
      <c r="L20" s="6" t="s">
        <v>7</v>
      </c>
      <c r="N20" s="6" t="s">
        <v>21</v>
      </c>
      <c r="O20" s="6">
        <f xml:space="preserve"> O14 / $C$28</f>
        <v>1657.1367657602964</v>
      </c>
      <c r="P20" s="6" t="s">
        <v>22</v>
      </c>
      <c r="U20" s="2">
        <v>16</v>
      </c>
      <c r="V20" s="2">
        <f t="shared" si="15"/>
        <v>0.9882049560546875</v>
      </c>
      <c r="W20" s="2">
        <f t="shared" si="0"/>
        <v>7.1984607539210543E-6</v>
      </c>
      <c r="X20" s="2">
        <f t="shared" si="16"/>
        <v>0.98822021484375</v>
      </c>
      <c r="Y20" s="2">
        <f t="shared" si="1"/>
        <v>-8.8250077855400733E-6</v>
      </c>
      <c r="Z20" s="2">
        <f t="shared" si="3"/>
        <v>0.98821258544921875</v>
      </c>
      <c r="AA20" s="2">
        <f t="shared" si="2"/>
        <v>-8.1327643730588761E-7</v>
      </c>
      <c r="AB20" s="2">
        <f t="shared" si="4"/>
        <v>-5.854338516035169E-12</v>
      </c>
      <c r="AC20" s="2">
        <f t="shared" si="5"/>
        <v>7.1771708910207516E-12</v>
      </c>
      <c r="AD20" s="2">
        <f t="shared" si="6"/>
        <v>1.52587890625E-5</v>
      </c>
      <c r="AF20" s="2">
        <v>16</v>
      </c>
      <c r="AG20" s="2">
        <f t="shared" si="25"/>
        <v>2318.3746337890625</v>
      </c>
      <c r="AH20" s="2">
        <v>-3.1009022862463098E-2</v>
      </c>
      <c r="AI20" s="2">
        <f t="shared" si="26"/>
        <v>2318.511962890625</v>
      </c>
      <c r="AJ20" s="2">
        <v>4.0478858088135894E-2</v>
      </c>
      <c r="AK20" s="2">
        <f t="shared" si="17"/>
        <v>2318.4432983398438</v>
      </c>
      <c r="AL20" s="2">
        <v>4.7352346302886872E-3</v>
      </c>
      <c r="AM20" s="2">
        <f t="shared" si="18"/>
        <v>-1.468349989097489E-4</v>
      </c>
      <c r="AN20" s="2">
        <f t="shared" si="19"/>
        <v>1.916768906134824E-4</v>
      </c>
      <c r="AO20" s="2">
        <f t="shared" si="20"/>
        <v>0.1373291015625</v>
      </c>
      <c r="AQ20" s="67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9.9392240087414041E-2</v>
      </c>
      <c r="AW20" s="26"/>
      <c r="BG20" s="7" t="s">
        <v>199</v>
      </c>
      <c r="BH20" s="40">
        <f>SIN(BH4)/(1+BH18) - $AR$3*COS(BH4)/($AV$5*$AR$19*(1-BH19))</f>
        <v>7.0109706928889182E-9</v>
      </c>
      <c r="BI20" s="40"/>
      <c r="BJ20" s="2"/>
      <c r="BK20" s="7" t="s">
        <v>199</v>
      </c>
      <c r="BL20" s="40">
        <f>SIN(BL4)/(1+BL18) - $AR$3*COS(BL4)/($AV$5*$AR$20*(1-BL19))</f>
        <v>9.1550736991408144E-9</v>
      </c>
      <c r="BM20" s="40"/>
      <c r="BO20" s="2">
        <v>16</v>
      </c>
      <c r="BP20" s="2">
        <f t="shared" si="21"/>
        <v>0.52631647822750283</v>
      </c>
      <c r="BQ20" s="2">
        <v>-2.8400826578199589E-4</v>
      </c>
      <c r="BR20" s="2">
        <f t="shared" si="22"/>
        <v>0.5264018059088289</v>
      </c>
      <c r="BS20" s="2">
        <v>1.9088172183225061E-4</v>
      </c>
      <c r="BT20" s="2">
        <f t="shared" si="7"/>
        <v>0.52635914206816592</v>
      </c>
      <c r="BU20" s="2">
        <v>-4.6557130771979205E-5</v>
      </c>
      <c r="BV20" s="2">
        <f t="shared" si="8"/>
        <v>1.3222609970335409E-8</v>
      </c>
      <c r="BW20" s="2">
        <f t="shared" si="9"/>
        <v>-8.8869052853246496E-9</v>
      </c>
      <c r="BX20" s="2">
        <f t="shared" si="10"/>
        <v>8.5327681326075044E-5</v>
      </c>
      <c r="BZ20" s="2">
        <v>16</v>
      </c>
      <c r="CA20" s="2">
        <f t="shared" si="23"/>
        <v>0.44576714705562787</v>
      </c>
      <c r="CB20" s="2">
        <v>-1.987260047126016E-5</v>
      </c>
      <c r="CC20" s="2">
        <f t="shared" si="24"/>
        <v>0.445852474736954</v>
      </c>
      <c r="CD20" s="2">
        <v>2.8902675605976813E-4</v>
      </c>
      <c r="CE20" s="2">
        <f t="shared" si="11"/>
        <v>0.4458098108962909</v>
      </c>
      <c r="CF20" s="2">
        <v>1.3457918450018869E-4</v>
      </c>
      <c r="CG20" s="2">
        <f t="shared" si="12"/>
        <v>-2.6744383653202576E-9</v>
      </c>
      <c r="CH20" s="2">
        <f t="shared" si="13"/>
        <v>3.8896985129258564E-8</v>
      </c>
      <c r="CI20" s="2">
        <f t="shared" si="14"/>
        <v>8.5327681326130556E-5</v>
      </c>
    </row>
    <row r="21" spans="2:87" x14ac:dyDescent="0.2">
      <c r="B21" s="54" t="s">
        <v>115</v>
      </c>
      <c r="C21" s="54"/>
      <c r="D21" s="54"/>
      <c r="J21" s="14" t="s">
        <v>64</v>
      </c>
      <c r="K21" s="6">
        <f xml:space="preserve"> $C$78 * C40 * $C$5</f>
        <v>60.277816790100005</v>
      </c>
      <c r="L21" s="6" t="s">
        <v>7</v>
      </c>
      <c r="N21" s="6" t="s">
        <v>29</v>
      </c>
      <c r="O21" s="6">
        <f>$C$7*2*PI()/60</f>
        <v>38.746309394274114</v>
      </c>
      <c r="P21" s="6" t="s">
        <v>30</v>
      </c>
      <c r="U21" s="2">
        <v>17</v>
      </c>
      <c r="V21" s="2">
        <f t="shared" si="15"/>
        <v>0.9882049560546875</v>
      </c>
      <c r="W21" s="2">
        <f t="shared" si="0"/>
        <v>7.1984607539210543E-6</v>
      </c>
      <c r="X21" s="2">
        <f t="shared" si="16"/>
        <v>0.98821258544921875</v>
      </c>
      <c r="Y21" s="2">
        <f t="shared" si="1"/>
        <v>-8.1327643730588761E-7</v>
      </c>
      <c r="Z21" s="2">
        <f t="shared" si="3"/>
        <v>0.98820877075195312</v>
      </c>
      <c r="AA21" s="2">
        <f t="shared" si="2"/>
        <v>3.1925914280028778E-6</v>
      </c>
      <c r="AB21" s="2">
        <f t="shared" si="4"/>
        <v>2.2981744097783492E-11</v>
      </c>
      <c r="AC21" s="2">
        <f t="shared" si="5"/>
        <v>-2.5964593823394965E-12</v>
      </c>
      <c r="AD21" s="2">
        <f t="shared" si="6"/>
        <v>7.62939453125E-6</v>
      </c>
      <c r="AF21" s="2">
        <v>17</v>
      </c>
      <c r="AG21" s="2">
        <f t="shared" si="25"/>
        <v>2318.3746337890625</v>
      </c>
      <c r="AH21" s="2">
        <v>-3.1009022862463098E-2</v>
      </c>
      <c r="AI21" s="2">
        <f t="shared" si="26"/>
        <v>2318.4432983398438</v>
      </c>
      <c r="AJ21" s="2">
        <v>4.7352346302886872E-3</v>
      </c>
      <c r="AK21" s="2">
        <f t="shared" si="17"/>
        <v>2318.4089660644531</v>
      </c>
      <c r="AL21" s="2">
        <v>-1.3136859764927067E-2</v>
      </c>
      <c r="AM21" s="2">
        <f t="shared" si="18"/>
        <v>4.0736118479159502E-4</v>
      </c>
      <c r="AN21" s="2">
        <f t="shared" si="19"/>
        <v>-6.2206113292128751E-5</v>
      </c>
      <c r="AO21" s="2">
        <f t="shared" si="20"/>
        <v>6.866455078125E-2</v>
      </c>
      <c r="AQ21" s="67"/>
      <c r="AR21" s="3">
        <f>0.456875*($AR$9/2)</f>
        <v>0.69627749999999999</v>
      </c>
      <c r="AS21" s="26" t="s">
        <v>8</v>
      </c>
      <c r="AW21" s="26"/>
      <c r="AY21" s="63" t="s">
        <v>200</v>
      </c>
      <c r="AZ21" s="63"/>
      <c r="BA21" s="63"/>
      <c r="BC21" s="63" t="s">
        <v>201</v>
      </c>
      <c r="BD21" s="63"/>
      <c r="BE21" s="63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0.52635914206816592</v>
      </c>
      <c r="BQ21" s="2">
        <v>-4.6557130771979205E-5</v>
      </c>
      <c r="BR21" s="2">
        <f t="shared" si="22"/>
        <v>0.5264018059088289</v>
      </c>
      <c r="BS21" s="2">
        <v>1.9088172183225061E-4</v>
      </c>
      <c r="BT21" s="2">
        <f t="shared" si="7"/>
        <v>0.52638047398849741</v>
      </c>
      <c r="BU21" s="2">
        <v>7.2163831161375924E-5</v>
      </c>
      <c r="BV21" s="2">
        <f t="shared" si="8"/>
        <v>-3.3597409243872069E-9</v>
      </c>
      <c r="BW21" s="2">
        <f t="shared" si="9"/>
        <v>1.3774756346095258E-8</v>
      </c>
      <c r="BX21" s="2">
        <f t="shared" si="10"/>
        <v>4.2663840662982011E-5</v>
      </c>
      <c r="BZ21" s="2">
        <v>17</v>
      </c>
      <c r="CA21" s="2">
        <f t="shared" si="23"/>
        <v>0.44576714705562787</v>
      </c>
      <c r="CB21" s="2">
        <v>-1.987260047126016E-5</v>
      </c>
      <c r="CC21" s="2">
        <f t="shared" si="24"/>
        <v>0.4458098108962909</v>
      </c>
      <c r="CD21" s="2">
        <v>1.3457918450018869E-4</v>
      </c>
      <c r="CE21" s="2">
        <f t="shared" si="11"/>
        <v>0.44578847897595941</v>
      </c>
      <c r="CF21" s="2">
        <v>5.7353818388047872E-5</v>
      </c>
      <c r="CG21" s="2">
        <f t="shared" si="12"/>
        <v>-1.1397695183268897E-9</v>
      </c>
      <c r="CH21" s="2">
        <f t="shared" si="13"/>
        <v>7.7186301066354087E-9</v>
      </c>
      <c r="CI21" s="2">
        <f t="shared" si="14"/>
        <v>4.2663840663037522E-5</v>
      </c>
    </row>
    <row r="22" spans="2:87" x14ac:dyDescent="0.2">
      <c r="B22" s="6" t="s">
        <v>97</v>
      </c>
      <c r="C22" s="17">
        <v>8</v>
      </c>
      <c r="F22" s="54" t="s">
        <v>84</v>
      </c>
      <c r="G22" s="54"/>
      <c r="H22" s="54"/>
      <c r="J22" s="14" t="s">
        <v>241</v>
      </c>
      <c r="K22" s="6">
        <f xml:space="preserve"> $C$78 * (0.04674 * ($C$5*2.20462)^0.397 * ($C$13*3.28084^2)^0.36 * $C$45^0.397 * $C$14^1.712 * 0.453592)</f>
        <v>378.94934257590813</v>
      </c>
      <c r="L22" s="6" t="s">
        <v>7</v>
      </c>
      <c r="N22" s="6" t="s">
        <v>31</v>
      </c>
      <c r="O22" s="6">
        <f xml:space="preserve"> $C$8 * COS(O19/180*PI()) / (O21 * $C$11)</f>
        <v>8.2094696846333207E-2</v>
      </c>
      <c r="U22" s="2">
        <v>18</v>
      </c>
      <c r="V22" s="2">
        <f t="shared" si="15"/>
        <v>0.98820877075195312</v>
      </c>
      <c r="W22" s="2">
        <f t="shared" si="0"/>
        <v>3.1925914280028778E-6</v>
      </c>
      <c r="X22" s="2">
        <f t="shared" si="16"/>
        <v>0.98821258544921875</v>
      </c>
      <c r="Y22" s="2">
        <f t="shared" si="1"/>
        <v>-8.1327643730588761E-7</v>
      </c>
      <c r="Z22" s="2">
        <f t="shared" si="3"/>
        <v>0.98821067810058594</v>
      </c>
      <c r="AA22" s="2">
        <f t="shared" si="2"/>
        <v>1.1896573127723187E-6</v>
      </c>
      <c r="AB22" s="2">
        <f t="shared" si="4"/>
        <v>3.7980897390178428E-12</v>
      </c>
      <c r="AC22" s="2">
        <f t="shared" si="5"/>
        <v>-9.6752026094636745E-13</v>
      </c>
      <c r="AD22" s="2">
        <f t="shared" si="6"/>
        <v>3.814697265625E-6</v>
      </c>
      <c r="AF22" s="2">
        <v>18</v>
      </c>
      <c r="AG22" s="2">
        <f t="shared" si="25"/>
        <v>2318.4089660644531</v>
      </c>
      <c r="AH22" s="2">
        <v>-1.3136859764927067E-2</v>
      </c>
      <c r="AI22" s="2">
        <f t="shared" si="26"/>
        <v>2318.4432983398438</v>
      </c>
      <c r="AJ22" s="2">
        <v>4.7352346302886872E-3</v>
      </c>
      <c r="AK22" s="2">
        <f t="shared" si="17"/>
        <v>2318.4261322021484</v>
      </c>
      <c r="AL22" s="2">
        <v>-4.2009835833596298E-3</v>
      </c>
      <c r="AM22" s="2">
        <f t="shared" si="18"/>
        <v>5.5187732209356256E-5</v>
      </c>
      <c r="AN22" s="2">
        <f t="shared" si="19"/>
        <v>-1.9892642945198782E-5</v>
      </c>
      <c r="AO22" s="2">
        <f t="shared" si="20"/>
        <v>3.4332275390625E-2</v>
      </c>
      <c r="AQ22" s="67"/>
      <c r="AR22" s="3">
        <f>0.555625*($AR$9/2)</f>
        <v>0.84677250000000004</v>
      </c>
      <c r="AS22" s="26" t="s">
        <v>8</v>
      </c>
      <c r="AU22" s="61" t="s">
        <v>202</v>
      </c>
      <c r="AV22" s="61"/>
      <c r="AW22" s="61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3" t="s">
        <v>185</v>
      </c>
      <c r="BH22" s="63"/>
      <c r="BI22" s="63"/>
      <c r="BJ22" s="2"/>
      <c r="BK22" s="63" t="s">
        <v>186</v>
      </c>
      <c r="BL22" s="63"/>
      <c r="BM22" s="63"/>
      <c r="BO22" s="2">
        <v>18</v>
      </c>
      <c r="BP22" s="2">
        <f t="shared" si="21"/>
        <v>0.52635914206816592</v>
      </c>
      <c r="BQ22" s="2">
        <v>-4.6557130771979205E-5</v>
      </c>
      <c r="BR22" s="2">
        <f t="shared" si="22"/>
        <v>0.52638047398849741</v>
      </c>
      <c r="BS22" s="2">
        <v>7.2163831161375924E-5</v>
      </c>
      <c r="BT22" s="2">
        <f t="shared" si="7"/>
        <v>0.52636980802833166</v>
      </c>
      <c r="BU22" s="2">
        <v>1.2803734061164751E-5</v>
      </c>
      <c r="BV22" s="2">
        <f t="shared" si="8"/>
        <v>-5.9610512105529169E-10</v>
      </c>
      <c r="BW22" s="2">
        <f t="shared" si="9"/>
        <v>9.2396650302505118E-10</v>
      </c>
      <c r="BX22" s="2">
        <f t="shared" si="10"/>
        <v>2.1331920331491006E-5</v>
      </c>
      <c r="BZ22" s="2">
        <v>18</v>
      </c>
      <c r="CA22" s="2">
        <f t="shared" si="23"/>
        <v>0.44576714705562787</v>
      </c>
      <c r="CB22" s="2">
        <v>-1.987260047126016E-5</v>
      </c>
      <c r="CC22" s="2">
        <f t="shared" si="24"/>
        <v>0.44578847897595941</v>
      </c>
      <c r="CD22" s="2">
        <v>5.7353818388047872E-5</v>
      </c>
      <c r="CE22" s="2">
        <f t="shared" si="11"/>
        <v>0.44577781301579367</v>
      </c>
      <c r="CF22" s="2">
        <v>1.8740740513847887E-5</v>
      </c>
      <c r="CG22" s="2">
        <f t="shared" si="12"/>
        <v>-3.7242724876725788E-10</v>
      </c>
      <c r="CH22" s="2">
        <f t="shared" si="13"/>
        <v>1.0748530278887626E-9</v>
      </c>
      <c r="CI22" s="2">
        <f t="shared" si="14"/>
        <v>2.1331920331546517E-5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$C$78 * (3.184 * ($C$5*2.20462)^0.887 * ($C$49*3.28084*3.28084)^0.101 * ($C$48)^0.138 ) / ( 174.04 * ($C$50*3.28084)^0.223 ) * 0.453592</f>
        <v>26.003494510026883</v>
      </c>
      <c r="L23" s="6" t="s">
        <v>7</v>
      </c>
      <c r="N23" s="6" t="s">
        <v>32</v>
      </c>
      <c r="O23" s="6">
        <f xml:space="preserve"> O20 / ( $C$70 * PI() * $C$11^2 * O21^2 * $C$11^2)</f>
        <v>9.8894117475053112E-2</v>
      </c>
      <c r="U23" s="2">
        <v>19</v>
      </c>
      <c r="V23" s="2">
        <f t="shared" si="15"/>
        <v>0.98821067810058594</v>
      </c>
      <c r="W23" s="2">
        <f t="shared" si="0"/>
        <v>1.1896573127723187E-6</v>
      </c>
      <c r="X23" s="2">
        <f t="shared" si="16"/>
        <v>0.98821258544921875</v>
      </c>
      <c r="Y23" s="2">
        <f t="shared" si="1"/>
        <v>-8.1327643730588761E-7</v>
      </c>
      <c r="Z23" s="2">
        <f t="shared" si="3"/>
        <v>0.98821163177490234</v>
      </c>
      <c r="AA23" s="2">
        <f t="shared" si="2"/>
        <v>1.8819039204753807E-7</v>
      </c>
      <c r="AB23" s="2">
        <f t="shared" si="4"/>
        <v>2.2388207609284328E-13</v>
      </c>
      <c r="AC23" s="2">
        <f t="shared" si="5"/>
        <v>-1.5305081157962001E-13</v>
      </c>
      <c r="AD23" s="2">
        <f t="shared" si="6"/>
        <v>1.9073486328125E-6</v>
      </c>
      <c r="AF23" s="2">
        <v>19</v>
      </c>
      <c r="AG23" s="2">
        <f t="shared" si="25"/>
        <v>2318.4261322021484</v>
      </c>
      <c r="AH23" s="2">
        <v>-4.2009835833596298E-3</v>
      </c>
      <c r="AI23" s="2">
        <f t="shared" si="26"/>
        <v>2318.4432983398438</v>
      </c>
      <c r="AJ23" s="2">
        <v>4.7352346302886872E-3</v>
      </c>
      <c r="AK23" s="2">
        <f t="shared" si="17"/>
        <v>2318.4347152709961</v>
      </c>
      <c r="AL23" s="2">
        <v>2.6712767021308537E-4</v>
      </c>
      <c r="AM23" s="2">
        <f t="shared" si="18"/>
        <v>-1.1221989572262768E-6</v>
      </c>
      <c r="AN23" s="2">
        <f t="shared" si="19"/>
        <v>1.2649121947013377E-6</v>
      </c>
      <c r="AO23" s="2">
        <f t="shared" si="20"/>
        <v>1.71661376953125E-2</v>
      </c>
      <c r="AQ23" s="67"/>
      <c r="AR23" s="3">
        <f>0.654375*($AR$9/2)</f>
        <v>0.99726750000000008</v>
      </c>
      <c r="AS23" s="26" t="s">
        <v>8</v>
      </c>
      <c r="AU23" s="70" t="s">
        <v>203</v>
      </c>
      <c r="AV23" s="67">
        <f>BH20</f>
        <v>7.0109706928889182E-9</v>
      </c>
      <c r="AW23" s="67"/>
      <c r="AY23" s="2" t="s">
        <v>158</v>
      </c>
      <c r="AZ23" s="2">
        <f>(1+$BH$56)*$AR$3</f>
        <v>17.96360931800503</v>
      </c>
      <c r="BA23" s="26" t="s">
        <v>10</v>
      </c>
      <c r="BC23" s="2" t="s">
        <v>158</v>
      </c>
      <c r="BD23" s="2">
        <f>(1+$BL$56)*$AR$3</f>
        <v>19.593797187239879</v>
      </c>
      <c r="BE23" s="26" t="s">
        <v>10</v>
      </c>
      <c r="BG23" s="28" t="s">
        <v>154</v>
      </c>
      <c r="BH23" s="29">
        <f>BT68</f>
        <v>0.39217929821542707</v>
      </c>
      <c r="BI23" s="5" t="s">
        <v>155</v>
      </c>
      <c r="BJ23" s="2"/>
      <c r="BK23" s="28" t="s">
        <v>154</v>
      </c>
      <c r="BL23" s="29">
        <f>CE68</f>
        <v>0.35298841500766159</v>
      </c>
      <c r="BM23" s="5" t="s">
        <v>155</v>
      </c>
      <c r="BO23" s="2">
        <v>19</v>
      </c>
      <c r="BP23" s="2">
        <f t="shared" si="21"/>
        <v>0.52635914206816592</v>
      </c>
      <c r="BQ23" s="2">
        <v>-4.6557130771979205E-5</v>
      </c>
      <c r="BR23" s="2">
        <f t="shared" si="22"/>
        <v>0.52636980802833166</v>
      </c>
      <c r="BS23" s="2">
        <v>1.2803734061164751E-5</v>
      </c>
      <c r="BT23" s="2">
        <f t="shared" si="7"/>
        <v>0.52636447504824879</v>
      </c>
      <c r="BU23" s="2">
        <v>-1.6876602393689488E-5</v>
      </c>
      <c r="BV23" s="2">
        <f t="shared" si="8"/>
        <v>7.8572618462969874E-10</v>
      </c>
      <c r="BW23" s="2">
        <f t="shared" si="9"/>
        <v>-2.1608352890481667E-10</v>
      </c>
      <c r="BX23" s="2">
        <f t="shared" si="10"/>
        <v>1.0665960165745503E-5</v>
      </c>
      <c r="BZ23" s="2">
        <v>19</v>
      </c>
      <c r="CA23" s="2">
        <f t="shared" si="23"/>
        <v>0.44576714705562787</v>
      </c>
      <c r="CB23" s="2">
        <v>-1.987260047126016E-5</v>
      </c>
      <c r="CC23" s="2">
        <f t="shared" si="24"/>
        <v>0.44577781301579367</v>
      </c>
      <c r="CD23" s="2">
        <v>1.8740740513847887E-5</v>
      </c>
      <c r="CE23" s="2">
        <f t="shared" si="11"/>
        <v>0.44577248003571079</v>
      </c>
      <c r="CF23" s="2">
        <v>-5.658970943650532E-7</v>
      </c>
      <c r="CG23" s="2">
        <f t="shared" si="12"/>
        <v>1.1245846864163712E-11</v>
      </c>
      <c r="CH23" s="2">
        <f t="shared" si="13"/>
        <v>-1.0605330603035954E-11</v>
      </c>
      <c r="CI23" s="2">
        <f t="shared" si="14"/>
        <v>1.0665960165801014E-5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$C$78 * ( 1.68 * ($C$5*2.20462)^0.567 * ($C$54*3.28084*3.28084)^1.249 * ($C$53)^0.482 ) / (639.95 * ($C$55*3.28084)^0.747 * (COS($C$56/180*PI()))^0.882 ) * 0.453592</f>
        <v>8.9251344793992509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0.98821163177490234</v>
      </c>
      <c r="W24" s="2">
        <f t="shared" si="0"/>
        <v>1.8819039204753807E-7</v>
      </c>
      <c r="X24" s="2">
        <f t="shared" si="16"/>
        <v>0.98821258544921875</v>
      </c>
      <c r="Y24" s="2">
        <f t="shared" si="1"/>
        <v>-8.1327643730588761E-7</v>
      </c>
      <c r="Z24" s="2">
        <f t="shared" si="3"/>
        <v>0.98821210861206055</v>
      </c>
      <c r="AA24" s="2">
        <f t="shared" si="2"/>
        <v>-3.1254303400896077E-7</v>
      </c>
      <c r="AB24" s="2">
        <f t="shared" si="4"/>
        <v>-5.8817596101873358E-14</v>
      </c>
      <c r="AC24" s="2">
        <f t="shared" si="5"/>
        <v>2.5418388520358047E-13</v>
      </c>
      <c r="AD24" s="2">
        <f t="shared" si="6"/>
        <v>9.5367431640625E-7</v>
      </c>
      <c r="AF24" s="2">
        <v>20</v>
      </c>
      <c r="AG24" s="2">
        <f t="shared" si="25"/>
        <v>2318.4261322021484</v>
      </c>
      <c r="AH24" s="2">
        <v>-4.2009835833596298E-3</v>
      </c>
      <c r="AI24" s="2">
        <f t="shared" si="26"/>
        <v>2318.4347152709961</v>
      </c>
      <c r="AJ24" s="2">
        <v>2.6712767021308537E-4</v>
      </c>
      <c r="AK24" s="2">
        <f t="shared" si="17"/>
        <v>2318.4304237365723</v>
      </c>
      <c r="AL24" s="2">
        <v>-1.9671070244839939E-3</v>
      </c>
      <c r="AM24" s="2">
        <f t="shared" si="18"/>
        <v>8.2637843165686673E-6</v>
      </c>
      <c r="AN24" s="2">
        <f t="shared" si="19"/>
        <v>-5.2546871651020395E-7</v>
      </c>
      <c r="AO24" s="2">
        <f t="shared" si="20"/>
        <v>8.58306884765625E-3</v>
      </c>
      <c r="AQ24" s="67"/>
      <c r="AR24" s="3">
        <f>0.753125*($AR$9/2)</f>
        <v>1.1477625</v>
      </c>
      <c r="AS24" s="26" t="s">
        <v>8</v>
      </c>
      <c r="AU24" s="70"/>
      <c r="AV24" s="67">
        <f>BL20</f>
        <v>9.1550736991408144E-9</v>
      </c>
      <c r="AW24" s="67"/>
      <c r="AY24" s="2" t="s">
        <v>163</v>
      </c>
      <c r="AZ24" s="2">
        <f>(1-$BH$57)*$AV$5*$AR$23</f>
        <v>53.393303585349045</v>
      </c>
      <c r="BA24" s="26" t="s">
        <v>10</v>
      </c>
      <c r="BC24" s="2" t="s">
        <v>163</v>
      </c>
      <c r="BD24" s="2">
        <f>(1-$BL$57)*$AV$5*$AR$24</f>
        <v>62.057350409638957</v>
      </c>
      <c r="BE24" s="26" t="s">
        <v>10</v>
      </c>
      <c r="BG24" s="2" t="s">
        <v>159</v>
      </c>
      <c r="BH24" s="2">
        <f>($AR$37+$AR$5)/180*PI()</f>
        <v>0.55834018228066706</v>
      </c>
      <c r="BI24" s="2" t="s">
        <v>155</v>
      </c>
      <c r="BJ24" s="2"/>
      <c r="BK24" s="2" t="s">
        <v>159</v>
      </c>
      <c r="BL24" s="2">
        <f>($AR$38+$AR$5)/180*PI()</f>
        <v>0.53248749273550111</v>
      </c>
      <c r="BM24" s="2" t="s">
        <v>155</v>
      </c>
      <c r="BO24" s="2">
        <v>20</v>
      </c>
      <c r="BP24" s="2">
        <f t="shared" si="21"/>
        <v>0.52636447504824879</v>
      </c>
      <c r="BQ24" s="2">
        <v>-1.6876602393689488E-5</v>
      </c>
      <c r="BR24" s="2">
        <f t="shared" si="22"/>
        <v>0.52636980802833166</v>
      </c>
      <c r="BS24" s="2">
        <v>1.2803734061164751E-5</v>
      </c>
      <c r="BT24" s="2">
        <f t="shared" si="7"/>
        <v>0.52636714153829023</v>
      </c>
      <c r="BU24" s="2">
        <v>-2.0364101754322128E-6</v>
      </c>
      <c r="BV24" s="2">
        <f t="shared" si="8"/>
        <v>3.4367684841232913E-11</v>
      </c>
      <c r="BW24" s="2">
        <f t="shared" si="9"/>
        <v>-2.6073654325683909E-11</v>
      </c>
      <c r="BX24" s="2">
        <f t="shared" si="10"/>
        <v>5.3329800828727514E-6</v>
      </c>
      <c r="BZ24" s="2">
        <v>20</v>
      </c>
      <c r="CA24" s="2">
        <f t="shared" si="23"/>
        <v>0.44577248003571079</v>
      </c>
      <c r="CB24" s="2">
        <v>-5.658970943650532E-7</v>
      </c>
      <c r="CC24" s="2">
        <f t="shared" si="24"/>
        <v>0.44577781301579367</v>
      </c>
      <c r="CD24" s="2">
        <v>1.8740740513847887E-5</v>
      </c>
      <c r="CE24" s="2">
        <f t="shared" si="11"/>
        <v>0.44577514652575223</v>
      </c>
      <c r="CF24" s="2">
        <v>9.0874299314147589E-6</v>
      </c>
      <c r="CG24" s="2">
        <f t="shared" si="12"/>
        <v>-5.1425501934336269E-12</v>
      </c>
      <c r="CH24" s="2">
        <f t="shared" si="13"/>
        <v>1.703051662824185E-10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$C$78*(0.14*$G$13*1000/745.7)*0.453592</f>
        <v>39.557473586860354</v>
      </c>
      <c r="L25" s="6" t="s">
        <v>7</v>
      </c>
      <c r="N25" s="6" t="s">
        <v>33</v>
      </c>
      <c r="O25" s="6">
        <f xml:space="preserve"> ($C$30 * $O$24 / 8) * (1 + 4.65 * O22^2) * ( PI() * $C$70 * O21^3 * $C$11^5)</f>
        <v>867.46185459393394</v>
      </c>
      <c r="P25" s="6" t="s">
        <v>20</v>
      </c>
      <c r="U25" s="2">
        <v>21</v>
      </c>
      <c r="V25" s="2">
        <f t="shared" si="15"/>
        <v>0.98821163177490234</v>
      </c>
      <c r="W25" s="2">
        <f t="shared" si="0"/>
        <v>1.8819039204753807E-7</v>
      </c>
      <c r="X25" s="2">
        <f t="shared" si="16"/>
        <v>0.98821210861206055</v>
      </c>
      <c r="Y25" s="2">
        <f t="shared" si="1"/>
        <v>-3.1254303400896077E-7</v>
      </c>
      <c r="Z25" s="2">
        <f t="shared" si="3"/>
        <v>0.98821187019348145</v>
      </c>
      <c r="AA25" s="2">
        <f t="shared" si="2"/>
        <v>-6.2176323867291217E-8</v>
      </c>
      <c r="AB25" s="2">
        <f t="shared" si="4"/>
        <v>-1.1700986764660233E-14</v>
      </c>
      <c r="AC25" s="2">
        <f t="shared" si="5"/>
        <v>1.9432776905006958E-14</v>
      </c>
      <c r="AD25" s="2">
        <f t="shared" si="6"/>
        <v>4.76837158203125E-7</v>
      </c>
      <c r="AF25" s="2">
        <v>21</v>
      </c>
      <c r="AG25" s="2">
        <f t="shared" si="25"/>
        <v>2318.4304237365723</v>
      </c>
      <c r="AH25" s="2">
        <v>-1.9671070244839939E-3</v>
      </c>
      <c r="AI25" s="2">
        <f t="shared" si="26"/>
        <v>2318.4347152709961</v>
      </c>
      <c r="AJ25" s="2">
        <v>2.6712767021308537E-4</v>
      </c>
      <c r="AK25" s="2">
        <f t="shared" si="17"/>
        <v>2318.4325695037842</v>
      </c>
      <c r="AL25" s="2">
        <v>-8.4998954275761207E-4</v>
      </c>
      <c r="AM25" s="2">
        <f t="shared" si="18"/>
        <v>1.6720204002964367E-6</v>
      </c>
      <c r="AN25" s="2">
        <f t="shared" si="19"/>
        <v>-2.2705572626232661E-7</v>
      </c>
      <c r="AO25" s="2">
        <f t="shared" si="20"/>
        <v>4.291534423828125E-3</v>
      </c>
      <c r="AQ25" s="67"/>
      <c r="AR25" s="3">
        <f>0.851875*($AR$9/2)</f>
        <v>1.2982575000000001</v>
      </c>
      <c r="AS25" s="26" t="s">
        <v>8</v>
      </c>
      <c r="AU25" s="70"/>
      <c r="AV25" s="67">
        <f>BH39</f>
        <v>6.2379128390466221E-9</v>
      </c>
      <c r="AW25" s="67"/>
      <c r="AY25" s="2" t="s">
        <v>167</v>
      </c>
      <c r="AZ25" s="2">
        <f>SQRT(AZ23^2 + AZ24^2)</f>
        <v>56.33414708227297</v>
      </c>
      <c r="BA25" s="26" t="s">
        <v>10</v>
      </c>
      <c r="BC25" s="2" t="s">
        <v>167</v>
      </c>
      <c r="BD25" s="2">
        <f>SQRT(BD23^2 + BD24^2)</f>
        <v>65.077120619150065</v>
      </c>
      <c r="BE25" s="26" t="s">
        <v>10</v>
      </c>
      <c r="BG25" s="2" t="s">
        <v>28</v>
      </c>
      <c r="BH25" s="2">
        <f>BH24-BH23</f>
        <v>0.16616088406523999</v>
      </c>
      <c r="BI25" s="2" t="s">
        <v>155</v>
      </c>
      <c r="BJ25" s="2"/>
      <c r="BK25" s="2" t="s">
        <v>28</v>
      </c>
      <c r="BL25" s="2">
        <f>BL24-BL23</f>
        <v>0.17949907772783952</v>
      </c>
      <c r="BM25" s="2" t="s">
        <v>155</v>
      </c>
      <c r="BO25" s="2">
        <v>21</v>
      </c>
      <c r="BP25" s="2">
        <f t="shared" si="21"/>
        <v>0.52636714153829023</v>
      </c>
      <c r="BQ25" s="2">
        <v>-2.0364101754322128E-6</v>
      </c>
      <c r="BR25" s="2">
        <f t="shared" si="22"/>
        <v>0.52636980802833166</v>
      </c>
      <c r="BS25" s="2">
        <v>1.2803734061164751E-5</v>
      </c>
      <c r="BT25" s="2">
        <f t="shared" si="7"/>
        <v>0.52636847478331095</v>
      </c>
      <c r="BU25" s="2">
        <v>5.3836679407420762E-6</v>
      </c>
      <c r="BV25" s="2">
        <f t="shared" si="8"/>
        <v>-1.0963356175675351E-11</v>
      </c>
      <c r="BW25" s="2">
        <f t="shared" si="9"/>
        <v>6.8931052586880019E-11</v>
      </c>
      <c r="BX25" s="2">
        <f t="shared" si="10"/>
        <v>2.6664900414363757E-6</v>
      </c>
      <c r="BZ25" s="2">
        <v>21</v>
      </c>
      <c r="CA25" s="2">
        <f t="shared" si="23"/>
        <v>0.44577248003571079</v>
      </c>
      <c r="CB25" s="2">
        <v>-5.658970943650532E-7</v>
      </c>
      <c r="CC25" s="2">
        <f t="shared" si="24"/>
        <v>0.44577514652575223</v>
      </c>
      <c r="CD25" s="2">
        <v>9.0874299314147589E-6</v>
      </c>
      <c r="CE25" s="2">
        <f t="shared" si="11"/>
        <v>0.44577381328073151</v>
      </c>
      <c r="CF25" s="2">
        <v>4.2607684737905327E-6</v>
      </c>
      <c r="CG25" s="2">
        <f t="shared" si="12"/>
        <v>-2.4111564990802846E-12</v>
      </c>
      <c r="CH25" s="2">
        <f t="shared" si="13"/>
        <v>3.8719434959552464E-11</v>
      </c>
      <c r="CI25" s="2">
        <f t="shared" si="14"/>
        <v>2.6664900414363757E-6</v>
      </c>
    </row>
    <row r="26" spans="2:87" x14ac:dyDescent="0.2">
      <c r="F26" s="6" t="s">
        <v>21</v>
      </c>
      <c r="G26" s="6">
        <f xml:space="preserve"> $C$5 * $C$67 / $C$22</f>
        <v>2840.4446652178972</v>
      </c>
      <c r="H26" s="6" t="s">
        <v>22</v>
      </c>
      <c r="J26" s="15" t="s">
        <v>67</v>
      </c>
      <c r="K26" s="6">
        <f xml:space="preserve"> $C$79 * (0.0268 * $C$5)</f>
        <v>49.706015076144006</v>
      </c>
      <c r="L26" s="6" t="s">
        <v>7</v>
      </c>
      <c r="N26" s="6" t="s">
        <v>34</v>
      </c>
      <c r="O26" s="18">
        <f>Z34</f>
        <v>0.98821181105449796</v>
      </c>
      <c r="U26" s="2">
        <v>22</v>
      </c>
      <c r="V26" s="2">
        <f t="shared" si="15"/>
        <v>0.98821163177490234</v>
      </c>
      <c r="W26" s="2">
        <f t="shared" si="0"/>
        <v>1.8819039204753807E-7</v>
      </c>
      <c r="X26" s="2">
        <f t="shared" si="16"/>
        <v>0.98821187019348145</v>
      </c>
      <c r="Y26" s="2">
        <f t="shared" si="1"/>
        <v>-6.2176323867291217E-8</v>
      </c>
      <c r="Z26" s="2">
        <f t="shared" si="3"/>
        <v>0.98821175098419189</v>
      </c>
      <c r="AA26" s="2">
        <f t="shared" si="2"/>
        <v>6.300703336847846E-8</v>
      </c>
      <c r="AB26" s="2">
        <f t="shared" si="4"/>
        <v>1.1857318311366275E-14</v>
      </c>
      <c r="AC26" s="2">
        <f t="shared" si="5"/>
        <v>-3.9175457126357412E-15</v>
      </c>
      <c r="AD26" s="2">
        <f t="shared" si="6"/>
        <v>2.384185791015625E-7</v>
      </c>
      <c r="AF26" s="2">
        <v>22</v>
      </c>
      <c r="AG26" s="2">
        <f t="shared" si="25"/>
        <v>2318.4325695037842</v>
      </c>
      <c r="AH26" s="2">
        <v>-8.4998954275761207E-4</v>
      </c>
      <c r="AI26" s="2">
        <f t="shared" si="26"/>
        <v>2318.4347152709961</v>
      </c>
      <c r="AJ26" s="2">
        <v>2.6712767021308537E-4</v>
      </c>
      <c r="AK26" s="2">
        <f t="shared" si="17"/>
        <v>2318.4336423873901</v>
      </c>
      <c r="AL26" s="2">
        <v>-2.9161050701986824E-4</v>
      </c>
      <c r="AM26" s="2">
        <f t="shared" si="18"/>
        <v>2.4786588152513321E-7</v>
      </c>
      <c r="AN26" s="2">
        <f t="shared" si="19"/>
        <v>-7.7897235349873978E-8</v>
      </c>
      <c r="AO26" s="2">
        <f t="shared" si="20"/>
        <v>2.1457672119140625E-3</v>
      </c>
      <c r="AQ26" s="67"/>
      <c r="AR26" s="3">
        <f>0.950625*($AR$9/2)</f>
        <v>1.4487525000000001</v>
      </c>
      <c r="AS26" s="6" t="s">
        <v>8</v>
      </c>
      <c r="AU26" s="70"/>
      <c r="AV26" s="67">
        <f>BL39</f>
        <v>8.4974714764651793E-10</v>
      </c>
      <c r="AW26" s="67"/>
      <c r="AY26" s="2" t="s">
        <v>170</v>
      </c>
      <c r="AZ26" s="37">
        <f>$AR$45*AZ25*$AR$27/$AR$46</f>
        <v>2818822.4082339117</v>
      </c>
      <c r="BA26" s="26"/>
      <c r="BC26" s="2" t="s">
        <v>170</v>
      </c>
      <c r="BD26" s="37">
        <f>$AR$45*BD25*$AR$27/$AR$46</f>
        <v>3256299.3382449881</v>
      </c>
      <c r="BE26" s="26"/>
      <c r="BG26" s="2" t="s">
        <v>168</v>
      </c>
      <c r="BH26" s="2">
        <f>BH25/PI()*180</f>
        <v>9.5203173771008238</v>
      </c>
      <c r="BI26" s="2" t="s">
        <v>43</v>
      </c>
      <c r="BJ26" s="2"/>
      <c r="BK26" s="2" t="s">
        <v>168</v>
      </c>
      <c r="BL26" s="2">
        <f>BL25/PI()*180</f>
        <v>10.284539580295919</v>
      </c>
      <c r="BM26" s="2" t="s">
        <v>43</v>
      </c>
      <c r="BO26" s="2">
        <v>22</v>
      </c>
      <c r="BP26" s="2">
        <f t="shared" si="21"/>
        <v>0.52636714153829023</v>
      </c>
      <c r="BQ26" s="2">
        <v>-2.0364101754322128E-6</v>
      </c>
      <c r="BR26" s="2">
        <f t="shared" si="22"/>
        <v>0.52636847478331095</v>
      </c>
      <c r="BS26" s="2">
        <v>5.3836679407420762E-6</v>
      </c>
      <c r="BT26" s="2">
        <f t="shared" si="7"/>
        <v>0.52636780816080053</v>
      </c>
      <c r="BU26" s="2">
        <v>1.6736303816572429E-6</v>
      </c>
      <c r="BV26" s="2">
        <f t="shared" si="8"/>
        <v>-3.4081979391193074E-12</v>
      </c>
      <c r="BW26" s="2">
        <f t="shared" si="9"/>
        <v>9.0102702303800246E-12</v>
      </c>
      <c r="BX26" s="2">
        <f t="shared" si="10"/>
        <v>1.3332450207181878E-6</v>
      </c>
      <c r="BZ26" s="2">
        <v>22</v>
      </c>
      <c r="CA26" s="2">
        <f t="shared" si="23"/>
        <v>0.44577248003571079</v>
      </c>
      <c r="CB26" s="2">
        <v>-5.658970943650532E-7</v>
      </c>
      <c r="CC26" s="2">
        <f t="shared" si="24"/>
        <v>0.44577381328073151</v>
      </c>
      <c r="CD26" s="2">
        <v>4.2607684737905327E-6</v>
      </c>
      <c r="CE26" s="2">
        <f t="shared" si="11"/>
        <v>0.44577314665822115</v>
      </c>
      <c r="CF26" s="2">
        <v>1.8474362036419167E-6</v>
      </c>
      <c r="CG26" s="2">
        <f t="shared" si="12"/>
        <v>-1.0454587796657653E-12</v>
      </c>
      <c r="CH26" s="2">
        <f t="shared" si="13"/>
        <v>7.8714979338167458E-12</v>
      </c>
      <c r="CI26" s="2">
        <f t="shared" si="14"/>
        <v>1.3332450207181878E-6</v>
      </c>
    </row>
    <row r="27" spans="2:87" x14ac:dyDescent="0.2">
      <c r="B27" s="54" t="s">
        <v>243</v>
      </c>
      <c r="C27" s="54"/>
      <c r="D27" s="54"/>
      <c r="F27" s="43" t="s">
        <v>86</v>
      </c>
      <c r="G27" s="43">
        <f xml:space="preserve"> 1/1000 * IF( $G$23&gt;=2*SQRT(($C$5*$C$67)/(2*$C$64*$C$22*PI()*$C$9*$C$9)), ($C$5*$C$67)/$C$25 * ( ($G$23/2) - SQRT( ($G$23/2)^2 - ($C$5*$C$67)/(2*$C$64*$C$22*PI()*$C$9*$C$9 ) ) ), 1/$C$25 * SQRT(($C$5*$C$67)^3/(2*$C$64*$C$22*PI()*$C$9*$C$9)) )</f>
        <v>414.54106268560912</v>
      </c>
      <c r="H27" s="43" t="s">
        <v>104</v>
      </c>
      <c r="J27" s="15" t="s">
        <v>68</v>
      </c>
      <c r="K27" s="6">
        <f xml:space="preserve"> $C$79 * (11.5 * ($C$5*2.20462/1000)^0.4 * 0.453592)</f>
        <v>8.0142037081908466</v>
      </c>
      <c r="L27" s="6" t="s">
        <v>7</v>
      </c>
      <c r="N27" s="6" t="s">
        <v>35</v>
      </c>
      <c r="O27" s="6">
        <f xml:space="preserve"> O21 * $C$11 * O26 - $C$8 * SIN(O19/180*PI())</f>
        <v>2.6469630875378627</v>
      </c>
      <c r="P27" s="6" t="s">
        <v>10</v>
      </c>
      <c r="U27" s="2">
        <v>23</v>
      </c>
      <c r="V27" s="2">
        <f t="shared" si="15"/>
        <v>0.98821175098419189</v>
      </c>
      <c r="W27" s="2">
        <f t="shared" si="0"/>
        <v>6.300703336847846E-8</v>
      </c>
      <c r="X27" s="2">
        <f t="shared" si="16"/>
        <v>0.98821187019348145</v>
      </c>
      <c r="Y27" s="2">
        <f t="shared" si="1"/>
        <v>-6.2176323867291217E-8</v>
      </c>
      <c r="Z27" s="2">
        <f t="shared" si="3"/>
        <v>0.98821181058883667</v>
      </c>
      <c r="AA27" s="2">
        <f t="shared" si="2"/>
        <v>4.1535463957131924E-10</v>
      </c>
      <c r="AB27" s="2">
        <f t="shared" si="4"/>
        <v>2.6170263635222455E-17</v>
      </c>
      <c r="AC27" s="2">
        <f t="shared" si="5"/>
        <v>-2.5825224589768357E-17</v>
      </c>
      <c r="AD27" s="2">
        <f t="shared" si="6"/>
        <v>1.1920928955078125E-7</v>
      </c>
      <c r="AF27" s="2">
        <v>23</v>
      </c>
      <c r="AG27" s="2">
        <f t="shared" si="25"/>
        <v>2318.4336423873901</v>
      </c>
      <c r="AH27" s="2">
        <v>-2.9161050701986824E-4</v>
      </c>
      <c r="AI27" s="2">
        <f t="shared" si="26"/>
        <v>2318.4347152709961</v>
      </c>
      <c r="AJ27" s="2">
        <v>2.6712767021308537E-4</v>
      </c>
      <c r="AK27" s="2">
        <f t="shared" si="17"/>
        <v>2318.4341788291931</v>
      </c>
      <c r="AL27" s="2">
        <v>-1.2241410331625957E-5</v>
      </c>
      <c r="AM27" s="2">
        <f t="shared" si="18"/>
        <v>3.5697238734436985E-9</v>
      </c>
      <c r="AN27" s="2">
        <f t="shared" si="19"/>
        <v>-3.2700194220096346E-9</v>
      </c>
      <c r="AO27" s="2">
        <f t="shared" si="20"/>
        <v>1.0728836059570312E-3</v>
      </c>
      <c r="AQ27" s="67" t="s">
        <v>204</v>
      </c>
      <c r="AR27" s="3">
        <f>0.548288*($AR$9/2)</f>
        <v>0.83559091200000002</v>
      </c>
      <c r="AS27" s="26" t="s">
        <v>8</v>
      </c>
      <c r="AU27" s="70"/>
      <c r="AV27" s="67">
        <f>BH58</f>
        <v>1.7445675667970839E-9</v>
      </c>
      <c r="AW27" s="67"/>
      <c r="AY27" s="2" t="s">
        <v>174</v>
      </c>
      <c r="AZ27" s="2">
        <f xml:space="preserve"> $BH$46 * PI() * $AR$45 * AZ25^2 * $BH$52 * $AR$23 * AZ22</f>
        <v>440.72610161630087</v>
      </c>
      <c r="BA27" s="26" t="s">
        <v>22</v>
      </c>
      <c r="BC27" s="2" t="s">
        <v>174</v>
      </c>
      <c r="BD27" s="2">
        <f xml:space="preserve"> $BL$46 * PI() * $AR$45 * BD25^2 * $BL$52 * $AR$24 * BD22</f>
        <v>555.05655848317178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0.52636714153829023</v>
      </c>
      <c r="BQ27" s="2">
        <v>-2.0364101754322128E-6</v>
      </c>
      <c r="BR27" s="2">
        <f t="shared" si="22"/>
        <v>0.52636780816080053</v>
      </c>
      <c r="BS27" s="2">
        <v>1.6736303816572429E-6</v>
      </c>
      <c r="BT27" s="2">
        <f t="shared" si="7"/>
        <v>0.52636747484954538</v>
      </c>
      <c r="BU27" s="2">
        <v>-1.8138952211088633E-7</v>
      </c>
      <c r="BV27" s="2">
        <f t="shared" si="8"/>
        <v>3.6938346854339525E-13</v>
      </c>
      <c r="BW27" s="2">
        <f t="shared" si="9"/>
        <v>-3.0357901511906757E-13</v>
      </c>
      <c r="BX27" s="2">
        <f t="shared" si="10"/>
        <v>6.6662251030358277E-7</v>
      </c>
      <c r="BZ27" s="2">
        <v>23</v>
      </c>
      <c r="CA27" s="2">
        <f t="shared" si="23"/>
        <v>0.44577248003571079</v>
      </c>
      <c r="CB27" s="2">
        <v>-5.658970943650532E-7</v>
      </c>
      <c r="CC27" s="2">
        <f t="shared" si="24"/>
        <v>0.44577314665822115</v>
      </c>
      <c r="CD27" s="2">
        <v>1.8474362036419167E-6</v>
      </c>
      <c r="CE27" s="2">
        <f t="shared" si="11"/>
        <v>0.44577281334696595</v>
      </c>
      <c r="CF27" s="2">
        <v>6.4076968281367996E-7</v>
      </c>
      <c r="CG27" s="2">
        <f t="shared" si="12"/>
        <v>-3.6260970166147828E-13</v>
      </c>
      <c r="CH27" s="2">
        <f t="shared" si="13"/>
        <v>1.1837811102261401E-12</v>
      </c>
      <c r="CI27" s="2">
        <f t="shared" si="14"/>
        <v>6.6662251035909392E-7</v>
      </c>
    </row>
    <row r="28" spans="2:87" x14ac:dyDescent="0.2">
      <c r="B28" s="6" t="s">
        <v>244</v>
      </c>
      <c r="C28" s="17">
        <v>1</v>
      </c>
      <c r="J28" s="15" t="s">
        <v>69</v>
      </c>
      <c r="K28" s="6">
        <f xml:space="preserve"> $C$79 * (8 * ($C$5/1000))</f>
        <v>14.83761644064</v>
      </c>
      <c r="L28" s="6" t="s">
        <v>7</v>
      </c>
      <c r="N28" s="6" t="s">
        <v>36</v>
      </c>
      <c r="O28" s="6">
        <f xml:space="preserve"> 1/$C$31 - O25 * SQRT( (2*$C$70*PI()*$C$11^2) / O20^3 )</f>
        <v>1.2889856546105325</v>
      </c>
      <c r="U28" s="2">
        <v>24</v>
      </c>
      <c r="V28" s="2">
        <f t="shared" si="15"/>
        <v>0.98821181058883667</v>
      </c>
      <c r="W28" s="2">
        <f t="shared" si="0"/>
        <v>4.1535463957131924E-10</v>
      </c>
      <c r="X28" s="2">
        <f t="shared" si="16"/>
        <v>0.98821187019348145</v>
      </c>
      <c r="Y28" s="2">
        <f t="shared" si="1"/>
        <v>-6.2176323867291217E-8</v>
      </c>
      <c r="Z28" s="2">
        <f t="shared" si="3"/>
        <v>0.98821184039115906</v>
      </c>
      <c r="AA28" s="2">
        <f t="shared" si="2"/>
        <v>-3.0880484613859949E-8</v>
      </c>
      <c r="AB28" s="2">
        <f t="shared" si="4"/>
        <v>-1.2826352556577468E-17</v>
      </c>
      <c r="AC28" s="2">
        <f t="shared" si="5"/>
        <v>1.9200350125302596E-15</v>
      </c>
      <c r="AD28" s="2">
        <f t="shared" si="6"/>
        <v>5.9604644775390625E-8</v>
      </c>
      <c r="AF28" s="2">
        <v>24</v>
      </c>
      <c r="AG28" s="2">
        <f t="shared" si="25"/>
        <v>2318.4341788291931</v>
      </c>
      <c r="AH28" s="2">
        <v>-1.2241410331625957E-5</v>
      </c>
      <c r="AI28" s="2">
        <f t="shared" si="26"/>
        <v>2318.4347152709961</v>
      </c>
      <c r="AJ28" s="2">
        <v>2.6712767021308537E-4</v>
      </c>
      <c r="AK28" s="2">
        <f t="shared" si="17"/>
        <v>2318.4344470500946</v>
      </c>
      <c r="AL28" s="2">
        <v>1.2744313130497176E-4</v>
      </c>
      <c r="AM28" s="2">
        <f t="shared" si="18"/>
        <v>-1.5600836642514447E-9</v>
      </c>
      <c r="AN28" s="2">
        <f t="shared" si="19"/>
        <v>3.4043586750157429E-8</v>
      </c>
      <c r="AO28" s="2">
        <f t="shared" si="20"/>
        <v>5.3644180297851562E-4</v>
      </c>
      <c r="AQ28" s="67"/>
      <c r="AR28" s="3">
        <f>0.530863*($AR$9/2)</f>
        <v>0.80903521199999995</v>
      </c>
      <c r="AS28" s="26" t="s">
        <v>8</v>
      </c>
      <c r="AU28" s="70"/>
      <c r="AV28" s="67">
        <f>BL58</f>
        <v>8.1089170794745868E-10</v>
      </c>
      <c r="AW28" s="67"/>
      <c r="AY28" s="2" t="s">
        <v>178</v>
      </c>
      <c r="AZ28" s="2">
        <f xml:space="preserve"> $BH$46 * PI() * $AR$45 * AZ25^2 * $BH$53 * $AR$23^2 * AZ22</f>
        <v>166.1411340711291</v>
      </c>
      <c r="BA28" s="26" t="s">
        <v>179</v>
      </c>
      <c r="BC28" s="2" t="s">
        <v>178</v>
      </c>
      <c r="BD28" s="2">
        <f xml:space="preserve"> $BL$46 * PI() * $AR$45 * BD25^2 * $BL$53 * $AR$24^2 * BD22</f>
        <v>228.00288445118818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0.97160644191404577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0.9369241316252922</v>
      </c>
      <c r="BM28" s="2"/>
      <c r="BO28" s="2">
        <v>24</v>
      </c>
      <c r="BP28" s="2">
        <f t="shared" si="21"/>
        <v>0.52636747484954538</v>
      </c>
      <c r="BQ28" s="2">
        <v>-1.8138952211088633E-7</v>
      </c>
      <c r="BR28" s="2">
        <f t="shared" si="22"/>
        <v>0.52636780816080053</v>
      </c>
      <c r="BS28" s="2">
        <v>1.6736303816572429E-6</v>
      </c>
      <c r="BT28" s="2">
        <f t="shared" si="7"/>
        <v>0.52636764150517301</v>
      </c>
      <c r="BU28" s="2">
        <v>7.4612052394784634E-7</v>
      </c>
      <c r="BV28" s="2">
        <f t="shared" si="8"/>
        <v>-1.3533844527602397E-13</v>
      </c>
      <c r="BW28" s="2">
        <f t="shared" si="9"/>
        <v>1.248729977257136E-12</v>
      </c>
      <c r="BX28" s="2">
        <f t="shared" si="10"/>
        <v>3.3331125515179139E-7</v>
      </c>
      <c r="BZ28" s="2">
        <v>24</v>
      </c>
      <c r="CA28" s="2">
        <f t="shared" si="23"/>
        <v>0.44577248003571079</v>
      </c>
      <c r="CB28" s="2">
        <v>-5.658970943650532E-7</v>
      </c>
      <c r="CC28" s="2">
        <f t="shared" si="24"/>
        <v>0.44577281334696595</v>
      </c>
      <c r="CD28" s="2">
        <v>6.4076968281367996E-7</v>
      </c>
      <c r="CE28" s="2">
        <f t="shared" si="11"/>
        <v>0.44577264669133837</v>
      </c>
      <c r="CF28" s="2">
        <v>3.7436326386086627E-8</v>
      </c>
      <c r="CG28" s="2">
        <f t="shared" si="12"/>
        <v>-2.1185108325588196E-14</v>
      </c>
      <c r="CH28" s="2">
        <f t="shared" si="13"/>
        <v>2.3988062984122125E-14</v>
      </c>
      <c r="CI28" s="2">
        <f t="shared" si="14"/>
        <v>3.3331125515179139E-7</v>
      </c>
    </row>
    <row r="29" spans="2:87" x14ac:dyDescent="0.2">
      <c r="B29" s="6" t="s">
        <v>245</v>
      </c>
      <c r="C29" s="17">
        <v>6</v>
      </c>
      <c r="J29" s="15" t="s">
        <v>70</v>
      </c>
      <c r="K29" s="6">
        <f xml:space="preserve"> $C$79 * (13 * ($C$5*2.20462/1000)^1.3 * 0.453592)</f>
        <v>39.33435268431603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0.98821181058883667</v>
      </c>
      <c r="W29" s="2">
        <f t="shared" si="0"/>
        <v>4.1535463957131924E-10</v>
      </c>
      <c r="X29" s="2">
        <f t="shared" si="16"/>
        <v>0.98821184039115906</v>
      </c>
      <c r="Y29" s="2">
        <f t="shared" si="1"/>
        <v>-3.0880484613859949E-8</v>
      </c>
      <c r="Z29" s="2">
        <f t="shared" si="3"/>
        <v>0.98821182548999786</v>
      </c>
      <c r="AA29" s="2">
        <f t="shared" si="2"/>
        <v>-1.5232564987144315E-8</v>
      </c>
      <c r="AB29" s="2">
        <f t="shared" si="4"/>
        <v>-6.3269165399820239E-18</v>
      </c>
      <c r="AC29" s="2">
        <f t="shared" si="5"/>
        <v>4.7038898871513178E-16</v>
      </c>
      <c r="AD29" s="2">
        <f t="shared" si="6"/>
        <v>2.9802322387695312E-8</v>
      </c>
      <c r="AF29" s="2">
        <v>25</v>
      </c>
      <c r="AG29" s="2">
        <f t="shared" si="25"/>
        <v>2318.4341788291931</v>
      </c>
      <c r="AH29" s="2">
        <v>-1.2241410331625957E-5</v>
      </c>
      <c r="AI29" s="2">
        <f t="shared" si="26"/>
        <v>2318.4344470500946</v>
      </c>
      <c r="AJ29" s="2">
        <v>1.2744313130497176E-4</v>
      </c>
      <c r="AK29" s="2">
        <f t="shared" si="17"/>
        <v>2318.4343129396439</v>
      </c>
      <c r="AL29" s="2">
        <v>5.7600861282480764E-5</v>
      </c>
      <c r="AM29" s="2">
        <f t="shared" si="18"/>
        <v>-7.051157784139136E-10</v>
      </c>
      <c r="AN29" s="2">
        <f t="shared" si="19"/>
        <v>7.3408341277026603E-9</v>
      </c>
      <c r="AO29" s="2">
        <f t="shared" si="20"/>
        <v>2.6822090148925781E-4</v>
      </c>
      <c r="AQ29" s="67"/>
      <c r="AR29" s="3">
        <f>0.513438*($AR$9/2)</f>
        <v>0.78247951199999999</v>
      </c>
      <c r="AS29" s="26" t="s">
        <v>8</v>
      </c>
      <c r="AU29" s="70"/>
      <c r="AV29" s="67">
        <f>BH77</f>
        <v>-2.9683349875297971E-9</v>
      </c>
      <c r="AW29" s="67"/>
      <c r="BG29" s="2" t="s">
        <v>180</v>
      </c>
      <c r="BH29" s="2">
        <f>IF(-$AR$8*($AR$21-$AR$10)/(2*$AR$21*SIN(BH23))&gt;500, 1, 2*ACOS(MIN(1, EXP(-$AR$8*($AR$21-$AR$10)/(2*$AR$21*SIN(BH23)))))/PI() )</f>
        <v>0.84359305892577208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0.8942146080151846</v>
      </c>
      <c r="BM29" s="2"/>
      <c r="BO29" s="2">
        <v>25</v>
      </c>
      <c r="BP29" s="2">
        <f t="shared" si="21"/>
        <v>0.52636747484954538</v>
      </c>
      <c r="BQ29" s="2">
        <v>-1.8138952211088633E-7</v>
      </c>
      <c r="BR29" s="2">
        <f t="shared" si="22"/>
        <v>0.52636764150517301</v>
      </c>
      <c r="BS29" s="2">
        <v>7.4612052394784634E-7</v>
      </c>
      <c r="BT29" s="2">
        <f t="shared" si="7"/>
        <v>0.52636755817735925</v>
      </c>
      <c r="BU29" s="2">
        <v>2.8236552485072508E-7</v>
      </c>
      <c r="BV29" s="2">
        <f t="shared" si="8"/>
        <v>-5.121814761326262E-14</v>
      </c>
      <c r="BW29" s="2">
        <f t="shared" si="9"/>
        <v>2.1067871334643163E-13</v>
      </c>
      <c r="BX29" s="2">
        <f t="shared" si="10"/>
        <v>1.6665562763140684E-7</v>
      </c>
      <c r="BZ29" s="2">
        <v>25</v>
      </c>
      <c r="CA29" s="2">
        <f t="shared" si="23"/>
        <v>0.44577248003571079</v>
      </c>
      <c r="CB29" s="2">
        <v>-5.658970943650532E-7</v>
      </c>
      <c r="CC29" s="2">
        <f t="shared" si="24"/>
        <v>0.44577264669133837</v>
      </c>
      <c r="CD29" s="2">
        <v>3.7436326386086627E-8</v>
      </c>
      <c r="CE29" s="2">
        <f t="shared" si="11"/>
        <v>0.44577256336352455</v>
      </c>
      <c r="CF29" s="2">
        <v>-2.6423037606526645E-7</v>
      </c>
      <c r="CG29" s="2">
        <f t="shared" si="12"/>
        <v>1.4952720205831957E-13</v>
      </c>
      <c r="CH29" s="2">
        <f t="shared" si="13"/>
        <v>-9.8918145994977268E-15</v>
      </c>
      <c r="CI29" s="2">
        <f t="shared" si="14"/>
        <v>1.6665562757589569E-7</v>
      </c>
    </row>
    <row r="30" spans="2:87" x14ac:dyDescent="0.2">
      <c r="B30" s="6" t="s">
        <v>246</v>
      </c>
      <c r="C30" s="6">
        <f>$C$29*$C$12/PI()</f>
        <v>0.84998288907657626</v>
      </c>
      <c r="J30" s="10" t="s">
        <v>57</v>
      </c>
      <c r="K30" s="10">
        <f>$C$5 - $C$17 - SUM(K15:K29)</f>
        <v>-2.9481328730526002E-2</v>
      </c>
      <c r="L30" s="10" t="s">
        <v>7</v>
      </c>
      <c r="N30" s="6" t="s">
        <v>38</v>
      </c>
      <c r="O30" s="6">
        <f xml:space="preserve"> 1/$C$76 * LN( EXP($C$76 * O28) + EXP($C$76 * O29) )</f>
        <v>1.2894970092766871</v>
      </c>
      <c r="U30" s="2">
        <v>26</v>
      </c>
      <c r="V30" s="2">
        <f>IF(AB29&gt;0, Z29, V29)</f>
        <v>0.98821181058883667</v>
      </c>
      <c r="W30" s="2">
        <f t="shared" si="0"/>
        <v>4.1535463957131924E-10</v>
      </c>
      <c r="X30" s="2">
        <f t="shared" si="16"/>
        <v>0.98821182548999786</v>
      </c>
      <c r="Y30" s="2">
        <f t="shared" si="1"/>
        <v>-1.5232564987144315E-8</v>
      </c>
      <c r="Z30" s="2">
        <f t="shared" si="3"/>
        <v>0.98821181803941727</v>
      </c>
      <c r="AA30" s="2">
        <f t="shared" si="2"/>
        <v>-7.4086051737864977E-9</v>
      </c>
      <c r="AB30" s="2">
        <f t="shared" si="4"/>
        <v>-3.0771985316843017E-18</v>
      </c>
      <c r="AC30" s="2">
        <f t="shared" si="5"/>
        <v>1.1285205977379643E-16</v>
      </c>
      <c r="AD30" s="2">
        <f t="shared" si="6"/>
        <v>1.4901161193847656E-8</v>
      </c>
      <c r="AF30" s="2">
        <v>26</v>
      </c>
      <c r="AG30" s="2">
        <f t="shared" si="25"/>
        <v>2318.4341788291931</v>
      </c>
      <c r="AH30" s="2">
        <v>-1.2241410331625957E-5</v>
      </c>
      <c r="AI30" s="2">
        <f t="shared" si="26"/>
        <v>2318.4343129396439</v>
      </c>
      <c r="AJ30" s="2">
        <v>5.7600861282480764E-5</v>
      </c>
      <c r="AK30" s="2">
        <f t="shared" si="17"/>
        <v>2318.4342458844185</v>
      </c>
      <c r="AL30" s="2">
        <v>2.2859330329083605E-5</v>
      </c>
      <c r="AM30" s="2">
        <f t="shared" si="18"/>
        <v>-2.7983044246449463E-10</v>
      </c>
      <c r="AN30" s="2">
        <f t="shared" si="19"/>
        <v>1.31671711529595E-9</v>
      </c>
      <c r="AO30" s="2">
        <f t="shared" si="20"/>
        <v>1.3411045074462891E-4</v>
      </c>
      <c r="AQ30" s="67"/>
      <c r="AR30" s="3">
        <f>0.496013*($AR$9/2)</f>
        <v>0.75592381200000003</v>
      </c>
      <c r="AS30" s="26" t="s">
        <v>8</v>
      </c>
      <c r="AU30" s="38" t="s">
        <v>205</v>
      </c>
      <c r="AV30" s="67" t="b">
        <f>IF(AV23&lt;0.00001,IF(AV24&lt;0.00001,IF(AV25&lt;0.00001,IF(AV26&lt;0.00001,IF(AV27&lt;0.00001,IF(AV28&lt;0.00001,IF(AV29&lt;0.00001,TRUE,FALSE),FALSE),FALSE),FALSE),FALSE),FALSE),FALSE)</f>
        <v>1</v>
      </c>
      <c r="AW30" s="67"/>
      <c r="AY30" s="63" t="s">
        <v>206</v>
      </c>
      <c r="AZ30" s="63"/>
      <c r="BA30" s="63"/>
      <c r="BC30" s="63" t="s">
        <v>220</v>
      </c>
      <c r="BD30" s="63"/>
      <c r="BE30" s="63"/>
      <c r="BG30" s="2" t="s">
        <v>183</v>
      </c>
      <c r="BH30" s="2">
        <f>IF(BH23=0,1,BH28*BH29)</f>
        <v>0.81964045040625533</v>
      </c>
      <c r="BI30" s="2"/>
      <c r="BJ30" s="2"/>
      <c r="BK30" s="2" t="s">
        <v>183</v>
      </c>
      <c r="BL30" s="2">
        <f>IF(BL23=0,1,BL28*BL29)</f>
        <v>0.83781124510127791</v>
      </c>
      <c r="BM30" s="2"/>
      <c r="BO30" s="2">
        <v>26</v>
      </c>
      <c r="BP30" s="2">
        <f t="shared" si="21"/>
        <v>0.52636747484954538</v>
      </c>
      <c r="BQ30" s="2">
        <v>-1.8138952211088633E-7</v>
      </c>
      <c r="BR30" s="2">
        <f t="shared" si="22"/>
        <v>0.52636755817735925</v>
      </c>
      <c r="BS30" s="2">
        <v>2.8236552485072508E-7</v>
      </c>
      <c r="BT30" s="2">
        <f t="shared" si="7"/>
        <v>0.52636751651345226</v>
      </c>
      <c r="BU30" s="2">
        <v>5.0488006997362334E-8</v>
      </c>
      <c r="BV30" s="2">
        <f t="shared" si="8"/>
        <v>-9.1579954615826381E-15</v>
      </c>
      <c r="BW30" s="2">
        <f t="shared" si="9"/>
        <v>1.4256072594477296E-14</v>
      </c>
      <c r="BX30" s="2">
        <f t="shared" si="10"/>
        <v>8.3327813871214573E-8</v>
      </c>
      <c r="BZ30" s="2">
        <v>26</v>
      </c>
      <c r="CA30" s="2">
        <f t="shared" si="23"/>
        <v>0.44577256336352455</v>
      </c>
      <c r="CB30" s="2">
        <v>-2.6423037606526645E-7</v>
      </c>
      <c r="CC30" s="2">
        <f t="shared" si="24"/>
        <v>0.44577264669133837</v>
      </c>
      <c r="CD30" s="2">
        <v>3.7436326386086627E-8</v>
      </c>
      <c r="CE30" s="2">
        <f t="shared" si="11"/>
        <v>0.44577260502743143</v>
      </c>
      <c r="CF30" s="2">
        <v>-1.1339702295221077E-7</v>
      </c>
      <c r="CG30" s="2">
        <f t="shared" si="12"/>
        <v>2.9962938019344302E-14</v>
      </c>
      <c r="CH30" s="2">
        <f t="shared" si="13"/>
        <v>-4.2451679624495187E-15</v>
      </c>
      <c r="CI30" s="2">
        <f t="shared" si="14"/>
        <v>8.3327813815703422E-8</v>
      </c>
    </row>
    <row r="31" spans="2:87" x14ac:dyDescent="0.2">
      <c r="B31" s="6" t="s">
        <v>247</v>
      </c>
      <c r="C31" s="17">
        <v>0.75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0.98821181058883667</v>
      </c>
      <c r="W31" s="2">
        <f t="shared" si="0"/>
        <v>4.1535463957131924E-10</v>
      </c>
      <c r="X31" s="2">
        <f t="shared" si="16"/>
        <v>0.98821181803941727</v>
      </c>
      <c r="Y31" s="2">
        <f t="shared" si="1"/>
        <v>-7.4086051737864977E-9</v>
      </c>
      <c r="Z31" s="2">
        <f t="shared" si="3"/>
        <v>0.98821181431412697</v>
      </c>
      <c r="AA31" s="2">
        <f t="shared" si="2"/>
        <v>-3.4966253226187405E-9</v>
      </c>
      <c r="AB31" s="2">
        <f t="shared" si="4"/>
        <v>-1.4523395505922548E-18</v>
      </c>
      <c r="AC31" s="2">
        <f t="shared" si="5"/>
        <v>2.5905116455946083E-17</v>
      </c>
      <c r="AD31" s="2">
        <f t="shared" si="6"/>
        <v>7.4505805969238281E-9</v>
      </c>
      <c r="AF31" s="2">
        <v>27</v>
      </c>
      <c r="AG31" s="2">
        <f t="shared" si="25"/>
        <v>2318.4341788291931</v>
      </c>
      <c r="AH31" s="2">
        <v>-1.2241410331625957E-5</v>
      </c>
      <c r="AI31" s="2">
        <f t="shared" si="26"/>
        <v>2318.4342458844185</v>
      </c>
      <c r="AJ31" s="2">
        <v>2.2859330329083605E-5</v>
      </c>
      <c r="AK31" s="2">
        <f t="shared" si="17"/>
        <v>2318.4342123568058</v>
      </c>
      <c r="AL31" s="2">
        <v>5.1293557135068113E-6</v>
      </c>
      <c r="AM31" s="2">
        <f t="shared" si="18"/>
        <v>-6.2790548025906912E-11</v>
      </c>
      <c r="AN31" s="2">
        <f t="shared" si="19"/>
        <v>1.1725363663042452E-10</v>
      </c>
      <c r="AO31" s="2">
        <f t="shared" si="20"/>
        <v>6.7055225372314453E-5</v>
      </c>
      <c r="AQ31" s="67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1.2196286105468959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1.287405618923855</v>
      </c>
      <c r="BM31" s="2"/>
      <c r="BO31" s="2">
        <v>27</v>
      </c>
      <c r="BP31" s="2">
        <f t="shared" si="21"/>
        <v>0.52636747484954538</v>
      </c>
      <c r="BQ31" s="2">
        <v>-1.8138952211088633E-7</v>
      </c>
      <c r="BR31" s="2">
        <f t="shared" si="22"/>
        <v>0.52636751651345226</v>
      </c>
      <c r="BS31" s="2">
        <v>5.0488006997362334E-8</v>
      </c>
      <c r="BT31" s="2">
        <f t="shared" si="7"/>
        <v>0.52636749568149876</v>
      </c>
      <c r="BU31" s="2">
        <v>-6.5450756273066624E-8</v>
      </c>
      <c r="BV31" s="2">
        <f t="shared" si="8"/>
        <v>1.1872081402167651E-14</v>
      </c>
      <c r="BW31" s="2">
        <f t="shared" si="9"/>
        <v>-3.3044782406972445E-15</v>
      </c>
      <c r="BX31" s="2">
        <f t="shared" si="10"/>
        <v>4.1663906880096135E-8</v>
      </c>
      <c r="BZ31" s="2">
        <v>27</v>
      </c>
      <c r="CA31" s="2">
        <f t="shared" si="23"/>
        <v>0.44577260502743143</v>
      </c>
      <c r="CB31" s="2">
        <v>-1.1339702295221077E-7</v>
      </c>
      <c r="CC31" s="2">
        <f t="shared" si="24"/>
        <v>0.44577264669133837</v>
      </c>
      <c r="CD31" s="2">
        <v>3.7436326386086627E-8</v>
      </c>
      <c r="CE31" s="2">
        <f t="shared" si="11"/>
        <v>0.44577262585938493</v>
      </c>
      <c r="CF31" s="2">
        <v>-3.7980347880606224E-8</v>
      </c>
      <c r="CG31" s="2">
        <f t="shared" si="12"/>
        <v>4.3068583803500533E-15</v>
      </c>
      <c r="CH31" s="2">
        <f t="shared" si="13"/>
        <v>-1.4218446995154881E-15</v>
      </c>
      <c r="CI31" s="2">
        <f t="shared" si="14"/>
        <v>4.1663906935607287E-8</v>
      </c>
    </row>
    <row r="32" spans="2:87" x14ac:dyDescent="0.2">
      <c r="U32" s="2">
        <v>28</v>
      </c>
      <c r="V32" s="2">
        <f t="shared" si="15"/>
        <v>0.98821181058883667</v>
      </c>
      <c r="W32" s="2">
        <f t="shared" si="0"/>
        <v>4.1535463957131924E-10</v>
      </c>
      <c r="X32" s="2">
        <f t="shared" si="16"/>
        <v>0.98821181431412697</v>
      </c>
      <c r="Y32" s="2">
        <f t="shared" si="1"/>
        <v>-3.4966253226187405E-9</v>
      </c>
      <c r="Z32" s="2">
        <f t="shared" si="3"/>
        <v>0.98821181245148182</v>
      </c>
      <c r="AA32" s="2">
        <f t="shared" si="2"/>
        <v>-1.5406352860125594E-9</v>
      </c>
      <c r="AB32" s="2">
        <f t="shared" si="4"/>
        <v>-6.3991001393260294E-19</v>
      </c>
      <c r="AC32" s="2">
        <f t="shared" si="5"/>
        <v>5.387024353991481E-18</v>
      </c>
      <c r="AD32" s="2">
        <f t="shared" si="6"/>
        <v>3.7252902984619141E-9</v>
      </c>
      <c r="AF32" s="2">
        <v>28</v>
      </c>
      <c r="AG32" s="2">
        <f t="shared" si="25"/>
        <v>2318.4341788291931</v>
      </c>
      <c r="AH32" s="2">
        <v>-1.2241410331625957E-5</v>
      </c>
      <c r="AI32" s="2">
        <f t="shared" si="26"/>
        <v>2318.4342123568058</v>
      </c>
      <c r="AJ32" s="2">
        <v>5.1293557135068113E-6</v>
      </c>
      <c r="AK32" s="2">
        <f t="shared" si="17"/>
        <v>2318.4341955929995</v>
      </c>
      <c r="AL32" s="2">
        <v>-3.3764226827770472E-6</v>
      </c>
      <c r="AM32" s="2">
        <f t="shared" si="18"/>
        <v>4.1332175512883176E-11</v>
      </c>
      <c r="AN32" s="2">
        <f t="shared" si="19"/>
        <v>-1.7318872979116443E-11</v>
      </c>
      <c r="AO32" s="2">
        <f t="shared" si="20"/>
        <v>3.3527612686157227E-5</v>
      </c>
      <c r="AQ32" s="67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21.664778980899182</v>
      </c>
      <c r="BA32" s="26" t="s">
        <v>10</v>
      </c>
      <c r="BC32" s="2" t="s">
        <v>158</v>
      </c>
      <c r="BD32" s="2">
        <f>(1+$BL$75)*$AR$3</f>
        <v>25.322215091320999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4.8132693316635555E-2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4.7903609147930515E-2</v>
      </c>
      <c r="BM32" s="2"/>
      <c r="BO32" s="2">
        <v>28</v>
      </c>
      <c r="BP32" s="2">
        <f t="shared" si="21"/>
        <v>0.52636749568149876</v>
      </c>
      <c r="BQ32" s="2">
        <v>-6.5450756273066624E-8</v>
      </c>
      <c r="BR32" s="2">
        <f t="shared" si="22"/>
        <v>0.52636751651345226</v>
      </c>
      <c r="BS32" s="2">
        <v>5.0488006997362334E-8</v>
      </c>
      <c r="BT32" s="2">
        <f t="shared" si="7"/>
        <v>0.52636750609747551</v>
      </c>
      <c r="BU32" s="2">
        <v>-7.4813743117241316E-9</v>
      </c>
      <c r="BV32" s="2">
        <f t="shared" si="8"/>
        <v>4.8966160666423772E-16</v>
      </c>
      <c r="BW32" s="2">
        <f t="shared" si="9"/>
        <v>-3.7771967860021475E-16</v>
      </c>
      <c r="BX32" s="2">
        <f t="shared" si="10"/>
        <v>2.0831953495559219E-8</v>
      </c>
      <c r="BZ32" s="2">
        <v>28</v>
      </c>
      <c r="CA32" s="2">
        <f t="shared" si="23"/>
        <v>0.44577262585938493</v>
      </c>
      <c r="CB32" s="2">
        <v>-3.7980347880606224E-8</v>
      </c>
      <c r="CC32" s="2">
        <f t="shared" si="24"/>
        <v>0.44577264669133837</v>
      </c>
      <c r="CD32" s="2">
        <v>3.7436326386086627E-8</v>
      </c>
      <c r="CE32" s="2">
        <f t="shared" si="11"/>
        <v>0.44577263627536168</v>
      </c>
      <c r="CF32" s="2">
        <v>-2.7201049745961825E-10</v>
      </c>
      <c r="CG32" s="2">
        <f t="shared" si="12"/>
        <v>1.0331053320693057E-17</v>
      </c>
      <c r="CH32" s="2">
        <f t="shared" si="13"/>
        <v>-1.0183073763340056E-17</v>
      </c>
      <c r="CI32" s="2">
        <f t="shared" si="14"/>
        <v>2.0831953440048068E-8</v>
      </c>
    </row>
    <row r="33" spans="2:87" x14ac:dyDescent="0.2">
      <c r="B33" s="54" t="s">
        <v>107</v>
      </c>
      <c r="C33" s="54"/>
      <c r="D33" s="54"/>
      <c r="J33" s="46" t="s">
        <v>59</v>
      </c>
      <c r="K33" s="46"/>
      <c r="L33" s="46"/>
      <c r="U33" s="2">
        <v>29</v>
      </c>
      <c r="V33" s="2">
        <f t="shared" si="15"/>
        <v>0.98821181058883667</v>
      </c>
      <c r="W33" s="2">
        <f t="shared" si="0"/>
        <v>4.1535463957131924E-10</v>
      </c>
      <c r="X33" s="2">
        <f t="shared" si="16"/>
        <v>0.98821181245148182</v>
      </c>
      <c r="Y33" s="2">
        <f t="shared" si="1"/>
        <v>-1.5406352860125594E-9</v>
      </c>
      <c r="Z33" s="2">
        <f t="shared" si="3"/>
        <v>0.98821181152015924</v>
      </c>
      <c r="AA33" s="2">
        <f t="shared" si="2"/>
        <v>-5.6264037873177131E-10</v>
      </c>
      <c r="AB33" s="2">
        <f t="shared" si="4"/>
        <v>-2.3369529171640542E-19</v>
      </c>
      <c r="AC33" s="2">
        <f t="shared" si="5"/>
        <v>8.6682362080963722E-19</v>
      </c>
      <c r="AD33" s="2">
        <f t="shared" si="6"/>
        <v>1.862645149230957E-9</v>
      </c>
      <c r="AF33" s="2">
        <v>29</v>
      </c>
      <c r="AG33" s="2">
        <f t="shared" si="25"/>
        <v>2318.4341955929995</v>
      </c>
      <c r="AH33" s="2">
        <v>-3.3764226827770472E-6</v>
      </c>
      <c r="AI33" s="2">
        <f t="shared" si="26"/>
        <v>2318.4342123568058</v>
      </c>
      <c r="AJ33" s="2">
        <v>5.1293557135068113E-6</v>
      </c>
      <c r="AK33" s="2">
        <f t="shared" si="17"/>
        <v>2318.4342039749026</v>
      </c>
      <c r="AL33" s="2">
        <v>1.0560709142737323E-6</v>
      </c>
      <c r="AM33" s="2">
        <f t="shared" si="18"/>
        <v>-3.5657417895749243E-12</v>
      </c>
      <c r="AN33" s="2">
        <f t="shared" si="19"/>
        <v>5.4169633779983309E-12</v>
      </c>
      <c r="AO33" s="2">
        <f t="shared" si="20"/>
        <v>1.6763806343078613E-5</v>
      </c>
      <c r="AQ33" s="67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70.318010758698307</v>
      </c>
      <c r="BA33" s="26" t="s">
        <v>10</v>
      </c>
      <c r="BC33" s="2" t="s">
        <v>163</v>
      </c>
      <c r="BD33" s="2">
        <f>(1-$BL$76)*$AV$5*$AR$26</f>
        <v>76.912260597502055</v>
      </c>
      <c r="BE33" s="26" t="s">
        <v>10</v>
      </c>
      <c r="BG33" s="2" t="s">
        <v>190</v>
      </c>
      <c r="BH33" s="2">
        <f xml:space="preserve"> BH31*COS(BH23) - BH32*SIN(BH23)</f>
        <v>1.1086358900857727</v>
      </c>
      <c r="BI33" s="2"/>
      <c r="BK33" s="2" t="s">
        <v>190</v>
      </c>
      <c r="BL33" s="2">
        <f xml:space="preserve"> BL31*COS(BL23) - BL32*SIN(BL23)</f>
        <v>1.1914686333841056</v>
      </c>
      <c r="BM33" s="2"/>
      <c r="BO33" s="2">
        <v>29</v>
      </c>
      <c r="BP33" s="2">
        <f t="shared" si="21"/>
        <v>0.52636750609747551</v>
      </c>
      <c r="BQ33" s="2">
        <v>-7.4813743117241316E-9</v>
      </c>
      <c r="BR33" s="2">
        <f t="shared" si="22"/>
        <v>0.52636751651345226</v>
      </c>
      <c r="BS33" s="2">
        <v>5.0488006997362334E-8</v>
      </c>
      <c r="BT33" s="2">
        <f t="shared" si="7"/>
        <v>0.52636751130546389</v>
      </c>
      <c r="BU33" s="2">
        <v>2.1503316419146934E-8</v>
      </c>
      <c r="BV33" s="2">
        <f t="shared" si="8"/>
        <v>-1.6087435907508161E-16</v>
      </c>
      <c r="BW33" s="2">
        <f t="shared" si="9"/>
        <v>1.0856595898363867E-15</v>
      </c>
      <c r="BX33" s="2">
        <f t="shared" si="10"/>
        <v>1.0415976747779609E-8</v>
      </c>
      <c r="BZ33" s="2">
        <v>29</v>
      </c>
      <c r="CA33" s="2">
        <f t="shared" si="23"/>
        <v>0.44577263627536168</v>
      </c>
      <c r="CB33" s="2">
        <v>-2.7201049745961825E-10</v>
      </c>
      <c r="CC33" s="2">
        <f t="shared" si="24"/>
        <v>0.44577264669133837</v>
      </c>
      <c r="CD33" s="2">
        <v>3.7436326386086627E-8</v>
      </c>
      <c r="CE33" s="2">
        <f t="shared" si="11"/>
        <v>0.44577264148335005</v>
      </c>
      <c r="CF33" s="2">
        <v>1.8582157923496823E-8</v>
      </c>
      <c r="CG33" s="2">
        <f t="shared" si="12"/>
        <v>-5.0545420206435576E-18</v>
      </c>
      <c r="CH33" s="2">
        <f t="shared" si="13"/>
        <v>6.956477289818328E-16</v>
      </c>
      <c r="CI33" s="2">
        <f t="shared" si="14"/>
        <v>1.0415976692268458E-8</v>
      </c>
    </row>
    <row r="34" spans="2:87" x14ac:dyDescent="0.2">
      <c r="B34" s="6" t="s">
        <v>108</v>
      </c>
      <c r="C34" s="17">
        <v>6</v>
      </c>
      <c r="J34" s="6" t="s">
        <v>60</v>
      </c>
      <c r="K34" s="6">
        <f>ROUND($C$17/$C$5 * 100, 2)</f>
        <v>25.88</v>
      </c>
      <c r="L34" s="6" t="s">
        <v>61</v>
      </c>
      <c r="U34" s="2">
        <v>30</v>
      </c>
      <c r="V34" s="2">
        <f t="shared" si="15"/>
        <v>0.98821181058883667</v>
      </c>
      <c r="W34" s="2">
        <f t="shared" si="0"/>
        <v>4.1535463957131924E-10</v>
      </c>
      <c r="X34" s="2">
        <f t="shared" si="16"/>
        <v>0.98821181152015924</v>
      </c>
      <c r="Y34" s="2">
        <f t="shared" si="1"/>
        <v>-5.6264037873177131E-10</v>
      </c>
      <c r="Z34" s="2">
        <f t="shared" si="3"/>
        <v>0.98821181105449796</v>
      </c>
      <c r="AA34" s="2">
        <f t="shared" si="2"/>
        <v>-7.3642869580226034E-11</v>
      </c>
      <c r="AB34" s="2">
        <f t="shared" si="4"/>
        <v>-3.0587907551492454E-20</v>
      </c>
      <c r="AC34" s="2">
        <f t="shared" si="5"/>
        <v>4.1434452031512816E-20</v>
      </c>
      <c r="AD34" s="2">
        <f t="shared" si="6"/>
        <v>9.3132257461547852E-10</v>
      </c>
      <c r="AF34" s="2">
        <v>30</v>
      </c>
      <c r="AG34" s="2">
        <f t="shared" si="25"/>
        <v>2318.4341955929995</v>
      </c>
      <c r="AH34" s="2">
        <v>-3.3764226827770472E-6</v>
      </c>
      <c r="AI34" s="2">
        <f t="shared" si="26"/>
        <v>2318.4342039749026</v>
      </c>
      <c r="AJ34" s="2">
        <v>1.0560709142737323E-6</v>
      </c>
      <c r="AK34" s="2">
        <f t="shared" si="17"/>
        <v>2318.434199783951</v>
      </c>
      <c r="AL34" s="2">
        <v>-1.1601755431911442E-6</v>
      </c>
      <c r="AM34" s="2">
        <f t="shared" si="18"/>
        <v>3.9172430200337612E-12</v>
      </c>
      <c r="AN34" s="2">
        <f t="shared" si="19"/>
        <v>-1.2252276466158957E-12</v>
      </c>
      <c r="AO34" s="2">
        <f t="shared" si="20"/>
        <v>8.3819031715393066E-6</v>
      </c>
      <c r="AQ34" s="67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73.57978856555394</v>
      </c>
      <c r="BA34" s="26" t="s">
        <v>10</v>
      </c>
      <c r="BC34" s="2" t="s">
        <v>167</v>
      </c>
      <c r="BD34" s="2">
        <f>SQRT(BD32^2 + BD33^2)</f>
        <v>80.973516703606208</v>
      </c>
      <c r="BE34" s="26" t="s">
        <v>10</v>
      </c>
      <c r="BG34" s="2" t="s">
        <v>192</v>
      </c>
      <c r="BH34" s="2">
        <f xml:space="preserve"> BH31*SIN(BH23) + BH32*COS(BH23)</f>
        <v>0.51062429147484911</v>
      </c>
      <c r="BI34" s="2"/>
      <c r="BK34" s="2" t="s">
        <v>192</v>
      </c>
      <c r="BL34" s="2">
        <f xml:space="preserve"> BL31*SIN(BL23) + BL32*COS(BL23)</f>
        <v>0.49001069280978299</v>
      </c>
      <c r="BM34" s="2"/>
      <c r="BO34" s="2">
        <v>30</v>
      </c>
      <c r="BP34" s="2">
        <f t="shared" si="21"/>
        <v>0.52636750609747551</v>
      </c>
      <c r="BQ34" s="2">
        <v>-7.4813743117241316E-9</v>
      </c>
      <c r="BR34" s="2">
        <f t="shared" si="22"/>
        <v>0.52636751130546389</v>
      </c>
      <c r="BS34" s="2">
        <v>2.1503316419146934E-8</v>
      </c>
      <c r="BT34" s="5">
        <f t="shared" si="7"/>
        <v>0.52636750870146964</v>
      </c>
      <c r="BU34" s="2">
        <v>7.0109706928889182E-9</v>
      </c>
      <c r="BV34" s="2">
        <f t="shared" si="8"/>
        <v>-5.2451696042029885E-17</v>
      </c>
      <c r="BW34" s="2">
        <f t="shared" si="9"/>
        <v>1.5075912121455623E-16</v>
      </c>
      <c r="BX34" s="2">
        <f t="shared" si="10"/>
        <v>5.2079883738898047E-9</v>
      </c>
      <c r="BZ34" s="2">
        <v>30</v>
      </c>
      <c r="CA34" s="2">
        <f t="shared" si="23"/>
        <v>0.44577263627536168</v>
      </c>
      <c r="CB34" s="2">
        <v>-2.7201049745961825E-10</v>
      </c>
      <c r="CC34" s="2">
        <f t="shared" si="24"/>
        <v>0.44577264148335005</v>
      </c>
      <c r="CD34" s="2">
        <v>1.8582157923496823E-8</v>
      </c>
      <c r="CE34" s="5">
        <f t="shared" si="11"/>
        <v>0.44577263887935586</v>
      </c>
      <c r="CF34" s="2">
        <v>9.1550736991408144E-9</v>
      </c>
      <c r="CG34" s="2">
        <f t="shared" si="12"/>
        <v>-2.4902761511827603E-18</v>
      </c>
      <c r="CH34" s="2">
        <f t="shared" si="13"/>
        <v>1.7012102527868686E-16</v>
      </c>
      <c r="CI34" s="2">
        <f t="shared" si="14"/>
        <v>5.2079883738898047E-9</v>
      </c>
    </row>
    <row r="35" spans="2:87" x14ac:dyDescent="0.2">
      <c r="B35" s="6" t="s">
        <v>109</v>
      </c>
      <c r="C35" s="17">
        <v>9.1440000000000001</v>
      </c>
      <c r="D35" s="6" t="s">
        <v>8</v>
      </c>
      <c r="J35" s="11" t="s">
        <v>55</v>
      </c>
      <c r="K35" s="6">
        <f>ROUND(K15/$C$5 * 100, 2)</f>
        <v>22.81</v>
      </c>
      <c r="L35" s="6" t="s">
        <v>61</v>
      </c>
      <c r="AF35" s="2">
        <v>31</v>
      </c>
      <c r="AG35" s="2">
        <f t="shared" si="25"/>
        <v>2318.434199783951</v>
      </c>
      <c r="AH35" s="2">
        <v>-1.1601755431911442E-6</v>
      </c>
      <c r="AI35" s="2">
        <f t="shared" si="26"/>
        <v>2318.4342039749026</v>
      </c>
      <c r="AJ35" s="2">
        <v>1.0560709142737323E-6</v>
      </c>
      <c r="AK35" s="2">
        <f t="shared" si="17"/>
        <v>2318.4342018794268</v>
      </c>
      <c r="AL35" s="2">
        <v>-5.2052428145543672E-8</v>
      </c>
      <c r="AM35" s="2">
        <f t="shared" si="18"/>
        <v>6.0389954098174135E-14</v>
      </c>
      <c r="AN35" s="2">
        <f t="shared" si="19"/>
        <v>-5.4971055381832064E-14</v>
      </c>
      <c r="AO35" s="2">
        <f t="shared" si="20"/>
        <v>4.1909515857696533E-6</v>
      </c>
      <c r="AQ35" s="67" t="s">
        <v>223</v>
      </c>
      <c r="AR35" s="3">
        <v>7.359375</v>
      </c>
      <c r="AS35" s="26" t="s">
        <v>43</v>
      </c>
      <c r="AY35" s="2" t="s">
        <v>170</v>
      </c>
      <c r="AZ35" s="37">
        <f>$AR$45*AZ34*$AR$27/$AR$46</f>
        <v>3681751.9665077762</v>
      </c>
      <c r="BA35" s="26"/>
      <c r="BC35" s="2" t="s">
        <v>170</v>
      </c>
      <c r="BD35" s="37">
        <f>$AR$45*BD34*$AR$27/$AR$46</f>
        <v>4051715.969432916</v>
      </c>
      <c r="BE35" s="26"/>
      <c r="BG35" s="2" t="s">
        <v>38</v>
      </c>
      <c r="BH35" s="2">
        <f xml:space="preserve"> 4*BH30*SIN(BH23)*SIN(BH23) / (BH27*BH33)</f>
        <v>1.2076532489685496</v>
      </c>
      <c r="BI35" s="2"/>
      <c r="BK35" s="2" t="s">
        <v>38</v>
      </c>
      <c r="BL35" s="2">
        <f xml:space="preserve"> 4*BL30*SIN(BL23)*SIN(BL23) / (BL27*BL33)</f>
        <v>1.1829590933937584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110</v>
      </c>
      <c r="C36" s="17">
        <v>1.8675309360000001</v>
      </c>
      <c r="D36" s="6" t="s">
        <v>8</v>
      </c>
      <c r="J36" s="19" t="s">
        <v>81</v>
      </c>
      <c r="K36" s="6">
        <f>ROUND(SUM(K16:K19)/$C$5 * 100, 2)</f>
        <v>14.99</v>
      </c>
      <c r="L36" s="6" t="s">
        <v>61</v>
      </c>
      <c r="AF36" s="2">
        <v>32</v>
      </c>
      <c r="AG36" s="2">
        <f t="shared" si="25"/>
        <v>2318.4342018794268</v>
      </c>
      <c r="AH36" s="2">
        <v>-5.2052428145543672E-8</v>
      </c>
      <c r="AI36" s="2">
        <f t="shared" si="26"/>
        <v>2318.4342039749026</v>
      </c>
      <c r="AJ36" s="2">
        <v>1.0560709142737323E-6</v>
      </c>
      <c r="AK36" s="2">
        <f t="shared" si="17"/>
        <v>2318.4342029271647</v>
      </c>
      <c r="AL36" s="2">
        <v>5.0200924306409433E-7</v>
      </c>
      <c r="AM36" s="2">
        <f t="shared" si="18"/>
        <v>-2.6130800052992538E-14</v>
      </c>
      <c r="AN36" s="2">
        <f t="shared" si="19"/>
        <v>5.3015736029656243E-13</v>
      </c>
      <c r="AO36" s="2">
        <f t="shared" si="20"/>
        <v>2.0954757928848267E-6</v>
      </c>
      <c r="AQ36" s="67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629.6746232145307</v>
      </c>
      <c r="BA36" s="26" t="s">
        <v>22</v>
      </c>
      <c r="BC36" s="2" t="s">
        <v>174</v>
      </c>
      <c r="BD36" s="2">
        <f xml:space="preserve"> $BL$65 * PI() * $AR$45 * BD34^2 * $BL$71 * $AR$26 * BD31</f>
        <v>555.5095795715406</v>
      </c>
      <c r="BE36" s="26" t="s">
        <v>22</v>
      </c>
      <c r="BG36" s="2" t="s">
        <v>194</v>
      </c>
      <c r="BH36" s="2">
        <f xml:space="preserve"> 4*BH30*SIN(BH23)*COS(BH23) / (BH27*BH34)</f>
        <v>6.3393425675038184</v>
      </c>
      <c r="BI36" s="2"/>
      <c r="BK36" s="2" t="s">
        <v>194</v>
      </c>
      <c r="BL36" s="2">
        <f xml:space="preserve"> 4*BL30*SIN(BL23)*COS(BL23) / (BL27*BL34)</f>
        <v>7.8073740286869731</v>
      </c>
      <c r="BM36" s="2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J37" s="20" t="s">
        <v>72</v>
      </c>
      <c r="K37" s="6">
        <f>ROUND(SUM(K20:K25)/$C$5 * 100, 2)</f>
        <v>31.5</v>
      </c>
      <c r="L37" s="6" t="s">
        <v>61</v>
      </c>
      <c r="AF37" s="2">
        <v>33</v>
      </c>
      <c r="AG37" s="2">
        <f t="shared" si="25"/>
        <v>2318.4342018794268</v>
      </c>
      <c r="AH37" s="2">
        <v>-5.2052428145543672E-8</v>
      </c>
      <c r="AI37" s="2">
        <f t="shared" si="26"/>
        <v>2318.4342029271647</v>
      </c>
      <c r="AJ37" s="2">
        <v>5.0200924306409433E-7</v>
      </c>
      <c r="AK37" s="2">
        <f t="shared" si="17"/>
        <v>2318.4342024032958</v>
      </c>
      <c r="AL37" s="2">
        <v>2.2497806639876217E-7</v>
      </c>
      <c r="AM37" s="2">
        <f t="shared" si="18"/>
        <v>-1.1710654635544921E-14</v>
      </c>
      <c r="AN37" s="2">
        <f t="shared" si="19"/>
        <v>1.1294106881886615E-13</v>
      </c>
      <c r="AO37" s="2">
        <f t="shared" si="20"/>
        <v>1.0477378964424133E-6</v>
      </c>
      <c r="AQ37" s="67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289.80820458135378</v>
      </c>
      <c r="BA37" s="26" t="s">
        <v>179</v>
      </c>
      <c r="BC37" s="2" t="s">
        <v>178</v>
      </c>
      <c r="BD37" s="2">
        <f xml:space="preserve"> $BL$65 * PI() * $AR$45 * BD34^2 * $BL$72 * $AR$26^2 * BD31</f>
        <v>322.27620706803071</v>
      </c>
      <c r="BE37" s="26" t="s">
        <v>179</v>
      </c>
      <c r="BG37" s="2" t="s">
        <v>45</v>
      </c>
      <c r="BH37" s="2">
        <f>1/(BH35-1)</f>
        <v>4.815720461717679</v>
      </c>
      <c r="BI37" s="2"/>
      <c r="BK37" s="2" t="s">
        <v>45</v>
      </c>
      <c r="BL37" s="2">
        <f>1/(BL35-1)</f>
        <v>5.4657026412337633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54" t="s">
        <v>111</v>
      </c>
      <c r="C38" s="54"/>
      <c r="D38" s="54"/>
      <c r="J38" s="15" t="s">
        <v>73</v>
      </c>
      <c r="K38" s="6">
        <f>ROUND(SUM(K26:K29)/$C$5*100, 2)</f>
        <v>4.83</v>
      </c>
      <c r="L38" s="6" t="s">
        <v>61</v>
      </c>
      <c r="AF38" s="2">
        <v>34</v>
      </c>
      <c r="AG38" s="2">
        <f t="shared" si="25"/>
        <v>2318.4342018794268</v>
      </c>
      <c r="AH38" s="2">
        <v>-5.2052428145543672E-8</v>
      </c>
      <c r="AI38" s="2">
        <f t="shared" si="26"/>
        <v>2318.4342024032958</v>
      </c>
      <c r="AJ38" s="2">
        <v>2.2497806639876217E-7</v>
      </c>
      <c r="AK38" s="2">
        <f t="shared" si="17"/>
        <v>2318.4342021413613</v>
      </c>
      <c r="AL38" s="2">
        <v>8.6463160187122412E-8</v>
      </c>
      <c r="AM38" s="2">
        <f t="shared" si="18"/>
        <v>-4.5006174328768217E-15</v>
      </c>
      <c r="AN38" s="2">
        <f t="shared" si="19"/>
        <v>1.9452314593625235E-14</v>
      </c>
      <c r="AO38" s="2">
        <f t="shared" si="20"/>
        <v>5.2386894822120667E-7</v>
      </c>
      <c r="AQ38" s="67"/>
      <c r="AR38" s="3">
        <v>2.9156249999999999</v>
      </c>
      <c r="AS38" s="26" t="s">
        <v>43</v>
      </c>
      <c r="BG38" s="2" t="s">
        <v>197</v>
      </c>
      <c r="BH38" s="2">
        <f>1/(BH36+1)</f>
        <v>0.13625198589689344</v>
      </c>
      <c r="BI38" s="2"/>
      <c r="BK38" s="2" t="s">
        <v>197</v>
      </c>
      <c r="BL38" s="2">
        <f>1/(BL36+1)</f>
        <v>0.11354122088409623</v>
      </c>
      <c r="BM38" s="2"/>
      <c r="BO38" s="30">
        <v>0</v>
      </c>
      <c r="BP38" s="30"/>
      <c r="BQ38" s="30">
        <f>$BH$39</f>
        <v>6.2379128390466221E-9</v>
      </c>
      <c r="BR38" s="30"/>
      <c r="BS38" s="30">
        <f>$BH$39</f>
        <v>6.2379128390466221E-9</v>
      </c>
      <c r="BT38" s="30"/>
      <c r="BU38" s="30">
        <f>$BH$39</f>
        <v>6.2379128390466221E-9</v>
      </c>
      <c r="BV38" s="30"/>
      <c r="BW38" s="30"/>
      <c r="BX38" s="30"/>
      <c r="BZ38" s="30">
        <v>0</v>
      </c>
      <c r="CA38" s="30"/>
      <c r="CB38" s="30">
        <f>$BL$39</f>
        <v>8.4974714764651793E-10</v>
      </c>
      <c r="CC38" s="30"/>
      <c r="CD38" s="30">
        <f>$BL$39</f>
        <v>8.4974714764651793E-10</v>
      </c>
      <c r="CE38" s="30"/>
      <c r="CF38" s="30">
        <f>$BL$39</f>
        <v>8.4974714764651793E-10</v>
      </c>
      <c r="CG38" s="30"/>
      <c r="CH38" s="30"/>
      <c r="CI38" s="30"/>
    </row>
    <row r="39" spans="2:87" x14ac:dyDescent="0.2">
      <c r="B39" s="6" t="s">
        <v>124</v>
      </c>
      <c r="C39" s="22" t="s">
        <v>125</v>
      </c>
      <c r="J39" s="10" t="s">
        <v>62</v>
      </c>
      <c r="K39" s="10">
        <f>SUM(K34:K38)</f>
        <v>100.01</v>
      </c>
      <c r="L39" s="10" t="s">
        <v>61</v>
      </c>
      <c r="AF39" s="2">
        <v>35</v>
      </c>
      <c r="AG39" s="2">
        <f t="shared" si="25"/>
        <v>2318.4342018794268</v>
      </c>
      <c r="AH39" s="2">
        <v>-5.2052428145543672E-8</v>
      </c>
      <c r="AI39" s="2">
        <f t="shared" si="26"/>
        <v>2318.4342021413613</v>
      </c>
      <c r="AJ39" s="2">
        <v>8.6463160187122412E-8</v>
      </c>
      <c r="AK39" s="2">
        <f t="shared" si="17"/>
        <v>2318.4342020103941</v>
      </c>
      <c r="AL39" s="2">
        <v>1.7205820768140256E-8</v>
      </c>
      <c r="AM39" s="2">
        <f t="shared" si="18"/>
        <v>-8.9560474921872373E-16</v>
      </c>
      <c r="AN39" s="2">
        <f t="shared" si="19"/>
        <v>1.4876696372266286E-15</v>
      </c>
      <c r="AO39" s="2">
        <f t="shared" si="20"/>
        <v>2.6193447411060333E-7</v>
      </c>
      <c r="AQ39" s="67"/>
      <c r="AR39" s="3">
        <v>1.434375</v>
      </c>
      <c r="AS39" s="26" t="s">
        <v>43</v>
      </c>
      <c r="BG39" s="7" t="s">
        <v>199</v>
      </c>
      <c r="BH39" s="40">
        <f>SIN(BH23)/(1+BH37) - $AR$3*COS(BH23)/($AV$5*$AR$21*(1-BH38))</f>
        <v>6.2379128390466221E-9</v>
      </c>
      <c r="BI39" s="40"/>
      <c r="BK39" s="7" t="s">
        <v>199</v>
      </c>
      <c r="BL39" s="40">
        <f>SIN(BL23)/(1+BL37) - $AR$3*COS(BL23)/($AV$5*$AR$22*(1-BL38))</f>
        <v>8.4974714764651793E-10</v>
      </c>
      <c r="BM39" s="40"/>
      <c r="BO39" s="2">
        <v>1</v>
      </c>
      <c r="BP39" s="3">
        <f>0.01*PI()</f>
        <v>3.1415926535897934E-2</v>
      </c>
      <c r="BQ39" s="2">
        <f t="dataTable" ref="BQ39:BQ68" dt2D="0" dtr="0" r1="BH23" ca="1"/>
        <v>-3.2979629771754468</v>
      </c>
      <c r="BR39" s="3">
        <f>0.9*PI()</f>
        <v>2.8274333882308138</v>
      </c>
      <c r="BS39" s="2">
        <f t="dataTable" ref="BS39:BS68" dt2D="0" dtr="0" r1="BH23"/>
        <v>0.58407262222669587</v>
      </c>
      <c r="BT39" s="2">
        <f t="shared" ref="BT39:BT68" si="27">(BP39+BR39)/2</f>
        <v>1.4294246573833558</v>
      </c>
      <c r="BU39" s="2">
        <f t="dataTable" ref="BU39:BU68" dt2D="0" dtr="0" r1="BH23" ca="1"/>
        <v>1.1265963410251743</v>
      </c>
      <c r="BV39" s="2">
        <f t="shared" ref="BV39:BV68" si="28">BQ39*BU39</f>
        <v>-3.7154730229223487</v>
      </c>
      <c r="BW39" s="2">
        <f t="shared" ref="BW39:BW68" si="29">BS39*BU39</f>
        <v>0.65801407909357446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 ca="1"/>
        <v>-2.5930113711030547</v>
      </c>
      <c r="CC39" s="3">
        <f>0.9*PI()</f>
        <v>2.8274333882308138</v>
      </c>
      <c r="CD39" s="2">
        <f t="dataTable" ref="CD39:CD68" dt2D="0" dtr="0" r1="BL23" ca="1"/>
        <v>0.52903392086645473</v>
      </c>
      <c r="CE39" s="2">
        <f t="shared" ref="CE39:CE68" si="31">(CA39+CC39)/2</f>
        <v>1.4294246573833558</v>
      </c>
      <c r="CF39" s="2">
        <f t="dataTable" ref="CF39:CF68" dt2D="0" dtr="0" r1="BL23"/>
        <v>1.1104939608232267</v>
      </c>
      <c r="CG39" s="2">
        <f t="shared" ref="CG39:CG68" si="32">CB39*CF39</f>
        <v>-2.879523467955897</v>
      </c>
      <c r="CH39" s="2">
        <f t="shared" ref="CH39:CH68" si="33">CD39*CF39</f>
        <v>0.58748897419283075</v>
      </c>
      <c r="CI39" s="2">
        <f t="shared" ref="CI39:CI68" si="34">CC39-CA39</f>
        <v>2.7960174616949161</v>
      </c>
    </row>
    <row r="40" spans="2:87" x14ac:dyDescent="0.2">
      <c r="B40" s="6" t="s">
        <v>126</v>
      </c>
      <c r="C40" s="6">
        <f>IF(C39="wheeled",0.0325,0.014)</f>
        <v>3.2500000000000001E-2</v>
      </c>
      <c r="AF40" s="2">
        <v>36</v>
      </c>
      <c r="AG40" s="2">
        <f t="shared" si="25"/>
        <v>2318.4342018794268</v>
      </c>
      <c r="AH40" s="2">
        <v>-5.2052428145543672E-8</v>
      </c>
      <c r="AI40" s="2">
        <f t="shared" si="26"/>
        <v>2318.4342020103941</v>
      </c>
      <c r="AJ40" s="2">
        <v>1.7205820768140256E-8</v>
      </c>
      <c r="AK40" s="2">
        <f t="shared" si="17"/>
        <v>2318.4342019449105</v>
      </c>
      <c r="AL40" s="2">
        <v>-1.7423417375539429E-8</v>
      </c>
      <c r="AM40" s="2">
        <f t="shared" si="18"/>
        <v>9.0693118099008326E-16</v>
      </c>
      <c r="AN40" s="2">
        <f t="shared" si="19"/>
        <v>-2.9978419653203212E-16</v>
      </c>
      <c r="AO40" s="2">
        <f t="shared" si="20"/>
        <v>1.3096723705530167E-7</v>
      </c>
      <c r="AQ40" s="67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-3.2979629771754468</v>
      </c>
      <c r="BR40" s="2">
        <f t="shared" ref="BR40:BR68" si="36">IF(BW39&gt;0,BT39,BR39)</f>
        <v>1.4294246573833558</v>
      </c>
      <c r="BS40" s="2">
        <v>1.1265963410251743</v>
      </c>
      <c r="BT40" s="2">
        <f t="shared" si="27"/>
        <v>0.73042029195962688</v>
      </c>
      <c r="BU40" s="2">
        <v>0.8150207101208744</v>
      </c>
      <c r="BV40" s="2">
        <f t="shared" si="28"/>
        <v>-2.687908127609886</v>
      </c>
      <c r="BW40" s="2">
        <f t="shared" si="29"/>
        <v>0.91819934988191632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-2.5930113711030547</v>
      </c>
      <c r="CC40" s="2">
        <f t="shared" ref="CC40:CC68" si="38">IF(CH39&gt;0,CE39,CC39)</f>
        <v>1.4294246573833558</v>
      </c>
      <c r="CD40" s="2">
        <v>1.1104939608232267</v>
      </c>
      <c r="CE40" s="2">
        <f t="shared" si="31"/>
        <v>0.73042029195962688</v>
      </c>
      <c r="CF40" s="2">
        <v>0.81217229261964097</v>
      </c>
      <c r="CG40" s="2">
        <f t="shared" si="32"/>
        <v>-2.1059719900575664</v>
      </c>
      <c r="CH40" s="2">
        <f t="shared" si="33"/>
        <v>0.90191242610206579</v>
      </c>
      <c r="CI40" s="2">
        <f t="shared" si="34"/>
        <v>1.3980087308474578</v>
      </c>
    </row>
    <row r="41" spans="2:87" x14ac:dyDescent="0.2">
      <c r="B41" s="6" t="s">
        <v>112</v>
      </c>
      <c r="C41" s="17">
        <v>0.30480000000000002</v>
      </c>
      <c r="D41" s="6" t="s">
        <v>8</v>
      </c>
      <c r="J41" s="54" t="s">
        <v>116</v>
      </c>
      <c r="K41" s="54"/>
      <c r="L41" s="54"/>
      <c r="AF41" s="2">
        <v>37</v>
      </c>
      <c r="AG41" s="2">
        <f t="shared" si="25"/>
        <v>2318.4342019449105</v>
      </c>
      <c r="AH41" s="2">
        <v>-1.7423417375539429E-8</v>
      </c>
      <c r="AI41" s="2">
        <f t="shared" si="26"/>
        <v>2318.4342020103941</v>
      </c>
      <c r="AJ41" s="2">
        <v>1.7205820768140256E-8</v>
      </c>
      <c r="AK41" s="2">
        <f t="shared" si="17"/>
        <v>2318.4342019776523</v>
      </c>
      <c r="AL41" s="2">
        <v>-1.0913936421275139E-10</v>
      </c>
      <c r="AM41" s="2">
        <f t="shared" si="18"/>
        <v>1.9015806947797787E-18</v>
      </c>
      <c r="AN41" s="2">
        <f t="shared" si="19"/>
        <v>-1.8778323393933813E-18</v>
      </c>
      <c r="AO41" s="2">
        <f t="shared" si="20"/>
        <v>6.5483618527650833E-8</v>
      </c>
      <c r="AQ41" s="67"/>
      <c r="AR41" s="3">
        <v>-1.528125</v>
      </c>
      <c r="AS41" s="26" t="s">
        <v>43</v>
      </c>
      <c r="AU41" s="23" t="s">
        <v>143</v>
      </c>
      <c r="AV41" s="69" t="s">
        <v>218</v>
      </c>
      <c r="AW41" s="69"/>
      <c r="AX41" s="24"/>
      <c r="AY41" s="24"/>
      <c r="AZ41" s="24"/>
      <c r="BA41" s="24"/>
      <c r="BB41" s="24"/>
      <c r="BC41" s="24"/>
      <c r="BD41" s="24"/>
      <c r="BE41" s="25"/>
      <c r="BG41" s="63" t="s">
        <v>200</v>
      </c>
      <c r="BH41" s="63"/>
      <c r="BI41" s="63"/>
      <c r="BJ41" s="2"/>
      <c r="BK41" s="63" t="s">
        <v>201</v>
      </c>
      <c r="BL41" s="63"/>
      <c r="BM41" s="63"/>
      <c r="BO41" s="2">
        <v>3</v>
      </c>
      <c r="BP41" s="2">
        <f t="shared" si="35"/>
        <v>3.1415926535897934E-2</v>
      </c>
      <c r="BQ41" s="2">
        <v>-3.2979629771754468</v>
      </c>
      <c r="BR41" s="2">
        <f t="shared" si="36"/>
        <v>0.73042029195962688</v>
      </c>
      <c r="BS41" s="2">
        <v>0.8150207101208744</v>
      </c>
      <c r="BT41" s="2">
        <f t="shared" si="27"/>
        <v>0.38091810924776243</v>
      </c>
      <c r="BU41" s="2">
        <v>-3.3932599443017741E-2</v>
      </c>
      <c r="BV41" s="2">
        <f t="shared" si="28"/>
        <v>0.1119084566823967</v>
      </c>
      <c r="BW41" s="2">
        <f t="shared" si="29"/>
        <v>-2.7655771294295507E-2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-2.5930113711030547</v>
      </c>
      <c r="CC41" s="2">
        <f t="shared" si="38"/>
        <v>0.73042029195962688</v>
      </c>
      <c r="CD41" s="2">
        <v>0.81217229261964097</v>
      </c>
      <c r="CE41" s="2">
        <f t="shared" si="31"/>
        <v>0.38091810924776243</v>
      </c>
      <c r="CF41" s="2">
        <v>7.5324768969874889E-2</v>
      </c>
      <c r="CG41" s="2">
        <f t="shared" si="32"/>
        <v>-0.19531798246459611</v>
      </c>
      <c r="CH41" s="2">
        <f t="shared" si="33"/>
        <v>6.1176690305308083E-2</v>
      </c>
      <c r="CI41" s="2">
        <f t="shared" si="34"/>
        <v>0.6990043654237289</v>
      </c>
    </row>
    <row r="42" spans="2:87" x14ac:dyDescent="0.2">
      <c r="B42" s="6" t="s">
        <v>113</v>
      </c>
      <c r="C42" s="17">
        <v>5.7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2318.4342019776523</v>
      </c>
      <c r="AH42" s="2">
        <v>-1.0913936421275139E-10</v>
      </c>
      <c r="AI42" s="2">
        <f t="shared" si="26"/>
        <v>2318.4342020103941</v>
      </c>
      <c r="AJ42" s="2">
        <v>1.7205820768140256E-8</v>
      </c>
      <c r="AK42" s="2">
        <f t="shared" si="17"/>
        <v>2318.4342019940232</v>
      </c>
      <c r="AL42" s="2">
        <v>8.5483407019637525E-9</v>
      </c>
      <c r="AM42" s="2">
        <f t="shared" si="18"/>
        <v>-9.3296046928630885E-19</v>
      </c>
      <c r="AN42" s="2">
        <f t="shared" si="19"/>
        <v>1.4708121798298659E-16</v>
      </c>
      <c r="AO42" s="2">
        <f t="shared" si="20"/>
        <v>3.2741809263825417E-8</v>
      </c>
      <c r="AQ42" s="67"/>
      <c r="AR42" s="3">
        <v>-3.0093749999999999</v>
      </c>
      <c r="AS42" s="26" t="s">
        <v>43</v>
      </c>
      <c r="AU42" s="27"/>
      <c r="AV42" s="70" t="s">
        <v>148</v>
      </c>
      <c r="AW42" s="70"/>
      <c r="AX42" s="70"/>
      <c r="AY42" s="70" t="s">
        <v>149</v>
      </c>
      <c r="AZ42" s="70"/>
      <c r="BA42" s="70"/>
      <c r="BB42" s="70"/>
      <c r="BC42" s="70" t="s">
        <v>150</v>
      </c>
      <c r="BD42" s="70"/>
      <c r="BE42" s="71"/>
      <c r="BG42" s="28" t="s">
        <v>154</v>
      </c>
      <c r="BH42" s="29">
        <f>BT102</f>
        <v>0.32454338771512786</v>
      </c>
      <c r="BI42" s="5" t="s">
        <v>155</v>
      </c>
      <c r="BJ42" s="2"/>
      <c r="BK42" s="28" t="s">
        <v>154</v>
      </c>
      <c r="BL42" s="29">
        <f>CE102</f>
        <v>0.30583109594575192</v>
      </c>
      <c r="BM42" s="5" t="s">
        <v>155</v>
      </c>
      <c r="BO42" s="2">
        <v>4</v>
      </c>
      <c r="BP42" s="2">
        <f t="shared" si="35"/>
        <v>0.38091810924776243</v>
      </c>
      <c r="BQ42" s="2">
        <v>-3.3932599443017741E-2</v>
      </c>
      <c r="BR42" s="2">
        <f t="shared" si="36"/>
        <v>0.73042029195962688</v>
      </c>
      <c r="BS42" s="2">
        <v>0.8150207101208744</v>
      </c>
      <c r="BT42" s="2">
        <f t="shared" si="27"/>
        <v>0.55566920060369462</v>
      </c>
      <c r="BU42" s="2">
        <v>0.45253728612020405</v>
      </c>
      <c r="BV42" s="2">
        <f t="shared" si="28"/>
        <v>-1.5355766462947196E-2</v>
      </c>
      <c r="BW42" s="2">
        <f t="shared" si="29"/>
        <v>0.36882726028986201</v>
      </c>
      <c r="BX42" s="2">
        <f t="shared" si="30"/>
        <v>0.34950218271186445</v>
      </c>
      <c r="BZ42" s="2">
        <v>4</v>
      </c>
      <c r="CA42" s="2">
        <f t="shared" si="37"/>
        <v>3.1415926535897934E-2</v>
      </c>
      <c r="CB42" s="2">
        <v>-2.5930113711030547</v>
      </c>
      <c r="CC42" s="2">
        <f t="shared" si="38"/>
        <v>0.38091810924776243</v>
      </c>
      <c r="CD42" s="2">
        <v>7.5324768969874889E-2</v>
      </c>
      <c r="CE42" s="2">
        <f t="shared" si="31"/>
        <v>0.20616701789183017</v>
      </c>
      <c r="CF42" s="2">
        <v>-0.37078607211315973</v>
      </c>
      <c r="CG42" s="2">
        <f t="shared" si="32"/>
        <v>0.96145250123606041</v>
      </c>
      <c r="CH42" s="2">
        <f t="shared" si="33"/>
        <v>-2.7929375219171125E-2</v>
      </c>
      <c r="CI42" s="2">
        <f t="shared" si="34"/>
        <v>0.34950218271186451</v>
      </c>
    </row>
    <row r="43" spans="2:87" x14ac:dyDescent="0.2">
      <c r="J43" s="11" t="s">
        <v>55</v>
      </c>
      <c r="K43" s="6">
        <f>ROUND(K15, 2)</f>
        <v>528.74</v>
      </c>
      <c r="L43" s="6" t="s">
        <v>7</v>
      </c>
      <c r="AF43" s="2">
        <v>39</v>
      </c>
      <c r="AG43" s="2">
        <f t="shared" si="25"/>
        <v>2318.4342019776523</v>
      </c>
      <c r="AH43" s="2">
        <v>-1.0913936421275139E-10</v>
      </c>
      <c r="AI43" s="2">
        <f t="shared" si="26"/>
        <v>2318.4342019940232</v>
      </c>
      <c r="AJ43" s="2">
        <v>8.5483407019637525E-9</v>
      </c>
      <c r="AK43" s="2">
        <f t="shared" si="17"/>
        <v>2318.4342019858377</v>
      </c>
      <c r="AL43" s="2">
        <v>4.2196006688755006E-9</v>
      </c>
      <c r="AM43" s="2">
        <f t="shared" si="18"/>
        <v>-4.6052453423277263E-19</v>
      </c>
      <c r="AN43" s="2">
        <f t="shared" si="19"/>
        <v>3.6070584143781916E-17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70" t="s">
        <v>156</v>
      </c>
      <c r="AZ43" s="70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0.50663480319033505</v>
      </c>
      <c r="BI43" s="2" t="s">
        <v>155</v>
      </c>
      <c r="BJ43" s="2"/>
      <c r="BK43" s="2" t="s">
        <v>159</v>
      </c>
      <c r="BL43" s="2">
        <f>($AR$40+$AR$5)/180*PI()</f>
        <v>0.48078211364516915</v>
      </c>
      <c r="BM43" s="2" t="s">
        <v>155</v>
      </c>
      <c r="BO43" s="2">
        <v>5</v>
      </c>
      <c r="BP43" s="2">
        <f t="shared" si="35"/>
        <v>0.38091810924776243</v>
      </c>
      <c r="BQ43" s="2">
        <v>-3.3932599443017741E-2</v>
      </c>
      <c r="BR43" s="2">
        <f t="shared" si="36"/>
        <v>0.55566920060369462</v>
      </c>
      <c r="BS43" s="2">
        <v>0.45253728612020405</v>
      </c>
      <c r="BT43" s="2">
        <f t="shared" si="27"/>
        <v>0.4682936549257285</v>
      </c>
      <c r="BU43" s="2">
        <v>0.2224622684157081</v>
      </c>
      <c r="BV43" s="2">
        <f t="shared" si="28"/>
        <v>-7.5487230453353199E-3</v>
      </c>
      <c r="BW43" s="2">
        <f t="shared" si="29"/>
        <v>0.10067247121298893</v>
      </c>
      <c r="BX43" s="2">
        <f t="shared" si="30"/>
        <v>0.1747510913559322</v>
      </c>
      <c r="BZ43" s="2">
        <v>5</v>
      </c>
      <c r="CA43" s="2">
        <f t="shared" si="37"/>
        <v>0.20616701789183017</v>
      </c>
      <c r="CB43" s="2">
        <v>-0.37078607211315973</v>
      </c>
      <c r="CC43" s="2">
        <f t="shared" si="38"/>
        <v>0.38091810924776243</v>
      </c>
      <c r="CD43" s="2">
        <v>7.5324768969874889E-2</v>
      </c>
      <c r="CE43" s="2">
        <f t="shared" si="31"/>
        <v>0.2935425635697963</v>
      </c>
      <c r="CF43" s="2">
        <v>-0.16129795219254831</v>
      </c>
      <c r="CG43" s="2">
        <f t="shared" si="32"/>
        <v>5.9807034133371205E-2</v>
      </c>
      <c r="CH43" s="2">
        <f t="shared" si="33"/>
        <v>-1.2149730984217627E-2</v>
      </c>
      <c r="CI43" s="2">
        <f t="shared" si="34"/>
        <v>0.17475109135593225</v>
      </c>
    </row>
    <row r="44" spans="2:87" x14ac:dyDescent="0.2">
      <c r="B44" s="54" t="s">
        <v>248</v>
      </c>
      <c r="C44" s="54"/>
      <c r="D44" s="54"/>
      <c r="J44" s="19" t="s">
        <v>81</v>
      </c>
      <c r="K44" s="6">
        <f>ROUND(SUM(K16:K19), 2)</f>
        <v>347.52</v>
      </c>
      <c r="L44" s="6" t="s">
        <v>7</v>
      </c>
      <c r="AF44" s="2">
        <v>40</v>
      </c>
      <c r="AG44" s="2">
        <f t="shared" si="25"/>
        <v>2318.4342019776523</v>
      </c>
      <c r="AH44" s="2">
        <v>-1.0913936421275139E-10</v>
      </c>
      <c r="AI44" s="2">
        <f t="shared" si="26"/>
        <v>2318.4342019858377</v>
      </c>
      <c r="AJ44" s="2">
        <v>4.2196006688755006E-9</v>
      </c>
      <c r="AK44" s="5">
        <f t="shared" si="17"/>
        <v>2318.434201981745</v>
      </c>
      <c r="AL44" s="2">
        <v>2.0552306523313746E-9</v>
      </c>
      <c r="AM44" s="2">
        <f t="shared" si="18"/>
        <v>-2.2430656670600451E-19</v>
      </c>
      <c r="AN44" s="2">
        <f t="shared" si="19"/>
        <v>8.6722526352708995E-18</v>
      </c>
      <c r="AO44" s="2">
        <f t="shared" si="20"/>
        <v>8.1854523159563541E-9</v>
      </c>
      <c r="AQ44" s="61" t="s">
        <v>209</v>
      </c>
      <c r="AR44" s="61"/>
      <c r="AS44" s="61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0.18209141547520719</v>
      </c>
      <c r="BI44" s="2" t="s">
        <v>155</v>
      </c>
      <c r="BJ44" s="2"/>
      <c r="BK44" s="2" t="s">
        <v>28</v>
      </c>
      <c r="BL44" s="2">
        <f>BL43-BL42</f>
        <v>0.17495101769941723</v>
      </c>
      <c r="BM44" s="2" t="s">
        <v>155</v>
      </c>
      <c r="BO44" s="2">
        <v>6</v>
      </c>
      <c r="BP44" s="2">
        <f t="shared" si="35"/>
        <v>0.38091810924776243</v>
      </c>
      <c r="BQ44" s="2">
        <v>-3.3932599443017741E-2</v>
      </c>
      <c r="BR44" s="2">
        <f t="shared" si="36"/>
        <v>0.4682936549257285</v>
      </c>
      <c r="BS44" s="2">
        <v>0.2224622684157081</v>
      </c>
      <c r="BT44" s="2">
        <f t="shared" si="27"/>
        <v>0.42460588208674543</v>
      </c>
      <c r="BU44" s="2">
        <v>9.664507198378916E-2</v>
      </c>
      <c r="BV44" s="2">
        <f t="shared" si="28"/>
        <v>-3.2794185157675334E-3</v>
      </c>
      <c r="BW44" s="2">
        <f t="shared" si="29"/>
        <v>2.1499881944713136E-2</v>
      </c>
      <c r="BX44" s="2">
        <f t="shared" si="30"/>
        <v>8.7375545677966071E-2</v>
      </c>
      <c r="BZ44" s="2">
        <v>6</v>
      </c>
      <c r="CA44" s="2">
        <f t="shared" si="37"/>
        <v>0.2935425635697963</v>
      </c>
      <c r="CB44" s="2">
        <v>-0.16129795219254831</v>
      </c>
      <c r="CC44" s="2">
        <f t="shared" si="38"/>
        <v>0.38091810924776243</v>
      </c>
      <c r="CD44" s="2">
        <v>7.5324768969874889E-2</v>
      </c>
      <c r="CE44" s="2">
        <f t="shared" si="31"/>
        <v>0.33723033640877936</v>
      </c>
      <c r="CF44" s="2">
        <v>-4.2872874941211322E-2</v>
      </c>
      <c r="CG44" s="2">
        <f t="shared" si="32"/>
        <v>6.9153069326246064E-3</v>
      </c>
      <c r="CH44" s="2">
        <f t="shared" si="33"/>
        <v>-3.2293894000210814E-3</v>
      </c>
      <c r="CI44" s="2">
        <f t="shared" si="34"/>
        <v>8.7375545677966127E-2</v>
      </c>
    </row>
    <row r="45" spans="2:87" x14ac:dyDescent="0.2">
      <c r="B45" s="6" t="s">
        <v>113</v>
      </c>
      <c r="C45" s="17">
        <v>3</v>
      </c>
      <c r="J45" s="20" t="s">
        <v>72</v>
      </c>
      <c r="K45" s="6">
        <f>ROUND(SUM(K20:K25), 2)</f>
        <v>730.25</v>
      </c>
      <c r="L45" s="6" t="s">
        <v>7</v>
      </c>
      <c r="AQ45" s="2" t="s">
        <v>19</v>
      </c>
      <c r="AR45" s="2">
        <f>$C$64</f>
        <v>1.0397562309141399</v>
      </c>
      <c r="AS45" s="26" t="s">
        <v>16</v>
      </c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G45" s="2" t="s">
        <v>168</v>
      </c>
      <c r="BH45" s="2">
        <f>BH44/PI()*180</f>
        <v>10.433069592292536</v>
      </c>
      <c r="BI45" s="2" t="s">
        <v>43</v>
      </c>
      <c r="BJ45" s="2"/>
      <c r="BK45" s="2" t="s">
        <v>168</v>
      </c>
      <c r="BL45" s="2">
        <f>BL44/PI()*180</f>
        <v>10.023954935695173</v>
      </c>
      <c r="BM45" s="2" t="s">
        <v>43</v>
      </c>
      <c r="BO45" s="2">
        <v>7</v>
      </c>
      <c r="BP45" s="2">
        <f t="shared" si="35"/>
        <v>0.38091810924776243</v>
      </c>
      <c r="BQ45" s="2">
        <v>-3.3932599443017741E-2</v>
      </c>
      <c r="BR45" s="2">
        <f t="shared" si="36"/>
        <v>0.42460588208674543</v>
      </c>
      <c r="BS45" s="2">
        <v>9.664507198378916E-2</v>
      </c>
      <c r="BT45" s="2">
        <f t="shared" si="27"/>
        <v>0.4027619956672539</v>
      </c>
      <c r="BU45" s="2">
        <v>3.1755169283399234E-2</v>
      </c>
      <c r="BV45" s="2">
        <f t="shared" si="28"/>
        <v>-1.077535439538807E-3</v>
      </c>
      <c r="BW45" s="2">
        <f t="shared" si="29"/>
        <v>3.0689806212515296E-3</v>
      </c>
      <c r="BX45" s="2">
        <f t="shared" si="30"/>
        <v>4.3687772838983008E-2</v>
      </c>
      <c r="BZ45" s="2">
        <v>7</v>
      </c>
      <c r="CA45" s="2">
        <f t="shared" si="37"/>
        <v>0.33723033640877936</v>
      </c>
      <c r="CB45" s="2">
        <v>-4.2872874941211322E-2</v>
      </c>
      <c r="CC45" s="2">
        <f t="shared" si="38"/>
        <v>0.38091810924776243</v>
      </c>
      <c r="CD45" s="2">
        <v>7.5324768969874889E-2</v>
      </c>
      <c r="CE45" s="2">
        <f t="shared" si="31"/>
        <v>0.35907422282827089</v>
      </c>
      <c r="CF45" s="2">
        <v>1.6504478261727157E-2</v>
      </c>
      <c r="CG45" s="2">
        <f t="shared" si="32"/>
        <v>-7.0759443248496925E-4</v>
      </c>
      <c r="CH45" s="2">
        <f t="shared" si="33"/>
        <v>1.2431960120329205E-3</v>
      </c>
      <c r="CI45" s="2">
        <f t="shared" si="34"/>
        <v>4.3687772838983063E-2</v>
      </c>
    </row>
    <row r="46" spans="2:87" x14ac:dyDescent="0.2">
      <c r="J46" s="15" t="s">
        <v>73</v>
      </c>
      <c r="K46" s="6">
        <f>ROUND(SUM(K26:K29), 2)</f>
        <v>111.89</v>
      </c>
      <c r="L46" s="6" t="s">
        <v>7</v>
      </c>
      <c r="AQ46" s="2" t="s">
        <v>31</v>
      </c>
      <c r="AR46" s="37">
        <f>$C$65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0.38091810924776243</v>
      </c>
      <c r="BQ46" s="2">
        <v>-3.3932599443017741E-2</v>
      </c>
      <c r="BR46" s="2">
        <f t="shared" si="36"/>
        <v>0.4027619956672539</v>
      </c>
      <c r="BS46" s="2">
        <v>3.1755169283399234E-2</v>
      </c>
      <c r="BT46" s="2">
        <f t="shared" si="27"/>
        <v>0.39184005245750819</v>
      </c>
      <c r="BU46" s="2">
        <v>-1.0204503134807058E-3</v>
      </c>
      <c r="BV46" s="2">
        <f t="shared" si="28"/>
        <v>3.4626531738842678E-5</v>
      </c>
      <c r="BW46" s="2">
        <f t="shared" si="29"/>
        <v>-3.2404572449877631E-5</v>
      </c>
      <c r="BX46" s="2">
        <f t="shared" si="30"/>
        <v>2.1843886419491476E-2</v>
      </c>
      <c r="BZ46" s="2">
        <v>8</v>
      </c>
      <c r="CA46" s="2">
        <f t="shared" si="37"/>
        <v>0.33723033640877936</v>
      </c>
      <c r="CB46" s="2">
        <v>-4.2872874941211322E-2</v>
      </c>
      <c r="CC46" s="2">
        <f t="shared" si="38"/>
        <v>0.35907422282827089</v>
      </c>
      <c r="CD46" s="2">
        <v>1.6504478261727157E-2</v>
      </c>
      <c r="CE46" s="2">
        <f t="shared" si="31"/>
        <v>0.34815227961852513</v>
      </c>
      <c r="CF46" s="2">
        <v>-1.3140714530636123E-2</v>
      </c>
      <c r="CG46" s="2">
        <f t="shared" si="32"/>
        <v>5.6338021071012094E-4</v>
      </c>
      <c r="CH46" s="2">
        <f t="shared" si="33"/>
        <v>-2.1688063731444606E-4</v>
      </c>
      <c r="CI46" s="2">
        <f t="shared" si="34"/>
        <v>2.1843886419491532E-2</v>
      </c>
    </row>
    <row r="47" spans="2:87" x14ac:dyDescent="0.2">
      <c r="B47" s="54" t="s">
        <v>249</v>
      </c>
      <c r="C47" s="54"/>
      <c r="D47" s="54"/>
      <c r="J47" s="10" t="s">
        <v>62</v>
      </c>
      <c r="K47" s="10">
        <f>SUM(K42:K46)</f>
        <v>2318.4</v>
      </c>
      <c r="L47" s="6" t="s">
        <v>7</v>
      </c>
      <c r="AF47" s="70" t="s">
        <v>222</v>
      </c>
      <c r="AG47" s="70"/>
      <c r="AH47" s="70"/>
      <c r="AI47" s="70"/>
      <c r="AU47" s="23" t="s">
        <v>143</v>
      </c>
      <c r="AV47" s="69" t="s">
        <v>218</v>
      </c>
      <c r="AW47" s="69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0.87776349359679984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0.78141614221434563</v>
      </c>
      <c r="BM47" s="2"/>
      <c r="BO47" s="2">
        <v>9</v>
      </c>
      <c r="BP47" s="2">
        <f t="shared" si="35"/>
        <v>0.39184005245750819</v>
      </c>
      <c r="BQ47" s="2">
        <v>-1.0204503134807058E-3</v>
      </c>
      <c r="BR47" s="2">
        <f t="shared" si="36"/>
        <v>0.4027619956672539</v>
      </c>
      <c r="BS47" s="2">
        <v>3.1755169283399234E-2</v>
      </c>
      <c r="BT47" s="2">
        <f t="shared" si="27"/>
        <v>0.39730102406238105</v>
      </c>
      <c r="BU47" s="2">
        <v>1.538871361719607E-2</v>
      </c>
      <c r="BV47" s="2">
        <f t="shared" si="28"/>
        <v>-1.5703417634732537E-5</v>
      </c>
      <c r="BW47" s="2">
        <f t="shared" si="29"/>
        <v>4.8867120596781213E-4</v>
      </c>
      <c r="BX47" s="2">
        <f t="shared" si="30"/>
        <v>1.092194320974571E-2</v>
      </c>
      <c r="BZ47" s="2">
        <v>9</v>
      </c>
      <c r="CA47" s="2">
        <f t="shared" si="37"/>
        <v>0.34815227961852513</v>
      </c>
      <c r="CB47" s="2">
        <v>-1.3140714530636123E-2</v>
      </c>
      <c r="CC47" s="2">
        <f t="shared" si="38"/>
        <v>0.35907422282827089</v>
      </c>
      <c r="CD47" s="2">
        <v>1.6504478261727157E-2</v>
      </c>
      <c r="CE47" s="2">
        <f t="shared" si="31"/>
        <v>0.35361325122339804</v>
      </c>
      <c r="CF47" s="2">
        <v>1.696295928753519E-3</v>
      </c>
      <c r="CG47" s="2">
        <f t="shared" si="32"/>
        <v>-2.2290540559230263E-5</v>
      </c>
      <c r="CH47" s="2">
        <f t="shared" si="33"/>
        <v>2.7996479281568732E-5</v>
      </c>
      <c r="CI47" s="2">
        <f t="shared" si="34"/>
        <v>1.0921943209745766E-2</v>
      </c>
    </row>
    <row r="48" spans="2:87" x14ac:dyDescent="0.2">
      <c r="B48" s="6" t="s">
        <v>250</v>
      </c>
      <c r="C48" s="17">
        <v>4.3036300000000001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70" t="s">
        <v>148</v>
      </c>
      <c r="AW48" s="70"/>
      <c r="AX48" s="70"/>
      <c r="AY48" s="70" t="s">
        <v>149</v>
      </c>
      <c r="AZ48" s="70"/>
      <c r="BA48" s="70"/>
      <c r="BB48" s="70" t="s">
        <v>150</v>
      </c>
      <c r="BC48" s="70"/>
      <c r="BD48" s="71"/>
      <c r="BG48" s="2" t="s">
        <v>180</v>
      </c>
      <c r="BH48" s="2">
        <f>IF(-$AR$8*($AR$23-$AR$10)/(2*$AR$23*SIN(BH42))&gt;500, 1, 2*ACOS(MIN(1, EXP(-$AR$8*($AR$23-$AR$10)/(2*$AR$23*SIN(BH42)))))/PI() )</f>
        <v>0.92413725227792365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0.94188882283278352</v>
      </c>
      <c r="BM48" s="2"/>
      <c r="BO48" s="2">
        <v>10</v>
      </c>
      <c r="BP48" s="2">
        <f t="shared" si="35"/>
        <v>0.39184005245750819</v>
      </c>
      <c r="BQ48" s="2">
        <v>-1.0204503134807058E-3</v>
      </c>
      <c r="BR48" s="2">
        <f t="shared" si="36"/>
        <v>0.39730102406238105</v>
      </c>
      <c r="BS48" s="2">
        <v>1.538871361719607E-2</v>
      </c>
      <c r="BT48" s="2">
        <f t="shared" si="27"/>
        <v>0.39457053825994459</v>
      </c>
      <c r="BU48" s="2">
        <v>7.1889576797783128E-3</v>
      </c>
      <c r="BV48" s="2">
        <f t="shared" si="28"/>
        <v>-7.3359741179293067E-6</v>
      </c>
      <c r="BW48" s="2">
        <f t="shared" si="29"/>
        <v>1.1062881094025079E-4</v>
      </c>
      <c r="BX48" s="2">
        <f t="shared" si="30"/>
        <v>5.4609716048728552E-3</v>
      </c>
      <c r="BZ48" s="2">
        <v>10</v>
      </c>
      <c r="CA48" s="2">
        <f t="shared" si="37"/>
        <v>0.34815227961852513</v>
      </c>
      <c r="CB48" s="2">
        <v>-1.3140714530636123E-2</v>
      </c>
      <c r="CC48" s="2">
        <f t="shared" si="38"/>
        <v>0.35361325122339804</v>
      </c>
      <c r="CD48" s="2">
        <v>1.696295928753519E-3</v>
      </c>
      <c r="CE48" s="2">
        <f t="shared" si="31"/>
        <v>0.35088276542096158</v>
      </c>
      <c r="CF48" s="2">
        <v>-5.7190303700763861E-3</v>
      </c>
      <c r="CG48" s="2">
        <f t="shared" si="32"/>
        <v>7.5152145485212054E-5</v>
      </c>
      <c r="CH48" s="2">
        <f t="shared" si="33"/>
        <v>-9.7011679331783047E-6</v>
      </c>
      <c r="CI48" s="2">
        <f t="shared" si="34"/>
        <v>5.4609716048729107E-3</v>
      </c>
    </row>
    <row r="49" spans="2:87" x14ac:dyDescent="0.2">
      <c r="B49" s="6" t="s">
        <v>251</v>
      </c>
      <c r="C49" s="17">
        <f>39.5112*0.3048^2</f>
        <v>3.6707105940480003</v>
      </c>
      <c r="D49" s="6" t="s">
        <v>11</v>
      </c>
      <c r="AF49" s="2">
        <v>0</v>
      </c>
      <c r="AH49" s="2">
        <f>$G$11</f>
        <v>0.31573260378672785</v>
      </c>
      <c r="AJ49" s="2">
        <f>$G$11</f>
        <v>0.31573260378672785</v>
      </c>
      <c r="AL49" s="2">
        <f>$G$11</f>
        <v>0.31573260378672785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52" t="s">
        <v>156</v>
      </c>
      <c r="BC49" s="35">
        <v>19.25</v>
      </c>
      <c r="BD49" s="36">
        <v>180</v>
      </c>
      <c r="BG49" s="2" t="s">
        <v>183</v>
      </c>
      <c r="BH49" s="2">
        <f>IF(BH42=0,1,BH47*BH48)</f>
        <v>0.81117394312241742</v>
      </c>
      <c r="BI49" s="2"/>
      <c r="BJ49" s="2"/>
      <c r="BK49" s="2" t="s">
        <v>183</v>
      </c>
      <c r="BL49" s="2">
        <f>IF(BL42=0,1,BL47*BL48)</f>
        <v>0.73600713033280496</v>
      </c>
      <c r="BM49" s="2"/>
      <c r="BO49" s="2">
        <v>11</v>
      </c>
      <c r="BP49" s="2">
        <f t="shared" si="35"/>
        <v>0.39184005245750819</v>
      </c>
      <c r="BQ49" s="2">
        <v>-1.0204503134807058E-3</v>
      </c>
      <c r="BR49" s="2">
        <f t="shared" si="36"/>
        <v>0.39457053825994459</v>
      </c>
      <c r="BS49" s="2">
        <v>7.1889576797783128E-3</v>
      </c>
      <c r="BT49" s="2">
        <f t="shared" si="27"/>
        <v>0.39320529535872639</v>
      </c>
      <c r="BU49" s="2">
        <v>3.0853941230831045E-3</v>
      </c>
      <c r="BV49" s="2">
        <f t="shared" si="28"/>
        <v>-3.1484914001116814E-6</v>
      </c>
      <c r="BW49" s="2">
        <f t="shared" si="29"/>
        <v>2.2180767776281155E-5</v>
      </c>
      <c r="BX49" s="2">
        <f t="shared" si="30"/>
        <v>2.7304858024363998E-3</v>
      </c>
      <c r="BZ49" s="2">
        <v>11</v>
      </c>
      <c r="CA49" s="2">
        <f t="shared" si="37"/>
        <v>0.35088276542096158</v>
      </c>
      <c r="CB49" s="2">
        <v>-5.7190303700763861E-3</v>
      </c>
      <c r="CC49" s="2">
        <f t="shared" si="38"/>
        <v>0.35361325122339804</v>
      </c>
      <c r="CD49" s="2">
        <v>1.696295928753519E-3</v>
      </c>
      <c r="CE49" s="2">
        <f t="shared" si="31"/>
        <v>0.35224800832217984</v>
      </c>
      <c r="CF49" s="2">
        <v>-2.0105183099412005E-3</v>
      </c>
      <c r="CG49" s="2">
        <f t="shared" si="32"/>
        <v>1.1498215274148375E-5</v>
      </c>
      <c r="CH49" s="2">
        <f t="shared" si="33"/>
        <v>-3.4104340238376642E-6</v>
      </c>
      <c r="CI49" s="2">
        <f t="shared" si="34"/>
        <v>2.7304858024364553E-3</v>
      </c>
    </row>
    <row r="50" spans="2:87" x14ac:dyDescent="0.2">
      <c r="B50" s="6" t="s">
        <v>252</v>
      </c>
      <c r="C50" s="17">
        <f>0.15*3.7875*0.3048</f>
        <v>0.1731645</v>
      </c>
      <c r="D50" s="6" t="s">
        <v>8</v>
      </c>
      <c r="AF50" s="2">
        <v>1</v>
      </c>
      <c r="AG50" s="3">
        <v>50</v>
      </c>
      <c r="AH50" s="2">
        <f t="dataTable" ref="AH50:AH79" dt2D="0" dtr="0" r1="C6" ca="1"/>
        <v>2521.107398789502</v>
      </c>
      <c r="AI50" s="3">
        <v>1500</v>
      </c>
      <c r="AJ50" s="2">
        <f t="dataTable" ref="AJ50:AJ79" dt2D="0" dtr="0" r1="C6" ca="1"/>
        <v>-15233.802341907302</v>
      </c>
      <c r="AK50" s="2">
        <f t="shared" ref="AK50:AK79" si="39">(AG50+AI50)/2</f>
        <v>775</v>
      </c>
      <c r="AL50" s="2">
        <f t="dataTable" ref="AL50:AL79" dt2D="0" dtr="0" r1="C6" ca="1"/>
        <v>-2203.9895483314217</v>
      </c>
      <c r="AM50" s="2">
        <f t="shared" ref="AM50:AM79" si="40">AH50*AL50</f>
        <v>-5556494.3571530795</v>
      </c>
      <c r="AN50" s="2">
        <f t="shared" ref="AN50:AN79" si="41">AJ50*AL50</f>
        <v>33575141.142910428</v>
      </c>
      <c r="AO50" s="2">
        <f t="shared" ref="AO50:AO79" si="42">AI50-AG50</f>
        <v>1450</v>
      </c>
      <c r="AU50" s="72" t="s">
        <v>160</v>
      </c>
      <c r="AV50" s="51">
        <v>-8.4939000000000004E-12</v>
      </c>
      <c r="AW50" s="24">
        <v>-4.8275424E-9</v>
      </c>
      <c r="AX50" s="25">
        <v>-1.06847729E-6</v>
      </c>
      <c r="AY50" s="51">
        <v>3.7013959E-9</v>
      </c>
      <c r="AZ50" s="24">
        <v>-1.9300005930000001E-7</v>
      </c>
      <c r="BA50" s="25">
        <v>-1.9024789776000001E-6</v>
      </c>
      <c r="BB50" s="51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1.2999647323554444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1.2648744410536468</v>
      </c>
      <c r="BM50" s="2"/>
      <c r="BO50" s="2">
        <v>12</v>
      </c>
      <c r="BP50" s="2">
        <f t="shared" si="35"/>
        <v>0.39184005245750819</v>
      </c>
      <c r="BQ50" s="2">
        <v>-1.0204503134807058E-3</v>
      </c>
      <c r="BR50" s="2">
        <f t="shared" si="36"/>
        <v>0.39320529535872639</v>
      </c>
      <c r="BS50" s="2">
        <v>3.0853941230831045E-3</v>
      </c>
      <c r="BT50" s="2">
        <f t="shared" si="27"/>
        <v>0.39252267390811729</v>
      </c>
      <c r="BU50" s="2">
        <v>1.0327486285613696E-3</v>
      </c>
      <c r="BV50" s="2">
        <f t="shared" si="28"/>
        <v>-1.0538686617622186E-6</v>
      </c>
      <c r="BW50" s="2">
        <f t="shared" si="29"/>
        <v>3.1864365491853859E-6</v>
      </c>
      <c r="BX50" s="2">
        <f t="shared" si="30"/>
        <v>1.3652429012181999E-3</v>
      </c>
      <c r="BZ50" s="2">
        <v>12</v>
      </c>
      <c r="CA50" s="2">
        <f t="shared" si="37"/>
        <v>0.35224800832217984</v>
      </c>
      <c r="CB50" s="2">
        <v>-2.0105183099412005E-3</v>
      </c>
      <c r="CC50" s="2">
        <f t="shared" si="38"/>
        <v>0.35361325122339804</v>
      </c>
      <c r="CD50" s="2">
        <v>1.696295928753519E-3</v>
      </c>
      <c r="CE50" s="2">
        <f t="shared" si="31"/>
        <v>0.35293062977278894</v>
      </c>
      <c r="CF50" s="2">
        <v>-1.568922886711413E-4</v>
      </c>
      <c r="CG50" s="2">
        <f t="shared" si="32"/>
        <v>3.1543481906190998E-7</v>
      </c>
      <c r="CH50" s="2">
        <f t="shared" si="33"/>
        <v>-2.6613575052567883E-7</v>
      </c>
      <c r="CI50" s="2">
        <f t="shared" si="34"/>
        <v>1.3652429012181999E-3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2521.107398789502</v>
      </c>
      <c r="AI51" s="2">
        <f t="shared" ref="AI51:AI79" si="44">IF(AN50&gt;0, AK50, AI50)</f>
        <v>775</v>
      </c>
      <c r="AJ51" s="2">
        <v>-2203.9895483314217</v>
      </c>
      <c r="AK51" s="2">
        <f t="shared" si="39"/>
        <v>412.5</v>
      </c>
      <c r="AL51" s="2">
        <v>1196.6484060359098</v>
      </c>
      <c r="AM51" s="2">
        <f t="shared" si="40"/>
        <v>3016879.1502067964</v>
      </c>
      <c r="AN51" s="2">
        <f t="shared" si="41"/>
        <v>-2637400.5799306007</v>
      </c>
      <c r="AO51" s="2">
        <f t="shared" si="42"/>
        <v>725</v>
      </c>
      <c r="AU51" s="72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4.7936562338697378E-2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4.7906497033910242E-2</v>
      </c>
      <c r="BM51" s="2"/>
      <c r="BO51" s="2">
        <v>13</v>
      </c>
      <c r="BP51" s="2">
        <f t="shared" si="35"/>
        <v>0.39184005245750819</v>
      </c>
      <c r="BQ51" s="2">
        <v>-1.0204503134807058E-3</v>
      </c>
      <c r="BR51" s="2">
        <f t="shared" si="36"/>
        <v>0.39252267390811729</v>
      </c>
      <c r="BS51" s="2">
        <v>1.0327486285613696E-3</v>
      </c>
      <c r="BT51" s="2">
        <f t="shared" si="27"/>
        <v>0.39218136318281271</v>
      </c>
      <c r="BU51" s="2">
        <v>6.217282129114543E-6</v>
      </c>
      <c r="BV51" s="2">
        <f t="shared" si="28"/>
        <v>-6.3444274976529257E-9</v>
      </c>
      <c r="BW51" s="2">
        <f t="shared" si="29"/>
        <v>6.4208895922221568E-9</v>
      </c>
      <c r="BX51" s="2">
        <f t="shared" si="30"/>
        <v>6.8262145060909996E-4</v>
      </c>
      <c r="BZ51" s="2">
        <v>13</v>
      </c>
      <c r="CA51" s="2">
        <f t="shared" si="37"/>
        <v>0.35293062977278894</v>
      </c>
      <c r="CB51" s="2">
        <v>-1.568922886711413E-4</v>
      </c>
      <c r="CC51" s="2">
        <f t="shared" si="38"/>
        <v>0.35361325122339804</v>
      </c>
      <c r="CD51" s="2">
        <v>1.696295928753519E-3</v>
      </c>
      <c r="CE51" s="2">
        <f t="shared" si="31"/>
        <v>0.35327194049809352</v>
      </c>
      <c r="CF51" s="2">
        <v>7.6975737374743169E-4</v>
      </c>
      <c r="CG51" s="2">
        <f t="shared" si="32"/>
        <v>-1.2076899608872165E-7</v>
      </c>
      <c r="CH51" s="2">
        <f t="shared" si="33"/>
        <v>1.3057362992157693E-6</v>
      </c>
      <c r="CI51" s="2">
        <f t="shared" si="34"/>
        <v>6.8262145060909996E-4</v>
      </c>
    </row>
    <row r="52" spans="2:87" x14ac:dyDescent="0.2">
      <c r="B52" s="54" t="s">
        <v>253</v>
      </c>
      <c r="C52" s="54"/>
      <c r="D52" s="54"/>
      <c r="AF52" s="2">
        <v>3</v>
      </c>
      <c r="AG52" s="2">
        <f t="shared" si="43"/>
        <v>412.5</v>
      </c>
      <c r="AH52" s="2">
        <v>1196.6484060359098</v>
      </c>
      <c r="AI52" s="2">
        <f t="shared" si="44"/>
        <v>775</v>
      </c>
      <c r="AJ52" s="2">
        <v>-2203.9895483314217</v>
      </c>
      <c r="AK52" s="2">
        <f t="shared" si="39"/>
        <v>593.75</v>
      </c>
      <c r="AL52" s="2">
        <v>-244.14820094603874</v>
      </c>
      <c r="AM52" s="2">
        <f t="shared" si="40"/>
        <v>-292159.55549861229</v>
      </c>
      <c r="AN52" s="2">
        <f t="shared" si="41"/>
        <v>538100.08312898909</v>
      </c>
      <c r="AO52" s="2">
        <f t="shared" si="42"/>
        <v>362.5</v>
      </c>
      <c r="AU52" s="72"/>
      <c r="AV52" s="64">
        <v>-2.4012358386552801</v>
      </c>
      <c r="AW52" s="65"/>
      <c r="AX52" s="66"/>
      <c r="AY52" s="64">
        <v>0.149391545914075</v>
      </c>
      <c r="AZ52" s="65"/>
      <c r="BA52" s="66"/>
      <c r="BB52" s="64">
        <v>3.65120250353774</v>
      </c>
      <c r="BC52" s="65"/>
      <c r="BD52" s="66"/>
      <c r="BG52" s="2" t="s">
        <v>190</v>
      </c>
      <c r="BH52" s="2">
        <f xml:space="preserve"> BH50*COS(BH42) - BH51*SIN(BH42)</f>
        <v>1.216816108423195</v>
      </c>
      <c r="BI52" s="2"/>
      <c r="BJ52" s="2"/>
      <c r="BK52" s="2" t="s">
        <v>190</v>
      </c>
      <c r="BL52" s="2">
        <f xml:space="preserve"> BL50*COS(BL42) - BL51*SIN(BL42)</f>
        <v>1.191756570087666</v>
      </c>
      <c r="BM52" s="2"/>
      <c r="BO52" s="2">
        <v>14</v>
      </c>
      <c r="BP52" s="2">
        <f t="shared" si="35"/>
        <v>0.39184005245750819</v>
      </c>
      <c r="BQ52" s="2">
        <v>-1.0204503134807058E-3</v>
      </c>
      <c r="BR52" s="2">
        <f t="shared" si="36"/>
        <v>0.39218136318281271</v>
      </c>
      <c r="BS52" s="2">
        <v>6.217282129114543E-6</v>
      </c>
      <c r="BT52" s="2">
        <f t="shared" si="27"/>
        <v>0.39201070782016045</v>
      </c>
      <c r="BU52" s="2">
        <v>-5.0709961707971762E-4</v>
      </c>
      <c r="BV52" s="2">
        <f t="shared" si="28"/>
        <v>5.1746996321494373E-7</v>
      </c>
      <c r="BW52" s="2">
        <f t="shared" si="29"/>
        <v>-3.1527813869505562E-9</v>
      </c>
      <c r="BX52" s="2">
        <f t="shared" si="30"/>
        <v>3.4131072530452222E-4</v>
      </c>
      <c r="BZ52" s="2">
        <v>14</v>
      </c>
      <c r="CA52" s="2">
        <f t="shared" si="37"/>
        <v>0.35293062977278894</v>
      </c>
      <c r="CB52" s="2">
        <v>-1.568922886711413E-4</v>
      </c>
      <c r="CC52" s="2">
        <f t="shared" si="38"/>
        <v>0.35327194049809352</v>
      </c>
      <c r="CD52" s="2">
        <v>7.6975737374743169E-4</v>
      </c>
      <c r="CE52" s="2">
        <f t="shared" si="31"/>
        <v>0.35310128513544126</v>
      </c>
      <c r="CF52" s="2">
        <v>3.064463277055382E-4</v>
      </c>
      <c r="CG52" s="2">
        <f t="shared" si="32"/>
        <v>-4.8079065708588463E-8</v>
      </c>
      <c r="CH52" s="2">
        <f t="shared" si="33"/>
        <v>2.358893204091599E-7</v>
      </c>
      <c r="CI52" s="2">
        <f t="shared" si="34"/>
        <v>3.4131072530457773E-4</v>
      </c>
    </row>
    <row r="53" spans="2:87" x14ac:dyDescent="0.2">
      <c r="B53" s="6" t="s">
        <v>254</v>
      </c>
      <c r="C53" s="17">
        <v>1.1798999999999999</v>
      </c>
      <c r="AF53" s="2">
        <v>4</v>
      </c>
      <c r="AG53" s="2">
        <f t="shared" si="43"/>
        <v>412.5</v>
      </c>
      <c r="AH53" s="2">
        <v>1196.6484060359098</v>
      </c>
      <c r="AI53" s="2">
        <f t="shared" si="44"/>
        <v>593.75</v>
      </c>
      <c r="AJ53" s="2">
        <v>-244.14820094603874</v>
      </c>
      <c r="AK53" s="2">
        <f t="shared" si="39"/>
        <v>503.125</v>
      </c>
      <c r="AL53" s="2">
        <v>541.13069509536535</v>
      </c>
      <c r="AM53" s="2">
        <f t="shared" si="40"/>
        <v>647543.18374297291</v>
      </c>
      <c r="AN53" s="2">
        <f t="shared" si="41"/>
        <v>-132116.08568421289</v>
      </c>
      <c r="AO53" s="2">
        <f t="shared" si="42"/>
        <v>181.25</v>
      </c>
      <c r="AU53" s="72" t="s">
        <v>164</v>
      </c>
      <c r="AV53" s="51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51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0.45996171325301155</v>
      </c>
      <c r="BI53" s="2"/>
      <c r="BJ53" s="2"/>
      <c r="BK53" s="2" t="s">
        <v>192</v>
      </c>
      <c r="BL53" s="2">
        <f xml:space="preserve"> BL50*SIN(BL42) + BL51*COS(BL42)</f>
        <v>0.42651923959150695</v>
      </c>
      <c r="BM53" s="2"/>
      <c r="BO53" s="2">
        <v>15</v>
      </c>
      <c r="BP53" s="2">
        <f t="shared" si="35"/>
        <v>0.39201070782016045</v>
      </c>
      <c r="BQ53" s="2">
        <v>-5.0709961707971762E-4</v>
      </c>
      <c r="BR53" s="2">
        <f t="shared" si="36"/>
        <v>0.39218136318281271</v>
      </c>
      <c r="BS53" s="2">
        <v>6.217282129114543E-6</v>
      </c>
      <c r="BT53" s="2">
        <f t="shared" si="27"/>
        <v>0.39209603550148658</v>
      </c>
      <c r="BU53" s="2">
        <v>-2.5043692623481772E-4</v>
      </c>
      <c r="BV53" s="2">
        <f t="shared" si="28"/>
        <v>1.2699646939629756E-7</v>
      </c>
      <c r="BW53" s="2">
        <f t="shared" si="29"/>
        <v>-1.5570370259501093E-9</v>
      </c>
      <c r="BX53" s="2">
        <f t="shared" si="30"/>
        <v>1.7065536265226111E-4</v>
      </c>
      <c r="BZ53" s="2">
        <v>15</v>
      </c>
      <c r="CA53" s="2">
        <f t="shared" si="37"/>
        <v>0.35293062977278894</v>
      </c>
      <c r="CB53" s="2">
        <v>-1.568922886711413E-4</v>
      </c>
      <c r="CC53" s="2">
        <f t="shared" si="38"/>
        <v>0.35310128513544126</v>
      </c>
      <c r="CD53" s="2">
        <v>3.064463277055382E-4</v>
      </c>
      <c r="CE53" s="2">
        <f t="shared" si="31"/>
        <v>0.35301595745411507</v>
      </c>
      <c r="CF53" s="2">
        <v>7.4780452878044079E-5</v>
      </c>
      <c r="CG53" s="2">
        <f t="shared" si="32"/>
        <v>-1.1732476399900772E-8</v>
      </c>
      <c r="CH53" s="2">
        <f t="shared" si="33"/>
        <v>2.2916195168633653E-8</v>
      </c>
      <c r="CI53" s="2">
        <f t="shared" si="34"/>
        <v>1.7065536265231662E-4</v>
      </c>
    </row>
    <row r="54" spans="2:87" x14ac:dyDescent="0.2">
      <c r="B54" s="6" t="s">
        <v>255</v>
      </c>
      <c r="C54" s="17">
        <f>27.34325*0.3048^2</f>
        <v>2.5402710484800002</v>
      </c>
      <c r="D54" s="6" t="s">
        <v>11</v>
      </c>
      <c r="AF54" s="2">
        <v>5</v>
      </c>
      <c r="AG54" s="2">
        <f t="shared" si="43"/>
        <v>503.125</v>
      </c>
      <c r="AH54" s="2">
        <v>541.13069509536535</v>
      </c>
      <c r="AI54" s="2">
        <f t="shared" si="44"/>
        <v>593.75</v>
      </c>
      <c r="AJ54" s="2">
        <v>-244.14820094603874</v>
      </c>
      <c r="AK54" s="2">
        <f t="shared" si="39"/>
        <v>548.4375</v>
      </c>
      <c r="AL54" s="2">
        <v>164.71139521227042</v>
      </c>
      <c r="AM54" s="2">
        <f t="shared" si="40"/>
        <v>89130.391781343322</v>
      </c>
      <c r="AN54" s="2">
        <f t="shared" si="41"/>
        <v>-40213.990816387799</v>
      </c>
      <c r="AO54" s="2">
        <f t="shared" si="42"/>
        <v>90.625</v>
      </c>
      <c r="AU54" s="72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1.1646825945620189</v>
      </c>
      <c r="BI54" s="2"/>
      <c r="BJ54" s="2"/>
      <c r="BK54" s="2" t="s">
        <v>38</v>
      </c>
      <c r="BL54" s="2">
        <f xml:space="preserve"> 4*BL49*SIN(BL42)*SIN(BL42) / (BL46*BL52)</f>
        <v>1.1489404366729832</v>
      </c>
      <c r="BM54" s="2"/>
      <c r="BO54" s="2">
        <v>16</v>
      </c>
      <c r="BP54" s="2">
        <f t="shared" si="35"/>
        <v>0.39209603550148658</v>
      </c>
      <c r="BQ54" s="2">
        <v>-2.5043692623481772E-4</v>
      </c>
      <c r="BR54" s="2">
        <f t="shared" si="36"/>
        <v>0.39218136318281271</v>
      </c>
      <c r="BS54" s="2">
        <v>6.217282129114543E-6</v>
      </c>
      <c r="BT54" s="2">
        <f t="shared" si="27"/>
        <v>0.39213869934214962</v>
      </c>
      <c r="BU54" s="2">
        <v>-1.2210875967078039E-4</v>
      </c>
      <c r="BV54" s="2">
        <f t="shared" si="28"/>
        <v>3.0580542438296312E-8</v>
      </c>
      <c r="BW54" s="2">
        <f t="shared" si="29"/>
        <v>-7.5918460930948557E-10</v>
      </c>
      <c r="BX54" s="2">
        <f t="shared" si="30"/>
        <v>8.5327681326130556E-5</v>
      </c>
      <c r="BZ54" s="2">
        <v>16</v>
      </c>
      <c r="CA54" s="2">
        <f t="shared" si="37"/>
        <v>0.35293062977278894</v>
      </c>
      <c r="CB54" s="2">
        <v>-1.568922886711413E-4</v>
      </c>
      <c r="CC54" s="2">
        <f t="shared" si="38"/>
        <v>0.35301595745411507</v>
      </c>
      <c r="CD54" s="2">
        <v>7.4780452878044079E-5</v>
      </c>
      <c r="CE54" s="2">
        <f t="shared" si="31"/>
        <v>0.35297329361345198</v>
      </c>
      <c r="CF54" s="2">
        <v>-4.1055061174126439E-5</v>
      </c>
      <c r="CG54" s="2">
        <f t="shared" si="32"/>
        <v>6.4412225091424106E-9</v>
      </c>
      <c r="CH54" s="2">
        <f t="shared" si="33"/>
        <v>-3.0701160675369794E-9</v>
      </c>
      <c r="CI54" s="2">
        <f t="shared" si="34"/>
        <v>8.5327681326130556E-5</v>
      </c>
    </row>
    <row r="55" spans="2:87" x14ac:dyDescent="0.2">
      <c r="B55" s="6" t="s">
        <v>256</v>
      </c>
      <c r="C55" s="17">
        <f>0.115*9.73719*0.3048</f>
        <v>0.34130798388000005</v>
      </c>
      <c r="D55" s="6" t="s">
        <v>8</v>
      </c>
      <c r="AF55" s="2">
        <v>6</v>
      </c>
      <c r="AG55" s="2">
        <f t="shared" si="43"/>
        <v>548.4375</v>
      </c>
      <c r="AH55" s="2">
        <v>164.71139521227042</v>
      </c>
      <c r="AI55" s="2">
        <f t="shared" si="44"/>
        <v>593.75</v>
      </c>
      <c r="AJ55" s="2">
        <v>-244.14820094603874</v>
      </c>
      <c r="AK55" s="2">
        <f t="shared" si="39"/>
        <v>571.09375</v>
      </c>
      <c r="AL55" s="2">
        <v>-35.663365832481759</v>
      </c>
      <c r="AM55" s="2">
        <f t="shared" si="40"/>
        <v>-5874.162744233684</v>
      </c>
      <c r="AN55" s="2">
        <f t="shared" si="41"/>
        <v>8707.1466076808483</v>
      </c>
      <c r="AO55" s="2">
        <f t="shared" si="42"/>
        <v>45.3125</v>
      </c>
      <c r="AU55" s="73"/>
      <c r="AV55" s="64">
        <v>-1.5880058514071E-2</v>
      </c>
      <c r="AW55" s="65"/>
      <c r="AX55" s="66"/>
      <c r="AY55" s="65">
        <v>0.110802661807325</v>
      </c>
      <c r="AZ55" s="65"/>
      <c r="BA55" s="65"/>
      <c r="BB55" s="64">
        <v>7.4721088420790002E-3</v>
      </c>
      <c r="BC55" s="65"/>
      <c r="BD55" s="66"/>
      <c r="BG55" s="2" t="s">
        <v>194</v>
      </c>
      <c r="BH55" s="2">
        <f xml:space="preserve"> 4*BH49*SIN(BH42)*COS(BH42) / (BH46*BH53)</f>
        <v>9.1580714449221325</v>
      </c>
      <c r="BI55" s="2"/>
      <c r="BJ55" s="2"/>
      <c r="BK55" s="2" t="s">
        <v>194</v>
      </c>
      <c r="BL55" s="2">
        <f xml:space="preserve"> 4*BL49*SIN(BL42)*COS(BL42) / (BL46*BL53)</f>
        <v>10.167660926118266</v>
      </c>
      <c r="BM55" s="2"/>
      <c r="BO55" s="2">
        <v>17</v>
      </c>
      <c r="BP55" s="2">
        <f t="shared" si="35"/>
        <v>0.39213869934214962</v>
      </c>
      <c r="BQ55" s="2">
        <v>-1.2210875967078039E-4</v>
      </c>
      <c r="BR55" s="2">
        <f t="shared" si="36"/>
        <v>0.39218136318281271</v>
      </c>
      <c r="BS55" s="2">
        <v>6.217282129114543E-6</v>
      </c>
      <c r="BT55" s="2">
        <f t="shared" si="27"/>
        <v>0.39216003126248117</v>
      </c>
      <c r="BU55" s="2">
        <v>-5.7945472916515195E-5</v>
      </c>
      <c r="BV55" s="2">
        <f t="shared" si="28"/>
        <v>7.0756498263724676E-9</v>
      </c>
      <c r="BW55" s="2">
        <f t="shared" si="29"/>
        <v>-3.6026335322694069E-10</v>
      </c>
      <c r="BX55" s="2">
        <f t="shared" si="30"/>
        <v>4.2663840663093033E-5</v>
      </c>
      <c r="BZ55" s="2">
        <v>17</v>
      </c>
      <c r="CA55" s="2">
        <f t="shared" si="37"/>
        <v>0.35297329361345198</v>
      </c>
      <c r="CB55" s="2">
        <v>-4.1055061174126439E-5</v>
      </c>
      <c r="CC55" s="2">
        <f t="shared" si="38"/>
        <v>0.35301595745411507</v>
      </c>
      <c r="CD55" s="2">
        <v>7.4780452878044079E-5</v>
      </c>
      <c r="CE55" s="2">
        <f t="shared" si="31"/>
        <v>0.35299462553378352</v>
      </c>
      <c r="CF55" s="2">
        <v>1.6862910234873019E-5</v>
      </c>
      <c r="CG55" s="2">
        <f t="shared" si="32"/>
        <v>-6.9230781126651467E-10</v>
      </c>
      <c r="CH55" s="2">
        <f t="shared" si="33"/>
        <v>1.261016064205609E-9</v>
      </c>
      <c r="CI55" s="2">
        <f t="shared" si="34"/>
        <v>4.2663840663093033E-5</v>
      </c>
    </row>
    <row r="56" spans="2:87" x14ac:dyDescent="0.2">
      <c r="B56" s="6" t="s">
        <v>257</v>
      </c>
      <c r="C56" s="17">
        <v>35</v>
      </c>
      <c r="D56" s="6" t="s">
        <v>43</v>
      </c>
      <c r="AF56" s="2">
        <v>7</v>
      </c>
      <c r="AG56" s="2">
        <f t="shared" si="43"/>
        <v>548.4375</v>
      </c>
      <c r="AH56" s="2">
        <v>164.71139521227042</v>
      </c>
      <c r="AI56" s="2">
        <f t="shared" si="44"/>
        <v>571.09375</v>
      </c>
      <c r="AJ56" s="2">
        <v>-35.663365832481759</v>
      </c>
      <c r="AK56" s="2">
        <f t="shared" si="39"/>
        <v>559.765625</v>
      </c>
      <c r="AL56" s="2">
        <v>65.53777394849476</v>
      </c>
      <c r="AM56" s="2">
        <f t="shared" si="40"/>
        <v>10794.81818616296</v>
      </c>
      <c r="AN56" s="2">
        <f t="shared" si="41"/>
        <v>-2337.2976081716611</v>
      </c>
      <c r="AO56" s="2">
        <f t="shared" si="42"/>
        <v>22.65625</v>
      </c>
      <c r="BG56" s="2" t="s">
        <v>45</v>
      </c>
      <c r="BH56" s="2">
        <f>1/(BH54-1)</f>
        <v>6.0722871330728463</v>
      </c>
      <c r="BI56" s="2"/>
      <c r="BJ56" s="2"/>
      <c r="BK56" s="2" t="s">
        <v>45</v>
      </c>
      <c r="BL56" s="2">
        <f>1/(BL54-1)</f>
        <v>6.714093380803102</v>
      </c>
      <c r="BM56" s="2"/>
      <c r="BO56" s="2">
        <v>18</v>
      </c>
      <c r="BP56" s="2">
        <f t="shared" si="35"/>
        <v>0.39216003126248117</v>
      </c>
      <c r="BQ56" s="2">
        <v>-5.7945472916515195E-5</v>
      </c>
      <c r="BR56" s="2">
        <f t="shared" si="36"/>
        <v>0.39218136318281271</v>
      </c>
      <c r="BS56" s="2">
        <v>6.217282129114543E-6</v>
      </c>
      <c r="BT56" s="2">
        <f t="shared" si="27"/>
        <v>0.39217069722264697</v>
      </c>
      <c r="BU56" s="2">
        <v>-2.5864028897648605E-5</v>
      </c>
      <c r="BV56" s="2">
        <f t="shared" si="28"/>
        <v>1.4987033860006636E-9</v>
      </c>
      <c r="BW56" s="2">
        <f t="shared" si="29"/>
        <v>-1.6080396465225279E-10</v>
      </c>
      <c r="BX56" s="2">
        <f t="shared" si="30"/>
        <v>2.1331920331546517E-5</v>
      </c>
      <c r="BZ56" s="2">
        <v>18</v>
      </c>
      <c r="CA56" s="2">
        <f t="shared" si="37"/>
        <v>0.35297329361345198</v>
      </c>
      <c r="CB56" s="2">
        <v>-4.1055061174126439E-5</v>
      </c>
      <c r="CC56" s="2">
        <f t="shared" si="38"/>
        <v>0.35299462553378352</v>
      </c>
      <c r="CD56" s="2">
        <v>1.6862910234873019E-5</v>
      </c>
      <c r="CE56" s="2">
        <f t="shared" si="31"/>
        <v>0.35298395957361772</v>
      </c>
      <c r="CF56" s="2">
        <v>-1.209602189931186E-5</v>
      </c>
      <c r="CG56" s="2">
        <f t="shared" si="32"/>
        <v>4.9660291903982146E-10</v>
      </c>
      <c r="CH56" s="2">
        <f t="shared" si="33"/>
        <v>-2.0397413148715412E-10</v>
      </c>
      <c r="CI56" s="2">
        <f t="shared" si="34"/>
        <v>2.1331920331546517E-5</v>
      </c>
    </row>
    <row r="57" spans="2:87" x14ac:dyDescent="0.2">
      <c r="AF57" s="2">
        <v>8</v>
      </c>
      <c r="AG57" s="2">
        <f t="shared" si="43"/>
        <v>559.765625</v>
      </c>
      <c r="AH57" s="2">
        <v>65.53777394849476</v>
      </c>
      <c r="AI57" s="2">
        <f t="shared" si="44"/>
        <v>571.09375</v>
      </c>
      <c r="AJ57" s="2">
        <v>-35.663365832481759</v>
      </c>
      <c r="AK57" s="2">
        <f t="shared" si="39"/>
        <v>565.4296875</v>
      </c>
      <c r="AL57" s="2">
        <v>15.190643872655983</v>
      </c>
      <c r="AM57" s="2">
        <f t="shared" si="40"/>
        <v>995.56098425821483</v>
      </c>
      <c r="AN57" s="2">
        <f t="shared" si="41"/>
        <v>-541.74948966147781</v>
      </c>
      <c r="AO57" s="2">
        <f t="shared" si="42"/>
        <v>11.328125</v>
      </c>
      <c r="BG57" s="2" t="s">
        <v>197</v>
      </c>
      <c r="BH57" s="2">
        <f>1/(BH55+1)</f>
        <v>9.8443883312110889E-2</v>
      </c>
      <c r="BI57" s="2"/>
      <c r="BJ57" s="2"/>
      <c r="BK57" s="2" t="s">
        <v>197</v>
      </c>
      <c r="BL57" s="2">
        <f>1/(BL55+1)</f>
        <v>8.9544265949305382E-2</v>
      </c>
      <c r="BM57" s="2"/>
      <c r="BO57" s="2">
        <v>19</v>
      </c>
      <c r="BP57" s="2">
        <f t="shared" si="35"/>
        <v>0.39217069722264697</v>
      </c>
      <c r="BQ57" s="2">
        <v>-2.5864028897648605E-5</v>
      </c>
      <c r="BR57" s="2">
        <f t="shared" si="36"/>
        <v>0.39218136318281271</v>
      </c>
      <c r="BS57" s="2">
        <v>6.217282129114543E-6</v>
      </c>
      <c r="BT57" s="2">
        <f t="shared" si="27"/>
        <v>0.39217603020272984</v>
      </c>
      <c r="BU57" s="2">
        <v>-9.8233567562278079E-6</v>
      </c>
      <c r="BV57" s="2">
        <f t="shared" si="28"/>
        <v>2.5407158301498771E-10</v>
      </c>
      <c r="BW57" s="2">
        <f t="shared" si="29"/>
        <v>-6.1074580408411751E-11</v>
      </c>
      <c r="BX57" s="2">
        <f t="shared" si="30"/>
        <v>1.0665960165745503E-5</v>
      </c>
      <c r="BZ57" s="2">
        <v>19</v>
      </c>
      <c r="CA57" s="2">
        <f t="shared" si="37"/>
        <v>0.35298395957361772</v>
      </c>
      <c r="CB57" s="2">
        <v>-1.209602189931186E-5</v>
      </c>
      <c r="CC57" s="2">
        <f t="shared" si="38"/>
        <v>0.35299462553378352</v>
      </c>
      <c r="CD57" s="2">
        <v>1.6862910234873019E-5</v>
      </c>
      <c r="CE57" s="2">
        <f t="shared" si="31"/>
        <v>0.3529892925537006</v>
      </c>
      <c r="CF57" s="2">
        <v>2.3834575634956723E-6</v>
      </c>
      <c r="CG57" s="2">
        <f t="shared" si="32"/>
        <v>-2.8830354884124139E-11</v>
      </c>
      <c r="CH57" s="2">
        <f t="shared" si="33"/>
        <v>4.0192030941856682E-11</v>
      </c>
      <c r="CI57" s="2">
        <f t="shared" si="34"/>
        <v>1.0665960165801014E-5</v>
      </c>
    </row>
    <row r="58" spans="2:87" x14ac:dyDescent="0.2">
      <c r="B58" s="57" t="s">
        <v>2</v>
      </c>
      <c r="C58" s="58"/>
      <c r="D58" s="58"/>
      <c r="AF58" s="2">
        <v>9</v>
      </c>
      <c r="AG58" s="2">
        <f t="shared" si="43"/>
        <v>565.4296875</v>
      </c>
      <c r="AH58" s="2">
        <v>15.190643872655983</v>
      </c>
      <c r="AI58" s="2">
        <f t="shared" si="44"/>
        <v>571.09375</v>
      </c>
      <c r="AJ58" s="2">
        <v>-35.663365832481759</v>
      </c>
      <c r="AK58" s="2">
        <f t="shared" si="39"/>
        <v>568.26171875</v>
      </c>
      <c r="AL58" s="2">
        <v>-10.173001026251313</v>
      </c>
      <c r="AM58" s="2">
        <f t="shared" si="40"/>
        <v>-154.53443570594754</v>
      </c>
      <c r="AN58" s="2">
        <f t="shared" si="41"/>
        <v>362.80345721341297</v>
      </c>
      <c r="AO58" s="2">
        <f t="shared" si="42"/>
        <v>5.6640625</v>
      </c>
      <c r="BG58" s="7" t="s">
        <v>199</v>
      </c>
      <c r="BH58" s="40">
        <f>SIN(BH42)/(1+BH56) - $AR$3*COS(BH42)/($AV$5*$AR$23*(1-BH57))</f>
        <v>1.7445675667970839E-9</v>
      </c>
      <c r="BI58" s="40"/>
      <c r="BJ58" s="2"/>
      <c r="BK58" s="7" t="s">
        <v>199</v>
      </c>
      <c r="BL58" s="40">
        <f>SIN(BL42)/(1+BL56) - $AR$3*COS(BL42)/($AV$5*$AR$24*(1-BL57))</f>
        <v>8.1089170794745868E-10</v>
      </c>
      <c r="BM58" s="40"/>
      <c r="BO58" s="2">
        <v>20</v>
      </c>
      <c r="BP58" s="2">
        <f t="shared" si="35"/>
        <v>0.39217603020272984</v>
      </c>
      <c r="BQ58" s="2">
        <v>-9.8233567562278079E-6</v>
      </c>
      <c r="BR58" s="2">
        <f t="shared" si="36"/>
        <v>0.39218136318281271</v>
      </c>
      <c r="BS58" s="2">
        <v>6.217282129114543E-6</v>
      </c>
      <c r="BT58" s="2">
        <f t="shared" si="27"/>
        <v>0.39217869669277128</v>
      </c>
      <c r="BU58" s="2">
        <v>-1.8030331560003887E-6</v>
      </c>
      <c r="BV58" s="2">
        <f t="shared" si="28"/>
        <v>1.7711837934699164E-11</v>
      </c>
      <c r="BW58" s="2">
        <f t="shared" si="29"/>
        <v>-1.120996581900221E-11</v>
      </c>
      <c r="BX58" s="2">
        <f t="shared" si="30"/>
        <v>5.3329800828727514E-6</v>
      </c>
      <c r="BZ58" s="2">
        <v>20</v>
      </c>
      <c r="CA58" s="2">
        <f t="shared" si="37"/>
        <v>0.35298395957361772</v>
      </c>
      <c r="CB58" s="2">
        <v>-1.209602189931186E-5</v>
      </c>
      <c r="CC58" s="2">
        <f t="shared" si="38"/>
        <v>0.3529892925537006</v>
      </c>
      <c r="CD58" s="2">
        <v>2.3834575634956723E-6</v>
      </c>
      <c r="CE58" s="2">
        <f t="shared" si="31"/>
        <v>0.35298662606365916</v>
      </c>
      <c r="CF58" s="2">
        <v>-4.8562788193540207E-6</v>
      </c>
      <c r="CG58" s="2">
        <f t="shared" si="32"/>
        <v>5.8741654948070572E-11</v>
      </c>
      <c r="CH58" s="2">
        <f t="shared" si="33"/>
        <v>-1.1574734482433175E-11</v>
      </c>
      <c r="CI58" s="2">
        <f t="shared" si="34"/>
        <v>5.3329800828727514E-6</v>
      </c>
    </row>
    <row r="59" spans="2:87" x14ac:dyDescent="0.2">
      <c r="B59" s="6" t="s">
        <v>3</v>
      </c>
      <c r="C59" s="17">
        <v>250</v>
      </c>
      <c r="D59" s="6" t="s">
        <v>4</v>
      </c>
      <c r="AF59" s="2">
        <v>10</v>
      </c>
      <c r="AG59" s="2">
        <f t="shared" si="43"/>
        <v>565.4296875</v>
      </c>
      <c r="AH59" s="2">
        <v>15.190643872655983</v>
      </c>
      <c r="AI59" s="2">
        <f t="shared" si="44"/>
        <v>568.26171875</v>
      </c>
      <c r="AJ59" s="2">
        <v>-10.173001026251313</v>
      </c>
      <c r="AK59" s="2">
        <f t="shared" si="39"/>
        <v>566.845703125</v>
      </c>
      <c r="AL59" s="2">
        <v>2.5246614116181263</v>
      </c>
      <c r="AM59" s="2">
        <f t="shared" si="40"/>
        <v>38.351232402927891</v>
      </c>
      <c r="AN59" s="2">
        <f t="shared" si="41"/>
        <v>-25.683383131328288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0.39217869669277128</v>
      </c>
      <c r="BQ59" s="2">
        <v>-1.8030331560003887E-6</v>
      </c>
      <c r="BR59" s="2">
        <f t="shared" si="36"/>
        <v>0.39218136318281271</v>
      </c>
      <c r="BS59" s="2">
        <v>6.217282129114543E-6</v>
      </c>
      <c r="BT59" s="2">
        <f t="shared" si="27"/>
        <v>0.392180029937792</v>
      </c>
      <c r="BU59" s="2">
        <v>2.2071255259270561E-6</v>
      </c>
      <c r="BV59" s="2">
        <f t="shared" si="28"/>
        <v>-3.9795205027012777E-12</v>
      </c>
      <c r="BW59" s="2">
        <f t="shared" si="29"/>
        <v>1.3722322089058822E-11</v>
      </c>
      <c r="BX59" s="2">
        <f t="shared" si="30"/>
        <v>2.6664900414363757E-6</v>
      </c>
      <c r="BZ59" s="2">
        <v>21</v>
      </c>
      <c r="CA59" s="2">
        <f t="shared" si="37"/>
        <v>0.35298662606365916</v>
      </c>
      <c r="CB59" s="2">
        <v>-4.8562788193540207E-6</v>
      </c>
      <c r="CC59" s="2">
        <f t="shared" si="38"/>
        <v>0.3529892925537006</v>
      </c>
      <c r="CD59" s="2">
        <v>2.3834575634956723E-6</v>
      </c>
      <c r="CE59" s="2">
        <f t="shared" si="31"/>
        <v>0.35298795930867988</v>
      </c>
      <c r="CF59" s="2">
        <v>-1.2364097907585636E-6</v>
      </c>
      <c r="CG59" s="2">
        <f t="shared" si="32"/>
        <v>6.0043506789027491E-12</v>
      </c>
      <c r="CH59" s="2">
        <f t="shared" si="33"/>
        <v>-2.9469302673635999E-12</v>
      </c>
      <c r="CI59" s="2">
        <f t="shared" si="34"/>
        <v>2.6664900414363757E-6</v>
      </c>
    </row>
    <row r="60" spans="2:87" x14ac:dyDescent="0.2">
      <c r="B60" s="6" t="s">
        <v>5</v>
      </c>
      <c r="C60" s="17">
        <v>0.85</v>
      </c>
      <c r="AF60" s="2">
        <v>11</v>
      </c>
      <c r="AG60" s="2">
        <f t="shared" si="43"/>
        <v>566.845703125</v>
      </c>
      <c r="AH60" s="2">
        <v>2.5246614116181263</v>
      </c>
      <c r="AI60" s="2">
        <f t="shared" si="44"/>
        <v>568.26171875</v>
      </c>
      <c r="AJ60" s="2">
        <v>-10.173001026251313</v>
      </c>
      <c r="AK60" s="2">
        <f t="shared" si="39"/>
        <v>567.5537109375</v>
      </c>
      <c r="AL60" s="2">
        <v>-3.8202098102124182</v>
      </c>
      <c r="AM60" s="2">
        <f t="shared" si="40"/>
        <v>-9.6447362921282984</v>
      </c>
      <c r="AN60" s="2">
        <f t="shared" si="41"/>
        <v>38.862998319786264</v>
      </c>
      <c r="AO60" s="2">
        <f t="shared" si="42"/>
        <v>1.416015625</v>
      </c>
      <c r="BG60" s="63" t="s">
        <v>206</v>
      </c>
      <c r="BH60" s="63"/>
      <c r="BI60" s="63"/>
      <c r="BJ60" s="2"/>
      <c r="BK60" s="63" t="s">
        <v>220</v>
      </c>
      <c r="BL60" s="63"/>
      <c r="BM60" s="63"/>
      <c r="BO60" s="2">
        <v>22</v>
      </c>
      <c r="BP60" s="2">
        <f t="shared" si="35"/>
        <v>0.39217869669277128</v>
      </c>
      <c r="BQ60" s="2">
        <v>-1.8030331560003887E-6</v>
      </c>
      <c r="BR60" s="2">
        <f t="shared" si="36"/>
        <v>0.392180029937792</v>
      </c>
      <c r="BS60" s="2">
        <v>2.2071255259270561E-6</v>
      </c>
      <c r="BT60" s="2">
        <f t="shared" si="27"/>
        <v>0.39217936331528164</v>
      </c>
      <c r="BU60" s="2">
        <v>2.0204644500532165E-7</v>
      </c>
      <c r="BV60" s="2">
        <f t="shared" si="28"/>
        <v>-3.6429643939660406E-13</v>
      </c>
      <c r="BW60" s="2">
        <f t="shared" si="29"/>
        <v>4.4594186619406258E-13</v>
      </c>
      <c r="BX60" s="2">
        <f t="shared" si="30"/>
        <v>1.3332450207181878E-6</v>
      </c>
      <c r="BZ60" s="2">
        <v>22</v>
      </c>
      <c r="CA60" s="2">
        <f t="shared" si="37"/>
        <v>0.35298795930867988</v>
      </c>
      <c r="CB60" s="2">
        <v>-1.2364097907585636E-6</v>
      </c>
      <c r="CC60" s="2">
        <f t="shared" si="38"/>
        <v>0.3529892925537006</v>
      </c>
      <c r="CD60" s="2">
        <v>2.3834575634956723E-6</v>
      </c>
      <c r="CE60" s="2">
        <f t="shared" si="31"/>
        <v>0.35298862593119024</v>
      </c>
      <c r="CF60" s="2">
        <v>5.7352409552069439E-7</v>
      </c>
      <c r="CG60" s="2">
        <f t="shared" si="32"/>
        <v>-7.0911080693773621E-13</v>
      </c>
      <c r="CH60" s="2">
        <f t="shared" si="33"/>
        <v>1.3669703433158136E-12</v>
      </c>
      <c r="CI60" s="2">
        <f t="shared" si="34"/>
        <v>1.3332450207181878E-6</v>
      </c>
    </row>
    <row r="61" spans="2:87" x14ac:dyDescent="0.2">
      <c r="B61" s="6" t="s">
        <v>6</v>
      </c>
      <c r="C61" s="17">
        <v>0.8</v>
      </c>
      <c r="AF61" s="2">
        <v>12</v>
      </c>
      <c r="AG61" s="2">
        <f t="shared" si="43"/>
        <v>566.845703125</v>
      </c>
      <c r="AH61" s="2">
        <v>2.5246614116181263</v>
      </c>
      <c r="AI61" s="2">
        <f t="shared" si="44"/>
        <v>567.5537109375</v>
      </c>
      <c r="AJ61" s="2">
        <v>-3.8202098102124182</v>
      </c>
      <c r="AK61" s="2">
        <f t="shared" si="39"/>
        <v>567.19970703125</v>
      </c>
      <c r="AL61" s="2">
        <v>-0.6467842000206474</v>
      </c>
      <c r="AM61" s="2">
        <f t="shared" si="40"/>
        <v>-1.6329111114364283</v>
      </c>
      <c r="AN61" s="2">
        <f t="shared" si="41"/>
        <v>2.470851346009268</v>
      </c>
      <c r="AO61" s="2">
        <f t="shared" si="42"/>
        <v>0.7080078125</v>
      </c>
      <c r="BG61" s="28" t="s">
        <v>154</v>
      </c>
      <c r="BH61" s="29">
        <f>BT136</f>
        <v>0.29886869775197794</v>
      </c>
      <c r="BI61" s="5" t="s">
        <v>155</v>
      </c>
      <c r="BJ61" s="2"/>
      <c r="BK61" s="28" t="s">
        <v>154</v>
      </c>
      <c r="BL61" s="29">
        <f>CE136</f>
        <v>0.3180576194082731</v>
      </c>
      <c r="BM61" s="5" t="s">
        <v>155</v>
      </c>
      <c r="BO61" s="2">
        <v>23</v>
      </c>
      <c r="BP61" s="2">
        <f t="shared" si="35"/>
        <v>0.39217869669277128</v>
      </c>
      <c r="BQ61" s="2">
        <v>-1.8030331560003887E-6</v>
      </c>
      <c r="BR61" s="2">
        <f t="shared" si="36"/>
        <v>0.39217936331528164</v>
      </c>
      <c r="BS61" s="2">
        <v>2.0204644500532165E-7</v>
      </c>
      <c r="BT61" s="2">
        <f t="shared" si="27"/>
        <v>0.39217903000402643</v>
      </c>
      <c r="BU61" s="2">
        <v>-8.0049329075071451E-7</v>
      </c>
      <c r="BV61" s="2">
        <f t="shared" si="28"/>
        <v>1.4433159443793976E-12</v>
      </c>
      <c r="BW61" s="2">
        <f t="shared" si="29"/>
        <v>-1.6173682364679319E-13</v>
      </c>
      <c r="BX61" s="2">
        <f t="shared" si="30"/>
        <v>6.6662251035909392E-7</v>
      </c>
      <c r="BZ61" s="2">
        <v>23</v>
      </c>
      <c r="CA61" s="2">
        <f t="shared" si="37"/>
        <v>0.35298795930867988</v>
      </c>
      <c r="CB61" s="2">
        <v>-1.2364097907585636E-6</v>
      </c>
      <c r="CC61" s="2">
        <f t="shared" si="38"/>
        <v>0.35298862593119024</v>
      </c>
      <c r="CD61" s="2">
        <v>5.7352409552069439E-7</v>
      </c>
      <c r="CE61" s="2">
        <f t="shared" si="31"/>
        <v>0.35298829261993503</v>
      </c>
      <c r="CF61" s="2">
        <v>-3.3144279540375798E-7</v>
      </c>
      <c r="CG61" s="2">
        <f t="shared" si="32"/>
        <v>4.0979911731359383E-13</v>
      </c>
      <c r="CH61" s="2">
        <f t="shared" si="33"/>
        <v>-1.9009042945079086E-13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566.845703125</v>
      </c>
      <c r="AH62" s="2">
        <v>2.5246614116181263</v>
      </c>
      <c r="AI62" s="2">
        <f t="shared" si="44"/>
        <v>567.19970703125</v>
      </c>
      <c r="AJ62" s="2">
        <v>-0.6467842000206474</v>
      </c>
      <c r="AK62" s="2">
        <f t="shared" si="39"/>
        <v>567.022705078125</v>
      </c>
      <c r="AL62" s="2">
        <v>0.93918610561695459</v>
      </c>
      <c r="AM62" s="2">
        <f t="shared" si="40"/>
        <v>2.3711269191790314</v>
      </c>
      <c r="AN62" s="2">
        <f t="shared" si="41"/>
        <v>-0.60745073399196925</v>
      </c>
      <c r="AO62" s="2">
        <f t="shared" si="42"/>
        <v>0.35400390625</v>
      </c>
      <c r="BG62" s="2" t="s">
        <v>159</v>
      </c>
      <c r="BH62" s="2">
        <f>($AR$41+$AR$5)/180*PI()</f>
        <v>0.45492942410000314</v>
      </c>
      <c r="BI62" s="2" t="s">
        <v>155</v>
      </c>
      <c r="BJ62" s="2"/>
      <c r="BK62" s="2" t="s">
        <v>159</v>
      </c>
      <c r="BL62" s="2">
        <f>($AR$42+$AR$5)/180*PI()</f>
        <v>0.42907673455483719</v>
      </c>
      <c r="BM62" s="2" t="s">
        <v>155</v>
      </c>
      <c r="BO62" s="2">
        <v>24</v>
      </c>
      <c r="BP62" s="2">
        <f t="shared" si="35"/>
        <v>0.39217903000402643</v>
      </c>
      <c r="BQ62" s="2">
        <v>-8.0049329075071451E-7</v>
      </c>
      <c r="BR62" s="2">
        <f t="shared" si="36"/>
        <v>0.39217936331528164</v>
      </c>
      <c r="BS62" s="2">
        <v>2.0204644500532165E-7</v>
      </c>
      <c r="BT62" s="2">
        <f t="shared" si="27"/>
        <v>0.39217919665965406</v>
      </c>
      <c r="BU62" s="2">
        <v>-2.9922340658017355E-7</v>
      </c>
      <c r="BV62" s="2">
        <f t="shared" si="28"/>
        <v>2.3952632940300212E-13</v>
      </c>
      <c r="BW62" s="2">
        <f t="shared" si="29"/>
        <v>-6.045702556190604E-14</v>
      </c>
      <c r="BX62" s="2">
        <f t="shared" si="30"/>
        <v>3.3331125520730254E-7</v>
      </c>
      <c r="BZ62" s="2">
        <v>24</v>
      </c>
      <c r="CA62" s="2">
        <f t="shared" si="37"/>
        <v>0.35298829261993503</v>
      </c>
      <c r="CB62" s="2">
        <v>-3.3144279540375798E-7</v>
      </c>
      <c r="CC62" s="2">
        <f t="shared" si="38"/>
        <v>0.35298862593119024</v>
      </c>
      <c r="CD62" s="2">
        <v>5.7352409552069439E-7</v>
      </c>
      <c r="CE62" s="2">
        <f t="shared" si="31"/>
        <v>0.35298845927556266</v>
      </c>
      <c r="CF62" s="2">
        <v>1.2104066327706109E-7</v>
      </c>
      <c r="CG62" s="2">
        <f t="shared" si="32"/>
        <v>-4.0118055794074121E-14</v>
      </c>
      <c r="CH62" s="2">
        <f t="shared" si="33"/>
        <v>6.9419736927201391E-14</v>
      </c>
      <c r="CI62" s="2">
        <f t="shared" si="34"/>
        <v>3.3331125520730254E-7</v>
      </c>
    </row>
    <row r="63" spans="2:87" x14ac:dyDescent="0.2">
      <c r="B63" s="54" t="s">
        <v>272</v>
      </c>
      <c r="C63" s="55"/>
      <c r="D63" s="55"/>
      <c r="AF63" s="2">
        <v>14</v>
      </c>
      <c r="AG63" s="2">
        <f t="shared" si="43"/>
        <v>567.022705078125</v>
      </c>
      <c r="AH63" s="2">
        <v>0.93918610561695459</v>
      </c>
      <c r="AI63" s="2">
        <f t="shared" si="44"/>
        <v>567.19970703125</v>
      </c>
      <c r="AJ63" s="2">
        <v>-0.6467842000206474</v>
      </c>
      <c r="AK63" s="2">
        <f t="shared" si="39"/>
        <v>567.1112060546875</v>
      </c>
      <c r="AL63" s="2">
        <v>0.14626282775361688</v>
      </c>
      <c r="AM63" s="2">
        <f t="shared" si="40"/>
        <v>0.13736801559444287</v>
      </c>
      <c r="AN63" s="2">
        <f t="shared" si="41"/>
        <v>-9.4600486041380841E-2</v>
      </c>
      <c r="AO63" s="2">
        <f t="shared" si="42"/>
        <v>0.177001953125</v>
      </c>
      <c r="BG63" s="2" t="s">
        <v>28</v>
      </c>
      <c r="BH63" s="2">
        <f>BH62-BH61</f>
        <v>0.1560607263480252</v>
      </c>
      <c r="BI63" s="2" t="s">
        <v>155</v>
      </c>
      <c r="BJ63" s="2"/>
      <c r="BK63" s="2" t="s">
        <v>28</v>
      </c>
      <c r="BL63" s="2">
        <f>BL62-BL61</f>
        <v>0.1110191151465641</v>
      </c>
      <c r="BM63" s="2" t="s">
        <v>155</v>
      </c>
      <c r="BO63" s="2">
        <v>25</v>
      </c>
      <c r="BP63" s="2">
        <f t="shared" si="35"/>
        <v>0.39217919665965406</v>
      </c>
      <c r="BQ63" s="2">
        <v>-2.9922340658017355E-7</v>
      </c>
      <c r="BR63" s="2">
        <f t="shared" si="36"/>
        <v>0.39217936331528164</v>
      </c>
      <c r="BS63" s="2">
        <v>2.0204644500532165E-7</v>
      </c>
      <c r="BT63" s="2">
        <f t="shared" si="27"/>
        <v>0.39217927998746782</v>
      </c>
      <c r="BU63" s="2">
        <v>-4.8588476922462043E-8</v>
      </c>
      <c r="BV63" s="2">
        <f t="shared" si="28"/>
        <v>1.4538809585281238E-14</v>
      </c>
      <c r="BW63" s="2">
        <f t="shared" si="29"/>
        <v>-9.8171290304065667E-15</v>
      </c>
      <c r="BX63" s="2">
        <f t="shared" si="30"/>
        <v>1.6665562757589569E-7</v>
      </c>
      <c r="BZ63" s="2">
        <v>25</v>
      </c>
      <c r="CA63" s="2">
        <f t="shared" si="37"/>
        <v>0.35298829261993503</v>
      </c>
      <c r="CB63" s="2">
        <v>-3.3144279540375798E-7</v>
      </c>
      <c r="CC63" s="2">
        <f t="shared" si="38"/>
        <v>0.35298845927556266</v>
      </c>
      <c r="CD63" s="2">
        <v>1.2104066327706109E-7</v>
      </c>
      <c r="CE63" s="2">
        <f t="shared" si="31"/>
        <v>0.35298837594774884</v>
      </c>
      <c r="CF63" s="2">
        <v>-1.0520106284023223E-7</v>
      </c>
      <c r="CG63" s="2">
        <f t="shared" si="32"/>
        <v>3.4868134347212977E-14</v>
      </c>
      <c r="CH63" s="2">
        <f t="shared" si="33"/>
        <v>-1.2733606423633494E-14</v>
      </c>
      <c r="CI63" s="2">
        <f t="shared" si="34"/>
        <v>1.6665562763140684E-7</v>
      </c>
    </row>
    <row r="64" spans="2:87" x14ac:dyDescent="0.2">
      <c r="B64" s="6" t="s">
        <v>15</v>
      </c>
      <c r="C64" s="17">
        <v>1.0397562309141399</v>
      </c>
      <c r="D64" s="6" t="s">
        <v>16</v>
      </c>
      <c r="AF64" s="2">
        <v>15</v>
      </c>
      <c r="AG64" s="2">
        <f t="shared" si="43"/>
        <v>567.1112060546875</v>
      </c>
      <c r="AH64" s="2">
        <v>0.14626282775361688</v>
      </c>
      <c r="AI64" s="2">
        <f t="shared" si="44"/>
        <v>567.19970703125</v>
      </c>
      <c r="AJ64" s="2">
        <v>-0.6467842000206474</v>
      </c>
      <c r="AK64" s="2">
        <f t="shared" si="39"/>
        <v>567.15545654296875</v>
      </c>
      <c r="AL64" s="2">
        <v>-0.25024521739442207</v>
      </c>
      <c r="AM64" s="2">
        <f t="shared" si="40"/>
        <v>-3.6601573127926765E-2</v>
      </c>
      <c r="AN64" s="2">
        <f t="shared" si="41"/>
        <v>0.16185465274144428</v>
      </c>
      <c r="AO64" s="2">
        <f t="shared" si="42"/>
        <v>8.85009765625E-2</v>
      </c>
      <c r="BG64" s="2" t="s">
        <v>168</v>
      </c>
      <c r="BH64" s="2">
        <f>BH63/PI()*180</f>
        <v>8.9416209674879283</v>
      </c>
      <c r="BI64" s="2" t="s">
        <v>43</v>
      </c>
      <c r="BJ64" s="2"/>
      <c r="BK64" s="2" t="s">
        <v>168</v>
      </c>
      <c r="BL64" s="2">
        <f>BL63/PI()*180</f>
        <v>6.3609267431750345</v>
      </c>
      <c r="BM64" s="2" t="s">
        <v>43</v>
      </c>
      <c r="BO64" s="2">
        <v>26</v>
      </c>
      <c r="BP64" s="2">
        <f t="shared" si="35"/>
        <v>0.39217927998746782</v>
      </c>
      <c r="BQ64" s="2">
        <v>-4.8588476922462043E-8</v>
      </c>
      <c r="BR64" s="2">
        <f t="shared" si="36"/>
        <v>0.39217936331528164</v>
      </c>
      <c r="BS64" s="2">
        <v>2.0204644500532165E-7</v>
      </c>
      <c r="BT64" s="2">
        <f t="shared" si="27"/>
        <v>0.3921793216513747</v>
      </c>
      <c r="BU64" s="2">
        <v>7.672898488797486E-8</v>
      </c>
      <c r="BV64" s="2">
        <f t="shared" si="28"/>
        <v>-3.7281445115133056E-15</v>
      </c>
      <c r="BW64" s="2">
        <f t="shared" si="29"/>
        <v>1.5502818625482369E-14</v>
      </c>
      <c r="BX64" s="2">
        <f t="shared" si="30"/>
        <v>8.3327813815703422E-8</v>
      </c>
      <c r="BZ64" s="2">
        <v>26</v>
      </c>
      <c r="CA64" s="2">
        <f t="shared" si="37"/>
        <v>0.35298837594774884</v>
      </c>
      <c r="CB64" s="2">
        <v>-1.0520106284023223E-7</v>
      </c>
      <c r="CC64" s="2">
        <f t="shared" si="38"/>
        <v>0.35298845927556266</v>
      </c>
      <c r="CD64" s="2">
        <v>1.2104066327706109E-7</v>
      </c>
      <c r="CE64" s="2">
        <f t="shared" si="31"/>
        <v>0.35298841761165578</v>
      </c>
      <c r="CF64" s="2">
        <v>7.9198010580205924E-9</v>
      </c>
      <c r="CG64" s="2">
        <f t="shared" si="32"/>
        <v>-8.3317148878696199E-16</v>
      </c>
      <c r="CH64" s="2">
        <f t="shared" si="33"/>
        <v>9.5861797308518269E-16</v>
      </c>
      <c r="CI64" s="2">
        <f t="shared" si="34"/>
        <v>8.3327813815703422E-8</v>
      </c>
    </row>
    <row r="65" spans="2:87" x14ac:dyDescent="0.2">
      <c r="B65" s="6" t="s">
        <v>214</v>
      </c>
      <c r="C65" s="41">
        <v>1.7363179204150701E-5</v>
      </c>
      <c r="D65" s="6" t="s">
        <v>210</v>
      </c>
      <c r="AF65" s="2">
        <v>16</v>
      </c>
      <c r="AG65" s="2">
        <f t="shared" si="43"/>
        <v>567.1112060546875</v>
      </c>
      <c r="AH65" s="2">
        <v>0.14626282775361688</v>
      </c>
      <c r="AI65" s="2">
        <f t="shared" si="44"/>
        <v>567.15545654296875</v>
      </c>
      <c r="AJ65" s="2">
        <v>-0.25024521739442207</v>
      </c>
      <c r="AK65" s="2">
        <f t="shared" si="39"/>
        <v>567.13333129882812</v>
      </c>
      <c r="AL65" s="2">
        <v>-5.1987327635742986E-2</v>
      </c>
      <c r="AM65" s="2">
        <f t="shared" si="40"/>
        <v>-7.6038135473575231E-3</v>
      </c>
      <c r="AN65" s="2">
        <f t="shared" si="41"/>
        <v>1.300958010596155E-2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0.39217927998746782</v>
      </c>
      <c r="BQ65" s="2">
        <v>-4.8588476922462043E-8</v>
      </c>
      <c r="BR65" s="2">
        <f t="shared" si="36"/>
        <v>0.3921793216513747</v>
      </c>
      <c r="BS65" s="2">
        <v>7.672898488797486E-8</v>
      </c>
      <c r="BT65" s="2">
        <f t="shared" si="27"/>
        <v>0.39217930081942126</v>
      </c>
      <c r="BU65" s="2">
        <v>1.4070254350517786E-8</v>
      </c>
      <c r="BV65" s="2">
        <f t="shared" si="28"/>
        <v>-6.8365222880330458E-16</v>
      </c>
      <c r="BW65" s="2">
        <f t="shared" si="29"/>
        <v>1.0795963334308418E-15</v>
      </c>
      <c r="BX65" s="2">
        <f t="shared" si="30"/>
        <v>4.1663906880096135E-8</v>
      </c>
      <c r="BZ65" s="2">
        <v>27</v>
      </c>
      <c r="CA65" s="2">
        <f t="shared" si="37"/>
        <v>0.35298837594774884</v>
      </c>
      <c r="CB65" s="2">
        <v>-1.0520106284023223E-7</v>
      </c>
      <c r="CC65" s="2">
        <f t="shared" si="38"/>
        <v>0.35298841761165578</v>
      </c>
      <c r="CD65" s="2">
        <v>7.9198010580205924E-9</v>
      </c>
      <c r="CE65" s="2">
        <f t="shared" si="31"/>
        <v>0.35298839677970228</v>
      </c>
      <c r="CF65" s="2">
        <v>-4.8640630641305638E-8</v>
      </c>
      <c r="CG65" s="2">
        <f t="shared" si="32"/>
        <v>5.1170460406845196E-15</v>
      </c>
      <c r="CH65" s="2">
        <f t="shared" si="33"/>
        <v>-3.8522411801580121E-16</v>
      </c>
      <c r="CI65" s="2">
        <f t="shared" si="34"/>
        <v>4.1663906935607287E-8</v>
      </c>
    </row>
    <row r="66" spans="2:87" x14ac:dyDescent="0.2">
      <c r="B66" s="6" t="s">
        <v>132</v>
      </c>
      <c r="C66" s="17">
        <v>333.91694458017901</v>
      </c>
      <c r="D66" s="6" t="s">
        <v>10</v>
      </c>
      <c r="AF66" s="2">
        <v>17</v>
      </c>
      <c r="AG66" s="2">
        <f t="shared" si="43"/>
        <v>567.1112060546875</v>
      </c>
      <c r="AH66" s="2">
        <v>0.14626282775361688</v>
      </c>
      <c r="AI66" s="2">
        <f t="shared" si="44"/>
        <v>567.13333129882812</v>
      </c>
      <c r="AJ66" s="2">
        <v>-5.1987327635742986E-2</v>
      </c>
      <c r="AK66" s="2">
        <f t="shared" si="39"/>
        <v>567.12226867675781</v>
      </c>
      <c r="AL66" s="2">
        <v>4.7138716854533413E-2</v>
      </c>
      <c r="AM66" s="2">
        <f t="shared" si="40"/>
        <v>6.8946420238211372E-3</v>
      </c>
      <c r="AN66" s="2">
        <f t="shared" si="41"/>
        <v>-2.4506159174451487E-3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0.62618437555177331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0.35684695264233457</v>
      </c>
      <c r="BM66" s="2"/>
      <c r="BO66" s="2">
        <v>28</v>
      </c>
      <c r="BP66" s="2">
        <f t="shared" si="35"/>
        <v>0.39217927998746782</v>
      </c>
      <c r="BQ66" s="2">
        <v>-4.8588476922462043E-8</v>
      </c>
      <c r="BR66" s="2">
        <f t="shared" si="36"/>
        <v>0.39217930081942126</v>
      </c>
      <c r="BS66" s="2">
        <v>1.4070254350517786E-8</v>
      </c>
      <c r="BT66" s="2">
        <f t="shared" si="27"/>
        <v>0.39217929040344457</v>
      </c>
      <c r="BU66" s="2">
        <v>-1.7259111084744205E-8</v>
      </c>
      <c r="BV66" s="2">
        <f t="shared" si="28"/>
        <v>8.3859392064330263E-16</v>
      </c>
      <c r="BW66" s="2">
        <f t="shared" si="29"/>
        <v>-2.4284008282619192E-16</v>
      </c>
      <c r="BX66" s="2">
        <f t="shared" si="30"/>
        <v>2.0831953440048068E-8</v>
      </c>
      <c r="BZ66" s="2">
        <v>28</v>
      </c>
      <c r="CA66" s="2">
        <f t="shared" si="37"/>
        <v>0.35298839677970228</v>
      </c>
      <c r="CB66" s="2">
        <v>-4.8640630641305638E-8</v>
      </c>
      <c r="CC66" s="2">
        <f t="shared" si="38"/>
        <v>0.35298841761165578</v>
      </c>
      <c r="CD66" s="2">
        <v>7.9198010580205924E-9</v>
      </c>
      <c r="CE66" s="2">
        <f t="shared" si="31"/>
        <v>0.35298840719567903</v>
      </c>
      <c r="CF66" s="2">
        <v>-2.0360414666742432E-8</v>
      </c>
      <c r="CG66" s="2">
        <f t="shared" si="32"/>
        <v>9.9034340950884062E-16</v>
      </c>
      <c r="CH66" s="2">
        <f t="shared" si="33"/>
        <v>-1.612504336194047E-16</v>
      </c>
      <c r="CI66" s="2">
        <f t="shared" si="34"/>
        <v>2.0831953495559219E-8</v>
      </c>
    </row>
    <row r="67" spans="2:87" x14ac:dyDescent="0.2">
      <c r="B67" s="6" t="s">
        <v>17</v>
      </c>
      <c r="C67" s="1">
        <v>9.80149119240094</v>
      </c>
      <c r="D67" s="6" t="s">
        <v>18</v>
      </c>
      <c r="AF67" s="2">
        <v>18</v>
      </c>
      <c r="AG67" s="2">
        <f t="shared" si="43"/>
        <v>567.12226867675781</v>
      </c>
      <c r="AH67" s="2">
        <v>4.7138716854533413E-2</v>
      </c>
      <c r="AI67" s="2">
        <f t="shared" si="44"/>
        <v>567.13333129882812</v>
      </c>
      <c r="AJ67" s="2">
        <v>-5.1987327635742986E-2</v>
      </c>
      <c r="AK67" s="2">
        <f t="shared" si="39"/>
        <v>567.12779998779297</v>
      </c>
      <c r="AL67" s="2">
        <v>-2.424063691705669E-3</v>
      </c>
      <c r="AM67" s="2">
        <f t="shared" si="40"/>
        <v>-1.1426725200066851E-4</v>
      </c>
      <c r="AN67" s="2">
        <f t="shared" si="41"/>
        <v>1.2602059335061128E-4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0.95069024445913797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0.9472273627767166</v>
      </c>
      <c r="BM67" s="2"/>
      <c r="BO67" s="2">
        <v>29</v>
      </c>
      <c r="BP67" s="2">
        <f t="shared" si="35"/>
        <v>0.39217929040344457</v>
      </c>
      <c r="BQ67" s="2">
        <v>-1.7259111084744205E-8</v>
      </c>
      <c r="BR67" s="2">
        <f t="shared" si="36"/>
        <v>0.39217930081942126</v>
      </c>
      <c r="BS67" s="2">
        <v>1.4070254350517786E-8</v>
      </c>
      <c r="BT67" s="2">
        <f t="shared" si="27"/>
        <v>0.39217929561143294</v>
      </c>
      <c r="BU67" s="2">
        <v>-1.5944283254798464E-9</v>
      </c>
      <c r="BV67" s="2">
        <f t="shared" si="28"/>
        <v>2.7518415586119357E-17</v>
      </c>
      <c r="BW67" s="2">
        <f t="shared" si="29"/>
        <v>-2.2434012083171596E-17</v>
      </c>
      <c r="BX67" s="2">
        <f t="shared" si="30"/>
        <v>1.0415976692268458E-8</v>
      </c>
      <c r="BZ67" s="2">
        <v>29</v>
      </c>
      <c r="CA67" s="2">
        <f t="shared" si="37"/>
        <v>0.35298840719567903</v>
      </c>
      <c r="CB67" s="2">
        <v>-2.0360414666742432E-8</v>
      </c>
      <c r="CC67" s="2">
        <f t="shared" si="38"/>
        <v>0.35298841761165578</v>
      </c>
      <c r="CD67" s="2">
        <v>7.9198010580205924E-9</v>
      </c>
      <c r="CE67" s="2">
        <f t="shared" si="31"/>
        <v>0.35298841240366741</v>
      </c>
      <c r="CF67" s="2">
        <v>-6.2203067488497688E-9</v>
      </c>
      <c r="CG67" s="2">
        <f t="shared" si="32"/>
        <v>1.2664802476091776E-16</v>
      </c>
      <c r="CH67" s="2">
        <f t="shared" si="33"/>
        <v>-4.9263591970753032E-17</v>
      </c>
      <c r="CI67" s="2">
        <f t="shared" si="34"/>
        <v>1.0415976747779609E-8</v>
      </c>
    </row>
    <row r="68" spans="2:87" x14ac:dyDescent="0.2">
      <c r="AF68" s="2">
        <v>19</v>
      </c>
      <c r="AG68" s="2">
        <f t="shared" si="43"/>
        <v>567.12226867675781</v>
      </c>
      <c r="AH68" s="2">
        <v>4.7138716854533413E-2</v>
      </c>
      <c r="AI68" s="2">
        <f t="shared" si="44"/>
        <v>567.12779998779297</v>
      </c>
      <c r="AJ68" s="2">
        <v>-2.424063691705669E-3</v>
      </c>
      <c r="AK68" s="2">
        <f t="shared" si="39"/>
        <v>567.12503433227539</v>
      </c>
      <c r="AL68" s="2">
        <v>2.2357387006195495E-2</v>
      </c>
      <c r="AM68" s="2">
        <f t="shared" si="40"/>
        <v>1.0538985356922739E-3</v>
      </c>
      <c r="AN68" s="2">
        <f t="shared" si="41"/>
        <v>-5.4195730083130608E-5</v>
      </c>
      <c r="AO68" s="2">
        <f t="shared" si="42"/>
        <v>5.53131103515625E-3</v>
      </c>
      <c r="BG68" s="2" t="s">
        <v>183</v>
      </c>
      <c r="BH68" s="2">
        <f>IF(BH61=0,1,BH66*BH67)</f>
        <v>0.59530737706980807</v>
      </c>
      <c r="BI68" s="2"/>
      <c r="BJ68" s="2"/>
      <c r="BK68" s="2" t="s">
        <v>183</v>
      </c>
      <c r="BL68" s="2">
        <f>IF(BL61=0,1,BL66*BL67)</f>
        <v>0.33801519786630646</v>
      </c>
      <c r="BM68" s="2"/>
      <c r="BO68" s="2">
        <v>30</v>
      </c>
      <c r="BP68" s="2">
        <f t="shared" si="35"/>
        <v>0.39217929561143294</v>
      </c>
      <c r="BQ68" s="2">
        <v>-1.5944283254798464E-9</v>
      </c>
      <c r="BR68" s="2">
        <f t="shared" si="36"/>
        <v>0.39217930081942126</v>
      </c>
      <c r="BS68" s="2">
        <v>1.4070254350517786E-8</v>
      </c>
      <c r="BT68" s="5">
        <f t="shared" si="27"/>
        <v>0.39217929821542707</v>
      </c>
      <c r="BU68" s="2">
        <v>6.2379128390466221E-9</v>
      </c>
      <c r="BV68" s="2">
        <f t="shared" si="28"/>
        <v>-9.9459049224503395E-18</v>
      </c>
      <c r="BW68" s="2">
        <f t="shared" si="29"/>
        <v>8.7769020261746487E-17</v>
      </c>
      <c r="BX68" s="2">
        <f t="shared" si="30"/>
        <v>5.2079883183786535E-9</v>
      </c>
      <c r="BZ68" s="2">
        <v>30</v>
      </c>
      <c r="CA68" s="2">
        <f t="shared" si="37"/>
        <v>0.35298841240366741</v>
      </c>
      <c r="CB68" s="2">
        <v>-6.2203067488497688E-9</v>
      </c>
      <c r="CC68" s="2">
        <f t="shared" si="38"/>
        <v>0.35298841761165578</v>
      </c>
      <c r="CD68" s="2">
        <v>7.9198010580205924E-9</v>
      </c>
      <c r="CE68" s="5">
        <f t="shared" si="31"/>
        <v>0.35298841500766159</v>
      </c>
      <c r="CF68" s="2">
        <v>8.4974714764651793E-10</v>
      </c>
      <c r="CG68" s="2">
        <f t="shared" si="32"/>
        <v>-5.2856879173214761E-18</v>
      </c>
      <c r="CH68" s="2">
        <f t="shared" si="33"/>
        <v>6.7298283589808736E-18</v>
      </c>
      <c r="CI68" s="2">
        <f t="shared" si="34"/>
        <v>5.2079883738898047E-9</v>
      </c>
    </row>
    <row r="69" spans="2:87" x14ac:dyDescent="0.2">
      <c r="B69" s="54" t="s">
        <v>273</v>
      </c>
      <c r="C69" s="55"/>
      <c r="D69" s="55"/>
      <c r="AF69" s="2">
        <v>20</v>
      </c>
      <c r="AG69" s="2">
        <f t="shared" si="43"/>
        <v>567.12503433227539</v>
      </c>
      <c r="AH69" s="2">
        <v>2.2357387006195495E-2</v>
      </c>
      <c r="AI69" s="2">
        <f t="shared" si="44"/>
        <v>567.12779998779297</v>
      </c>
      <c r="AJ69" s="2">
        <v>-2.424063691705669E-3</v>
      </c>
      <c r="AK69" s="2">
        <f t="shared" si="39"/>
        <v>567.12641716003418</v>
      </c>
      <c r="AL69" s="2">
        <v>9.9666767632697884E-3</v>
      </c>
      <c r="AM69" s="2">
        <f t="shared" si="40"/>
        <v>2.2282884956207854E-4</v>
      </c>
      <c r="AN69" s="2">
        <f t="shared" si="41"/>
        <v>-2.415985926880887E-5</v>
      </c>
      <c r="AO69" s="2">
        <f t="shared" si="42"/>
        <v>2.765655517578125E-3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1.1650955592844436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0.89593433876449924</v>
      </c>
      <c r="BM69" s="2"/>
    </row>
    <row r="70" spans="2:87" x14ac:dyDescent="0.2">
      <c r="B70" s="6" t="s">
        <v>15</v>
      </c>
      <c r="C70" s="17">
        <v>1.00854450666398</v>
      </c>
      <c r="D70" s="6" t="s">
        <v>16</v>
      </c>
      <c r="AF70" s="2">
        <v>21</v>
      </c>
      <c r="AG70" s="2">
        <f t="shared" si="43"/>
        <v>567.12641716003418</v>
      </c>
      <c r="AH70" s="2">
        <v>9.9666767632697884E-3</v>
      </c>
      <c r="AI70" s="2">
        <f t="shared" si="44"/>
        <v>567.12779998779297</v>
      </c>
      <c r="AJ70" s="2">
        <v>-2.424063691705669E-3</v>
      </c>
      <c r="AK70" s="2">
        <f t="shared" si="39"/>
        <v>567.12710857391357</v>
      </c>
      <c r="AL70" s="2">
        <v>3.7713103124588088E-3</v>
      </c>
      <c r="AM70" s="2">
        <f t="shared" si="40"/>
        <v>3.7587430858262931E-5</v>
      </c>
      <c r="AN70" s="2">
        <f t="shared" si="41"/>
        <v>-9.1418963985865597E-6</v>
      </c>
      <c r="AO70" s="2">
        <f t="shared" si="42"/>
        <v>1.3828277587890625E-3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4.8755071120282989E-2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5.6367556839927585E-2</v>
      </c>
      <c r="BM70" s="2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2:87" x14ac:dyDescent="0.2">
      <c r="B71" s="6" t="s">
        <v>214</v>
      </c>
      <c r="C71" s="41">
        <v>1.7265641515845801E-5</v>
      </c>
      <c r="D71" s="6" t="s">
        <v>210</v>
      </c>
      <c r="AF71" s="2">
        <v>22</v>
      </c>
      <c r="AG71" s="2">
        <f t="shared" si="43"/>
        <v>567.12710857391357</v>
      </c>
      <c r="AH71" s="2">
        <v>3.7713103124588088E-3</v>
      </c>
      <c r="AI71" s="2">
        <f t="shared" si="44"/>
        <v>567.12779998779297</v>
      </c>
      <c r="AJ71" s="2">
        <v>-2.424063691705669E-3</v>
      </c>
      <c r="AK71" s="2">
        <f t="shared" si="39"/>
        <v>567.12745428085327</v>
      </c>
      <c r="AL71" s="2">
        <v>6.736242544320703E-4</v>
      </c>
      <c r="AM71" s="2">
        <f t="shared" si="40"/>
        <v>2.540446097462043E-6</v>
      </c>
      <c r="AN71" s="2">
        <f t="shared" si="41"/>
        <v>-1.6329080970210832E-6</v>
      </c>
      <c r="AO71" s="2">
        <f t="shared" si="42"/>
        <v>6.9141387939453125E-4</v>
      </c>
      <c r="BG71" s="2" t="s">
        <v>190</v>
      </c>
      <c r="BH71" s="2">
        <f xml:space="preserve"> BH69*COS(BH61) - BH70*SIN(BH61)</f>
        <v>1.0990917003560003</v>
      </c>
      <c r="BI71" s="2"/>
      <c r="BJ71" s="2"/>
      <c r="BK71" s="2" t="s">
        <v>190</v>
      </c>
      <c r="BL71" s="2">
        <f xml:space="preserve"> BL69*COS(BL61) - BL70*SIN(BL61)</f>
        <v>0.83337103908044741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132</v>
      </c>
      <c r="C72" s="17">
        <v>332.721752148093</v>
      </c>
      <c r="D72" s="6" t="s">
        <v>10</v>
      </c>
      <c r="AF72" s="2">
        <v>23</v>
      </c>
      <c r="AG72" s="2">
        <f t="shared" si="43"/>
        <v>567.12745428085327</v>
      </c>
      <c r="AH72" s="2">
        <v>6.736242544320703E-4</v>
      </c>
      <c r="AI72" s="2">
        <f t="shared" si="44"/>
        <v>567.12779998779297</v>
      </c>
      <c r="AJ72" s="2">
        <v>-2.424063691705669E-3</v>
      </c>
      <c r="AK72" s="2">
        <f t="shared" si="39"/>
        <v>567.12762713432312</v>
      </c>
      <c r="AL72" s="2">
        <v>-8.7521948262292426E-4</v>
      </c>
      <c r="AM72" s="2">
        <f t="shared" si="40"/>
        <v>-5.8956907144628967E-7</v>
      </c>
      <c r="AN72" s="2">
        <f t="shared" si="41"/>
        <v>2.1215877700996514E-6</v>
      </c>
      <c r="AO72" s="2">
        <f t="shared" si="42"/>
        <v>3.4570693969726562E-4</v>
      </c>
      <c r="BG72" s="2" t="s">
        <v>192</v>
      </c>
      <c r="BH72" s="2">
        <f xml:space="preserve"> BH69*SIN(BH61) + BH70*COS(BH61)</f>
        <v>0.38964362362655214</v>
      </c>
      <c r="BI72" s="2"/>
      <c r="BJ72" s="2"/>
      <c r="BK72" s="2" t="s">
        <v>192</v>
      </c>
      <c r="BL72" s="2">
        <f xml:space="preserve"> BL69*SIN(BL61) + BL70*COS(BL61)</f>
        <v>0.33371897168644515</v>
      </c>
      <c r="BM72" s="2"/>
      <c r="BO72" s="30">
        <v>0</v>
      </c>
      <c r="BP72" s="30"/>
      <c r="BQ72" s="30">
        <f>$BH$58</f>
        <v>1.7445675667970839E-9</v>
      </c>
      <c r="BR72" s="30"/>
      <c r="BS72" s="30">
        <f>$BH$58</f>
        <v>1.7445675667970839E-9</v>
      </c>
      <c r="BT72" s="30"/>
      <c r="BU72" s="30">
        <f>$BH$58</f>
        <v>1.7445675667970839E-9</v>
      </c>
      <c r="BV72" s="30"/>
      <c r="BW72" s="30"/>
      <c r="BX72" s="30"/>
      <c r="BZ72" s="30">
        <v>0</v>
      </c>
      <c r="CA72" s="30"/>
      <c r="CB72" s="30">
        <f>$BL$58</f>
        <v>8.1089170794745868E-10</v>
      </c>
      <c r="CC72" s="30"/>
      <c r="CD72" s="30">
        <f>$BL$58</f>
        <v>8.1089170794745868E-10</v>
      </c>
      <c r="CE72" s="30"/>
      <c r="CF72" s="30">
        <f>$BL$58</f>
        <v>8.1089170794745868E-10</v>
      </c>
      <c r="CG72" s="30"/>
      <c r="CH72" s="30"/>
      <c r="CI72" s="30"/>
    </row>
    <row r="73" spans="2:87" x14ac:dyDescent="0.2">
      <c r="B73" s="6" t="s">
        <v>17</v>
      </c>
      <c r="C73" s="1">
        <v>9.8005536647414697</v>
      </c>
      <c r="D73" s="6" t="s">
        <v>18</v>
      </c>
      <c r="AF73" s="2">
        <v>24</v>
      </c>
      <c r="AG73" s="2">
        <f t="shared" si="43"/>
        <v>567.12745428085327</v>
      </c>
      <c r="AH73" s="2">
        <v>6.736242544320703E-4</v>
      </c>
      <c r="AI73" s="2">
        <f t="shared" si="44"/>
        <v>567.12762713432312</v>
      </c>
      <c r="AJ73" s="2">
        <v>-8.7521948262292426E-4</v>
      </c>
      <c r="AK73" s="2">
        <f t="shared" si="39"/>
        <v>567.1275407075882</v>
      </c>
      <c r="AL73" s="2">
        <v>-1.0079755429615034E-4</v>
      </c>
      <c r="AM73" s="2">
        <f t="shared" si="40"/>
        <v>-6.7899677361320392E-8</v>
      </c>
      <c r="AN73" s="2">
        <f t="shared" si="41"/>
        <v>8.821998332073282E-8</v>
      </c>
      <c r="AO73" s="2">
        <f t="shared" si="42"/>
        <v>1.7285346984863281E-4</v>
      </c>
      <c r="BG73" s="2" t="s">
        <v>38</v>
      </c>
      <c r="BH73" s="2">
        <f xml:space="preserve"> 4*BH68*SIN(BH61)*SIN(BH61) / (BH65*BH71)</f>
        <v>1.1328119923653401</v>
      </c>
      <c r="BI73" s="2"/>
      <c r="BJ73" s="2"/>
      <c r="BK73" s="2" t="s">
        <v>38</v>
      </c>
      <c r="BL73" s="2">
        <f xml:space="preserve"> 4*BL68*SIN(BL61)*SIN(BL61) / (BL65*BL71)</f>
        <v>1.1114904757864228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/>
        <v>-2.1469030578026347</v>
      </c>
      <c r="BR73" s="3">
        <f>0.9*PI()</f>
        <v>2.8274333882308138</v>
      </c>
      <c r="BS73" s="2">
        <f t="dataTable" ref="BS73:BS102" dt2D="0" dtr="0" r1="BH42" ca="1"/>
        <v>0.49862817599149817</v>
      </c>
      <c r="BT73" s="2">
        <f t="shared" ref="BT73:BT102" si="45">(BP73+BR73)/2</f>
        <v>1.4294246573833558</v>
      </c>
      <c r="BU73" s="2">
        <f t="dataTable" ref="BU73:BU102" dt2D="0" dtr="0" r1="BH42" ca="1"/>
        <v>1.1058178295498546</v>
      </c>
      <c r="BV73" s="2">
        <f t="shared" ref="BV73:BV102" si="46">BQ73*BU73</f>
        <v>-2.3740836796332556</v>
      </c>
      <c r="BW73" s="2">
        <f t="shared" ref="BW73:BW102" si="47">BS73*BU73</f>
        <v>0.55139192732732145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/>
        <v>-1.8382845959213741</v>
      </c>
      <c r="CC73" s="3">
        <f>0.9*PI()</f>
        <v>2.8274333882308138</v>
      </c>
      <c r="CD73" s="2">
        <f t="dataTable" ref="CD73:CD102" dt2D="0" dtr="0" r1="BL42" ca="1"/>
        <v>0.48504693831183632</v>
      </c>
      <c r="CE73" s="2">
        <f t="shared" ref="CE73:CE102" si="49">(CA73+CC73)/2</f>
        <v>1.4294246573833558</v>
      </c>
      <c r="CF73" s="2">
        <f t="dataTable" ref="CF73:CF102" dt2D="0" dtr="0" r1="BL42" ca="1"/>
        <v>1.1103587791088068</v>
      </c>
      <c r="CG73" s="2">
        <f t="shared" ref="CG73:CG102" si="50">CB73*CF73</f>
        <v>-2.0411554395817832</v>
      </c>
      <c r="CH73" s="2">
        <f t="shared" ref="CH73:CH102" si="51">CD73*CF73</f>
        <v>0.53857612623439532</v>
      </c>
      <c r="CI73" s="2">
        <f t="shared" ref="CI73:CI102" si="52">CC73-CA73</f>
        <v>2.7960174616949161</v>
      </c>
    </row>
    <row r="74" spans="2:87" x14ac:dyDescent="0.2">
      <c r="AF74" s="2">
        <v>25</v>
      </c>
      <c r="AG74" s="2">
        <f t="shared" si="43"/>
        <v>567.12745428085327</v>
      </c>
      <c r="AH74" s="2">
        <v>6.736242544320703E-4</v>
      </c>
      <c r="AI74" s="2">
        <f t="shared" si="44"/>
        <v>567.1275407075882</v>
      </c>
      <c r="AJ74" s="2">
        <v>-1.0079755429615034E-4</v>
      </c>
      <c r="AK74" s="2">
        <f t="shared" si="39"/>
        <v>567.12749749422073</v>
      </c>
      <c r="AL74" s="2">
        <v>2.8641336439250153E-4</v>
      </c>
      <c r="AM74" s="2">
        <f t="shared" si="40"/>
        <v>1.9293498904827973E-7</v>
      </c>
      <c r="AN74" s="2">
        <f t="shared" si="41"/>
        <v>-2.8869766648496264E-8</v>
      </c>
      <c r="AO74" s="2">
        <f t="shared" si="42"/>
        <v>8.6426734924316406E-5</v>
      </c>
      <c r="BG74" s="2" t="s">
        <v>194</v>
      </c>
      <c r="BH74" s="2">
        <f xml:space="preserve"> 4*BH68*SIN(BH61)*COS(BH61) / (BH65*BH72)</f>
        <v>10.371379925666687</v>
      </c>
      <c r="BI74" s="2"/>
      <c r="BJ74" s="2"/>
      <c r="BK74" s="2" t="s">
        <v>194</v>
      </c>
      <c r="BL74" s="2">
        <f xml:space="preserve"> 4*BL68*SIN(BL61)*COS(BL61) / (BL65*BL72)</f>
        <v>8.4305736258328423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-2.1469030578026347</v>
      </c>
      <c r="BR74" s="2">
        <f t="shared" ref="BR74:BR102" si="54">IF(BW73&gt;0,BT73,BR73)</f>
        <v>1.4294246573833558</v>
      </c>
      <c r="BS74" s="2">
        <v>1.1058178295498546</v>
      </c>
      <c r="BT74" s="2">
        <f t="shared" si="45"/>
        <v>0.73042029195962688</v>
      </c>
      <c r="BU74" s="2">
        <v>0.81832197597961898</v>
      </c>
      <c r="BV74" s="2">
        <f t="shared" si="46"/>
        <v>-1.7568579524977381</v>
      </c>
      <c r="BW74" s="2">
        <f t="shared" si="47"/>
        <v>0.90491503135073059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-1.8382845959213741</v>
      </c>
      <c r="CC74" s="2">
        <f t="shared" ref="CC74:CC102" si="56">IF(CH73&gt;0,CE73,CC73)</f>
        <v>1.4294246573833558</v>
      </c>
      <c r="CD74" s="2">
        <v>1.1103587791088068</v>
      </c>
      <c r="CE74" s="2">
        <f t="shared" si="49"/>
        <v>0.73042029195962688</v>
      </c>
      <c r="CF74" s="2">
        <v>0.77915552505609753</v>
      </c>
      <c r="CG74" s="2">
        <f t="shared" si="50"/>
        <v>-1.4323095995376542</v>
      </c>
      <c r="CH74" s="2">
        <f t="shared" si="51"/>
        <v>0.86514217753716971</v>
      </c>
      <c r="CI74" s="2">
        <f t="shared" si="52"/>
        <v>1.3980087308474578</v>
      </c>
    </row>
    <row r="75" spans="2:87" x14ac:dyDescent="0.2">
      <c r="B75" s="54" t="s">
        <v>74</v>
      </c>
      <c r="C75" s="54"/>
      <c r="D75" s="54"/>
      <c r="AF75" s="2">
        <v>26</v>
      </c>
      <c r="AG75" s="2">
        <f t="shared" si="43"/>
        <v>567.12749749422073</v>
      </c>
      <c r="AH75" s="2">
        <v>2.8641336439250153E-4</v>
      </c>
      <c r="AI75" s="2">
        <f t="shared" si="44"/>
        <v>567.1275407075882</v>
      </c>
      <c r="AJ75" s="2">
        <v>-1.0079755429615034E-4</v>
      </c>
      <c r="AK75" s="2">
        <f t="shared" si="39"/>
        <v>567.12751910090446</v>
      </c>
      <c r="AL75" s="2">
        <v>9.280790845878073E-5</v>
      </c>
      <c r="AM75" s="2">
        <f t="shared" si="40"/>
        <v>2.6581425303910691E-8</v>
      </c>
      <c r="AN75" s="2">
        <f t="shared" si="41"/>
        <v>-9.3548101919861013E-9</v>
      </c>
      <c r="AO75" s="2">
        <f t="shared" si="42"/>
        <v>4.3213367462158203E-5</v>
      </c>
      <c r="BG75" s="2" t="s">
        <v>45</v>
      </c>
      <c r="BH75" s="2">
        <f>1/(BH73-1)</f>
        <v>7.5294405436610958</v>
      </c>
      <c r="BI75" s="2"/>
      <c r="BJ75" s="2"/>
      <c r="BK75" s="2" t="s">
        <v>45</v>
      </c>
      <c r="BL75" s="2">
        <f>1/(BL73-1)</f>
        <v>8.969376020205118</v>
      </c>
      <c r="BM75" s="2"/>
      <c r="BO75" s="2">
        <v>3</v>
      </c>
      <c r="BP75" s="2">
        <f t="shared" si="53"/>
        <v>3.1415926535897934E-2</v>
      </c>
      <c r="BQ75" s="2">
        <v>-2.1469030578026347</v>
      </c>
      <c r="BR75" s="2">
        <f t="shared" si="54"/>
        <v>0.73042029195962688</v>
      </c>
      <c r="BS75" s="2">
        <v>0.81832197597961898</v>
      </c>
      <c r="BT75" s="2">
        <f t="shared" si="45"/>
        <v>0.38091810924776243</v>
      </c>
      <c r="BU75" s="2">
        <v>0.14291803367683531</v>
      </c>
      <c r="BV75" s="2">
        <f t="shared" si="46"/>
        <v>-0.30683116351593764</v>
      </c>
      <c r="BW75" s="2">
        <f t="shared" si="47"/>
        <v>0.1169529677215496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-1.8382845959213741</v>
      </c>
      <c r="CC75" s="2">
        <f t="shared" si="56"/>
        <v>0.73042029195962688</v>
      </c>
      <c r="CD75" s="2">
        <v>0.77915552505609753</v>
      </c>
      <c r="CE75" s="2">
        <f t="shared" si="49"/>
        <v>0.38091810924776243</v>
      </c>
      <c r="CF75" s="2">
        <v>0.1872221152154524</v>
      </c>
      <c r="CG75" s="2">
        <f t="shared" si="50"/>
        <v>-0.34416753041638287</v>
      </c>
      <c r="CH75" s="2">
        <f t="shared" si="51"/>
        <v>0.145875145482809</v>
      </c>
      <c r="CI75" s="2">
        <f t="shared" si="52"/>
        <v>0.6990043654237289</v>
      </c>
    </row>
    <row r="76" spans="2:87" x14ac:dyDescent="0.2">
      <c r="B76" s="6" t="s">
        <v>264</v>
      </c>
      <c r="C76" s="17">
        <v>30</v>
      </c>
      <c r="AF76" s="2">
        <v>27</v>
      </c>
      <c r="AG76" s="2">
        <f t="shared" si="43"/>
        <v>567.12751910090446</v>
      </c>
      <c r="AH76" s="2">
        <v>9.280790845878073E-5</v>
      </c>
      <c r="AI76" s="2">
        <f t="shared" si="44"/>
        <v>567.1275407075882</v>
      </c>
      <c r="AJ76" s="2">
        <v>-1.0079755429615034E-4</v>
      </c>
      <c r="AK76" s="2">
        <f t="shared" si="39"/>
        <v>567.12752990424633</v>
      </c>
      <c r="AL76" s="2">
        <v>-3.9948231460584793E-6</v>
      </c>
      <c r="AM76" s="2">
        <f t="shared" si="40"/>
        <v>-3.7075118084841379E-10</v>
      </c>
      <c r="AN76" s="2">
        <f t="shared" si="41"/>
        <v>4.0266840296834768E-10</v>
      </c>
      <c r="AO76" s="2">
        <f t="shared" si="42"/>
        <v>2.1606683731079102E-5</v>
      </c>
      <c r="BG76" s="2" t="s">
        <v>197</v>
      </c>
      <c r="BH76" s="2">
        <f>1/(BH74+1)</f>
        <v>8.7940074690747924E-2</v>
      </c>
      <c r="BI76" s="2"/>
      <c r="BK76" s="2" t="s">
        <v>197</v>
      </c>
      <c r="BL76" s="2">
        <f>1/(BL74+1)</f>
        <v>0.10603808842133788</v>
      </c>
      <c r="BM76" s="2"/>
      <c r="BO76" s="2">
        <v>4</v>
      </c>
      <c r="BP76" s="2">
        <f t="shared" si="53"/>
        <v>3.1415926535897934E-2</v>
      </c>
      <c r="BQ76" s="2">
        <v>-2.1469030578026347</v>
      </c>
      <c r="BR76" s="2">
        <f t="shared" si="54"/>
        <v>0.38091810924776243</v>
      </c>
      <c r="BS76" s="2">
        <v>0.14291803367683531</v>
      </c>
      <c r="BT76" s="2">
        <f t="shared" si="45"/>
        <v>0.20616701789183017</v>
      </c>
      <c r="BU76" s="2">
        <v>-0.30096365270425934</v>
      </c>
      <c r="BV76" s="2">
        <f t="shared" si="46"/>
        <v>0.64613978627822455</v>
      </c>
      <c r="BW76" s="2">
        <f t="shared" si="47"/>
        <v>-4.3013133452690706E-2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-1.8382845959213741</v>
      </c>
      <c r="CC76" s="2">
        <f t="shared" si="56"/>
        <v>0.38091810924776243</v>
      </c>
      <c r="CD76" s="2">
        <v>0.1872221152154524</v>
      </c>
      <c r="CE76" s="2">
        <f t="shared" si="49"/>
        <v>0.20616701789183017</v>
      </c>
      <c r="CF76" s="2">
        <v>-0.25821741182304692</v>
      </c>
      <c r="CG76" s="2">
        <f t="shared" si="50"/>
        <v>0.47467709055299284</v>
      </c>
      <c r="CH76" s="2">
        <f t="shared" si="51"/>
        <v>-4.8344010026970412E-2</v>
      </c>
      <c r="CI76" s="2">
        <f t="shared" si="52"/>
        <v>0.34950218271186451</v>
      </c>
    </row>
    <row r="77" spans="2:87" x14ac:dyDescent="0.2">
      <c r="B77" s="6" t="s">
        <v>266</v>
      </c>
      <c r="C77" s="17">
        <v>0.8</v>
      </c>
      <c r="AF77" s="2">
        <v>28</v>
      </c>
      <c r="AG77" s="2">
        <f t="shared" si="43"/>
        <v>567.12751910090446</v>
      </c>
      <c r="AH77" s="2">
        <v>9.280790845878073E-5</v>
      </c>
      <c r="AI77" s="2">
        <f t="shared" si="44"/>
        <v>567.12752990424633</v>
      </c>
      <c r="AJ77" s="2">
        <v>-3.9948231460584793E-6</v>
      </c>
      <c r="AK77" s="2">
        <f t="shared" si="39"/>
        <v>567.1275245025754</v>
      </c>
      <c r="AL77" s="2">
        <v>4.4406544020603178E-5</v>
      </c>
      <c r="AM77" s="2">
        <f t="shared" si="40"/>
        <v>4.1212784724349568E-9</v>
      </c>
      <c r="AN77" s="2">
        <f t="shared" si="41"/>
        <v>-1.7739628988997034E-10</v>
      </c>
      <c r="AO77" s="2">
        <f t="shared" si="42"/>
        <v>1.0803341865539551E-5</v>
      </c>
      <c r="BG77" s="7" t="s">
        <v>199</v>
      </c>
      <c r="BH77" s="40">
        <f>SIN(BH61)/(1+BH75) - $AR$3*COS(BH61)/($AV$5*$AR$25*(1-BH76))</f>
        <v>-2.9683349875297971E-9</v>
      </c>
      <c r="BI77" s="40"/>
      <c r="BK77" s="7" t="s">
        <v>199</v>
      </c>
      <c r="BL77" s="40">
        <f>SIN(BL61)/(1+BL75) - $AR$3*COS(BL61)/($AV$5*$AR$26*(1-BL76))</f>
        <v>7.4076577510906461E-10</v>
      </c>
      <c r="BM77" s="40"/>
      <c r="BO77" s="2">
        <v>5</v>
      </c>
      <c r="BP77" s="2">
        <f t="shared" si="53"/>
        <v>0.20616701789183017</v>
      </c>
      <c r="BQ77" s="2">
        <v>-0.30096365270425934</v>
      </c>
      <c r="BR77" s="2">
        <f t="shared" si="54"/>
        <v>0.38091810924776243</v>
      </c>
      <c r="BS77" s="2">
        <v>0.14291803367683531</v>
      </c>
      <c r="BT77" s="2">
        <f t="shared" si="45"/>
        <v>0.2935425635697963</v>
      </c>
      <c r="BU77" s="2">
        <v>-8.034595002646823E-2</v>
      </c>
      <c r="BV77" s="2">
        <f t="shared" si="46"/>
        <v>2.4181210599959761E-2</v>
      </c>
      <c r="BW77" s="2">
        <f t="shared" si="47"/>
        <v>-1.1482885191680113E-2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-0.25821741182304692</v>
      </c>
      <c r="CC77" s="2">
        <f t="shared" si="56"/>
        <v>0.38091810924776243</v>
      </c>
      <c r="CD77" s="2">
        <v>0.1872221152154524</v>
      </c>
      <c r="CE77" s="2">
        <f t="shared" si="49"/>
        <v>0.2935425635697963</v>
      </c>
      <c r="CF77" s="2">
        <v>-3.1614616368311345E-2</v>
      </c>
      <c r="CG77" s="2">
        <f t="shared" si="50"/>
        <v>8.1634444144038903E-3</v>
      </c>
      <c r="CH77" s="2">
        <f t="shared" si="51"/>
        <v>-5.9189553482003141E-3</v>
      </c>
      <c r="CI77" s="2">
        <f t="shared" si="52"/>
        <v>0.17475109135593225</v>
      </c>
    </row>
    <row r="78" spans="2:87" x14ac:dyDescent="0.2">
      <c r="B78" s="6" t="s">
        <v>267</v>
      </c>
      <c r="C78" s="17">
        <v>0.8</v>
      </c>
      <c r="AF78" s="2">
        <v>29</v>
      </c>
      <c r="AG78" s="2">
        <f t="shared" si="43"/>
        <v>567.1275245025754</v>
      </c>
      <c r="AH78" s="2">
        <v>4.4406544020603178E-5</v>
      </c>
      <c r="AI78" s="2">
        <f t="shared" si="44"/>
        <v>567.12752990424633</v>
      </c>
      <c r="AJ78" s="2">
        <v>-3.9948231460584793E-6</v>
      </c>
      <c r="AK78" s="2">
        <f t="shared" si="39"/>
        <v>567.12752720341086</v>
      </c>
      <c r="AL78" s="2">
        <v>2.0205860437272349E-5</v>
      </c>
      <c r="AM78" s="2">
        <f t="shared" si="40"/>
        <v>8.9727243098189876E-10</v>
      </c>
      <c r="AN78" s="2">
        <f t="shared" si="41"/>
        <v>-8.0718838960842887E-11</v>
      </c>
      <c r="AO78" s="2">
        <f t="shared" si="42"/>
        <v>5.4016709327697754E-6</v>
      </c>
      <c r="BO78" s="2">
        <v>6</v>
      </c>
      <c r="BP78" s="2">
        <f t="shared" si="53"/>
        <v>0.2935425635697963</v>
      </c>
      <c r="BQ78" s="2">
        <v>-8.034595002646823E-2</v>
      </c>
      <c r="BR78" s="2">
        <f t="shared" si="54"/>
        <v>0.38091810924776243</v>
      </c>
      <c r="BS78" s="2">
        <v>0.14291803367683531</v>
      </c>
      <c r="BT78" s="2">
        <f t="shared" si="45"/>
        <v>0.33723033640877936</v>
      </c>
      <c r="BU78" s="2">
        <v>3.2633817075468939E-2</v>
      </c>
      <c r="BV78" s="2">
        <f t="shared" si="46"/>
        <v>-2.6219950359185331E-3</v>
      </c>
      <c r="BW78" s="2">
        <f t="shared" si="47"/>
        <v>4.6639609677955529E-3</v>
      </c>
      <c r="BX78" s="2">
        <f t="shared" si="48"/>
        <v>8.7375545677966127E-2</v>
      </c>
      <c r="BZ78" s="2">
        <v>6</v>
      </c>
      <c r="CA78" s="2">
        <f t="shared" si="55"/>
        <v>0.2935425635697963</v>
      </c>
      <c r="CB78" s="2">
        <v>-3.1614616368311345E-2</v>
      </c>
      <c r="CC78" s="2">
        <f t="shared" si="56"/>
        <v>0.38091810924776243</v>
      </c>
      <c r="CD78" s="2">
        <v>0.1872221152154524</v>
      </c>
      <c r="CE78" s="2">
        <f t="shared" si="49"/>
        <v>0.33723033640877936</v>
      </c>
      <c r="CF78" s="2">
        <v>7.9715418920979789E-2</v>
      </c>
      <c r="CG78" s="2">
        <f t="shared" si="50"/>
        <v>-2.5201723878260037E-3</v>
      </c>
      <c r="CH78" s="2">
        <f t="shared" si="51"/>
        <v>1.4924489345671732E-2</v>
      </c>
      <c r="CI78" s="2">
        <f t="shared" si="52"/>
        <v>8.7375545677966127E-2</v>
      </c>
    </row>
    <row r="79" spans="2:87" x14ac:dyDescent="0.2">
      <c r="B79" s="6" t="s">
        <v>268</v>
      </c>
      <c r="C79" s="17">
        <v>0.8</v>
      </c>
      <c r="AF79" s="2">
        <v>30</v>
      </c>
      <c r="AG79" s="2">
        <f t="shared" si="43"/>
        <v>567.12752720341086</v>
      </c>
      <c r="AH79" s="2">
        <v>2.0205860437272349E-5</v>
      </c>
      <c r="AI79" s="2">
        <f t="shared" si="44"/>
        <v>567.12752990424633</v>
      </c>
      <c r="AJ79" s="2">
        <v>-3.9948231460584793E-6</v>
      </c>
      <c r="AK79" s="5">
        <f t="shared" si="39"/>
        <v>567.1275285538286</v>
      </c>
      <c r="AL79" s="2">
        <v>8.105518645606935E-6</v>
      </c>
      <c r="AM79" s="2">
        <f t="shared" si="40"/>
        <v>1.6377897852484253E-10</v>
      </c>
      <c r="AN79" s="2">
        <f t="shared" si="41"/>
        <v>-3.2380113496279161E-11</v>
      </c>
      <c r="AO79" s="2">
        <f t="shared" si="42"/>
        <v>2.7008354663848877E-6</v>
      </c>
      <c r="BO79" s="2">
        <v>7</v>
      </c>
      <c r="BP79" s="2">
        <f t="shared" si="53"/>
        <v>0.2935425635697963</v>
      </c>
      <c r="BQ79" s="2">
        <v>-8.034595002646823E-2</v>
      </c>
      <c r="BR79" s="2">
        <f t="shared" si="54"/>
        <v>0.33723033640877936</v>
      </c>
      <c r="BS79" s="2">
        <v>3.2633817075468939E-2</v>
      </c>
      <c r="BT79" s="2">
        <f t="shared" si="45"/>
        <v>0.31538644998928783</v>
      </c>
      <c r="BU79" s="2">
        <v>-2.3666876434334305E-2</v>
      </c>
      <c r="BV79" s="2">
        <f t="shared" si="46"/>
        <v>1.9015376712756226E-3</v>
      </c>
      <c r="BW79" s="2">
        <f t="shared" si="47"/>
        <v>-7.7234051630579222E-4</v>
      </c>
      <c r="BX79" s="2">
        <f t="shared" si="48"/>
        <v>4.3687772838983063E-2</v>
      </c>
      <c r="BZ79" s="2">
        <v>7</v>
      </c>
      <c r="CA79" s="2">
        <f t="shared" si="55"/>
        <v>0.2935425635697963</v>
      </c>
      <c r="CB79" s="2">
        <v>-3.1614616368311345E-2</v>
      </c>
      <c r="CC79" s="2">
        <f t="shared" si="56"/>
        <v>0.33723033640877936</v>
      </c>
      <c r="CD79" s="2">
        <v>7.9715418920979789E-2</v>
      </c>
      <c r="CE79" s="2">
        <f t="shared" si="49"/>
        <v>0.31538644998928783</v>
      </c>
      <c r="CF79" s="2">
        <v>2.4436705956592378E-2</v>
      </c>
      <c r="CG79" s="2">
        <f t="shared" si="50"/>
        <v>-7.7255708412289669E-4</v>
      </c>
      <c r="CH79" s="2">
        <f t="shared" si="51"/>
        <v>1.9479822523785636E-3</v>
      </c>
      <c r="CI79" s="2">
        <f t="shared" si="52"/>
        <v>4.3687772838983063E-2</v>
      </c>
    </row>
    <row r="80" spans="2:87" x14ac:dyDescent="0.2">
      <c r="B80" s="6" t="s">
        <v>258</v>
      </c>
      <c r="C80" s="17">
        <v>5</v>
      </c>
      <c r="D80" s="6" t="s">
        <v>43</v>
      </c>
      <c r="BO80" s="2">
        <v>8</v>
      </c>
      <c r="BP80" s="2">
        <f t="shared" si="53"/>
        <v>0.31538644998928783</v>
      </c>
      <c r="BQ80" s="2">
        <v>-2.3666876434334305E-2</v>
      </c>
      <c r="BR80" s="2">
        <f t="shared" si="54"/>
        <v>0.33723033640877936</v>
      </c>
      <c r="BS80" s="2">
        <v>3.2633817075468939E-2</v>
      </c>
      <c r="BT80" s="2">
        <f t="shared" si="45"/>
        <v>0.3263083931990336</v>
      </c>
      <c r="BU80" s="2">
        <v>4.5519586107720111E-3</v>
      </c>
      <c r="BV80" s="2">
        <f t="shared" si="46"/>
        <v>-1.0773064197534523E-4</v>
      </c>
      <c r="BW80" s="2">
        <f t="shared" si="47"/>
        <v>1.4854778463903952E-4</v>
      </c>
      <c r="BX80" s="2">
        <f t="shared" si="48"/>
        <v>2.1843886419491532E-2</v>
      </c>
      <c r="BZ80" s="2">
        <v>8</v>
      </c>
      <c r="CA80" s="2">
        <f t="shared" si="55"/>
        <v>0.2935425635697963</v>
      </c>
      <c r="CB80" s="2">
        <v>-3.1614616368311345E-2</v>
      </c>
      <c r="CC80" s="2">
        <f t="shared" si="56"/>
        <v>0.31538644998928783</v>
      </c>
      <c r="CD80" s="2">
        <v>2.4436705956592378E-2</v>
      </c>
      <c r="CE80" s="2">
        <f t="shared" si="49"/>
        <v>0.30446450677954207</v>
      </c>
      <c r="CF80" s="2">
        <v>-3.5059561452858573E-3</v>
      </c>
      <c r="CG80" s="2">
        <f t="shared" si="50"/>
        <v>1.1083945853733602E-4</v>
      </c>
      <c r="CH80" s="2">
        <f t="shared" si="51"/>
        <v>-8.5674019419058558E-5</v>
      </c>
      <c r="CI80" s="2">
        <f t="shared" si="52"/>
        <v>2.1843886419491532E-2</v>
      </c>
    </row>
    <row r="81" spans="67:87" x14ac:dyDescent="0.2">
      <c r="BO81" s="2">
        <v>9</v>
      </c>
      <c r="BP81" s="2">
        <f t="shared" si="53"/>
        <v>0.31538644998928783</v>
      </c>
      <c r="BQ81" s="2">
        <v>-2.3666876434334305E-2</v>
      </c>
      <c r="BR81" s="2">
        <f t="shared" si="54"/>
        <v>0.3263083931990336</v>
      </c>
      <c r="BS81" s="2">
        <v>4.5519586107720111E-3</v>
      </c>
      <c r="BT81" s="2">
        <f t="shared" si="45"/>
        <v>0.32084742159416069</v>
      </c>
      <c r="BU81" s="2">
        <v>-9.5427962189291241E-3</v>
      </c>
      <c r="BV81" s="2">
        <f t="shared" si="46"/>
        <v>2.258481789514282E-4</v>
      </c>
      <c r="BW81" s="2">
        <f t="shared" si="47"/>
        <v>-4.3438413419597018E-5</v>
      </c>
      <c r="BX81" s="2">
        <f t="shared" si="48"/>
        <v>1.0921943209745766E-2</v>
      </c>
      <c r="BZ81" s="2">
        <v>9</v>
      </c>
      <c r="CA81" s="2">
        <f t="shared" si="55"/>
        <v>0.30446450677954207</v>
      </c>
      <c r="CB81" s="2">
        <v>-3.5059561452858573E-3</v>
      </c>
      <c r="CC81" s="2">
        <f t="shared" si="56"/>
        <v>0.31538644998928783</v>
      </c>
      <c r="CD81" s="2">
        <v>2.4436705956592378E-2</v>
      </c>
      <c r="CE81" s="2">
        <f t="shared" si="49"/>
        <v>0.30992547838441498</v>
      </c>
      <c r="CF81" s="2">
        <v>1.0487919128137381E-2</v>
      </c>
      <c r="CG81" s="2">
        <f t="shared" si="50"/>
        <v>-3.6770184518554341E-5</v>
      </c>
      <c r="CH81" s="2">
        <f t="shared" si="51"/>
        <v>2.5629019583081386E-4</v>
      </c>
      <c r="CI81" s="2">
        <f t="shared" si="52"/>
        <v>1.0921943209745766E-2</v>
      </c>
    </row>
    <row r="82" spans="67:87" x14ac:dyDescent="0.2">
      <c r="BO82" s="2">
        <v>10</v>
      </c>
      <c r="BP82" s="2">
        <f t="shared" si="53"/>
        <v>0.32084742159416069</v>
      </c>
      <c r="BQ82" s="2">
        <v>-9.5427962189291241E-3</v>
      </c>
      <c r="BR82" s="2">
        <f t="shared" si="54"/>
        <v>0.3263083931990336</v>
      </c>
      <c r="BS82" s="2">
        <v>4.5519586107720111E-3</v>
      </c>
      <c r="BT82" s="2">
        <f t="shared" si="45"/>
        <v>0.32357790739659714</v>
      </c>
      <c r="BU82" s="2">
        <v>-2.4914346059383766E-3</v>
      </c>
      <c r="BV82" s="2">
        <f t="shared" si="46"/>
        <v>2.3775252737257912E-5</v>
      </c>
      <c r="BW82" s="2">
        <f t="shared" si="47"/>
        <v>-1.1340907207676566E-5</v>
      </c>
      <c r="BX82" s="2">
        <f t="shared" si="48"/>
        <v>5.4609716048729107E-3</v>
      </c>
      <c r="BZ82" s="2">
        <v>10</v>
      </c>
      <c r="CA82" s="2">
        <f t="shared" si="55"/>
        <v>0.30446450677954207</v>
      </c>
      <c r="CB82" s="2">
        <v>-3.5059561452858573E-3</v>
      </c>
      <c r="CC82" s="2">
        <f t="shared" si="56"/>
        <v>0.30992547838441498</v>
      </c>
      <c r="CD82" s="2">
        <v>1.0487919128137381E-2</v>
      </c>
      <c r="CE82" s="2">
        <f t="shared" si="49"/>
        <v>0.30719499258197852</v>
      </c>
      <c r="CF82" s="2">
        <v>3.4963993926779013E-3</v>
      </c>
      <c r="CG82" s="2">
        <f t="shared" si="50"/>
        <v>-1.2258222937132827E-5</v>
      </c>
      <c r="CH82" s="2">
        <f t="shared" si="51"/>
        <v>3.666995407007448E-5</v>
      </c>
      <c r="CI82" s="2">
        <f t="shared" si="52"/>
        <v>5.4609716048729107E-3</v>
      </c>
    </row>
    <row r="83" spans="67:87" x14ac:dyDescent="0.2">
      <c r="BO83" s="2">
        <v>11</v>
      </c>
      <c r="BP83" s="2">
        <f t="shared" si="53"/>
        <v>0.32357790739659714</v>
      </c>
      <c r="BQ83" s="2">
        <v>-2.4914346059383766E-3</v>
      </c>
      <c r="BR83" s="2">
        <f t="shared" si="54"/>
        <v>0.3263083931990336</v>
      </c>
      <c r="BS83" s="2">
        <v>4.5519586107720111E-3</v>
      </c>
      <c r="BT83" s="2">
        <f t="shared" si="45"/>
        <v>0.3249431502978154</v>
      </c>
      <c r="BU83" s="2">
        <v>1.0312968729677685E-3</v>
      </c>
      <c r="BV83" s="2">
        <f t="shared" si="46"/>
        <v>-2.5694087183079325E-6</v>
      </c>
      <c r="BW83" s="2">
        <f t="shared" si="47"/>
        <v>4.694420681167883E-6</v>
      </c>
      <c r="BX83" s="2">
        <f t="shared" si="48"/>
        <v>2.7304858024364553E-3</v>
      </c>
      <c r="BZ83" s="2">
        <v>11</v>
      </c>
      <c r="CA83" s="2">
        <f t="shared" si="55"/>
        <v>0.30446450677954207</v>
      </c>
      <c r="CB83" s="2">
        <v>-3.5059561452858573E-3</v>
      </c>
      <c r="CC83" s="2">
        <f t="shared" si="56"/>
        <v>0.30719499258197852</v>
      </c>
      <c r="CD83" s="2">
        <v>3.4963993926779013E-3</v>
      </c>
      <c r="CE83" s="2">
        <f t="shared" si="49"/>
        <v>0.30582974968076027</v>
      </c>
      <c r="CF83" s="2">
        <v>-3.4517057815874885E-6</v>
      </c>
      <c r="CG83" s="2">
        <f t="shared" si="50"/>
        <v>1.2101529096675379E-8</v>
      </c>
      <c r="CH83" s="2">
        <f t="shared" si="51"/>
        <v>-1.2068541998445296E-8</v>
      </c>
      <c r="CI83" s="2">
        <f t="shared" si="52"/>
        <v>2.7304858024364553E-3</v>
      </c>
    </row>
    <row r="84" spans="67:87" x14ac:dyDescent="0.2">
      <c r="BO84" s="2">
        <v>12</v>
      </c>
      <c r="BP84" s="2">
        <f t="shared" si="53"/>
        <v>0.32357790739659714</v>
      </c>
      <c r="BQ84" s="2">
        <v>-2.4914346059383766E-3</v>
      </c>
      <c r="BR84" s="2">
        <f t="shared" si="54"/>
        <v>0.3249431502978154</v>
      </c>
      <c r="BS84" s="2">
        <v>1.0312968729677685E-3</v>
      </c>
      <c r="BT84" s="2">
        <f t="shared" si="45"/>
        <v>0.32426052884720624</v>
      </c>
      <c r="BU84" s="2">
        <v>-7.2981495785700429E-4</v>
      </c>
      <c r="BV84" s="2">
        <f t="shared" si="46"/>
        <v>1.8182862419363983E-6</v>
      </c>
      <c r="BW84" s="2">
        <f t="shared" si="47"/>
        <v>-7.5265588388303223E-7</v>
      </c>
      <c r="BX84" s="2">
        <f t="shared" si="48"/>
        <v>1.3652429012182554E-3</v>
      </c>
      <c r="BZ84" s="2">
        <v>12</v>
      </c>
      <c r="CA84" s="2">
        <f t="shared" si="55"/>
        <v>0.30582974968076027</v>
      </c>
      <c r="CB84" s="2">
        <v>-3.4517057815874885E-6</v>
      </c>
      <c r="CC84" s="2">
        <f t="shared" si="56"/>
        <v>0.30719499258197852</v>
      </c>
      <c r="CD84" s="2">
        <v>3.4963993926779013E-3</v>
      </c>
      <c r="CE84" s="2">
        <f t="shared" si="49"/>
        <v>0.30651237113136942</v>
      </c>
      <c r="CF84" s="2">
        <v>1.7468090106698142E-3</v>
      </c>
      <c r="CG84" s="2">
        <f t="shared" si="50"/>
        <v>-6.0294707614581184E-9</v>
      </c>
      <c r="CH84" s="2">
        <f t="shared" si="51"/>
        <v>6.1075419640302244E-6</v>
      </c>
      <c r="CI84" s="2">
        <f t="shared" si="52"/>
        <v>1.3652429012182554E-3</v>
      </c>
    </row>
    <row r="85" spans="67:87" x14ac:dyDescent="0.2">
      <c r="BO85" s="2">
        <v>13</v>
      </c>
      <c r="BP85" s="2">
        <f t="shared" si="53"/>
        <v>0.32426052884720624</v>
      </c>
      <c r="BQ85" s="2">
        <v>-7.2981495785700429E-4</v>
      </c>
      <c r="BR85" s="2">
        <f t="shared" si="54"/>
        <v>0.3249431502978154</v>
      </c>
      <c r="BS85" s="2">
        <v>1.0312968729677685E-3</v>
      </c>
      <c r="BT85" s="2">
        <f t="shared" si="45"/>
        <v>0.32460183957251082</v>
      </c>
      <c r="BU85" s="2">
        <v>1.5080503854481009E-4</v>
      </c>
      <c r="BV85" s="2">
        <f t="shared" si="46"/>
        <v>-1.1005977285020448E-7</v>
      </c>
      <c r="BW85" s="2">
        <f t="shared" si="47"/>
        <v>1.5552476467904644E-7</v>
      </c>
      <c r="BX85" s="2">
        <f t="shared" si="48"/>
        <v>6.8262145060915547E-4</v>
      </c>
      <c r="BZ85" s="2">
        <v>13</v>
      </c>
      <c r="CA85" s="2">
        <f t="shared" si="55"/>
        <v>0.30582974968076027</v>
      </c>
      <c r="CB85" s="2">
        <v>-3.4517057815874885E-6</v>
      </c>
      <c r="CC85" s="2">
        <f t="shared" si="56"/>
        <v>0.30651237113136942</v>
      </c>
      <c r="CD85" s="2">
        <v>1.7468090106698142E-3</v>
      </c>
      <c r="CE85" s="2">
        <f t="shared" si="49"/>
        <v>0.30617106040606484</v>
      </c>
      <c r="CF85" s="2">
        <v>8.7176200830244716E-4</v>
      </c>
      <c r="CG85" s="2">
        <f t="shared" si="50"/>
        <v>-3.0090659642258772E-9</v>
      </c>
      <c r="CH85" s="2">
        <f t="shared" si="51"/>
        <v>1.5228017312623281E-6</v>
      </c>
      <c r="CI85" s="2">
        <f t="shared" si="52"/>
        <v>6.8262145060915547E-4</v>
      </c>
    </row>
    <row r="86" spans="67:87" x14ac:dyDescent="0.2">
      <c r="BO86" s="2">
        <v>14</v>
      </c>
      <c r="BP86" s="2">
        <f t="shared" si="53"/>
        <v>0.32426052884720624</v>
      </c>
      <c r="BQ86" s="2">
        <v>-7.2981495785700429E-4</v>
      </c>
      <c r="BR86" s="2">
        <f t="shared" si="54"/>
        <v>0.32460183957251082</v>
      </c>
      <c r="BS86" s="2">
        <v>1.5080503854481009E-4</v>
      </c>
      <c r="BT86" s="2">
        <f t="shared" si="45"/>
        <v>0.3244311842098585</v>
      </c>
      <c r="BU86" s="2">
        <v>-2.8948901471803623E-4</v>
      </c>
      <c r="BV86" s="2">
        <f t="shared" si="46"/>
        <v>2.1127341307650931E-7</v>
      </c>
      <c r="BW86" s="2">
        <f t="shared" si="47"/>
        <v>-4.3656402022852552E-8</v>
      </c>
      <c r="BX86" s="2">
        <f t="shared" si="48"/>
        <v>3.4131072530457773E-4</v>
      </c>
      <c r="BZ86" s="2">
        <v>14</v>
      </c>
      <c r="CA86" s="2">
        <f t="shared" si="55"/>
        <v>0.30582974968076027</v>
      </c>
      <c r="CB86" s="2">
        <v>-3.4517057815874885E-6</v>
      </c>
      <c r="CC86" s="2">
        <f t="shared" si="56"/>
        <v>0.30617106040606484</v>
      </c>
      <c r="CD86" s="2">
        <v>8.7176200830244716E-4</v>
      </c>
      <c r="CE86" s="2">
        <f t="shared" si="49"/>
        <v>0.30600040504341253</v>
      </c>
      <c r="CF86" s="2">
        <v>4.3417593560030748E-4</v>
      </c>
      <c r="CG86" s="2">
        <f t="shared" si="50"/>
        <v>-1.4986475871377384E-9</v>
      </c>
      <c r="CH86" s="2">
        <f t="shared" si="51"/>
        <v>3.7849808557551801E-7</v>
      </c>
      <c r="CI86" s="2">
        <f t="shared" si="52"/>
        <v>3.4131072530457773E-4</v>
      </c>
    </row>
    <row r="87" spans="67:87" x14ac:dyDescent="0.2">
      <c r="BO87" s="2">
        <v>15</v>
      </c>
      <c r="BP87" s="2">
        <f t="shared" si="53"/>
        <v>0.3244311842098585</v>
      </c>
      <c r="BQ87" s="2">
        <v>-2.8948901471803623E-4</v>
      </c>
      <c r="BR87" s="2">
        <f t="shared" si="54"/>
        <v>0.32460183957251082</v>
      </c>
      <c r="BS87" s="2">
        <v>1.5080503854481009E-4</v>
      </c>
      <c r="BT87" s="2">
        <f t="shared" si="45"/>
        <v>0.32451651189118469</v>
      </c>
      <c r="BU87" s="2">
        <v>-6.9337992427767614E-5</v>
      </c>
      <c r="BV87" s="2">
        <f t="shared" si="46"/>
        <v>2.0072587110441103E-8</v>
      </c>
      <c r="BW87" s="2">
        <f t="shared" si="47"/>
        <v>-1.0456518620689246E-8</v>
      </c>
      <c r="BX87" s="2">
        <f t="shared" si="48"/>
        <v>1.7065536265231662E-4</v>
      </c>
      <c r="BZ87" s="2">
        <v>15</v>
      </c>
      <c r="CA87" s="2">
        <f t="shared" si="55"/>
        <v>0.30582974968076027</v>
      </c>
      <c r="CB87" s="2">
        <v>-3.4517057815874885E-6</v>
      </c>
      <c r="CC87" s="2">
        <f t="shared" si="56"/>
        <v>0.30600040504341253</v>
      </c>
      <c r="CD87" s="2">
        <v>4.3417593560030748E-4</v>
      </c>
      <c r="CE87" s="2">
        <f t="shared" si="49"/>
        <v>0.3059150773620864</v>
      </c>
      <c r="CF87" s="2">
        <v>2.1536730415801925E-4</v>
      </c>
      <c r="CG87" s="2">
        <f t="shared" si="50"/>
        <v>-7.4338456892714619E-10</v>
      </c>
      <c r="CH87" s="2">
        <f t="shared" si="51"/>
        <v>9.3507300780523994E-8</v>
      </c>
      <c r="CI87" s="2">
        <f t="shared" si="52"/>
        <v>1.7065536265226111E-4</v>
      </c>
    </row>
    <row r="88" spans="67:87" x14ac:dyDescent="0.2">
      <c r="BO88" s="2">
        <v>16</v>
      </c>
      <c r="BP88" s="2">
        <f t="shared" si="53"/>
        <v>0.32451651189118469</v>
      </c>
      <c r="BQ88" s="2">
        <v>-6.9337992427767614E-5</v>
      </c>
      <c r="BR88" s="2">
        <f t="shared" si="54"/>
        <v>0.32460183957251082</v>
      </c>
      <c r="BS88" s="2">
        <v>1.5080503854481009E-4</v>
      </c>
      <c r="BT88" s="2">
        <f t="shared" si="45"/>
        <v>0.32455917573184778</v>
      </c>
      <c r="BU88" s="2">
        <v>4.0734523150336155E-5</v>
      </c>
      <c r="BV88" s="2">
        <f t="shared" si="46"/>
        <v>-2.8244500577467331E-9</v>
      </c>
      <c r="BW88" s="2">
        <f t="shared" si="47"/>
        <v>6.1429713337909028E-9</v>
      </c>
      <c r="BX88" s="2">
        <f t="shared" si="48"/>
        <v>8.5327681326130556E-5</v>
      </c>
      <c r="BZ88" s="2">
        <v>16</v>
      </c>
      <c r="CA88" s="2">
        <f t="shared" si="55"/>
        <v>0.30582974968076027</v>
      </c>
      <c r="CB88" s="2">
        <v>-3.4517057815874885E-6</v>
      </c>
      <c r="CC88" s="2">
        <f t="shared" si="56"/>
        <v>0.3059150773620864</v>
      </c>
      <c r="CD88" s="2">
        <v>2.1536730415801925E-4</v>
      </c>
      <c r="CE88" s="2">
        <f t="shared" si="49"/>
        <v>0.30587241352142336</v>
      </c>
      <c r="CF88" s="2">
        <v>1.0595909564532074E-4</v>
      </c>
      <c r="CG88" s="2">
        <f t="shared" si="50"/>
        <v>-3.6573962305073529E-10</v>
      </c>
      <c r="CH88" s="2">
        <f t="shared" si="51"/>
        <v>2.2820124780154447E-8</v>
      </c>
      <c r="CI88" s="2">
        <f t="shared" si="52"/>
        <v>8.5327681326130556E-5</v>
      </c>
    </row>
    <row r="89" spans="67:87" x14ac:dyDescent="0.2">
      <c r="BO89" s="2">
        <v>17</v>
      </c>
      <c r="BP89" s="2">
        <f t="shared" si="53"/>
        <v>0.32451651189118469</v>
      </c>
      <c r="BQ89" s="2">
        <v>-6.9337992427767614E-5</v>
      </c>
      <c r="BR89" s="2">
        <f t="shared" si="54"/>
        <v>0.32455917573184778</v>
      </c>
      <c r="BS89" s="2">
        <v>4.0734523150336155E-5</v>
      </c>
      <c r="BT89" s="2">
        <f t="shared" si="45"/>
        <v>0.32453784381151624</v>
      </c>
      <c r="BU89" s="2">
        <v>-1.430148476287002E-5</v>
      </c>
      <c r="BV89" s="2">
        <f t="shared" si="46"/>
        <v>9.9163624219371535E-10</v>
      </c>
      <c r="BW89" s="2">
        <f t="shared" si="47"/>
        <v>-5.8256416215730857E-10</v>
      </c>
      <c r="BX89" s="2">
        <f t="shared" si="48"/>
        <v>4.2663840663093033E-5</v>
      </c>
      <c r="BZ89" s="2">
        <v>17</v>
      </c>
      <c r="CA89" s="2">
        <f t="shared" si="55"/>
        <v>0.30582974968076027</v>
      </c>
      <c r="CB89" s="2">
        <v>-3.4517057815874885E-6</v>
      </c>
      <c r="CC89" s="2">
        <f t="shared" si="56"/>
        <v>0.30587241352142336</v>
      </c>
      <c r="CD89" s="2">
        <v>1.0595909564532074E-4</v>
      </c>
      <c r="CE89" s="2">
        <f t="shared" si="49"/>
        <v>0.30585108160109181</v>
      </c>
      <c r="CF89" s="2">
        <v>5.1254018939288215E-5</v>
      </c>
      <c r="CG89" s="2">
        <f t="shared" si="50"/>
        <v>-1.7691379350233577E-10</v>
      </c>
      <c r="CH89" s="2">
        <f t="shared" si="51"/>
        <v>5.4308294949951207E-9</v>
      </c>
      <c r="CI89" s="2">
        <f t="shared" si="52"/>
        <v>4.2663840663093033E-5</v>
      </c>
    </row>
    <row r="90" spans="67:87" x14ac:dyDescent="0.2">
      <c r="BO90" s="2">
        <v>18</v>
      </c>
      <c r="BP90" s="2">
        <f t="shared" si="53"/>
        <v>0.32453784381151624</v>
      </c>
      <c r="BQ90" s="2">
        <v>-1.430148476287002E-5</v>
      </c>
      <c r="BR90" s="2">
        <f t="shared" si="54"/>
        <v>0.32455917573184778</v>
      </c>
      <c r="BS90" s="2">
        <v>4.0734523150336155E-5</v>
      </c>
      <c r="BT90" s="2">
        <f t="shared" si="45"/>
        <v>0.32454850977168204</v>
      </c>
      <c r="BU90" s="2">
        <v>1.3216581681241291E-5</v>
      </c>
      <c r="BV90" s="2">
        <f t="shared" si="46"/>
        <v>-1.8901674153149935E-10</v>
      </c>
      <c r="BW90" s="2">
        <f t="shared" si="47"/>
        <v>5.3837115246283207E-10</v>
      </c>
      <c r="BX90" s="2">
        <f t="shared" si="48"/>
        <v>2.1331920331546517E-5</v>
      </c>
      <c r="BZ90" s="2">
        <v>18</v>
      </c>
      <c r="CA90" s="2">
        <f t="shared" si="55"/>
        <v>0.30582974968076027</v>
      </c>
      <c r="CB90" s="2">
        <v>-3.4517057815874885E-6</v>
      </c>
      <c r="CC90" s="2">
        <f t="shared" si="56"/>
        <v>0.30585108160109181</v>
      </c>
      <c r="CD90" s="2">
        <v>5.1254018939288215E-5</v>
      </c>
      <c r="CE90" s="2">
        <f t="shared" si="49"/>
        <v>0.30584041564092601</v>
      </c>
      <c r="CF90" s="2">
        <v>2.390123756717405E-5</v>
      </c>
      <c r="CG90" s="2">
        <f t="shared" si="50"/>
        <v>-8.2500039897710752E-11</v>
      </c>
      <c r="CH90" s="2">
        <f t="shared" si="51"/>
        <v>1.2250344829403656E-9</v>
      </c>
      <c r="CI90" s="2">
        <f t="shared" si="52"/>
        <v>2.1331920331546517E-5</v>
      </c>
    </row>
    <row r="91" spans="67:87" x14ac:dyDescent="0.2">
      <c r="BO91" s="2">
        <v>19</v>
      </c>
      <c r="BP91" s="2">
        <f t="shared" si="53"/>
        <v>0.32453784381151624</v>
      </c>
      <c r="BQ91" s="2">
        <v>-1.430148476287002E-5</v>
      </c>
      <c r="BR91" s="2">
        <f t="shared" si="54"/>
        <v>0.32454850977168204</v>
      </c>
      <c r="BS91" s="2">
        <v>1.3216581681241291E-5</v>
      </c>
      <c r="BT91" s="2">
        <f t="shared" si="45"/>
        <v>0.32454317679159916</v>
      </c>
      <c r="BU91" s="2">
        <v>-5.4243592117336759E-7</v>
      </c>
      <c r="BV91" s="2">
        <f t="shared" si="46"/>
        <v>7.7576390614942804E-12</v>
      </c>
      <c r="BW91" s="2">
        <f t="shared" si="47"/>
        <v>-7.1691486590271747E-12</v>
      </c>
      <c r="BX91" s="2">
        <f t="shared" si="48"/>
        <v>1.0665960165801014E-5</v>
      </c>
      <c r="BZ91" s="2">
        <v>19</v>
      </c>
      <c r="CA91" s="2">
        <f t="shared" si="55"/>
        <v>0.30582974968076027</v>
      </c>
      <c r="CB91" s="2">
        <v>-3.4517057815874885E-6</v>
      </c>
      <c r="CC91" s="2">
        <f t="shared" si="56"/>
        <v>0.30584041564092601</v>
      </c>
      <c r="CD91" s="2">
        <v>2.390123756717405E-5</v>
      </c>
      <c r="CE91" s="2">
        <f t="shared" si="49"/>
        <v>0.30583508266084314</v>
      </c>
      <c r="CF91" s="2">
        <v>1.0224786138220143E-5</v>
      </c>
      <c r="CG91" s="2">
        <f t="shared" si="50"/>
        <v>-3.529295342879008E-11</v>
      </c>
      <c r="CH91" s="2">
        <f t="shared" si="51"/>
        <v>2.4438504256314776E-10</v>
      </c>
      <c r="CI91" s="2">
        <f t="shared" si="52"/>
        <v>1.0665960165745503E-5</v>
      </c>
    </row>
    <row r="92" spans="67:87" x14ac:dyDescent="0.2">
      <c r="BO92" s="2">
        <v>20</v>
      </c>
      <c r="BP92" s="2">
        <f t="shared" si="53"/>
        <v>0.32454317679159916</v>
      </c>
      <c r="BQ92" s="2">
        <v>-5.4243592117336759E-7</v>
      </c>
      <c r="BR92" s="2">
        <f t="shared" si="54"/>
        <v>0.32454850977168204</v>
      </c>
      <c r="BS92" s="2">
        <v>1.3216581681241291E-5</v>
      </c>
      <c r="BT92" s="2">
        <f t="shared" si="45"/>
        <v>0.3245458432816406</v>
      </c>
      <c r="BU92" s="2">
        <v>6.3370767851983478E-6</v>
      </c>
      <c r="BV92" s="2">
        <f t="shared" si="46"/>
        <v>-3.4374580835254285E-12</v>
      </c>
      <c r="BW92" s="2">
        <f t="shared" si="47"/>
        <v>8.3754492951871928E-11</v>
      </c>
      <c r="BX92" s="2">
        <f t="shared" si="48"/>
        <v>5.3329800828727514E-6</v>
      </c>
      <c r="BZ92" s="2">
        <v>20</v>
      </c>
      <c r="CA92" s="2">
        <f t="shared" si="55"/>
        <v>0.30582974968076027</v>
      </c>
      <c r="CB92" s="2">
        <v>-3.4517057815874885E-6</v>
      </c>
      <c r="CC92" s="2">
        <f t="shared" si="56"/>
        <v>0.30583508266084314</v>
      </c>
      <c r="CD92" s="2">
        <v>1.0224786138220143E-5</v>
      </c>
      <c r="CE92" s="2">
        <f t="shared" si="49"/>
        <v>0.3058324161708017</v>
      </c>
      <c r="CF92" s="2">
        <v>3.386545239375538E-6</v>
      </c>
      <c r="CG92" s="2">
        <f t="shared" si="50"/>
        <v>-1.1689357782360129E-11</v>
      </c>
      <c r="CH92" s="2">
        <f t="shared" si="51"/>
        <v>3.462670082002242E-11</v>
      </c>
      <c r="CI92" s="2">
        <f t="shared" si="52"/>
        <v>5.3329800828727514E-6</v>
      </c>
    </row>
    <row r="93" spans="67:87" x14ac:dyDescent="0.2">
      <c r="BO93" s="2">
        <v>21</v>
      </c>
      <c r="BP93" s="2">
        <f t="shared" si="53"/>
        <v>0.32454317679159916</v>
      </c>
      <c r="BQ93" s="2">
        <v>-5.4243592117336759E-7</v>
      </c>
      <c r="BR93" s="2">
        <f t="shared" si="54"/>
        <v>0.3245458432816406</v>
      </c>
      <c r="BS93" s="2">
        <v>6.3370767851983478E-6</v>
      </c>
      <c r="BT93" s="2">
        <f t="shared" si="45"/>
        <v>0.32454451003661988</v>
      </c>
      <c r="BU93" s="2">
        <v>2.8973214082073095E-6</v>
      </c>
      <c r="BV93" s="2">
        <f t="shared" si="46"/>
        <v>-1.5716112069962505E-12</v>
      </c>
      <c r="BW93" s="2">
        <f t="shared" si="47"/>
        <v>1.8360548235208728E-11</v>
      </c>
      <c r="BX93" s="2">
        <f t="shared" si="48"/>
        <v>2.6664900414363757E-6</v>
      </c>
      <c r="BZ93" s="2">
        <v>21</v>
      </c>
      <c r="CA93" s="2">
        <f t="shared" si="55"/>
        <v>0.30582974968076027</v>
      </c>
      <c r="CB93" s="2">
        <v>-3.4517057815874885E-6</v>
      </c>
      <c r="CC93" s="2">
        <f t="shared" si="56"/>
        <v>0.3058324161708017</v>
      </c>
      <c r="CD93" s="2">
        <v>3.386545239375538E-6</v>
      </c>
      <c r="CE93" s="2">
        <f t="shared" si="49"/>
        <v>0.30583108292578098</v>
      </c>
      <c r="CF93" s="2">
        <v>-3.2579005791733007E-8</v>
      </c>
      <c r="CG93" s="2">
        <f t="shared" si="50"/>
        <v>1.1245314264969709E-13</v>
      </c>
      <c r="CH93" s="2">
        <f t="shared" si="51"/>
        <v>-1.1033027696758149E-13</v>
      </c>
      <c r="CI93" s="2">
        <f t="shared" si="52"/>
        <v>2.6664900414363757E-6</v>
      </c>
    </row>
    <row r="94" spans="67:87" x14ac:dyDescent="0.2">
      <c r="BO94" s="2">
        <v>22</v>
      </c>
      <c r="BP94" s="2">
        <f t="shared" si="53"/>
        <v>0.32454317679159916</v>
      </c>
      <c r="BQ94" s="2">
        <v>-5.4243592117336759E-7</v>
      </c>
      <c r="BR94" s="2">
        <f t="shared" si="54"/>
        <v>0.32454451003661988</v>
      </c>
      <c r="BS94" s="2">
        <v>2.8973214082073095E-6</v>
      </c>
      <c r="BT94" s="2">
        <f t="shared" si="45"/>
        <v>0.32454384341410952</v>
      </c>
      <c r="BU94" s="2">
        <v>1.1774429874850112E-6</v>
      </c>
      <c r="BV94" s="2">
        <f t="shared" si="46"/>
        <v>-6.3868737154555399E-13</v>
      </c>
      <c r="BW94" s="2">
        <f t="shared" si="47"/>
        <v>3.411430774583894E-12</v>
      </c>
      <c r="BX94" s="2">
        <f t="shared" si="48"/>
        <v>1.3332450207181878E-6</v>
      </c>
      <c r="BZ94" s="2">
        <v>22</v>
      </c>
      <c r="CA94" s="2">
        <f t="shared" si="55"/>
        <v>0.30583108292578098</v>
      </c>
      <c r="CB94" s="2">
        <v>-3.2579005791733007E-8</v>
      </c>
      <c r="CC94" s="2">
        <f t="shared" si="56"/>
        <v>0.3058324161708017</v>
      </c>
      <c r="CD94" s="2">
        <v>3.386545239375538E-6</v>
      </c>
      <c r="CE94" s="2">
        <f t="shared" si="49"/>
        <v>0.30583174954829134</v>
      </c>
      <c r="CF94" s="2">
        <v>1.6769834331048505E-6</v>
      </c>
      <c r="CG94" s="2">
        <f t="shared" si="50"/>
        <v>-5.4634452979763228E-14</v>
      </c>
      <c r="CH94" s="2">
        <f t="shared" si="51"/>
        <v>5.6791802618928775E-12</v>
      </c>
      <c r="CI94" s="2">
        <f t="shared" si="52"/>
        <v>1.3332450207181878E-6</v>
      </c>
    </row>
    <row r="95" spans="67:87" x14ac:dyDescent="0.2">
      <c r="BO95" s="2">
        <v>23</v>
      </c>
      <c r="BP95" s="2">
        <f t="shared" si="53"/>
        <v>0.32454317679159916</v>
      </c>
      <c r="BQ95" s="2">
        <v>-5.4243592117336759E-7</v>
      </c>
      <c r="BR95" s="2">
        <f t="shared" si="54"/>
        <v>0.32454384341410952</v>
      </c>
      <c r="BS95" s="2">
        <v>1.1774429874850112E-6</v>
      </c>
      <c r="BT95" s="2">
        <f t="shared" si="45"/>
        <v>0.32454351010285432</v>
      </c>
      <c r="BU95" s="2">
        <v>3.1750359404808526E-7</v>
      </c>
      <c r="BV95" s="2">
        <f t="shared" si="46"/>
        <v>-1.7222535451332808E-13</v>
      </c>
      <c r="BW95" s="2">
        <f t="shared" si="47"/>
        <v>3.7384238031320575E-13</v>
      </c>
      <c r="BX95" s="2">
        <f t="shared" si="48"/>
        <v>6.6662251035909392E-7</v>
      </c>
      <c r="BZ95" s="2">
        <v>23</v>
      </c>
      <c r="CA95" s="2">
        <f t="shared" si="55"/>
        <v>0.30583108292578098</v>
      </c>
      <c r="CB95" s="2">
        <v>-3.2579005791733007E-8</v>
      </c>
      <c r="CC95" s="2">
        <f t="shared" si="56"/>
        <v>0.30583174954829134</v>
      </c>
      <c r="CD95" s="2">
        <v>1.6769834331048505E-6</v>
      </c>
      <c r="CE95" s="2">
        <f t="shared" si="49"/>
        <v>0.30583141623703614</v>
      </c>
      <c r="CF95" s="2">
        <v>8.2220229274260204E-7</v>
      </c>
      <c r="CG95" s="2">
        <f t="shared" si="50"/>
        <v>-2.6786533257237388E-14</v>
      </c>
      <c r="CH95" s="2">
        <f t="shared" si="51"/>
        <v>1.3788196235901681E-12</v>
      </c>
      <c r="CI95" s="2">
        <f t="shared" si="52"/>
        <v>6.6662251035909392E-7</v>
      </c>
    </row>
    <row r="96" spans="67:87" x14ac:dyDescent="0.2">
      <c r="BO96" s="2">
        <v>24</v>
      </c>
      <c r="BP96" s="2">
        <f t="shared" si="53"/>
        <v>0.32454317679159916</v>
      </c>
      <c r="BQ96" s="2">
        <v>-5.4243592117336759E-7</v>
      </c>
      <c r="BR96" s="2">
        <f t="shared" si="54"/>
        <v>0.32454351010285432</v>
      </c>
      <c r="BS96" s="2">
        <v>3.1750359404808526E-7</v>
      </c>
      <c r="BT96" s="2">
        <f t="shared" si="45"/>
        <v>0.32454334344722674</v>
      </c>
      <c r="BU96" s="2">
        <v>-1.1246614829013568E-7</v>
      </c>
      <c r="BV96" s="2">
        <f t="shared" si="46"/>
        <v>6.1005678748580309E-14</v>
      </c>
      <c r="BW96" s="2">
        <f t="shared" si="47"/>
        <v>-3.5708406290862996E-14</v>
      </c>
      <c r="BX96" s="2">
        <f t="shared" si="48"/>
        <v>3.3331125515179139E-7</v>
      </c>
      <c r="BZ96" s="2">
        <v>24</v>
      </c>
      <c r="CA96" s="2">
        <f t="shared" si="55"/>
        <v>0.30583108292578098</v>
      </c>
      <c r="CB96" s="2">
        <v>-3.2579005791733007E-8</v>
      </c>
      <c r="CC96" s="2">
        <f t="shared" si="56"/>
        <v>0.30583141623703614</v>
      </c>
      <c r="CD96" s="2">
        <v>8.2220229274260204E-7</v>
      </c>
      <c r="CE96" s="2">
        <f t="shared" si="49"/>
        <v>0.30583124958140856</v>
      </c>
      <c r="CF96" s="2">
        <v>3.9481166320270988E-7</v>
      </c>
      <c r="CG96" s="2">
        <f t="shared" si="50"/>
        <v>-1.2862571462124826E-14</v>
      </c>
      <c r="CH96" s="2">
        <f t="shared" si="51"/>
        <v>3.2461505468678809E-13</v>
      </c>
      <c r="CI96" s="2">
        <f t="shared" si="52"/>
        <v>3.3331125515179139E-7</v>
      </c>
    </row>
    <row r="97" spans="67:87" x14ac:dyDescent="0.2">
      <c r="BO97" s="2">
        <v>25</v>
      </c>
      <c r="BP97" s="2">
        <f t="shared" si="53"/>
        <v>0.32454334344722674</v>
      </c>
      <c r="BQ97" s="2">
        <v>-1.1246614829013568E-7</v>
      </c>
      <c r="BR97" s="2">
        <f t="shared" si="54"/>
        <v>0.32454351010285432</v>
      </c>
      <c r="BS97" s="2">
        <v>3.1750359404808526E-7</v>
      </c>
      <c r="BT97" s="2">
        <f t="shared" si="45"/>
        <v>0.32454342677504056</v>
      </c>
      <c r="BU97" s="2">
        <v>1.0251872659128303E-7</v>
      </c>
      <c r="BV97" s="2">
        <f t="shared" si="46"/>
        <v>-1.1529886307331112E-14</v>
      </c>
      <c r="BW97" s="2">
        <f t="shared" si="47"/>
        <v>3.2550064149965372E-14</v>
      </c>
      <c r="BX97" s="2">
        <f t="shared" si="48"/>
        <v>1.6665562757589569E-7</v>
      </c>
      <c r="BZ97" s="2">
        <v>25</v>
      </c>
      <c r="CA97" s="2">
        <f t="shared" si="55"/>
        <v>0.30583108292578098</v>
      </c>
      <c r="CB97" s="2">
        <v>-3.2579005791733007E-8</v>
      </c>
      <c r="CC97" s="2">
        <f t="shared" si="56"/>
        <v>0.30583124958140856</v>
      </c>
      <c r="CD97" s="2">
        <v>3.9481166320270988E-7</v>
      </c>
      <c r="CE97" s="2">
        <f t="shared" si="49"/>
        <v>0.30583116625359474</v>
      </c>
      <c r="CF97" s="2">
        <v>1.8111633355577528E-7</v>
      </c>
      <c r="CG97" s="2">
        <f t="shared" si="50"/>
        <v>-5.9005900798910495E-15</v>
      </c>
      <c r="CH97" s="2">
        <f t="shared" si="51"/>
        <v>7.1506840884332415E-14</v>
      </c>
      <c r="CI97" s="2">
        <f t="shared" si="52"/>
        <v>1.6665562757589569E-7</v>
      </c>
    </row>
    <row r="98" spans="67:87" x14ac:dyDescent="0.2">
      <c r="BO98" s="2">
        <v>26</v>
      </c>
      <c r="BP98" s="2">
        <f t="shared" si="53"/>
        <v>0.32454334344722674</v>
      </c>
      <c r="BQ98" s="2">
        <v>-1.1246614829013568E-7</v>
      </c>
      <c r="BR98" s="2">
        <f t="shared" si="54"/>
        <v>0.32454342677504056</v>
      </c>
      <c r="BS98" s="2">
        <v>1.0251872659128303E-7</v>
      </c>
      <c r="BT98" s="2">
        <f t="shared" si="45"/>
        <v>0.32454338511113368</v>
      </c>
      <c r="BU98" s="2">
        <v>-4.9737097496116434E-9</v>
      </c>
      <c r="BV98" s="2">
        <f t="shared" si="46"/>
        <v>5.593739782519167E-16</v>
      </c>
      <c r="BW98" s="2">
        <f t="shared" si="47"/>
        <v>-5.0989838996483481E-16</v>
      </c>
      <c r="BX98" s="2">
        <f t="shared" si="48"/>
        <v>8.3327813815703422E-8</v>
      </c>
      <c r="BZ98" s="2">
        <v>26</v>
      </c>
      <c r="CA98" s="2">
        <f t="shared" si="55"/>
        <v>0.30583108292578098</v>
      </c>
      <c r="CB98" s="2">
        <v>-3.2579005791733007E-8</v>
      </c>
      <c r="CC98" s="2">
        <f t="shared" si="56"/>
        <v>0.30583116625359474</v>
      </c>
      <c r="CD98" s="2">
        <v>1.8111633355577528E-7</v>
      </c>
      <c r="CE98" s="2">
        <f t="shared" si="49"/>
        <v>0.30583112458968786</v>
      </c>
      <c r="CF98" s="2">
        <v>7.4268665162247061E-8</v>
      </c>
      <c r="CG98" s="2">
        <f t="shared" si="50"/>
        <v>-2.4195992724651263E-15</v>
      </c>
      <c r="CH98" s="2">
        <f t="shared" si="51"/>
        <v>1.3451268332267725E-14</v>
      </c>
      <c r="CI98" s="2">
        <f t="shared" si="52"/>
        <v>8.3327813760192271E-8</v>
      </c>
    </row>
    <row r="99" spans="67:87" x14ac:dyDescent="0.2">
      <c r="BO99" s="2">
        <v>27</v>
      </c>
      <c r="BP99" s="2">
        <f t="shared" si="53"/>
        <v>0.32454338511113368</v>
      </c>
      <c r="BQ99" s="2">
        <v>-4.9737097496116434E-9</v>
      </c>
      <c r="BR99" s="2">
        <f t="shared" si="54"/>
        <v>0.32454342677504056</v>
      </c>
      <c r="BS99" s="2">
        <v>1.0251872659128303E-7</v>
      </c>
      <c r="BT99" s="2">
        <f t="shared" si="45"/>
        <v>0.32454340594308712</v>
      </c>
      <c r="BU99" s="2">
        <v>4.8772508885741583E-8</v>
      </c>
      <c r="BV99" s="2">
        <f t="shared" si="46"/>
        <v>-2.4258030295803343E-16</v>
      </c>
      <c r="BW99" s="2">
        <f t="shared" si="47"/>
        <v>5.0000955036282633E-15</v>
      </c>
      <c r="BX99" s="2">
        <f t="shared" si="48"/>
        <v>4.1663906880096135E-8</v>
      </c>
      <c r="BZ99" s="2">
        <v>27</v>
      </c>
      <c r="CA99" s="2">
        <f t="shared" si="55"/>
        <v>0.30583108292578098</v>
      </c>
      <c r="CB99" s="2">
        <v>-3.2579005791733007E-8</v>
      </c>
      <c r="CC99" s="2">
        <f t="shared" si="56"/>
        <v>0.30583112458968786</v>
      </c>
      <c r="CD99" s="2">
        <v>7.4268665162247061E-8</v>
      </c>
      <c r="CE99" s="2">
        <f t="shared" si="49"/>
        <v>0.30583110375773442</v>
      </c>
      <c r="CF99" s="2">
        <v>2.0844829987098912E-8</v>
      </c>
      <c r="CG99" s="2">
        <f t="shared" si="50"/>
        <v>-6.7910383687738535E-16</v>
      </c>
      <c r="CH99" s="2">
        <f t="shared" si="51"/>
        <v>1.5481176986758157E-15</v>
      </c>
      <c r="CI99" s="2">
        <f t="shared" si="52"/>
        <v>4.1663906880096135E-8</v>
      </c>
    </row>
    <row r="100" spans="67:87" x14ac:dyDescent="0.2">
      <c r="BO100" s="2">
        <v>28</v>
      </c>
      <c r="BP100" s="2">
        <f t="shared" si="53"/>
        <v>0.32454338511113368</v>
      </c>
      <c r="BQ100" s="2">
        <v>-4.9737097496116434E-9</v>
      </c>
      <c r="BR100" s="2">
        <f t="shared" si="54"/>
        <v>0.32454340594308712</v>
      </c>
      <c r="BS100" s="2">
        <v>4.8772508885741583E-8</v>
      </c>
      <c r="BT100" s="2">
        <f t="shared" si="45"/>
        <v>0.32454339552711042</v>
      </c>
      <c r="BU100" s="2">
        <v>2.189939961316778E-8</v>
      </c>
      <c r="BV100" s="2">
        <f t="shared" si="46"/>
        <v>-1.0892125736665404E-16</v>
      </c>
      <c r="BW100" s="2">
        <f t="shared" si="47"/>
        <v>1.0680886622256314E-15</v>
      </c>
      <c r="BX100" s="2">
        <f t="shared" si="48"/>
        <v>2.0831953440048068E-8</v>
      </c>
      <c r="BZ100" s="2">
        <v>28</v>
      </c>
      <c r="CA100" s="2">
        <f t="shared" si="55"/>
        <v>0.30583108292578098</v>
      </c>
      <c r="CB100" s="2">
        <v>-3.2579005791733007E-8</v>
      </c>
      <c r="CC100" s="2">
        <f t="shared" si="56"/>
        <v>0.30583110375773442</v>
      </c>
      <c r="CD100" s="2">
        <v>2.0844829987098912E-8</v>
      </c>
      <c r="CE100" s="2">
        <f t="shared" si="49"/>
        <v>0.30583109334175773</v>
      </c>
      <c r="CF100" s="2">
        <v>-5.8670877670086163E-9</v>
      </c>
      <c r="CG100" s="2">
        <f t="shared" si="50"/>
        <v>1.9114388634197958E-16</v>
      </c>
      <c r="CH100" s="2">
        <f t="shared" si="51"/>
        <v>-1.222984470226824E-16</v>
      </c>
      <c r="CI100" s="2">
        <f t="shared" si="52"/>
        <v>2.0831953440048068E-8</v>
      </c>
    </row>
    <row r="101" spans="67:87" x14ac:dyDescent="0.2">
      <c r="BO101" s="2">
        <v>29</v>
      </c>
      <c r="BP101" s="2">
        <f t="shared" si="53"/>
        <v>0.32454338511113368</v>
      </c>
      <c r="BQ101" s="2">
        <v>-4.9737097496116434E-9</v>
      </c>
      <c r="BR101" s="2">
        <f t="shared" si="54"/>
        <v>0.32454339552711042</v>
      </c>
      <c r="BS101" s="2">
        <v>2.189939961316778E-8</v>
      </c>
      <c r="BT101" s="2">
        <f t="shared" si="45"/>
        <v>0.32454339031912205</v>
      </c>
      <c r="BU101" s="2">
        <v>8.4628450358614771E-9</v>
      </c>
      <c r="BV101" s="2">
        <f t="shared" si="46"/>
        <v>-4.2091734864316725E-17</v>
      </c>
      <c r="BW101" s="2">
        <f t="shared" si="47"/>
        <v>1.8533122530464371E-16</v>
      </c>
      <c r="BX101" s="2">
        <f t="shared" si="48"/>
        <v>1.0415976747779609E-8</v>
      </c>
      <c r="BZ101" s="2">
        <v>29</v>
      </c>
      <c r="CA101" s="2">
        <f t="shared" si="55"/>
        <v>0.30583109334175773</v>
      </c>
      <c r="CB101" s="2">
        <v>-5.8670877670086163E-9</v>
      </c>
      <c r="CC101" s="2">
        <f t="shared" si="56"/>
        <v>0.30583110375773442</v>
      </c>
      <c r="CD101" s="2">
        <v>2.0844829987098912E-8</v>
      </c>
      <c r="CE101" s="2">
        <f t="shared" si="49"/>
        <v>0.30583109854974611</v>
      </c>
      <c r="CF101" s="2">
        <v>7.4888712037202154E-9</v>
      </c>
      <c r="CG101" s="2">
        <f t="shared" si="50"/>
        <v>-4.393786462804997E-17</v>
      </c>
      <c r="CH101" s="2">
        <f t="shared" si="51"/>
        <v>1.5610424703682866E-16</v>
      </c>
      <c r="CI101" s="2">
        <f t="shared" si="52"/>
        <v>1.0415976692268458E-8</v>
      </c>
    </row>
    <row r="102" spans="67:87" x14ac:dyDescent="0.2">
      <c r="BO102" s="2">
        <v>30</v>
      </c>
      <c r="BP102" s="2">
        <f t="shared" si="53"/>
        <v>0.32454338511113368</v>
      </c>
      <c r="BQ102" s="2">
        <v>-4.9737097496116434E-9</v>
      </c>
      <c r="BR102" s="2">
        <f t="shared" si="54"/>
        <v>0.32454339031912205</v>
      </c>
      <c r="BS102" s="2">
        <v>8.4628450358614771E-9</v>
      </c>
      <c r="BT102" s="5">
        <f t="shared" si="45"/>
        <v>0.32454338771512786</v>
      </c>
      <c r="BU102" s="2">
        <v>1.7445675667970839E-9</v>
      </c>
      <c r="BV102" s="2">
        <f t="shared" si="46"/>
        <v>-8.6769727158349179E-18</v>
      </c>
      <c r="BW102" s="2">
        <f t="shared" si="47"/>
        <v>1.4764004972393639E-17</v>
      </c>
      <c r="BX102" s="2">
        <f t="shared" si="48"/>
        <v>5.2079883738898047E-9</v>
      </c>
      <c r="BZ102" s="2">
        <v>30</v>
      </c>
      <c r="CA102" s="2">
        <f t="shared" si="55"/>
        <v>0.30583109334175773</v>
      </c>
      <c r="CB102" s="2">
        <v>-5.8670877670086163E-9</v>
      </c>
      <c r="CC102" s="2">
        <f t="shared" si="56"/>
        <v>0.30583109854974611</v>
      </c>
      <c r="CD102" s="2">
        <v>7.4888712037202154E-9</v>
      </c>
      <c r="CE102" s="5">
        <f t="shared" si="49"/>
        <v>0.30583109594575192</v>
      </c>
      <c r="CF102" s="2">
        <v>8.1089170794745868E-10</v>
      </c>
      <c r="CG102" s="2">
        <f t="shared" si="50"/>
        <v>-4.7575728200672587E-18</v>
      </c>
      <c r="CH102" s="2">
        <f t="shared" si="51"/>
        <v>6.072663560983226E-18</v>
      </c>
      <c r="CI102" s="2">
        <f t="shared" si="52"/>
        <v>5.2079883738898047E-9</v>
      </c>
    </row>
    <row r="104" spans="67:87" x14ac:dyDescent="0.2"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-2.9683349875297971E-9</v>
      </c>
      <c r="BR106" s="30"/>
      <c r="BS106" s="30">
        <f>$BH$77</f>
        <v>-2.9683349875297971E-9</v>
      </c>
      <c r="BT106" s="30"/>
      <c r="BU106" s="30">
        <f>$BH$77</f>
        <v>-2.9683349875297971E-9</v>
      </c>
      <c r="BV106" s="30"/>
      <c r="BW106" s="30"/>
      <c r="BX106" s="30"/>
      <c r="BZ106" s="30">
        <v>0</v>
      </c>
      <c r="CA106" s="30"/>
      <c r="CB106" s="30">
        <f>$BL$77</f>
        <v>7.4076577510906461E-10</v>
      </c>
      <c r="CC106" s="30"/>
      <c r="CD106" s="30">
        <f>$BL$77</f>
        <v>7.4076577510906461E-10</v>
      </c>
      <c r="CE106" s="30"/>
      <c r="CF106" s="30">
        <f>$BL$77</f>
        <v>7.4076577510906461E-10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/>
        <v>-1.6153768370252546</v>
      </c>
      <c r="BR107" s="3">
        <f>0.9*PI()</f>
        <v>2.8274333882308138</v>
      </c>
      <c r="BS107" s="2">
        <f t="dataTable" ref="BS107:BS136" dt2D="0" dtr="0" r1="BH61" ca="1"/>
        <v>0.49032565935562944</v>
      </c>
      <c r="BT107" s="2">
        <f t="shared" ref="BT107:BT136" si="57">(BP107+BR107)/2</f>
        <v>1.4294246573833558</v>
      </c>
      <c r="BU107" s="2">
        <f t="dataTable" ref="BU107:BU136" dt2D="0" dtr="0" r1="BH61" ca="1"/>
        <v>1.1296640743162478</v>
      </c>
      <c r="BV107" s="2">
        <f t="shared" ref="BV107:BV136" si="58">BQ107*BU107</f>
        <v>-1.8248331792700425</v>
      </c>
      <c r="BW107" s="2">
        <f t="shared" ref="BW107:BW136" si="59">BS107*BU107</f>
        <v>0.55390328208948103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 ca="1"/>
        <v>-1.6383890285626708</v>
      </c>
      <c r="CC107" s="3">
        <f>0.9*PI()</f>
        <v>2.8274333882308138</v>
      </c>
      <c r="CD107" s="2">
        <f t="dataTable" ref="CD107:CD136" dt2D="0" dtr="0" r1="BL61" ca="1"/>
        <v>0.5573928755411095</v>
      </c>
      <c r="CE107" s="2">
        <f t="shared" ref="CE107:CE136" si="61">(CA107+CC107)/2</f>
        <v>1.4294246573833558</v>
      </c>
      <c r="CF107" s="2">
        <f t="dataTable" ref="CF107:CF136" dt2D="0" dtr="0" r1="BL61" ca="1"/>
        <v>1.2113952690896728</v>
      </c>
      <c r="CG107" s="2">
        <f t="shared" ref="CG107:CG136" si="62">CB107*CF107</f>
        <v>-1.9847367181292441</v>
      </c>
      <c r="CH107" s="2">
        <f t="shared" ref="CH107:CH136" si="63">CD107*CF107</f>
        <v>0.67522309245478884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-1.6153768370252546</v>
      </c>
      <c r="BR108" s="2">
        <f t="shared" ref="BR108:BR136" si="66">IF(BW107&gt;0,BT107,BR107)</f>
        <v>1.4294246573833558</v>
      </c>
      <c r="BS108" s="2">
        <v>1.1296640743162478</v>
      </c>
      <c r="BT108" s="2">
        <f t="shared" si="57"/>
        <v>0.73042029195962688</v>
      </c>
      <c r="BU108" s="2">
        <v>0.79055832917092039</v>
      </c>
      <c r="BV108" s="2">
        <f t="shared" si="58"/>
        <v>-1.2770496132600915</v>
      </c>
      <c r="BW108" s="2">
        <f t="shared" si="59"/>
        <v>0.89306534311586727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-1.6383890285626708</v>
      </c>
      <c r="CC108" s="2">
        <f t="shared" ref="CC108:CC136" si="68">IF(CH107&gt;0,CE107,CC107)</f>
        <v>1.4294246573833558</v>
      </c>
      <c r="CD108" s="2">
        <v>1.2113952690896728</v>
      </c>
      <c r="CE108" s="2">
        <f t="shared" si="61"/>
        <v>0.73042029195962688</v>
      </c>
      <c r="CF108" s="2">
        <v>0.86082762790608514</v>
      </c>
      <c r="CG108" s="2">
        <f t="shared" si="62"/>
        <v>-1.410370541044959</v>
      </c>
      <c r="CH108" s="2">
        <f t="shared" si="63"/>
        <v>1.0428025159471168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-1.6153768370252546</v>
      </c>
      <c r="BR109" s="2">
        <f t="shared" si="66"/>
        <v>0.73042029195962688</v>
      </c>
      <c r="BS109" s="2">
        <v>0.79055832917092039</v>
      </c>
      <c r="BT109" s="2">
        <f t="shared" si="57"/>
        <v>0.38091810924776243</v>
      </c>
      <c r="BU109" s="2">
        <v>0.21464455736063223</v>
      </c>
      <c r="BV109" s="2">
        <f t="shared" si="58"/>
        <v>-0.3467318461539039</v>
      </c>
      <c r="BW109" s="2">
        <f t="shared" si="59"/>
        <v>0.16968904263265319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-1.6383890285626708</v>
      </c>
      <c r="CC109" s="2">
        <f t="shared" si="68"/>
        <v>0.73042029195962688</v>
      </c>
      <c r="CD109" s="2">
        <v>0.86082762790608514</v>
      </c>
      <c r="CE109" s="2">
        <f t="shared" si="61"/>
        <v>0.38091810924776243</v>
      </c>
      <c r="CF109" s="2">
        <v>0.21064579739331621</v>
      </c>
      <c r="CG109" s="2">
        <f t="shared" si="62"/>
        <v>-0.34511976336204453</v>
      </c>
      <c r="CH109" s="2">
        <f t="shared" si="63"/>
        <v>0.1813297220984742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-1.6153768370252546</v>
      </c>
      <c r="BR110" s="2">
        <f t="shared" si="66"/>
        <v>0.38091810924776243</v>
      </c>
      <c r="BS110" s="2">
        <v>0.21464455736063223</v>
      </c>
      <c r="BT110" s="2">
        <f t="shared" si="57"/>
        <v>0.20616701789183017</v>
      </c>
      <c r="BU110" s="2">
        <v>-0.25737629080301105</v>
      </c>
      <c r="BV110" s="2">
        <f t="shared" si="58"/>
        <v>0.4157596985626601</v>
      </c>
      <c r="BW110" s="2">
        <f t="shared" si="59"/>
        <v>-5.5244420014533668E-2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-1.6383890285626708</v>
      </c>
      <c r="CC110" s="2">
        <f t="shared" si="68"/>
        <v>0.38091810924776243</v>
      </c>
      <c r="CD110" s="2">
        <v>0.21064579739331621</v>
      </c>
      <c r="CE110" s="2">
        <f t="shared" si="61"/>
        <v>0.20616701789183017</v>
      </c>
      <c r="CF110" s="2">
        <v>-0.40795440393808147</v>
      </c>
      <c r="CG110" s="2">
        <f t="shared" si="62"/>
        <v>0.66838801956597671</v>
      </c>
      <c r="CH110" s="2">
        <f t="shared" si="63"/>
        <v>-8.5933880717652192E-2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-0.25737629080301105</v>
      </c>
      <c r="BR111" s="2">
        <f t="shared" si="66"/>
        <v>0.38091810924776243</v>
      </c>
      <c r="BS111" s="2">
        <v>0.21464455736063223</v>
      </c>
      <c r="BT111" s="2">
        <f t="shared" si="57"/>
        <v>0.2935425635697963</v>
      </c>
      <c r="BU111" s="2">
        <v>-1.4483921615829832E-2</v>
      </c>
      <c r="BV111" s="2">
        <f t="shared" si="58"/>
        <v>3.7278180217638368E-3</v>
      </c>
      <c r="BW111" s="2">
        <f t="shared" si="59"/>
        <v>-3.1088949440758874E-3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-0.40795440393808147</v>
      </c>
      <c r="CC111" s="2">
        <f t="shared" si="68"/>
        <v>0.38091810924776243</v>
      </c>
      <c r="CD111" s="2">
        <v>0.21064579739331621</v>
      </c>
      <c r="CE111" s="2">
        <f t="shared" si="61"/>
        <v>0.2935425635697963</v>
      </c>
      <c r="CF111" s="2">
        <v>-8.6389388981363127E-2</v>
      </c>
      <c r="CG111" s="2">
        <f t="shared" si="62"/>
        <v>3.5242931688467059E-2</v>
      </c>
      <c r="CH111" s="2">
        <f t="shared" si="63"/>
        <v>-1.8197561728300601E-2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0.2935425635697963</v>
      </c>
      <c r="BQ112" s="2">
        <v>-1.4483921615829832E-2</v>
      </c>
      <c r="BR112" s="2">
        <f t="shared" si="66"/>
        <v>0.38091810924776243</v>
      </c>
      <c r="BS112" s="2">
        <v>0.21464455736063223</v>
      </c>
      <c r="BT112" s="2">
        <f t="shared" si="57"/>
        <v>0.33723033640877936</v>
      </c>
      <c r="BU112" s="2">
        <v>0.10250866270755439</v>
      </c>
      <c r="BV112" s="2">
        <f t="shared" si="58"/>
        <v>-1.4847274355997565E-3</v>
      </c>
      <c r="BW112" s="2">
        <f t="shared" si="59"/>
        <v>2.2002926532493361E-2</v>
      </c>
      <c r="BX112" s="2">
        <f t="shared" si="60"/>
        <v>8.7375545677966127E-2</v>
      </c>
      <c r="BZ112" s="2">
        <v>6</v>
      </c>
      <c r="CA112" s="2">
        <f t="shared" si="67"/>
        <v>0.2935425635697963</v>
      </c>
      <c r="CB112" s="2">
        <v>-8.6389388981363127E-2</v>
      </c>
      <c r="CC112" s="2">
        <f t="shared" si="68"/>
        <v>0.38091810924776243</v>
      </c>
      <c r="CD112" s="2">
        <v>0.21064579739331621</v>
      </c>
      <c r="CE112" s="2">
        <f t="shared" si="61"/>
        <v>0.33723033640877936</v>
      </c>
      <c r="CF112" s="2">
        <v>6.5987326528371373E-2</v>
      </c>
      <c r="CG112" s="2">
        <f t="shared" si="62"/>
        <v>-5.7006048192996964E-3</v>
      </c>
      <c r="CH112" s="2">
        <f t="shared" si="63"/>
        <v>1.3899953014421916E-2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0.2935425635697963</v>
      </c>
      <c r="BQ113" s="2">
        <v>-1.4483921615829832E-2</v>
      </c>
      <c r="BR113" s="2">
        <f t="shared" si="66"/>
        <v>0.33723033640877936</v>
      </c>
      <c r="BS113" s="2">
        <v>0.10250866270755439</v>
      </c>
      <c r="BT113" s="2">
        <f t="shared" si="57"/>
        <v>0.31538644998928783</v>
      </c>
      <c r="BU113" s="2">
        <v>4.4549759665783714E-2</v>
      </c>
      <c r="BV113" s="2">
        <f t="shared" si="58"/>
        <v>-6.4525522700326868E-4</v>
      </c>
      <c r="BW113" s="2">
        <f t="shared" si="59"/>
        <v>4.566736287282434E-3</v>
      </c>
      <c r="BX113" s="2">
        <f t="shared" si="60"/>
        <v>4.3687772838983063E-2</v>
      </c>
      <c r="BZ113" s="2">
        <v>7</v>
      </c>
      <c r="CA113" s="2">
        <f t="shared" si="67"/>
        <v>0.2935425635697963</v>
      </c>
      <c r="CB113" s="2">
        <v>-8.6389388981363127E-2</v>
      </c>
      <c r="CC113" s="2">
        <f t="shared" si="68"/>
        <v>0.33723033640877936</v>
      </c>
      <c r="CD113" s="2">
        <v>6.5987326528371373E-2</v>
      </c>
      <c r="CE113" s="2">
        <f t="shared" si="61"/>
        <v>0.31538644998928783</v>
      </c>
      <c r="CF113" s="2">
        <v>-9.3067716791151549E-3</v>
      </c>
      <c r="CG113" s="2">
        <f t="shared" si="62"/>
        <v>8.040063187478132E-4</v>
      </c>
      <c r="CH113" s="2">
        <f t="shared" si="63"/>
        <v>-6.1412898171477081E-4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0.2935425635697963</v>
      </c>
      <c r="BQ114" s="2">
        <v>-1.4483921615829832E-2</v>
      </c>
      <c r="BR114" s="2">
        <f t="shared" si="66"/>
        <v>0.31538644998928783</v>
      </c>
      <c r="BS114" s="2">
        <v>4.4549759665783714E-2</v>
      </c>
      <c r="BT114" s="2">
        <f t="shared" si="57"/>
        <v>0.30446450677954207</v>
      </c>
      <c r="BU114" s="2">
        <v>1.5156760712413918E-2</v>
      </c>
      <c r="BV114" s="2">
        <f t="shared" si="58"/>
        <v>-2.195293341084923E-4</v>
      </c>
      <c r="BW114" s="2">
        <f t="shared" si="59"/>
        <v>6.7523004704983275E-4</v>
      </c>
      <c r="BX114" s="2">
        <f t="shared" si="60"/>
        <v>2.1843886419491532E-2</v>
      </c>
      <c r="BZ114" s="2">
        <v>8</v>
      </c>
      <c r="CA114" s="2">
        <f t="shared" si="67"/>
        <v>0.31538644998928783</v>
      </c>
      <c r="CB114" s="2">
        <v>-9.3067716791151549E-3</v>
      </c>
      <c r="CC114" s="2">
        <f t="shared" si="68"/>
        <v>0.33723033640877936</v>
      </c>
      <c r="CD114" s="2">
        <v>6.5987326528371373E-2</v>
      </c>
      <c r="CE114" s="2">
        <f t="shared" si="61"/>
        <v>0.3263083931990336</v>
      </c>
      <c r="CF114" s="2">
        <v>2.8574421233240832E-2</v>
      </c>
      <c r="CG114" s="2">
        <f t="shared" si="62"/>
        <v>-2.6593561428063251E-4</v>
      </c>
      <c r="CH114" s="2">
        <f t="shared" si="63"/>
        <v>1.8855496642770911E-3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0.2935425635697963</v>
      </c>
      <c r="BQ115" s="2">
        <v>-1.4483921615829832E-2</v>
      </c>
      <c r="BR115" s="2">
        <f t="shared" si="66"/>
        <v>0.30446450677954207</v>
      </c>
      <c r="BS115" s="2">
        <v>1.5156760712413918E-2</v>
      </c>
      <c r="BT115" s="2">
        <f t="shared" si="57"/>
        <v>0.29900353517466915</v>
      </c>
      <c r="BU115" s="2">
        <v>3.6595771247147774E-4</v>
      </c>
      <c r="BV115" s="2">
        <f t="shared" si="58"/>
        <v>-5.3005028221452752E-6</v>
      </c>
      <c r="BW115" s="2">
        <f t="shared" si="59"/>
        <v>5.5467334787925622E-6</v>
      </c>
      <c r="BX115" s="2">
        <f t="shared" si="60"/>
        <v>1.0921943209745766E-2</v>
      </c>
      <c r="BZ115" s="2">
        <v>9</v>
      </c>
      <c r="CA115" s="2">
        <f t="shared" si="67"/>
        <v>0.31538644998928783</v>
      </c>
      <c r="CB115" s="2">
        <v>-9.3067716791151549E-3</v>
      </c>
      <c r="CC115" s="2">
        <f t="shared" si="68"/>
        <v>0.3263083931990336</v>
      </c>
      <c r="CD115" s="2">
        <v>2.8574421233240832E-2</v>
      </c>
      <c r="CE115" s="2">
        <f t="shared" si="61"/>
        <v>0.32084742159416069</v>
      </c>
      <c r="CF115" s="2">
        <v>9.6911528422585144E-3</v>
      </c>
      <c r="CG115" s="2">
        <f t="shared" si="62"/>
        <v>-9.0193346810307884E-5</v>
      </c>
      <c r="CH115" s="2">
        <f t="shared" si="63"/>
        <v>2.7691908355041391E-4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0.2935425635697963</v>
      </c>
      <c r="BQ116" s="2">
        <v>-1.4483921615829832E-2</v>
      </c>
      <c r="BR116" s="2">
        <f t="shared" si="66"/>
        <v>0.29900353517466915</v>
      </c>
      <c r="BS116" s="2">
        <v>3.6595771247147774E-4</v>
      </c>
      <c r="BT116" s="2">
        <f t="shared" si="57"/>
        <v>0.29627304937223276</v>
      </c>
      <c r="BU116" s="2">
        <v>-7.0517817889271875E-3</v>
      </c>
      <c r="BV116" s="2">
        <f t="shared" si="58"/>
        <v>1.0213745468275765E-4</v>
      </c>
      <c r="BW116" s="2">
        <f t="shared" si="59"/>
        <v>-2.5806539323238185E-6</v>
      </c>
      <c r="BX116" s="2">
        <f t="shared" si="60"/>
        <v>5.4609716048728552E-3</v>
      </c>
      <c r="BZ116" s="2">
        <v>10</v>
      </c>
      <c r="CA116" s="2">
        <f t="shared" si="67"/>
        <v>0.31538644998928783</v>
      </c>
      <c r="CB116" s="2">
        <v>-9.3067716791151549E-3</v>
      </c>
      <c r="CC116" s="2">
        <f t="shared" si="68"/>
        <v>0.32084742159416069</v>
      </c>
      <c r="CD116" s="2">
        <v>9.6911528422585144E-3</v>
      </c>
      <c r="CE116" s="2">
        <f t="shared" si="61"/>
        <v>0.31811693579172429</v>
      </c>
      <c r="CF116" s="2">
        <v>2.0636167972980235E-4</v>
      </c>
      <c r="CG116" s="2">
        <f t="shared" si="62"/>
        <v>-1.9205610365639566E-6</v>
      </c>
      <c r="CH116" s="2">
        <f t="shared" si="63"/>
        <v>1.9998825790467153E-6</v>
      </c>
      <c r="CI116" s="2">
        <f t="shared" si="64"/>
        <v>5.4609716048728552E-3</v>
      </c>
    </row>
    <row r="117" spans="67:87" x14ac:dyDescent="0.2">
      <c r="BO117" s="2">
        <v>11</v>
      </c>
      <c r="BP117" s="2">
        <f t="shared" si="65"/>
        <v>0.29627304937223276</v>
      </c>
      <c r="BQ117" s="2">
        <v>-7.0517817889271875E-3</v>
      </c>
      <c r="BR117" s="2">
        <f t="shared" si="66"/>
        <v>0.29900353517466915</v>
      </c>
      <c r="BS117" s="2">
        <v>3.6595771247147774E-4</v>
      </c>
      <c r="BT117" s="2">
        <f t="shared" si="57"/>
        <v>0.29763829227345096</v>
      </c>
      <c r="BU117" s="2">
        <v>-3.3410886612318565E-3</v>
      </c>
      <c r="BV117" s="2">
        <f t="shared" si="58"/>
        <v>2.3560628176465924E-5</v>
      </c>
      <c r="BW117" s="2">
        <f t="shared" si="59"/>
        <v>-1.2226971636288023E-6</v>
      </c>
      <c r="BX117" s="2">
        <f t="shared" si="60"/>
        <v>2.7304858024363998E-3</v>
      </c>
      <c r="BZ117" s="2">
        <v>11</v>
      </c>
      <c r="CA117" s="2">
        <f t="shared" si="67"/>
        <v>0.31538644998928783</v>
      </c>
      <c r="CB117" s="2">
        <v>-9.3067716791151549E-3</v>
      </c>
      <c r="CC117" s="2">
        <f t="shared" si="68"/>
        <v>0.31811693579172429</v>
      </c>
      <c r="CD117" s="2">
        <v>2.0636167972980235E-4</v>
      </c>
      <c r="CE117" s="2">
        <f t="shared" si="61"/>
        <v>0.31675169289050609</v>
      </c>
      <c r="CF117" s="2">
        <v>-4.5466829664004491E-3</v>
      </c>
      <c r="CG117" s="2">
        <f t="shared" si="62"/>
        <v>4.2314940265610979E-5</v>
      </c>
      <c r="CH117" s="2">
        <f t="shared" si="63"/>
        <v>-9.3826113414527718E-7</v>
      </c>
      <c r="CI117" s="2">
        <f t="shared" si="64"/>
        <v>2.7304858024364553E-3</v>
      </c>
    </row>
    <row r="118" spans="67:87" x14ac:dyDescent="0.2">
      <c r="BO118" s="2">
        <v>12</v>
      </c>
      <c r="BP118" s="2">
        <f t="shared" si="65"/>
        <v>0.29763829227345096</v>
      </c>
      <c r="BQ118" s="2">
        <v>-3.3410886612318565E-3</v>
      </c>
      <c r="BR118" s="2">
        <f t="shared" si="66"/>
        <v>0.29900353517466915</v>
      </c>
      <c r="BS118" s="2">
        <v>3.6595771247147774E-4</v>
      </c>
      <c r="BT118" s="2">
        <f t="shared" si="57"/>
        <v>0.29832091372406006</v>
      </c>
      <c r="BU118" s="2">
        <v>-1.4871067382010508E-3</v>
      </c>
      <c r="BV118" s="2">
        <f t="shared" si="58"/>
        <v>4.9685554610450218E-6</v>
      </c>
      <c r="BW118" s="2">
        <f t="shared" si="59"/>
        <v>-5.4421818011297726E-7</v>
      </c>
      <c r="BX118" s="2">
        <f t="shared" si="60"/>
        <v>1.3652429012181999E-3</v>
      </c>
      <c r="BZ118" s="2">
        <v>12</v>
      </c>
      <c r="CA118" s="2">
        <f t="shared" si="67"/>
        <v>0.31675169289050609</v>
      </c>
      <c r="CB118" s="2">
        <v>-4.5466829664004491E-3</v>
      </c>
      <c r="CC118" s="2">
        <f t="shared" si="68"/>
        <v>0.31811693579172429</v>
      </c>
      <c r="CD118" s="2">
        <v>2.0636167972980235E-4</v>
      </c>
      <c r="CE118" s="2">
        <f t="shared" si="61"/>
        <v>0.31743431434111519</v>
      </c>
      <c r="CF118" s="2">
        <v>-2.1692775142995481E-3</v>
      </c>
      <c r="CG118" s="2">
        <f t="shared" si="62"/>
        <v>9.8630171236612623E-6</v>
      </c>
      <c r="CH118" s="2">
        <f t="shared" si="63"/>
        <v>-4.476557516509451E-7</v>
      </c>
      <c r="CI118" s="2">
        <f t="shared" si="64"/>
        <v>1.3652429012181999E-3</v>
      </c>
    </row>
    <row r="119" spans="67:87" x14ac:dyDescent="0.2">
      <c r="BO119" s="2">
        <v>13</v>
      </c>
      <c r="BP119" s="2">
        <f t="shared" si="65"/>
        <v>0.29832091372406006</v>
      </c>
      <c r="BQ119" s="2">
        <v>-1.4871067382010508E-3</v>
      </c>
      <c r="BR119" s="2">
        <f t="shared" si="66"/>
        <v>0.29900353517466915</v>
      </c>
      <c r="BS119" s="2">
        <v>3.6595771247147774E-4</v>
      </c>
      <c r="BT119" s="2">
        <f t="shared" si="57"/>
        <v>0.29866222444936463</v>
      </c>
      <c r="BU119" s="2">
        <v>-5.6045946890772441E-4</v>
      </c>
      <c r="BV119" s="2">
        <f t="shared" si="58"/>
        <v>8.3346305270125927E-7</v>
      </c>
      <c r="BW119" s="2">
        <f t="shared" si="59"/>
        <v>-2.0510446517445012E-7</v>
      </c>
      <c r="BX119" s="2">
        <f t="shared" si="60"/>
        <v>6.8262145060909996E-4</v>
      </c>
      <c r="BZ119" s="2">
        <v>13</v>
      </c>
      <c r="CA119" s="2">
        <f t="shared" si="67"/>
        <v>0.31743431434111519</v>
      </c>
      <c r="CB119" s="2">
        <v>-2.1692775142995481E-3</v>
      </c>
      <c r="CC119" s="2">
        <f t="shared" si="68"/>
        <v>0.31811693579172429</v>
      </c>
      <c r="CD119" s="2">
        <v>2.0636167972980235E-4</v>
      </c>
      <c r="CE119" s="2">
        <f t="shared" si="61"/>
        <v>0.31777562506641976</v>
      </c>
      <c r="CF119" s="2">
        <v>-9.8123680989396084E-4</v>
      </c>
      <c r="CG119" s="2">
        <f t="shared" si="62"/>
        <v>2.1285749479059895E-6</v>
      </c>
      <c r="CH119" s="2">
        <f t="shared" si="63"/>
        <v>-2.0248967630243049E-7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0.29866222444936463</v>
      </c>
      <c r="BQ120" s="2">
        <v>-5.6045946890772441E-4</v>
      </c>
      <c r="BR120" s="2">
        <f t="shared" si="66"/>
        <v>0.29900353517466915</v>
      </c>
      <c r="BS120" s="2">
        <v>3.6595771247147774E-4</v>
      </c>
      <c r="BT120" s="2">
        <f t="shared" si="57"/>
        <v>0.29883287981201689</v>
      </c>
      <c r="BU120" s="2">
        <v>-9.7222072338670751E-5</v>
      </c>
      <c r="BV120" s="2">
        <f t="shared" si="58"/>
        <v>5.4489031029039776E-8</v>
      </c>
      <c r="BW120" s="2">
        <f t="shared" si="59"/>
        <v>-3.5579167194796482E-8</v>
      </c>
      <c r="BX120" s="2">
        <f t="shared" si="60"/>
        <v>3.4131072530452222E-4</v>
      </c>
      <c r="BZ120" s="2">
        <v>14</v>
      </c>
      <c r="CA120" s="2">
        <f t="shared" si="67"/>
        <v>0.31777562506641976</v>
      </c>
      <c r="CB120" s="2">
        <v>-9.8123680989396084E-4</v>
      </c>
      <c r="CC120" s="2">
        <f t="shared" si="68"/>
        <v>0.31811693579172429</v>
      </c>
      <c r="CD120" s="2">
        <v>2.0636167972980235E-4</v>
      </c>
      <c r="CE120" s="2">
        <f t="shared" si="61"/>
        <v>0.31794628042907203</v>
      </c>
      <c r="CF120" s="2">
        <v>-3.8738224774666208E-4</v>
      </c>
      <c r="CG120" s="2">
        <f t="shared" si="62"/>
        <v>3.8011372098848668E-7</v>
      </c>
      <c r="CH120" s="2">
        <f t="shared" si="63"/>
        <v>-7.9940851342507622E-8</v>
      </c>
      <c r="CI120" s="2">
        <f t="shared" si="64"/>
        <v>3.4131072530452222E-4</v>
      </c>
    </row>
    <row r="121" spans="67:87" x14ac:dyDescent="0.2">
      <c r="BO121" s="2">
        <v>15</v>
      </c>
      <c r="BP121" s="2">
        <f t="shared" si="65"/>
        <v>0.29883287981201689</v>
      </c>
      <c r="BQ121" s="2">
        <v>-9.7222072338670751E-5</v>
      </c>
      <c r="BR121" s="2">
        <f t="shared" si="66"/>
        <v>0.29900353517466915</v>
      </c>
      <c r="BS121" s="2">
        <v>3.6595771247147774E-4</v>
      </c>
      <c r="BT121" s="2">
        <f t="shared" si="57"/>
        <v>0.29891820749334302</v>
      </c>
      <c r="BU121" s="2">
        <v>1.3437502714113564E-4</v>
      </c>
      <c r="BV121" s="2">
        <f t="shared" si="58"/>
        <v>-1.3064218609226335E-8</v>
      </c>
      <c r="BW121" s="2">
        <f t="shared" si="59"/>
        <v>4.917557754586273E-8</v>
      </c>
      <c r="BX121" s="2">
        <f t="shared" si="60"/>
        <v>1.7065536265226111E-4</v>
      </c>
      <c r="BZ121" s="2">
        <v>15</v>
      </c>
      <c r="CA121" s="2">
        <f t="shared" si="67"/>
        <v>0.31794628042907203</v>
      </c>
      <c r="CB121" s="2">
        <v>-3.8738224774666208E-4</v>
      </c>
      <c r="CC121" s="2">
        <f t="shared" si="68"/>
        <v>0.31811693579172429</v>
      </c>
      <c r="CD121" s="2">
        <v>2.0636167972980235E-4</v>
      </c>
      <c r="CE121" s="2">
        <f t="shared" si="61"/>
        <v>0.31803160811039816</v>
      </c>
      <c r="CF121" s="2">
        <v>-9.0496449623049535E-5</v>
      </c>
      <c r="CG121" s="2">
        <f t="shared" si="62"/>
        <v>3.5056718068069497E-8</v>
      </c>
      <c r="CH121" s="2">
        <f t="shared" si="63"/>
        <v>-1.8674999353795941E-8</v>
      </c>
      <c r="CI121" s="2">
        <f t="shared" si="64"/>
        <v>1.7065536265226111E-4</v>
      </c>
    </row>
    <row r="122" spans="67:87" x14ac:dyDescent="0.2">
      <c r="BO122" s="2">
        <v>16</v>
      </c>
      <c r="BP122" s="2">
        <f t="shared" si="65"/>
        <v>0.29883287981201689</v>
      </c>
      <c r="BQ122" s="2">
        <v>-9.7222072338670751E-5</v>
      </c>
      <c r="BR122" s="2">
        <f t="shared" si="66"/>
        <v>0.29891820749334302</v>
      </c>
      <c r="BS122" s="2">
        <v>1.3437502714113564E-4</v>
      </c>
      <c r="BT122" s="2">
        <f t="shared" si="57"/>
        <v>0.29887554365267999</v>
      </c>
      <c r="BU122" s="2">
        <v>1.8578278469787157E-5</v>
      </c>
      <c r="BV122" s="2">
        <f t="shared" si="58"/>
        <v>-1.8062187333176164E-9</v>
      </c>
      <c r="BW122" s="2">
        <f t="shared" si="59"/>
        <v>2.4964566736132251E-9</v>
      </c>
      <c r="BX122" s="2">
        <f t="shared" si="60"/>
        <v>8.5327681326130556E-5</v>
      </c>
      <c r="BZ122" s="2">
        <v>16</v>
      </c>
      <c r="CA122" s="2">
        <f t="shared" si="67"/>
        <v>0.31803160811039816</v>
      </c>
      <c r="CB122" s="2">
        <v>-9.0496449623049535E-5</v>
      </c>
      <c r="CC122" s="2">
        <f t="shared" si="68"/>
        <v>0.31811693579172429</v>
      </c>
      <c r="CD122" s="2">
        <v>2.0636167972980235E-4</v>
      </c>
      <c r="CE122" s="2">
        <f t="shared" si="61"/>
        <v>0.31807427195106119</v>
      </c>
      <c r="CF122" s="2">
        <v>5.7936074280395822E-5</v>
      </c>
      <c r="CG122" s="2">
        <f t="shared" si="62"/>
        <v>-5.2430090274730965E-9</v>
      </c>
      <c r="CH122" s="2">
        <f t="shared" si="63"/>
        <v>1.1955785605453081E-8</v>
      </c>
      <c r="CI122" s="2">
        <f t="shared" si="64"/>
        <v>8.5327681326130556E-5</v>
      </c>
    </row>
    <row r="123" spans="67:87" x14ac:dyDescent="0.2">
      <c r="BO123" s="2">
        <v>17</v>
      </c>
      <c r="BP123" s="2">
        <f t="shared" si="65"/>
        <v>0.29883287981201689</v>
      </c>
      <c r="BQ123" s="2">
        <v>-9.7222072338670751E-5</v>
      </c>
      <c r="BR123" s="2">
        <f t="shared" si="66"/>
        <v>0.29887554365267999</v>
      </c>
      <c r="BS123" s="2">
        <v>1.8578278469787157E-5</v>
      </c>
      <c r="BT123" s="2">
        <f t="shared" si="57"/>
        <v>0.29885421173234844</v>
      </c>
      <c r="BU123" s="2">
        <v>-3.9321446755086198E-5</v>
      </c>
      <c r="BV123" s="2">
        <f t="shared" si="58"/>
        <v>3.8229125408841809E-9</v>
      </c>
      <c r="BW123" s="2">
        <f t="shared" si="59"/>
        <v>-7.3052478765090003E-10</v>
      </c>
      <c r="BX123" s="2">
        <f t="shared" si="60"/>
        <v>4.2663840663093033E-5</v>
      </c>
      <c r="BZ123" s="2">
        <v>17</v>
      </c>
      <c r="CA123" s="2">
        <f t="shared" si="67"/>
        <v>0.31803160811039816</v>
      </c>
      <c r="CB123" s="2">
        <v>-9.0496449623049535E-5</v>
      </c>
      <c r="CC123" s="2">
        <f t="shared" si="68"/>
        <v>0.31807427195106119</v>
      </c>
      <c r="CD123" s="2">
        <v>5.7936074280395822E-5</v>
      </c>
      <c r="CE123" s="2">
        <f t="shared" si="61"/>
        <v>0.3180529400307297</v>
      </c>
      <c r="CF123" s="2">
        <v>-1.6279322943256458E-5</v>
      </c>
      <c r="CG123" s="2">
        <f t="shared" si="62"/>
        <v>1.4732209286317626E-9</v>
      </c>
      <c r="CH123" s="2">
        <f t="shared" si="63"/>
        <v>-9.4316006327505799E-10</v>
      </c>
      <c r="CI123" s="2">
        <f t="shared" si="64"/>
        <v>4.2663840663037522E-5</v>
      </c>
    </row>
    <row r="124" spans="67:87" x14ac:dyDescent="0.2">
      <c r="BO124" s="2">
        <v>18</v>
      </c>
      <c r="BP124" s="2">
        <f t="shared" si="65"/>
        <v>0.29885421173234844</v>
      </c>
      <c r="BQ124" s="2">
        <v>-3.9321446755086198E-5</v>
      </c>
      <c r="BR124" s="2">
        <f t="shared" si="66"/>
        <v>0.29887554365267999</v>
      </c>
      <c r="BS124" s="2">
        <v>1.8578278469787157E-5</v>
      </c>
      <c r="BT124" s="2">
        <f t="shared" si="57"/>
        <v>0.29886487769251424</v>
      </c>
      <c r="BU124" s="2">
        <v>-1.037147158675783E-5</v>
      </c>
      <c r="BV124" s="2">
        <f t="shared" si="58"/>
        <v>4.0782126777058738E-10</v>
      </c>
      <c r="BW124" s="2">
        <f t="shared" si="59"/>
        <v>-1.9268408728027223E-10</v>
      </c>
      <c r="BX124" s="2">
        <f t="shared" si="60"/>
        <v>2.1331920331546517E-5</v>
      </c>
      <c r="BZ124" s="2">
        <v>18</v>
      </c>
      <c r="CA124" s="2">
        <f t="shared" si="67"/>
        <v>0.3180529400307297</v>
      </c>
      <c r="CB124" s="2">
        <v>-1.6279322943256458E-5</v>
      </c>
      <c r="CC124" s="2">
        <f t="shared" si="68"/>
        <v>0.31807427195106119</v>
      </c>
      <c r="CD124" s="2">
        <v>5.7936074280395822E-5</v>
      </c>
      <c r="CE124" s="2">
        <f t="shared" si="61"/>
        <v>0.31806360599089545</v>
      </c>
      <c r="CF124" s="2">
        <v>2.0828591860450052E-5</v>
      </c>
      <c r="CG124" s="2">
        <f t="shared" si="62"/>
        <v>-3.3907537334954923E-10</v>
      </c>
      <c r="CH124" s="2">
        <f t="shared" si="63"/>
        <v>1.2067268451830821E-9</v>
      </c>
      <c r="CI124" s="2">
        <f t="shared" si="64"/>
        <v>2.1331920331491006E-5</v>
      </c>
    </row>
    <row r="125" spans="67:87" x14ac:dyDescent="0.2">
      <c r="BO125" s="2">
        <v>19</v>
      </c>
      <c r="BP125" s="2">
        <f t="shared" si="65"/>
        <v>0.29886487769251424</v>
      </c>
      <c r="BQ125" s="2">
        <v>-1.037147158675783E-5</v>
      </c>
      <c r="BR125" s="2">
        <f t="shared" si="66"/>
        <v>0.29887554365267999</v>
      </c>
      <c r="BS125" s="2">
        <v>1.8578278469787157E-5</v>
      </c>
      <c r="BT125" s="2">
        <f t="shared" si="57"/>
        <v>0.29887021067259711</v>
      </c>
      <c r="BU125" s="2">
        <v>4.1034315818103129E-6</v>
      </c>
      <c r="BV125" s="2">
        <f t="shared" si="58"/>
        <v>-4.2558624058950397E-11</v>
      </c>
      <c r="BW125" s="2">
        <f t="shared" si="59"/>
        <v>7.6234694608591195E-11</v>
      </c>
      <c r="BX125" s="2">
        <f t="shared" si="60"/>
        <v>1.0665960165745503E-5</v>
      </c>
      <c r="BZ125" s="2">
        <v>19</v>
      </c>
      <c r="CA125" s="2">
        <f t="shared" si="67"/>
        <v>0.3180529400307297</v>
      </c>
      <c r="CB125" s="2">
        <v>-1.6279322943256458E-5</v>
      </c>
      <c r="CC125" s="2">
        <f t="shared" si="68"/>
        <v>0.31806360599089545</v>
      </c>
      <c r="CD125" s="2">
        <v>2.0828591860450052E-5</v>
      </c>
      <c r="CE125" s="2">
        <f t="shared" si="61"/>
        <v>0.31805827301081258</v>
      </c>
      <c r="CF125" s="2">
        <v>2.2746885052424282E-6</v>
      </c>
      <c r="CG125" s="2">
        <f t="shared" si="62"/>
        <v>-3.7030388772154799E-11</v>
      </c>
      <c r="CH125" s="2">
        <f t="shared" si="63"/>
        <v>4.7378558485351737E-11</v>
      </c>
      <c r="CI125" s="2">
        <f t="shared" si="64"/>
        <v>1.0665960165745503E-5</v>
      </c>
    </row>
    <row r="126" spans="67:87" x14ac:dyDescent="0.2">
      <c r="BO126" s="2">
        <v>20</v>
      </c>
      <c r="BP126" s="2">
        <f t="shared" si="65"/>
        <v>0.29886487769251424</v>
      </c>
      <c r="BQ126" s="2">
        <v>-1.037147158675783E-5</v>
      </c>
      <c r="BR126" s="2">
        <f t="shared" si="66"/>
        <v>0.29887021067259711</v>
      </c>
      <c r="BS126" s="2">
        <v>4.1034315818103129E-6</v>
      </c>
      <c r="BT126" s="2">
        <f t="shared" si="57"/>
        <v>0.29886754418255568</v>
      </c>
      <c r="BU126" s="2">
        <v>-3.1340129675941353E-6</v>
      </c>
      <c r="BV126" s="2">
        <f t="shared" si="58"/>
        <v>3.2504326445933159E-11</v>
      </c>
      <c r="BW126" s="2">
        <f t="shared" si="59"/>
        <v>-1.2860207789028835E-11</v>
      </c>
      <c r="BX126" s="2">
        <f t="shared" si="60"/>
        <v>5.3329800828727514E-6</v>
      </c>
      <c r="BZ126" s="2">
        <v>20</v>
      </c>
      <c r="CA126" s="2">
        <f t="shared" si="67"/>
        <v>0.3180529400307297</v>
      </c>
      <c r="CB126" s="2">
        <v>-1.6279322943256458E-5</v>
      </c>
      <c r="CC126" s="2">
        <f t="shared" si="68"/>
        <v>0.31805827301081258</v>
      </c>
      <c r="CD126" s="2">
        <v>2.2746885052424282E-6</v>
      </c>
      <c r="CE126" s="2">
        <f t="shared" si="61"/>
        <v>0.31805560652077114</v>
      </c>
      <c r="CF126" s="2">
        <v>-7.0023037073568828E-6</v>
      </c>
      <c r="CG126" s="2">
        <f t="shared" si="62"/>
        <v>1.1399276339882465E-10</v>
      </c>
      <c r="CH126" s="2">
        <f t="shared" si="63"/>
        <v>-1.5928059753341141E-11</v>
      </c>
      <c r="CI126" s="2">
        <f t="shared" si="64"/>
        <v>5.3329800828727514E-6</v>
      </c>
    </row>
    <row r="127" spans="67:87" x14ac:dyDescent="0.2">
      <c r="BO127" s="2">
        <v>21</v>
      </c>
      <c r="BP127" s="2">
        <f t="shared" si="65"/>
        <v>0.29886754418255568</v>
      </c>
      <c r="BQ127" s="2">
        <v>-3.1340129675941353E-6</v>
      </c>
      <c r="BR127" s="2">
        <f t="shared" si="66"/>
        <v>0.29887021067259711</v>
      </c>
      <c r="BS127" s="2">
        <v>4.1034315818103129E-6</v>
      </c>
      <c r="BT127" s="2">
        <f t="shared" si="57"/>
        <v>0.2988688774275764</v>
      </c>
      <c r="BU127" s="2">
        <v>4.8471106580544321E-7</v>
      </c>
      <c r="BV127" s="2">
        <f t="shared" si="58"/>
        <v>-1.5190907657706333E-12</v>
      </c>
      <c r="BW127" s="2">
        <f t="shared" si="59"/>
        <v>1.9889786954789926E-12</v>
      </c>
      <c r="BX127" s="2">
        <f t="shared" si="60"/>
        <v>2.6664900414363757E-6</v>
      </c>
      <c r="BZ127" s="2">
        <v>21</v>
      </c>
      <c r="CA127" s="2">
        <f t="shared" si="67"/>
        <v>0.31805560652077114</v>
      </c>
      <c r="CB127" s="2">
        <v>-7.0023037073568828E-6</v>
      </c>
      <c r="CC127" s="2">
        <f t="shared" si="68"/>
        <v>0.31805827301081258</v>
      </c>
      <c r="CD127" s="2">
        <v>2.2746885052424282E-6</v>
      </c>
      <c r="CE127" s="2">
        <f t="shared" si="61"/>
        <v>0.31805693976579186</v>
      </c>
      <c r="CF127" s="2">
        <v>-2.3638042231169387E-6</v>
      </c>
      <c r="CG127" s="2">
        <f t="shared" si="62"/>
        <v>1.6552075074997596E-11</v>
      </c>
      <c r="CH127" s="2">
        <f t="shared" si="63"/>
        <v>-5.3769182949676083E-12</v>
      </c>
      <c r="CI127" s="2">
        <f t="shared" si="64"/>
        <v>2.6664900414363757E-6</v>
      </c>
    </row>
    <row r="128" spans="67:87" x14ac:dyDescent="0.2">
      <c r="BO128" s="2">
        <v>22</v>
      </c>
      <c r="BP128" s="2">
        <f t="shared" si="65"/>
        <v>0.29886754418255568</v>
      </c>
      <c r="BQ128" s="2">
        <v>-3.1340129675941353E-6</v>
      </c>
      <c r="BR128" s="2">
        <f t="shared" si="66"/>
        <v>0.2988688774275764</v>
      </c>
      <c r="BS128" s="2">
        <v>4.8471106580544321E-7</v>
      </c>
      <c r="BT128" s="2">
        <f t="shared" si="57"/>
        <v>0.29886821080506604</v>
      </c>
      <c r="BU128" s="2">
        <v>-1.3246505111211282E-6</v>
      </c>
      <c r="BV128" s="2">
        <f t="shared" si="58"/>
        <v>4.1514718793838155E-12</v>
      </c>
      <c r="BW128" s="2">
        <f t="shared" si="59"/>
        <v>-6.4207276106524714E-13</v>
      </c>
      <c r="BX128" s="2">
        <f t="shared" si="60"/>
        <v>1.3332450207181878E-6</v>
      </c>
      <c r="BZ128" s="2">
        <v>22</v>
      </c>
      <c r="CA128" s="2">
        <f t="shared" si="67"/>
        <v>0.31805693976579186</v>
      </c>
      <c r="CB128" s="2">
        <v>-2.3638042231169387E-6</v>
      </c>
      <c r="CC128" s="2">
        <f t="shared" si="68"/>
        <v>0.31805827301081258</v>
      </c>
      <c r="CD128" s="2">
        <v>2.2746885052424282E-6</v>
      </c>
      <c r="CE128" s="2">
        <f t="shared" si="61"/>
        <v>0.31805760638830222</v>
      </c>
      <c r="CF128" s="2">
        <v>-4.4557014550195007E-8</v>
      </c>
      <c r="CG128" s="2">
        <f t="shared" si="62"/>
        <v>1.0532405916323384E-13</v>
      </c>
      <c r="CH128" s="2">
        <f t="shared" si="63"/>
        <v>-1.0135332882524821E-13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0.29886821080506604</v>
      </c>
      <c r="BQ129" s="2">
        <v>-1.3246505111211282E-6</v>
      </c>
      <c r="BR129" s="2">
        <f t="shared" si="66"/>
        <v>0.2988688774275764</v>
      </c>
      <c r="BS129" s="2">
        <v>4.8471106580544321E-7</v>
      </c>
      <c r="BT129" s="2">
        <f t="shared" si="57"/>
        <v>0.29886854411632124</v>
      </c>
      <c r="BU129" s="2">
        <v>-4.1996961266249633E-7</v>
      </c>
      <c r="BV129" s="2">
        <f t="shared" si="58"/>
        <v>5.5631296206871798E-13</v>
      </c>
      <c r="BW129" s="2">
        <f t="shared" si="59"/>
        <v>-2.0356391855953776E-13</v>
      </c>
      <c r="BX129" s="2">
        <f t="shared" si="60"/>
        <v>6.6662251035909392E-7</v>
      </c>
      <c r="BZ129" s="2">
        <v>23</v>
      </c>
      <c r="CA129" s="2">
        <f t="shared" si="67"/>
        <v>0.31805760638830222</v>
      </c>
      <c r="CB129" s="2">
        <v>-4.4557014550195007E-8</v>
      </c>
      <c r="CC129" s="2">
        <f t="shared" si="68"/>
        <v>0.31805827301081258</v>
      </c>
      <c r="CD129" s="2">
        <v>2.2746885052424282E-6</v>
      </c>
      <c r="CE129" s="2">
        <f t="shared" si="61"/>
        <v>0.31805793969955742</v>
      </c>
      <c r="CF129" s="2">
        <v>1.1150659567013554E-6</v>
      </c>
      <c r="CG129" s="2">
        <f t="shared" si="62"/>
        <v>-4.9684010057169413E-14</v>
      </c>
      <c r="CH129" s="2">
        <f t="shared" si="63"/>
        <v>2.5364277142957245E-12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0.29886854411632124</v>
      </c>
      <c r="BQ130" s="2">
        <v>-4.1996961266249633E-7</v>
      </c>
      <c r="BR130" s="2">
        <f t="shared" si="66"/>
        <v>0.2988688774275764</v>
      </c>
      <c r="BS130" s="2">
        <v>4.8471106580544321E-7</v>
      </c>
      <c r="BT130" s="2">
        <f t="shared" si="57"/>
        <v>0.29886871077194882</v>
      </c>
      <c r="BU130" s="2">
        <v>3.2370754063371088E-8</v>
      </c>
      <c r="BV130" s="2">
        <f t="shared" si="58"/>
        <v>-1.3594733045586885E-14</v>
      </c>
      <c r="BW130" s="2">
        <f t="shared" si="59"/>
        <v>1.569046270298248E-14</v>
      </c>
      <c r="BX130" s="2">
        <f t="shared" si="60"/>
        <v>3.3331125515179139E-7</v>
      </c>
      <c r="BZ130" s="2">
        <v>24</v>
      </c>
      <c r="CA130" s="2">
        <f t="shared" si="67"/>
        <v>0.31805760638830222</v>
      </c>
      <c r="CB130" s="2">
        <v>-4.4557014550195007E-8</v>
      </c>
      <c r="CC130" s="2">
        <f t="shared" si="68"/>
        <v>0.31805793969955742</v>
      </c>
      <c r="CD130" s="2">
        <v>1.1150659567013554E-6</v>
      </c>
      <c r="CE130" s="2">
        <f t="shared" si="61"/>
        <v>0.31805777304392979</v>
      </c>
      <c r="CF130" s="2">
        <v>5.3525452393260453E-7</v>
      </c>
      <c r="CG130" s="2">
        <f t="shared" si="62"/>
        <v>-2.3849343610922763E-14</v>
      </c>
      <c r="CH130" s="2">
        <f t="shared" si="63"/>
        <v>5.9684409780763822E-13</v>
      </c>
      <c r="CI130" s="2">
        <f t="shared" si="64"/>
        <v>3.3331125520730254E-7</v>
      </c>
    </row>
    <row r="131" spans="67:87" x14ac:dyDescent="0.2">
      <c r="BO131" s="2">
        <v>25</v>
      </c>
      <c r="BP131" s="2">
        <f t="shared" si="65"/>
        <v>0.29886854411632124</v>
      </c>
      <c r="BQ131" s="2">
        <v>-4.1996961266249633E-7</v>
      </c>
      <c r="BR131" s="2">
        <f t="shared" si="66"/>
        <v>0.29886871077194882</v>
      </c>
      <c r="BS131" s="2">
        <v>3.2370754063371088E-8</v>
      </c>
      <c r="BT131" s="2">
        <f t="shared" si="57"/>
        <v>0.298868627444135</v>
      </c>
      <c r="BU131" s="2">
        <v>-1.9379942248903825E-7</v>
      </c>
      <c r="BV131" s="2">
        <f t="shared" si="58"/>
        <v>8.1389868396936878E-14</v>
      </c>
      <c r="BW131" s="2">
        <f t="shared" si="59"/>
        <v>-6.2734334430160054E-15</v>
      </c>
      <c r="BX131" s="2">
        <f t="shared" si="60"/>
        <v>1.6665562757589569E-7</v>
      </c>
      <c r="BZ131" s="2">
        <v>25</v>
      </c>
      <c r="CA131" s="2">
        <f t="shared" si="67"/>
        <v>0.31805760638830222</v>
      </c>
      <c r="CB131" s="2">
        <v>-4.4557014550195007E-8</v>
      </c>
      <c r="CC131" s="2">
        <f t="shared" si="68"/>
        <v>0.31805777304392979</v>
      </c>
      <c r="CD131" s="2">
        <v>5.3525452393260453E-7</v>
      </c>
      <c r="CE131" s="2">
        <f t="shared" si="61"/>
        <v>0.31805768971611603</v>
      </c>
      <c r="CF131" s="2">
        <v>2.4534876805898387E-7</v>
      </c>
      <c r="CG131" s="2">
        <f t="shared" si="62"/>
        <v>-1.0932008628276565E-14</v>
      </c>
      <c r="CH131" s="2">
        <f t="shared" si="63"/>
        <v>1.3132403804486241E-13</v>
      </c>
      <c r="CI131" s="2">
        <f t="shared" si="64"/>
        <v>1.6665562757589569E-7</v>
      </c>
    </row>
    <row r="132" spans="67:87" x14ac:dyDescent="0.2">
      <c r="BO132" s="2">
        <v>26</v>
      </c>
      <c r="BP132" s="2">
        <f t="shared" si="65"/>
        <v>0.298868627444135</v>
      </c>
      <c r="BQ132" s="2">
        <v>-1.9379942248903825E-7</v>
      </c>
      <c r="BR132" s="2">
        <f t="shared" si="66"/>
        <v>0.29886871077194882</v>
      </c>
      <c r="BS132" s="2">
        <v>3.2370754063371088E-8</v>
      </c>
      <c r="BT132" s="2">
        <f t="shared" si="57"/>
        <v>0.29886866910804188</v>
      </c>
      <c r="BU132" s="2">
        <v>-8.0714332627296326E-8</v>
      </c>
      <c r="BV132" s="2">
        <f t="shared" si="58"/>
        <v>1.5642391049758167E-14</v>
      </c>
      <c r="BW132" s="2">
        <f t="shared" si="59"/>
        <v>-2.6127838108673379E-15</v>
      </c>
      <c r="BX132" s="2">
        <f t="shared" si="60"/>
        <v>8.3327813815703422E-8</v>
      </c>
      <c r="BZ132" s="2">
        <v>26</v>
      </c>
      <c r="CA132" s="2">
        <f t="shared" si="67"/>
        <v>0.31805760638830222</v>
      </c>
      <c r="CB132" s="2">
        <v>-4.4557014550195007E-8</v>
      </c>
      <c r="CC132" s="2">
        <f t="shared" si="68"/>
        <v>0.31805768971611603</v>
      </c>
      <c r="CD132" s="2">
        <v>2.4534876805898387E-7</v>
      </c>
      <c r="CE132" s="2">
        <f t="shared" si="61"/>
        <v>0.31805764805220915</v>
      </c>
      <c r="CF132" s="2">
        <v>1.0039588003996069E-7</v>
      </c>
      <c r="CG132" s="2">
        <f t="shared" si="62"/>
        <v>-4.4733406877201613E-15</v>
      </c>
      <c r="CH132" s="2">
        <f t="shared" si="63"/>
        <v>2.4632005486001884E-14</v>
      </c>
      <c r="CI132" s="2">
        <f t="shared" si="64"/>
        <v>8.3327813815703422E-8</v>
      </c>
    </row>
    <row r="133" spans="67:87" x14ac:dyDescent="0.2">
      <c r="BO133" s="2">
        <v>27</v>
      </c>
      <c r="BP133" s="2">
        <f t="shared" si="65"/>
        <v>0.29886866910804188</v>
      </c>
      <c r="BQ133" s="2">
        <v>-8.0714332627296326E-8</v>
      </c>
      <c r="BR133" s="2">
        <f t="shared" si="66"/>
        <v>0.29886871077194882</v>
      </c>
      <c r="BS133" s="2">
        <v>3.2370754063371088E-8</v>
      </c>
      <c r="BT133" s="2">
        <f t="shared" si="57"/>
        <v>0.29886868993999538</v>
      </c>
      <c r="BU133" s="2">
        <v>-2.4171788771953917E-8</v>
      </c>
      <c r="BV133" s="2">
        <f t="shared" si="58"/>
        <v>1.9510097991362349E-15</v>
      </c>
      <c r="BW133" s="2">
        <f t="shared" si="59"/>
        <v>-7.8245902960867487E-16</v>
      </c>
      <c r="BX133" s="2">
        <f t="shared" si="60"/>
        <v>4.1663906935607287E-8</v>
      </c>
      <c r="BZ133" s="2">
        <v>27</v>
      </c>
      <c r="CA133" s="2">
        <f t="shared" si="67"/>
        <v>0.31805760638830222</v>
      </c>
      <c r="CB133" s="2">
        <v>-4.4557014550195007E-8</v>
      </c>
      <c r="CC133" s="2">
        <f t="shared" si="68"/>
        <v>0.31805764805220915</v>
      </c>
      <c r="CD133" s="2">
        <v>1.0039588003996069E-7</v>
      </c>
      <c r="CE133" s="2">
        <f t="shared" si="61"/>
        <v>0.31805762722025566</v>
      </c>
      <c r="CF133" s="2">
        <v>2.7919433508161173E-8</v>
      </c>
      <c r="CG133" s="2">
        <f t="shared" si="62"/>
        <v>-1.2440066050563394E-15</v>
      </c>
      <c r="CH133" s="2">
        <f t="shared" si="63"/>
        <v>2.802996097269008E-15</v>
      </c>
      <c r="CI133" s="2">
        <f t="shared" si="64"/>
        <v>4.1663906935607287E-8</v>
      </c>
    </row>
    <row r="134" spans="67:87" x14ac:dyDescent="0.2">
      <c r="BO134" s="2">
        <v>28</v>
      </c>
      <c r="BP134" s="2">
        <f t="shared" si="65"/>
        <v>0.29886868993999538</v>
      </c>
      <c r="BQ134" s="2">
        <v>-2.4171788771953917E-8</v>
      </c>
      <c r="BR134" s="2">
        <f t="shared" si="66"/>
        <v>0.29886871077194882</v>
      </c>
      <c r="BS134" s="2">
        <v>3.2370754063371088E-8</v>
      </c>
      <c r="BT134" s="2">
        <f t="shared" si="57"/>
        <v>0.29886870035597213</v>
      </c>
      <c r="BU134" s="2">
        <v>4.0994829267337884E-9</v>
      </c>
      <c r="BV134" s="2">
        <f t="shared" si="58"/>
        <v>-9.9091835379240567E-17</v>
      </c>
      <c r="BW134" s="2">
        <f t="shared" si="59"/>
        <v>1.3270335360828819E-16</v>
      </c>
      <c r="BX134" s="2">
        <f t="shared" si="60"/>
        <v>2.0831953440048068E-8</v>
      </c>
      <c r="BZ134" s="2">
        <v>28</v>
      </c>
      <c r="CA134" s="2">
        <f t="shared" si="67"/>
        <v>0.31805760638830222</v>
      </c>
      <c r="CB134" s="2">
        <v>-4.4557014550195007E-8</v>
      </c>
      <c r="CC134" s="2">
        <f t="shared" si="68"/>
        <v>0.31805762722025566</v>
      </c>
      <c r="CD134" s="2">
        <v>2.7919433508161173E-8</v>
      </c>
      <c r="CE134" s="2">
        <f t="shared" si="61"/>
        <v>0.31805761680427891</v>
      </c>
      <c r="CF134" s="2">
        <v>-8.3187901428471989E-9</v>
      </c>
      <c r="CG134" s="2">
        <f t="shared" si="62"/>
        <v>3.7066045343486142E-16</v>
      </c>
      <c r="CH134" s="2">
        <f t="shared" si="63"/>
        <v>-2.3225590826156898E-16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0.29886868993999538</v>
      </c>
      <c r="BQ135" s="2">
        <v>-2.4171788771953917E-8</v>
      </c>
      <c r="BR135" s="2">
        <f t="shared" si="66"/>
        <v>0.29886870035597213</v>
      </c>
      <c r="BS135" s="2">
        <v>4.0994829267337884E-9</v>
      </c>
      <c r="BT135" s="2">
        <f t="shared" si="57"/>
        <v>0.29886869514798375</v>
      </c>
      <c r="BU135" s="2">
        <v>-1.0036152811587762E-8</v>
      </c>
      <c r="BV135" s="2">
        <f t="shared" si="58"/>
        <v>2.425917658447508E-16</v>
      </c>
      <c r="BW135" s="2">
        <f t="shared" si="59"/>
        <v>-4.1143037101195335E-17</v>
      </c>
      <c r="BX135" s="2">
        <f t="shared" si="60"/>
        <v>1.0415976747779609E-8</v>
      </c>
      <c r="BZ135" s="2">
        <v>29</v>
      </c>
      <c r="CA135" s="2">
        <f t="shared" si="67"/>
        <v>0.31805761680427891</v>
      </c>
      <c r="CB135" s="2">
        <v>-8.3187901428471989E-9</v>
      </c>
      <c r="CC135" s="2">
        <f t="shared" si="68"/>
        <v>0.31805762722025566</v>
      </c>
      <c r="CD135" s="2">
        <v>2.7919433508161173E-8</v>
      </c>
      <c r="CE135" s="2">
        <f t="shared" si="61"/>
        <v>0.31805762201226728</v>
      </c>
      <c r="CF135" s="2">
        <v>9.80032155428745E-9</v>
      </c>
      <c r="CG135" s="2">
        <f t="shared" si="62"/>
        <v>-8.1526818342539374E-17</v>
      </c>
      <c r="CH135" s="2">
        <f t="shared" si="63"/>
        <v>2.7361942599352722E-16</v>
      </c>
      <c r="CI135" s="2">
        <f t="shared" si="64"/>
        <v>1.0415976747779609E-8</v>
      </c>
    </row>
    <row r="136" spans="67:87" x14ac:dyDescent="0.2">
      <c r="BO136" s="2">
        <v>30</v>
      </c>
      <c r="BP136" s="2">
        <f t="shared" si="65"/>
        <v>0.29886869514798375</v>
      </c>
      <c r="BQ136" s="2">
        <v>-1.0036152811587762E-8</v>
      </c>
      <c r="BR136" s="2">
        <f t="shared" si="66"/>
        <v>0.29886870035597213</v>
      </c>
      <c r="BS136" s="2">
        <v>4.0994829267337884E-9</v>
      </c>
      <c r="BT136" s="5">
        <f t="shared" si="57"/>
        <v>0.29886869775197794</v>
      </c>
      <c r="BU136" s="2">
        <v>-2.9683349875297971E-9</v>
      </c>
      <c r="BV136" s="2">
        <f t="shared" si="58"/>
        <v>2.9790663530831499E-17</v>
      </c>
      <c r="BW136" s="2">
        <f t="shared" si="59"/>
        <v>-1.2168638602204957E-17</v>
      </c>
      <c r="BX136" s="2">
        <f t="shared" si="60"/>
        <v>5.2079883738898047E-9</v>
      </c>
      <c r="BZ136" s="2">
        <v>30</v>
      </c>
      <c r="CA136" s="2">
        <f t="shared" si="67"/>
        <v>0.31805761680427891</v>
      </c>
      <c r="CB136" s="2">
        <v>-8.3187901428471989E-9</v>
      </c>
      <c r="CC136" s="2">
        <f t="shared" si="68"/>
        <v>0.31805762201226728</v>
      </c>
      <c r="CD136" s="2">
        <v>9.80032155428745E-9</v>
      </c>
      <c r="CE136" s="5">
        <f t="shared" si="61"/>
        <v>0.3180576194082731</v>
      </c>
      <c r="CF136" s="2">
        <v>7.4076577510906461E-10</v>
      </c>
      <c r="CG136" s="2">
        <f t="shared" si="62"/>
        <v>-6.1622750281358518E-18</v>
      </c>
      <c r="CH136" s="2">
        <f t="shared" si="63"/>
        <v>7.2597427924798164E-18</v>
      </c>
      <c r="CI136" s="2">
        <f t="shared" si="64"/>
        <v>5.2079883738898047E-9</v>
      </c>
    </row>
  </sheetData>
  <mergeCells count="86">
    <mergeCell ref="BB52:BD52"/>
    <mergeCell ref="J41:L41"/>
    <mergeCell ref="B44:D44"/>
    <mergeCell ref="F22:H22"/>
    <mergeCell ref="B47:D47"/>
    <mergeCell ref="B52:D52"/>
    <mergeCell ref="AV47:AW47"/>
    <mergeCell ref="AV48:AX48"/>
    <mergeCell ref="AU50:AU52"/>
    <mergeCell ref="AV52:AX52"/>
    <mergeCell ref="AY52:BA52"/>
    <mergeCell ref="BO104:BX104"/>
    <mergeCell ref="BZ104:CI104"/>
    <mergeCell ref="B63:D63"/>
    <mergeCell ref="AF47:AI47"/>
    <mergeCell ref="AY43:AZ43"/>
    <mergeCell ref="AQ44:AS44"/>
    <mergeCell ref="BG60:BI60"/>
    <mergeCell ref="BK60:BM60"/>
    <mergeCell ref="BO70:BX70"/>
    <mergeCell ref="BZ70:CI70"/>
    <mergeCell ref="B75:D75"/>
    <mergeCell ref="B69:D69"/>
    <mergeCell ref="AY55:BA55"/>
    <mergeCell ref="BB55:BD55"/>
    <mergeCell ref="AY48:BA48"/>
    <mergeCell ref="BB48:BD48"/>
    <mergeCell ref="BZ2:CI2"/>
    <mergeCell ref="AY3:BA3"/>
    <mergeCell ref="BC3:BE3"/>
    <mergeCell ref="BG3:BI3"/>
    <mergeCell ref="BK3:BM3"/>
    <mergeCell ref="BG2:BM2"/>
    <mergeCell ref="BO2:BX2"/>
    <mergeCell ref="BO36:BX36"/>
    <mergeCell ref="BZ36:CI36"/>
    <mergeCell ref="AV41:AW41"/>
    <mergeCell ref="BG41:BI41"/>
    <mergeCell ref="BK41:BM41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58:D58"/>
    <mergeCell ref="B21:D21"/>
    <mergeCell ref="BC30:BE30"/>
    <mergeCell ref="AQ35:AQ42"/>
    <mergeCell ref="B38:D38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7:AS7"/>
    <mergeCell ref="AQ2:AS2"/>
    <mergeCell ref="AU2:AW2"/>
    <mergeCell ref="AY2:BE2"/>
    <mergeCell ref="AU9:AW9"/>
    <mergeCell ref="F15:H15"/>
    <mergeCell ref="B27:D27"/>
    <mergeCell ref="B33:D33"/>
    <mergeCell ref="N18:P18"/>
    <mergeCell ref="J9:L9"/>
    <mergeCell ref="B16:D16"/>
    <mergeCell ref="B1:D1"/>
    <mergeCell ref="B3:D3"/>
    <mergeCell ref="F3:H3"/>
    <mergeCell ref="J3:L3"/>
    <mergeCell ref="N3:P3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multirotor_fidelity0</vt:lpstr>
      <vt:lpstr>multirotor_fidelity1</vt:lpstr>
      <vt:lpstr>multirotor_fidelity2</vt:lpstr>
      <vt:lpstr>lift+cruise_fidelity0</vt:lpstr>
      <vt:lpstr>lift+cruise_fidelity1</vt:lpstr>
      <vt:lpstr>lift+cruise_fidelity2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2025-03-03T15:37:59Z</dcterms:modified>
</cp:coreProperties>
</file>