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986787CF-BA57-4440-9361-B2EB70D06857}" xr6:coauthVersionLast="47" xr6:coauthVersionMax="47" xr10:uidLastSave="{00000000-0000-0000-0000-000000000000}"/>
  <bookViews>
    <workbookView xWindow="0" yWindow="740" windowWidth="15080" windowHeight="18900" activeTab="1" xr2:uid="{843CD013-835A-1741-B375-CD508AE79BD2}"/>
  </bookViews>
  <sheets>
    <sheet name="multirotor" sheetId="3" r:id="rId1"/>
    <sheet name="lift+crui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4" l="1"/>
  <c r="C58" i="4"/>
  <c r="C26" i="4"/>
  <c r="G32" i="3"/>
  <c r="G16" i="3"/>
  <c r="O4" i="3"/>
  <c r="W9" i="4"/>
  <c r="S18" i="4"/>
  <c r="S9" i="4"/>
  <c r="S5" i="4"/>
  <c r="O16" i="4"/>
  <c r="O9" i="4"/>
  <c r="W16" i="4"/>
  <c r="S16" i="4"/>
  <c r="AK74" i="3"/>
  <c r="AG74" i="3"/>
  <c r="AK39" i="3"/>
  <c r="AG39" i="3"/>
  <c r="G35" i="3"/>
  <c r="G42" i="3"/>
  <c r="G19" i="3"/>
  <c r="G8" i="3"/>
  <c r="G27" i="3"/>
  <c r="W4" i="3" s="1"/>
  <c r="G11" i="3"/>
  <c r="G27" i="4"/>
  <c r="G30" i="4" s="1"/>
  <c r="G32" i="4" s="1"/>
  <c r="G11" i="4"/>
  <c r="G14" i="4" s="1"/>
  <c r="G16" i="4" s="1"/>
  <c r="G35" i="4"/>
  <c r="AK74" i="4"/>
  <c r="AG74" i="4"/>
  <c r="AU44" i="4"/>
  <c r="AT44" i="4"/>
  <c r="AU43" i="4"/>
  <c r="AT43" i="4"/>
  <c r="AU42" i="4"/>
  <c r="AT42" i="4"/>
  <c r="AU41" i="4"/>
  <c r="AT41" i="4"/>
  <c r="AU40" i="4"/>
  <c r="AT40" i="4"/>
  <c r="G42" i="4"/>
  <c r="AU39" i="4"/>
  <c r="AT39" i="4"/>
  <c r="AK39" i="4"/>
  <c r="AG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30" i="4"/>
  <c r="AT30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AU19" i="4"/>
  <c r="AT19" i="4"/>
  <c r="AU18" i="4"/>
  <c r="AT18" i="4"/>
  <c r="G19" i="4"/>
  <c r="AU17" i="4"/>
  <c r="AT17" i="4"/>
  <c r="AU16" i="4"/>
  <c r="AT16" i="4"/>
  <c r="AU15" i="4"/>
  <c r="AT15" i="4"/>
  <c r="AU14" i="4"/>
  <c r="AT14" i="4"/>
  <c r="AU13" i="4"/>
  <c r="AT13" i="4"/>
  <c r="AU12" i="4"/>
  <c r="AT12" i="4"/>
  <c r="AU11" i="4"/>
  <c r="AT11" i="4"/>
  <c r="AU10" i="4"/>
  <c r="AT10" i="4"/>
  <c r="AU9" i="4"/>
  <c r="AT9" i="4"/>
  <c r="AU8" i="4"/>
  <c r="AT8" i="4"/>
  <c r="G8" i="4"/>
  <c r="AU7" i="4"/>
  <c r="AT7" i="4"/>
  <c r="AU6" i="4"/>
  <c r="AT6" i="4"/>
  <c r="AV5" i="4"/>
  <c r="AU5" i="4"/>
  <c r="AT5" i="4"/>
  <c r="AR5" i="4"/>
  <c r="AK4" i="4"/>
  <c r="AG4" i="4"/>
  <c r="O18" i="4" l="1"/>
  <c r="W5" i="4"/>
  <c r="S19" i="4"/>
  <c r="S22" i="4" s="1"/>
  <c r="W18" i="4"/>
  <c r="W19" i="4" s="1"/>
  <c r="W22" i="4" s="1"/>
  <c r="O5" i="4"/>
  <c r="O19" i="4"/>
  <c r="O22" i="4" s="1"/>
  <c r="G14" i="3"/>
  <c r="G30" i="3"/>
  <c r="G15" i="4"/>
  <c r="G31" i="4"/>
  <c r="AN6" i="4"/>
  <c r="AP6" i="4"/>
  <c r="K21" i="3"/>
  <c r="K20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5" i="3"/>
  <c r="AV5" i="3"/>
  <c r="AR5" i="3"/>
  <c r="S4" i="3"/>
  <c r="AK4" i="3"/>
  <c r="AG4" i="3"/>
  <c r="G15" i="3" l="1"/>
  <c r="G24" i="4"/>
  <c r="K12" i="4" s="1"/>
  <c r="G31" i="3"/>
  <c r="AR6" i="4"/>
  <c r="AN7" i="4" s="1"/>
  <c r="AV6" i="4"/>
  <c r="AP6" i="3"/>
  <c r="AN6" i="3"/>
  <c r="G24" i="3" l="1"/>
  <c r="K10" i="3" s="1"/>
  <c r="AP7" i="4"/>
  <c r="AV7" i="4" s="1"/>
  <c r="AV6" i="3"/>
  <c r="AR6" i="3"/>
  <c r="AP7" i="3" s="1"/>
  <c r="AR7" i="4" l="1"/>
  <c r="AP8" i="4" s="1"/>
  <c r="AN7" i="3"/>
  <c r="AN8" i="4" l="1"/>
  <c r="AR8" i="4" s="1"/>
  <c r="AN9" i="4" s="1"/>
  <c r="AR7" i="3"/>
  <c r="AV7" i="3"/>
  <c r="AV8" i="4" l="1"/>
  <c r="AP9" i="4"/>
  <c r="AR9" i="4" s="1"/>
  <c r="AN10" i="4" s="1"/>
  <c r="AP8" i="3"/>
  <c r="AN8" i="3"/>
  <c r="AP10" i="4" l="1"/>
  <c r="AV10" i="4" s="1"/>
  <c r="AV9" i="4"/>
  <c r="AV8" i="3"/>
  <c r="AR8" i="3"/>
  <c r="AR10" i="4" l="1"/>
  <c r="AN11" i="4" s="1"/>
  <c r="AN9" i="3"/>
  <c r="AP9" i="3"/>
  <c r="AP11" i="4" l="1"/>
  <c r="AR11" i="4" s="1"/>
  <c r="AP12" i="4" s="1"/>
  <c r="AV9" i="3"/>
  <c r="AR9" i="3"/>
  <c r="AN12" i="4" l="1"/>
  <c r="AR12" i="4" s="1"/>
  <c r="AV11" i="4"/>
  <c r="AN10" i="3"/>
  <c r="AP10" i="3"/>
  <c r="AP13" i="4" l="1"/>
  <c r="AN13" i="4"/>
  <c r="AV12" i="4"/>
  <c r="AV10" i="3"/>
  <c r="AR10" i="3"/>
  <c r="AV13" i="4" l="1"/>
  <c r="AR13" i="4"/>
  <c r="AP14" i="4" s="1"/>
  <c r="AP11" i="3"/>
  <c r="AN11" i="3"/>
  <c r="AN14" i="4" l="1"/>
  <c r="AR14" i="4" s="1"/>
  <c r="AV11" i="3"/>
  <c r="AR11" i="3"/>
  <c r="AN15" i="4" l="1"/>
  <c r="AP15" i="4"/>
  <c r="AV14" i="4"/>
  <c r="AN12" i="3"/>
  <c r="AP12" i="3"/>
  <c r="AR15" i="4" l="1"/>
  <c r="AN16" i="4" s="1"/>
  <c r="AV15" i="4"/>
  <c r="AR12" i="3"/>
  <c r="AN13" i="3" s="1"/>
  <c r="AV12" i="3"/>
  <c r="AP16" i="4" l="1"/>
  <c r="AV16" i="4" s="1"/>
  <c r="AP13" i="3"/>
  <c r="AR13" i="3" s="1"/>
  <c r="AN14" i="3" s="1"/>
  <c r="AR16" i="4" l="1"/>
  <c r="AN17" i="4" s="1"/>
  <c r="AV13" i="3"/>
  <c r="AP14" i="3"/>
  <c r="AV14" i="3" s="1"/>
  <c r="AP17" i="4" l="1"/>
  <c r="AV17" i="4" s="1"/>
  <c r="AR14" i="3"/>
  <c r="AP15" i="3" s="1"/>
  <c r="AR17" i="4" l="1"/>
  <c r="AN15" i="3"/>
  <c r="AV15" i="3" s="1"/>
  <c r="AP18" i="4" l="1"/>
  <c r="AN18" i="4"/>
  <c r="AR15" i="3"/>
  <c r="AP16" i="3" s="1"/>
  <c r="AR18" i="4" l="1"/>
  <c r="AN19" i="4" s="1"/>
  <c r="AV18" i="4"/>
  <c r="AN16" i="3"/>
  <c r="AR16" i="3" s="1"/>
  <c r="AP17" i="3" s="1"/>
  <c r="AP19" i="4" l="1"/>
  <c r="AV19" i="4" s="1"/>
  <c r="AV16" i="3"/>
  <c r="AN17" i="3"/>
  <c r="AV17" i="3" s="1"/>
  <c r="AR19" i="4" l="1"/>
  <c r="AN20" i="4" s="1"/>
  <c r="AR17" i="3"/>
  <c r="AN18" i="3" s="1"/>
  <c r="AP20" i="4" l="1"/>
  <c r="AP18" i="3"/>
  <c r="AV18" i="3" s="1"/>
  <c r="AV20" i="4" l="1"/>
  <c r="AR20" i="4"/>
  <c r="AR18" i="3"/>
  <c r="AN19" i="3" s="1"/>
  <c r="AP21" i="4" l="1"/>
  <c r="AN21" i="4"/>
  <c r="AP19" i="3"/>
  <c r="AR19" i="3" s="1"/>
  <c r="AV21" i="4" l="1"/>
  <c r="AR21" i="4"/>
  <c r="AN20" i="3"/>
  <c r="AP20" i="3"/>
  <c r="AV19" i="3"/>
  <c r="AP22" i="4" l="1"/>
  <c r="AN22" i="4"/>
  <c r="AV20" i="3"/>
  <c r="AR20" i="3"/>
  <c r="AN21" i="3" s="1"/>
  <c r="AV22" i="4" l="1"/>
  <c r="AR22" i="4"/>
  <c r="AP21" i="3"/>
  <c r="AV21" i="3" s="1"/>
  <c r="AP23" i="4" l="1"/>
  <c r="AN23" i="4"/>
  <c r="AR21" i="3"/>
  <c r="AP22" i="3" s="1"/>
  <c r="AR23" i="4" l="1"/>
  <c r="AN24" i="4" s="1"/>
  <c r="AV23" i="4"/>
  <c r="AN22" i="3"/>
  <c r="AV22" i="3" s="1"/>
  <c r="AP24" i="4" l="1"/>
  <c r="AV24" i="4" s="1"/>
  <c r="AR22" i="3"/>
  <c r="AP23" i="3" s="1"/>
  <c r="AR24" i="4" l="1"/>
  <c r="AP25" i="4" s="1"/>
  <c r="AN23" i="3"/>
  <c r="AV23" i="3" s="1"/>
  <c r="AN25" i="4" l="1"/>
  <c r="AR25" i="4" s="1"/>
  <c r="AN26" i="4" s="1"/>
  <c r="AR23" i="3"/>
  <c r="AP24" i="3" s="1"/>
  <c r="AV25" i="4" l="1"/>
  <c r="AP26" i="4"/>
  <c r="AV26" i="4" s="1"/>
  <c r="AN24" i="3"/>
  <c r="AR24" i="3" s="1"/>
  <c r="AP25" i="3" s="1"/>
  <c r="AR26" i="4" l="1"/>
  <c r="AN27" i="4" s="1"/>
  <c r="AV24" i="3"/>
  <c r="AN25" i="3"/>
  <c r="AV25" i="3" s="1"/>
  <c r="AP27" i="4" l="1"/>
  <c r="AR27" i="4" s="1"/>
  <c r="AP28" i="4" s="1"/>
  <c r="AR25" i="3"/>
  <c r="AN26" i="3" s="1"/>
  <c r="AV27" i="4" l="1"/>
  <c r="AN28" i="4"/>
  <c r="AR28" i="4" s="1"/>
  <c r="AP26" i="3"/>
  <c r="AV26" i="3" s="1"/>
  <c r="AN29" i="4" l="1"/>
  <c r="AP29" i="4"/>
  <c r="AV28" i="4"/>
  <c r="AR26" i="3"/>
  <c r="AN27" i="3" s="1"/>
  <c r="AR29" i="4" l="1"/>
  <c r="AV29" i="4"/>
  <c r="AP27" i="3"/>
  <c r="AR27" i="3" s="1"/>
  <c r="AN28" i="3" s="1"/>
  <c r="AN30" i="4" l="1"/>
  <c r="AP30" i="4"/>
  <c r="AP28" i="3"/>
  <c r="AR28" i="3" s="1"/>
  <c r="AN29" i="3" s="1"/>
  <c r="AV27" i="3"/>
  <c r="AR30" i="4" l="1"/>
  <c r="AP31" i="4" s="1"/>
  <c r="AV30" i="4"/>
  <c r="AV28" i="3"/>
  <c r="AP29" i="3"/>
  <c r="AV29" i="3" s="1"/>
  <c r="AN31" i="4" l="1"/>
  <c r="AR31" i="4" s="1"/>
  <c r="AR29" i="3"/>
  <c r="AN30" i="3" s="1"/>
  <c r="AP32" i="4" l="1"/>
  <c r="AN32" i="4"/>
  <c r="AV31" i="4"/>
  <c r="AP30" i="3"/>
  <c r="AR30" i="3" s="1"/>
  <c r="AR32" i="4" l="1"/>
  <c r="AN33" i="4" s="1"/>
  <c r="AV32" i="4"/>
  <c r="AV30" i="3"/>
  <c r="AP31" i="3"/>
  <c r="AN31" i="3"/>
  <c r="AP33" i="4" l="1"/>
  <c r="AV33" i="4" s="1"/>
  <c r="AR31" i="3"/>
  <c r="AP32" i="3" s="1"/>
  <c r="AV31" i="3"/>
  <c r="AR33" i="4" l="1"/>
  <c r="AP34" i="4" s="1"/>
  <c r="AN32" i="3"/>
  <c r="AR32" i="3" s="1"/>
  <c r="AN33" i="3" s="1"/>
  <c r="AN34" i="4" l="1"/>
  <c r="AR34" i="4" s="1"/>
  <c r="AV32" i="3"/>
  <c r="AP33" i="3"/>
  <c r="AV33" i="3" s="1"/>
  <c r="AV34" i="4" l="1"/>
  <c r="AN35" i="4"/>
  <c r="AP35" i="4"/>
  <c r="AR33" i="3"/>
  <c r="AN34" i="3" s="1"/>
  <c r="AR35" i="4" l="1"/>
  <c r="AN36" i="4" s="1"/>
  <c r="AV35" i="4"/>
  <c r="AP34" i="3"/>
  <c r="AR34" i="3" s="1"/>
  <c r="AP36" i="4" l="1"/>
  <c r="AV36" i="4" s="1"/>
  <c r="AV34" i="3"/>
  <c r="AN35" i="3"/>
  <c r="AP35" i="3"/>
  <c r="AR36" i="4" l="1"/>
  <c r="AP37" i="4" s="1"/>
  <c r="AV35" i="3"/>
  <c r="AR35" i="3"/>
  <c r="AP36" i="3" s="1"/>
  <c r="AN37" i="4" l="1"/>
  <c r="AV37" i="4" s="1"/>
  <c r="AN36" i="3"/>
  <c r="AR36" i="3" s="1"/>
  <c r="AR37" i="4" l="1"/>
  <c r="AN38" i="4" s="1"/>
  <c r="AP37" i="3"/>
  <c r="AN37" i="3"/>
  <c r="AV36" i="3"/>
  <c r="AP38" i="4" l="1"/>
  <c r="AV38" i="4" s="1"/>
  <c r="AV37" i="3"/>
  <c r="AR37" i="3"/>
  <c r="AR38" i="4" l="1"/>
  <c r="AN39" i="4" s="1"/>
  <c r="AN38" i="3"/>
  <c r="AP38" i="3"/>
  <c r="AP39" i="4" l="1"/>
  <c r="AV39" i="4" s="1"/>
  <c r="AR38" i="3"/>
  <c r="AV38" i="3"/>
  <c r="AR39" i="4" l="1"/>
  <c r="AN40" i="4" s="1"/>
  <c r="AN39" i="3"/>
  <c r="AP39" i="3"/>
  <c r="AP40" i="4" l="1"/>
  <c r="AV40" i="4" s="1"/>
  <c r="AV39" i="3"/>
  <c r="AR39" i="3"/>
  <c r="AP40" i="3" s="1"/>
  <c r="AR40" i="4" l="1"/>
  <c r="AN41" i="4" s="1"/>
  <c r="AN40" i="3"/>
  <c r="AR40" i="3" s="1"/>
  <c r="AN41" i="3" s="1"/>
  <c r="AP41" i="4" l="1"/>
  <c r="AR41" i="4" s="1"/>
  <c r="AP41" i="3"/>
  <c r="AR41" i="3" s="1"/>
  <c r="AV40" i="3"/>
  <c r="AV41" i="4" l="1"/>
  <c r="AP42" i="4"/>
  <c r="AN42" i="4"/>
  <c r="AV41" i="3"/>
  <c r="AN42" i="3"/>
  <c r="AP42" i="3"/>
  <c r="AR42" i="4" l="1"/>
  <c r="AP43" i="4" s="1"/>
  <c r="AV42" i="4"/>
  <c r="AV42" i="3"/>
  <c r="AR42" i="3"/>
  <c r="AN43" i="4" l="1"/>
  <c r="AR43" i="4" s="1"/>
  <c r="AP44" i="4" s="1"/>
  <c r="AN43" i="3"/>
  <c r="AP43" i="3"/>
  <c r="AV43" i="4" l="1"/>
  <c r="AN44" i="4"/>
  <c r="AV44" i="4" s="1"/>
  <c r="AR43" i="3"/>
  <c r="AV43" i="3"/>
  <c r="AR44" i="4" l="1"/>
  <c r="AP44" i="3"/>
  <c r="AN44" i="3"/>
  <c r="C17" i="4" l="1"/>
  <c r="K25" i="4" s="1"/>
  <c r="AR44" i="3"/>
  <c r="C15" i="3" s="1"/>
  <c r="AV44" i="3"/>
  <c r="K27" i="4" l="1"/>
  <c r="G41" i="4"/>
  <c r="S4" i="4"/>
  <c r="S10" i="4" s="1"/>
  <c r="G7" i="4"/>
  <c r="K29" i="4"/>
  <c r="O4" i="4"/>
  <c r="O10" i="4" s="1"/>
  <c r="S6" i="4"/>
  <c r="S7" i="4" s="1"/>
  <c r="W6" i="4"/>
  <c r="W7" i="4" s="1"/>
  <c r="W8" i="4" s="1"/>
  <c r="K26" i="4"/>
  <c r="K34" i="4"/>
  <c r="W4" i="4"/>
  <c r="W10" i="4" s="1"/>
  <c r="O6" i="4"/>
  <c r="O7" i="4" s="1"/>
  <c r="O8" i="4" s="1"/>
  <c r="K16" i="4"/>
  <c r="K22" i="4"/>
  <c r="K21" i="4"/>
  <c r="K23" i="4"/>
  <c r="K24" i="4"/>
  <c r="K28" i="4"/>
  <c r="G40" i="4"/>
  <c r="G6" i="4"/>
  <c r="K18" i="3"/>
  <c r="K19" i="3"/>
  <c r="G40" i="3"/>
  <c r="O5" i="3"/>
  <c r="K22" i="3"/>
  <c r="G6" i="3"/>
  <c r="W5" i="3"/>
  <c r="W6" i="3" s="1"/>
  <c r="G41" i="3"/>
  <c r="K24" i="3"/>
  <c r="K25" i="3"/>
  <c r="K23" i="3"/>
  <c r="G7" i="3"/>
  <c r="K13" i="3"/>
  <c r="K31" i="3"/>
  <c r="S5" i="3"/>
  <c r="S7" i="3" s="1"/>
  <c r="S8" i="3" s="1"/>
  <c r="S12" i="3" s="1"/>
  <c r="S11" i="4" l="1"/>
  <c r="S12" i="4" s="1"/>
  <c r="S17" i="4" s="1"/>
  <c r="S25" i="4" s="1"/>
  <c r="W11" i="4"/>
  <c r="W12" i="4" s="1"/>
  <c r="W13" i="4" s="1"/>
  <c r="K38" i="4"/>
  <c r="S8" i="4"/>
  <c r="O11" i="4"/>
  <c r="O12" i="4" s="1"/>
  <c r="O13" i="4" s="1"/>
  <c r="K37" i="4"/>
  <c r="K4" i="4"/>
  <c r="K5" i="4" s="1"/>
  <c r="K40" i="3"/>
  <c r="K39" i="3"/>
  <c r="O6" i="3"/>
  <c r="O7" i="3"/>
  <c r="O8" i="3" s="1"/>
  <c r="W7" i="3"/>
  <c r="W8" i="3" s="1"/>
  <c r="W12" i="3" s="1"/>
  <c r="K34" i="3"/>
  <c r="S6" i="3"/>
  <c r="K35" i="3"/>
  <c r="S18" i="3"/>
  <c r="S13" i="3"/>
  <c r="S17" i="3" s="1"/>
  <c r="S20" i="4" l="1"/>
  <c r="S13" i="4"/>
  <c r="W17" i="4"/>
  <c r="W20" i="4" s="1"/>
  <c r="O17" i="4"/>
  <c r="O20" i="4" s="1"/>
  <c r="S19" i="3"/>
  <c r="S22" i="3" s="1"/>
  <c r="W13" i="3"/>
  <c r="W17" i="3" s="1"/>
  <c r="O12" i="3"/>
  <c r="O13" i="3" s="1"/>
  <c r="S27" i="4"/>
  <c r="W25" i="4" l="1"/>
  <c r="W27" i="4" s="1"/>
  <c r="O25" i="4"/>
  <c r="O27" i="4" s="1"/>
  <c r="W19" i="3"/>
  <c r="W18" i="3"/>
  <c r="O17" i="3"/>
  <c r="O18" i="3"/>
  <c r="AH74" i="4"/>
  <c r="AF74" i="4"/>
  <c r="AD74" i="4"/>
  <c r="AH39" i="4"/>
  <c r="AF39" i="4"/>
  <c r="AD39" i="4"/>
  <c r="AH4" i="4"/>
  <c r="AF4" i="4"/>
  <c r="AD4" i="4"/>
  <c r="S25" i="3"/>
  <c r="S27" i="3" s="1"/>
  <c r="S20" i="3"/>
  <c r="AH4" i="3" l="1"/>
  <c r="AF4" i="3"/>
  <c r="AD4" i="3"/>
  <c r="O19" i="3"/>
  <c r="O20" i="3" s="1"/>
  <c r="AJ39" i="4"/>
  <c r="AE40" i="4" s="1"/>
  <c r="AF40" i="4" s="1"/>
  <c r="W22" i="3"/>
  <c r="AJ74" i="4"/>
  <c r="AE75" i="4" s="1"/>
  <c r="AF75" i="4" s="1"/>
  <c r="AI4" i="4"/>
  <c r="AC5" i="4" s="1"/>
  <c r="AD5" i="4" s="1"/>
  <c r="AI74" i="4"/>
  <c r="AC75" i="4" s="1"/>
  <c r="AD75" i="4" s="1"/>
  <c r="AJ4" i="4"/>
  <c r="AE5" i="4" s="1"/>
  <c r="AF5" i="4" s="1"/>
  <c r="AI39" i="4"/>
  <c r="AC40" i="4" s="1"/>
  <c r="AD40" i="4" s="1"/>
  <c r="W25" i="3" l="1"/>
  <c r="W27" i="3" s="1"/>
  <c r="O22" i="3"/>
  <c r="W20" i="3"/>
  <c r="AJ4" i="3"/>
  <c r="AE5" i="3" s="1"/>
  <c r="AF5" i="3" s="1"/>
  <c r="AK75" i="4"/>
  <c r="AG75" i="4"/>
  <c r="AG5" i="4"/>
  <c r="AH5" i="4" s="1"/>
  <c r="AK5" i="4"/>
  <c r="AG40" i="4"/>
  <c r="AK40" i="4"/>
  <c r="AI4" i="3"/>
  <c r="AC5" i="3" s="1"/>
  <c r="AD5" i="3" s="1"/>
  <c r="O25" i="3" l="1"/>
  <c r="O27" i="3" s="1"/>
  <c r="AH74" i="3"/>
  <c r="AF74" i="3"/>
  <c r="AD74" i="3"/>
  <c r="AH39" i="3"/>
  <c r="AF39" i="3"/>
  <c r="AD39" i="3"/>
  <c r="AH75" i="4"/>
  <c r="AJ75" i="4" s="1"/>
  <c r="AE76" i="4" s="1"/>
  <c r="AF76" i="4" s="1"/>
  <c r="AH40" i="4"/>
  <c r="AI40" i="4" s="1"/>
  <c r="AC41" i="4" s="1"/>
  <c r="AD41" i="4" s="1"/>
  <c r="AJ5" i="4"/>
  <c r="AE6" i="4" s="1"/>
  <c r="AF6" i="4" s="1"/>
  <c r="AI5" i="4"/>
  <c r="AC6" i="4" s="1"/>
  <c r="AD6" i="4" s="1"/>
  <c r="AK5" i="3"/>
  <c r="AG5" i="3"/>
  <c r="AI39" i="3" l="1"/>
  <c r="AC40" i="3" s="1"/>
  <c r="AD40" i="3" s="1"/>
  <c r="AJ39" i="3"/>
  <c r="AE40" i="3" s="1"/>
  <c r="AF40" i="3" s="1"/>
  <c r="AH5" i="3"/>
  <c r="AI5" i="3" s="1"/>
  <c r="AC6" i="3" s="1"/>
  <c r="AD6" i="3" s="1"/>
  <c r="AI75" i="4"/>
  <c r="AC76" i="4" s="1"/>
  <c r="AD76" i="4" s="1"/>
  <c r="AJ40" i="4"/>
  <c r="AE41" i="4" s="1"/>
  <c r="AF41" i="4" s="1"/>
  <c r="AJ74" i="3"/>
  <c r="AE75" i="3" s="1"/>
  <c r="AF75" i="3" s="1"/>
  <c r="AI74" i="3"/>
  <c r="AC75" i="3" s="1"/>
  <c r="AD75" i="3" s="1"/>
  <c r="AG6" i="4"/>
  <c r="AH6" i="4" s="1"/>
  <c r="AK6" i="4"/>
  <c r="AJ5" i="3" l="1"/>
  <c r="AE6" i="3" s="1"/>
  <c r="AF6" i="3" s="1"/>
  <c r="AK40" i="3"/>
  <c r="AG40" i="3"/>
  <c r="AG41" i="4"/>
  <c r="AH41" i="4" s="1"/>
  <c r="AI41" i="4" s="1"/>
  <c r="AC42" i="4" s="1"/>
  <c r="AD42" i="4" s="1"/>
  <c r="AK41" i="4"/>
  <c r="AK76" i="4"/>
  <c r="AG76" i="4"/>
  <c r="AH76" i="4" s="1"/>
  <c r="AJ76" i="4" s="1"/>
  <c r="AE77" i="4" s="1"/>
  <c r="AF77" i="4" s="1"/>
  <c r="AG75" i="3"/>
  <c r="AH75" i="3" s="1"/>
  <c r="AK75" i="3"/>
  <c r="AI6" i="4"/>
  <c r="AC7" i="4" s="1"/>
  <c r="AD7" i="4" s="1"/>
  <c r="AJ6" i="4"/>
  <c r="AE7" i="4" s="1"/>
  <c r="AF7" i="4" s="1"/>
  <c r="AG6" i="3" l="1"/>
  <c r="AH6" i="3" s="1"/>
  <c r="AI6" i="3" s="1"/>
  <c r="AC7" i="3" s="1"/>
  <c r="AK6" i="3"/>
  <c r="AH40" i="3"/>
  <c r="AJ40" i="3" s="1"/>
  <c r="AE41" i="3" s="1"/>
  <c r="AF41" i="3" s="1"/>
  <c r="AI76" i="4"/>
  <c r="AC77" i="4" s="1"/>
  <c r="AD77" i="4" s="1"/>
  <c r="AJ41" i="4"/>
  <c r="AE42" i="4" s="1"/>
  <c r="AF42" i="4" s="1"/>
  <c r="AI75" i="3"/>
  <c r="AC76" i="3" s="1"/>
  <c r="AD76" i="3" s="1"/>
  <c r="AJ75" i="3"/>
  <c r="AE76" i="3" s="1"/>
  <c r="AF76" i="3" s="1"/>
  <c r="AG7" i="4"/>
  <c r="AH7" i="4" s="1"/>
  <c r="AK7" i="4"/>
  <c r="AI40" i="3" l="1"/>
  <c r="AC41" i="3" s="1"/>
  <c r="AD7" i="3"/>
  <c r="AJ6" i="3"/>
  <c r="AE7" i="3" s="1"/>
  <c r="AG77" i="4"/>
  <c r="AH77" i="4" s="1"/>
  <c r="AJ77" i="4" s="1"/>
  <c r="AE78" i="4" s="1"/>
  <c r="AF78" i="4" s="1"/>
  <c r="AK77" i="4"/>
  <c r="AG42" i="4"/>
  <c r="AH42" i="4" s="1"/>
  <c r="AI42" i="4" s="1"/>
  <c r="AC43" i="4" s="1"/>
  <c r="AD43" i="4" s="1"/>
  <c r="AK42" i="4"/>
  <c r="AG76" i="3"/>
  <c r="AK76" i="3"/>
  <c r="AI7" i="4"/>
  <c r="AC8" i="4" s="1"/>
  <c r="AD8" i="4" s="1"/>
  <c r="AH76" i="3" l="1"/>
  <c r="AI76" i="3" s="1"/>
  <c r="AC77" i="3" s="1"/>
  <c r="AD77" i="3" s="1"/>
  <c r="AD41" i="3"/>
  <c r="AG41" i="3"/>
  <c r="AH41" i="3" s="1"/>
  <c r="AJ41" i="3" s="1"/>
  <c r="AE42" i="3" s="1"/>
  <c r="AF42" i="3" s="1"/>
  <c r="AK41" i="3"/>
  <c r="AF7" i="3"/>
  <c r="AK7" i="3"/>
  <c r="AG7" i="3"/>
  <c r="AI77" i="4"/>
  <c r="AC78" i="4" s="1"/>
  <c r="AD78" i="4" s="1"/>
  <c r="AJ42" i="4"/>
  <c r="AE43" i="4" s="1"/>
  <c r="AF43" i="4" s="1"/>
  <c r="AJ7" i="4"/>
  <c r="AE8" i="4" s="1"/>
  <c r="AF8" i="4" s="1"/>
  <c r="AJ76" i="3" l="1"/>
  <c r="AE77" i="3" s="1"/>
  <c r="AF77" i="3" s="1"/>
  <c r="AI41" i="3"/>
  <c r="AC42" i="3" s="1"/>
  <c r="AH7" i="3"/>
  <c r="AI7" i="3" s="1"/>
  <c r="AC8" i="3" s="1"/>
  <c r="AK78" i="4"/>
  <c r="AG78" i="4"/>
  <c r="AH78" i="4" s="1"/>
  <c r="AJ78" i="4" s="1"/>
  <c r="AE79" i="4" s="1"/>
  <c r="AF79" i="4" s="1"/>
  <c r="AG43" i="4"/>
  <c r="AH43" i="4" s="1"/>
  <c r="AI43" i="4" s="1"/>
  <c r="AC44" i="4" s="1"/>
  <c r="AD44" i="4" s="1"/>
  <c r="AK43" i="4"/>
  <c r="AG8" i="4"/>
  <c r="AK8" i="4"/>
  <c r="AG77" i="3" l="1"/>
  <c r="AH77" i="3" s="1"/>
  <c r="AI77" i="3" s="1"/>
  <c r="AC78" i="3" s="1"/>
  <c r="AD78" i="3" s="1"/>
  <c r="AK77" i="3"/>
  <c r="AD42" i="3"/>
  <c r="AG42" i="3"/>
  <c r="AH42" i="3" s="1"/>
  <c r="AK42" i="3"/>
  <c r="AD8" i="3"/>
  <c r="AJ7" i="3"/>
  <c r="AE8" i="3" s="1"/>
  <c r="AI78" i="4"/>
  <c r="AC79" i="4" s="1"/>
  <c r="AG79" i="4" s="1"/>
  <c r="AJ43" i="4"/>
  <c r="AE44" i="4" s="1"/>
  <c r="AK44" i="4" s="1"/>
  <c r="AH8" i="4"/>
  <c r="AI8" i="4" s="1"/>
  <c r="AC9" i="4" s="1"/>
  <c r="AD9" i="4" s="1"/>
  <c r="AI42" i="3" l="1"/>
  <c r="AC43" i="3" s="1"/>
  <c r="AD43" i="3" s="1"/>
  <c r="AJ42" i="3"/>
  <c r="AE43" i="3" s="1"/>
  <c r="AK8" i="3"/>
  <c r="AF8" i="3"/>
  <c r="AG8" i="3"/>
  <c r="AG44" i="4"/>
  <c r="AH44" i="4" s="1"/>
  <c r="AI44" i="4" s="1"/>
  <c r="AC45" i="4" s="1"/>
  <c r="AD45" i="4" s="1"/>
  <c r="AK79" i="4"/>
  <c r="AD79" i="4"/>
  <c r="AF44" i="4"/>
  <c r="AH79" i="4"/>
  <c r="AJ8" i="4"/>
  <c r="AE9" i="4" s="1"/>
  <c r="AK9" i="4" s="1"/>
  <c r="AJ77" i="3"/>
  <c r="AE78" i="3" s="1"/>
  <c r="AF78" i="3" s="1"/>
  <c r="AF43" i="3" l="1"/>
  <c r="AK43" i="3"/>
  <c r="AG43" i="3"/>
  <c r="AH43" i="3" s="1"/>
  <c r="AI43" i="3" s="1"/>
  <c r="AC44" i="3" s="1"/>
  <c r="AD44" i="3" s="1"/>
  <c r="AH8" i="3"/>
  <c r="AI8" i="3" s="1"/>
  <c r="AC9" i="3" s="1"/>
  <c r="AI79" i="4"/>
  <c r="AC80" i="4" s="1"/>
  <c r="AD80" i="4" s="1"/>
  <c r="AG9" i="4"/>
  <c r="AH9" i="4" s="1"/>
  <c r="AI9" i="4" s="1"/>
  <c r="AC10" i="4" s="1"/>
  <c r="AD10" i="4" s="1"/>
  <c r="AF9" i="4"/>
  <c r="AJ79" i="4"/>
  <c r="AE80" i="4" s="1"/>
  <c r="AJ44" i="4"/>
  <c r="AE45" i="4" s="1"/>
  <c r="AG45" i="4" s="1"/>
  <c r="AK78" i="3"/>
  <c r="AG78" i="3"/>
  <c r="AH78" i="3" s="1"/>
  <c r="AJ43" i="3" l="1"/>
  <c r="AE44" i="3" s="1"/>
  <c r="AD9" i="3"/>
  <c r="AJ8" i="3"/>
  <c r="AE9" i="3" s="1"/>
  <c r="AF80" i="4"/>
  <c r="AK80" i="4"/>
  <c r="AG80" i="4"/>
  <c r="AK45" i="4"/>
  <c r="AF45" i="4"/>
  <c r="AH45" i="4"/>
  <c r="AJ9" i="4"/>
  <c r="AE10" i="4" s="1"/>
  <c r="AK10" i="4" s="1"/>
  <c r="AI78" i="3"/>
  <c r="AC79" i="3" s="1"/>
  <c r="AD79" i="3" s="1"/>
  <c r="AG44" i="3" l="1"/>
  <c r="AH44" i="3" s="1"/>
  <c r="AI44" i="3" s="1"/>
  <c r="AC45" i="3" s="1"/>
  <c r="AD45" i="3" s="1"/>
  <c r="AF44" i="3"/>
  <c r="AK44" i="3"/>
  <c r="AF9" i="3"/>
  <c r="AK9" i="3"/>
  <c r="AG9" i="3"/>
  <c r="AJ45" i="4"/>
  <c r="AE46" i="4" s="1"/>
  <c r="AF46" i="4" s="1"/>
  <c r="AH80" i="4"/>
  <c r="AI80" i="4" s="1"/>
  <c r="AC81" i="4" s="1"/>
  <c r="AI45" i="4"/>
  <c r="AC46" i="4" s="1"/>
  <c r="AG10" i="4"/>
  <c r="AH10" i="4" s="1"/>
  <c r="AI10" i="4" s="1"/>
  <c r="AC11" i="4" s="1"/>
  <c r="AD11" i="4" s="1"/>
  <c r="AF10" i="4"/>
  <c r="AJ78" i="3"/>
  <c r="AE79" i="3" s="1"/>
  <c r="AJ44" i="3" l="1"/>
  <c r="AE45" i="3" s="1"/>
  <c r="AF45" i="3" s="1"/>
  <c r="AG79" i="3"/>
  <c r="AF79" i="3"/>
  <c r="AH9" i="3"/>
  <c r="AI9" i="3" s="1"/>
  <c r="AC10" i="3" s="1"/>
  <c r="AD81" i="4"/>
  <c r="AJ80" i="4"/>
  <c r="AE81" i="4" s="1"/>
  <c r="AD46" i="4"/>
  <c r="AG46" i="4"/>
  <c r="AK46" i="4"/>
  <c r="AJ10" i="4"/>
  <c r="AE11" i="4" s="1"/>
  <c r="AK11" i="4" s="1"/>
  <c r="AK79" i="3"/>
  <c r="AG45" i="3" l="1"/>
  <c r="AH45" i="3" s="1"/>
  <c r="AJ45" i="3" s="1"/>
  <c r="AE46" i="3" s="1"/>
  <c r="AF46" i="3" s="1"/>
  <c r="AK45" i="3"/>
  <c r="AH79" i="3"/>
  <c r="AI79" i="3" s="1"/>
  <c r="AC80" i="3" s="1"/>
  <c r="AD80" i="3" s="1"/>
  <c r="AJ9" i="3"/>
  <c r="AE10" i="3" s="1"/>
  <c r="AG10" i="3" s="1"/>
  <c r="AD10" i="3"/>
  <c r="AG11" i="4"/>
  <c r="AH11" i="4" s="1"/>
  <c r="AI11" i="4" s="1"/>
  <c r="AC12" i="4" s="1"/>
  <c r="AD12" i="4" s="1"/>
  <c r="AF11" i="4"/>
  <c r="AF81" i="4"/>
  <c r="AK81" i="4"/>
  <c r="AG81" i="4"/>
  <c r="AH46" i="4"/>
  <c r="AJ46" i="4" s="1"/>
  <c r="AE47" i="4" s="1"/>
  <c r="AF10" i="3" l="1"/>
  <c r="AI45" i="3"/>
  <c r="AC46" i="3" s="1"/>
  <c r="AD46" i="3" s="1"/>
  <c r="AK10" i="3"/>
  <c r="AJ79" i="3"/>
  <c r="AE80" i="3" s="1"/>
  <c r="AF80" i="3" s="1"/>
  <c r="AH10" i="3"/>
  <c r="AH81" i="4"/>
  <c r="AI81" i="4" s="1"/>
  <c r="AC82" i="4" s="1"/>
  <c r="AF47" i="4"/>
  <c r="AI46" i="4"/>
  <c r="AC47" i="4" s="1"/>
  <c r="AJ11" i="4"/>
  <c r="AE12" i="4" s="1"/>
  <c r="AF12" i="4" s="1"/>
  <c r="AK80" i="3" l="1"/>
  <c r="AG80" i="3"/>
  <c r="AH80" i="3" s="1"/>
  <c r="AI80" i="3" s="1"/>
  <c r="AC81" i="3" s="1"/>
  <c r="AD81" i="3" s="1"/>
  <c r="AJ10" i="3"/>
  <c r="AE11" i="3" s="1"/>
  <c r="AF11" i="3" s="1"/>
  <c r="AG46" i="3"/>
  <c r="AH46" i="3" s="1"/>
  <c r="AJ46" i="3" s="1"/>
  <c r="AE47" i="3" s="1"/>
  <c r="AF47" i="3" s="1"/>
  <c r="AK46" i="3"/>
  <c r="AI10" i="3"/>
  <c r="AC11" i="3" s="1"/>
  <c r="AG12" i="4"/>
  <c r="AH12" i="4" s="1"/>
  <c r="AI12" i="4" s="1"/>
  <c r="AC13" i="4" s="1"/>
  <c r="AD13" i="4" s="1"/>
  <c r="AD82" i="4"/>
  <c r="AJ81" i="4"/>
  <c r="AE82" i="4" s="1"/>
  <c r="AD47" i="4"/>
  <c r="AG47" i="4"/>
  <c r="AK47" i="4"/>
  <c r="AK12" i="4"/>
  <c r="AI46" i="3" l="1"/>
  <c r="AC47" i="3" s="1"/>
  <c r="AD47" i="3" s="1"/>
  <c r="AD11" i="3"/>
  <c r="AG11" i="3"/>
  <c r="AK11" i="3"/>
  <c r="AF82" i="4"/>
  <c r="AK82" i="4"/>
  <c r="AG82" i="4"/>
  <c r="AH47" i="4"/>
  <c r="AJ47" i="4" s="1"/>
  <c r="AE48" i="4" s="1"/>
  <c r="AJ12" i="4"/>
  <c r="AE13" i="4" s="1"/>
  <c r="AG13" i="4" s="1"/>
  <c r="AJ80" i="3"/>
  <c r="AE81" i="3" s="1"/>
  <c r="AK47" i="3" l="1"/>
  <c r="AG47" i="3"/>
  <c r="AH47" i="3" s="1"/>
  <c r="AJ47" i="3" s="1"/>
  <c r="AE48" i="3" s="1"/>
  <c r="AF48" i="3" s="1"/>
  <c r="AG81" i="3"/>
  <c r="AH81" i="3" s="1"/>
  <c r="AF81" i="3"/>
  <c r="AH11" i="3"/>
  <c r="AJ11" i="3" s="1"/>
  <c r="AE12" i="3" s="1"/>
  <c r="AK13" i="4"/>
  <c r="AH82" i="4"/>
  <c r="AI82" i="4" s="1"/>
  <c r="AC83" i="4" s="1"/>
  <c r="AF13" i="4"/>
  <c r="AF48" i="4"/>
  <c r="AI47" i="4"/>
  <c r="AC48" i="4" s="1"/>
  <c r="AH13" i="4"/>
  <c r="AK81" i="3"/>
  <c r="AF12" i="3" l="1"/>
  <c r="AI11" i="3"/>
  <c r="AC12" i="3" s="1"/>
  <c r="AJ13" i="4"/>
  <c r="AE14" i="4" s="1"/>
  <c r="AF14" i="4" s="1"/>
  <c r="AD83" i="4"/>
  <c r="AJ82" i="4"/>
  <c r="AE83" i="4" s="1"/>
  <c r="AG83" i="4" s="1"/>
  <c r="AD48" i="4"/>
  <c r="AG48" i="4"/>
  <c r="AK48" i="4"/>
  <c r="AI13" i="4"/>
  <c r="AC14" i="4" s="1"/>
  <c r="AJ81" i="3"/>
  <c r="AE82" i="3" s="1"/>
  <c r="AF82" i="3" s="1"/>
  <c r="AI81" i="3"/>
  <c r="AC82" i="3" s="1"/>
  <c r="AD82" i="3" s="1"/>
  <c r="AI47" i="3"/>
  <c r="AC48" i="3" s="1"/>
  <c r="AD48" i="3" s="1"/>
  <c r="AD12" i="3" l="1"/>
  <c r="AG12" i="3"/>
  <c r="AK12" i="3"/>
  <c r="AH83" i="4"/>
  <c r="AI83" i="4" s="1"/>
  <c r="AC84" i="4" s="1"/>
  <c r="AF83" i="4"/>
  <c r="AK83" i="4"/>
  <c r="AH48" i="4"/>
  <c r="AJ48" i="4" s="1"/>
  <c r="AE49" i="4" s="1"/>
  <c r="AD14" i="4"/>
  <c r="AG14" i="4"/>
  <c r="AK14" i="4"/>
  <c r="AG82" i="3"/>
  <c r="AH82" i="3" s="1"/>
  <c r="AK82" i="3"/>
  <c r="AG48" i="3"/>
  <c r="AH48" i="3" s="1"/>
  <c r="AK48" i="3"/>
  <c r="AH12" i="3" l="1"/>
  <c r="AJ12" i="3" s="1"/>
  <c r="AE13" i="3" s="1"/>
  <c r="AJ83" i="4"/>
  <c r="AE84" i="4" s="1"/>
  <c r="AG84" i="4" s="1"/>
  <c r="AH84" i="4" s="1"/>
  <c r="AD84" i="4"/>
  <c r="AF49" i="4"/>
  <c r="AI48" i="4"/>
  <c r="AC49" i="4" s="1"/>
  <c r="AH14" i="4"/>
  <c r="AJ14" i="4" s="1"/>
  <c r="AE15" i="4" s="1"/>
  <c r="AJ82" i="3"/>
  <c r="AE83" i="3" s="1"/>
  <c r="AF83" i="3" s="1"/>
  <c r="AJ48" i="3"/>
  <c r="AE49" i="3" s="1"/>
  <c r="AF49" i="3" s="1"/>
  <c r="AF13" i="3" l="1"/>
  <c r="AI12" i="3"/>
  <c r="AC13" i="3" s="1"/>
  <c r="AK84" i="4"/>
  <c r="AF84" i="4"/>
  <c r="AJ84" i="4" s="1"/>
  <c r="AE85" i="4" s="1"/>
  <c r="AF85" i="4" s="1"/>
  <c r="AI84" i="4"/>
  <c r="AC85" i="4" s="1"/>
  <c r="AD49" i="4"/>
  <c r="AG49" i="4"/>
  <c r="AK49" i="4"/>
  <c r="AF15" i="4"/>
  <c r="AI14" i="4"/>
  <c r="AC15" i="4" s="1"/>
  <c r="AK15" i="4" s="1"/>
  <c r="AI82" i="3"/>
  <c r="AC83" i="3" s="1"/>
  <c r="AD83" i="3" s="1"/>
  <c r="AI48" i="3"/>
  <c r="AC49" i="3" s="1"/>
  <c r="AD49" i="3" s="1"/>
  <c r="AD13" i="3" l="1"/>
  <c r="AG13" i="3"/>
  <c r="AK13" i="3"/>
  <c r="AK85" i="4"/>
  <c r="AD85" i="4"/>
  <c r="AG85" i="4"/>
  <c r="AH49" i="4"/>
  <c r="AJ49" i="4" s="1"/>
  <c r="AE50" i="4" s="1"/>
  <c r="AD15" i="4"/>
  <c r="AG15" i="4"/>
  <c r="AG83" i="3"/>
  <c r="AH83" i="3" s="1"/>
  <c r="AK83" i="3"/>
  <c r="AG49" i="3"/>
  <c r="AH49" i="3" s="1"/>
  <c r="AK49" i="3"/>
  <c r="AH13" i="3" l="1"/>
  <c r="AJ13" i="3" s="1"/>
  <c r="AE14" i="3" s="1"/>
  <c r="AH85" i="4"/>
  <c r="AJ85" i="4" s="1"/>
  <c r="AE86" i="4" s="1"/>
  <c r="AF50" i="4"/>
  <c r="AI49" i="4"/>
  <c r="AC50" i="4" s="1"/>
  <c r="AH15" i="4"/>
  <c r="AJ15" i="4" s="1"/>
  <c r="AE16" i="4" s="1"/>
  <c r="AJ83" i="3"/>
  <c r="AE84" i="3" s="1"/>
  <c r="AF84" i="3" s="1"/>
  <c r="AJ49" i="3"/>
  <c r="AE50" i="3" s="1"/>
  <c r="AF50" i="3" s="1"/>
  <c r="AF14" i="3" l="1"/>
  <c r="AI13" i="3"/>
  <c r="AC14" i="3" s="1"/>
  <c r="AF86" i="4"/>
  <c r="AI85" i="4"/>
  <c r="AC86" i="4" s="1"/>
  <c r="AK86" i="4" s="1"/>
  <c r="AD50" i="4"/>
  <c r="AG50" i="4"/>
  <c r="AK50" i="4"/>
  <c r="AF16" i="4"/>
  <c r="AI15" i="4"/>
  <c r="AC16" i="4" s="1"/>
  <c r="AK16" i="4" s="1"/>
  <c r="AI83" i="3"/>
  <c r="AC84" i="3" s="1"/>
  <c r="AD84" i="3" s="1"/>
  <c r="AI49" i="3"/>
  <c r="AC50" i="3" s="1"/>
  <c r="AD50" i="3" s="1"/>
  <c r="AG14" i="3" l="1"/>
  <c r="AD14" i="3"/>
  <c r="AK14" i="3"/>
  <c r="AD86" i="4"/>
  <c r="AG86" i="4"/>
  <c r="AH50" i="4"/>
  <c r="AJ50" i="4" s="1"/>
  <c r="AE51" i="4" s="1"/>
  <c r="AD16" i="4"/>
  <c r="AG16" i="4"/>
  <c r="AG84" i="3"/>
  <c r="AH84" i="3" s="1"/>
  <c r="AK84" i="3"/>
  <c r="AG50" i="3"/>
  <c r="AH50" i="3" s="1"/>
  <c r="AK50" i="3"/>
  <c r="AH14" i="3" l="1"/>
  <c r="AI14" i="3" s="1"/>
  <c r="AC15" i="3" s="1"/>
  <c r="AH86" i="4"/>
  <c r="AJ86" i="4" s="1"/>
  <c r="AE87" i="4" s="1"/>
  <c r="AF51" i="4"/>
  <c r="AI50" i="4"/>
  <c r="AC51" i="4" s="1"/>
  <c r="AH16" i="4"/>
  <c r="AJ16" i="4" s="1"/>
  <c r="AE17" i="4" s="1"/>
  <c r="AJ84" i="3"/>
  <c r="AE85" i="3" s="1"/>
  <c r="AF85" i="3" s="1"/>
  <c r="AJ50" i="3"/>
  <c r="AE51" i="3" s="1"/>
  <c r="AF51" i="3" s="1"/>
  <c r="AD15" i="3" l="1"/>
  <c r="AJ14" i="3"/>
  <c r="AE15" i="3" s="1"/>
  <c r="AF87" i="4"/>
  <c r="AI86" i="4"/>
  <c r="AC87" i="4" s="1"/>
  <c r="AK87" i="4" s="1"/>
  <c r="AD51" i="4"/>
  <c r="AG51" i="4"/>
  <c r="AK51" i="4"/>
  <c r="AF17" i="4"/>
  <c r="AI16" i="4"/>
  <c r="AC17" i="4" s="1"/>
  <c r="AK17" i="4" s="1"/>
  <c r="AI84" i="3"/>
  <c r="AC85" i="3" s="1"/>
  <c r="AD85" i="3" s="1"/>
  <c r="AI50" i="3"/>
  <c r="AC51" i="3" s="1"/>
  <c r="AD51" i="3" s="1"/>
  <c r="AF15" i="3" l="1"/>
  <c r="AK15" i="3"/>
  <c r="AG15" i="3"/>
  <c r="AD87" i="4"/>
  <c r="AG87" i="4"/>
  <c r="AH51" i="4"/>
  <c r="AJ51" i="4" s="1"/>
  <c r="AE52" i="4" s="1"/>
  <c r="AD17" i="4"/>
  <c r="AG17" i="4"/>
  <c r="AG85" i="3"/>
  <c r="AH85" i="3" s="1"/>
  <c r="AK85" i="3"/>
  <c r="AG51" i="3"/>
  <c r="AH51" i="3" s="1"/>
  <c r="AK51" i="3"/>
  <c r="AH15" i="3" l="1"/>
  <c r="AI15" i="3" s="1"/>
  <c r="AC16" i="3" s="1"/>
  <c r="AH87" i="4"/>
  <c r="AJ87" i="4" s="1"/>
  <c r="AE88" i="4" s="1"/>
  <c r="AF52" i="4"/>
  <c r="AI51" i="4"/>
  <c r="AC52" i="4" s="1"/>
  <c r="AH17" i="4"/>
  <c r="AJ17" i="4" s="1"/>
  <c r="AE18" i="4" s="1"/>
  <c r="AJ85" i="3"/>
  <c r="AE86" i="3" s="1"/>
  <c r="AF86" i="3" s="1"/>
  <c r="AJ51" i="3"/>
  <c r="AE52" i="3" s="1"/>
  <c r="AF52" i="3" s="1"/>
  <c r="AD16" i="3" l="1"/>
  <c r="AJ15" i="3"/>
  <c r="AE16" i="3" s="1"/>
  <c r="AG16" i="3" s="1"/>
  <c r="AF88" i="4"/>
  <c r="AI87" i="4"/>
  <c r="AC88" i="4" s="1"/>
  <c r="AK88" i="4" s="1"/>
  <c r="AD52" i="4"/>
  <c r="AG52" i="4"/>
  <c r="AK52" i="4"/>
  <c r="AF18" i="4"/>
  <c r="AI17" i="4"/>
  <c r="AC18" i="4" s="1"/>
  <c r="AK18" i="4" s="1"/>
  <c r="AI85" i="3"/>
  <c r="AC86" i="3" s="1"/>
  <c r="AD86" i="3" s="1"/>
  <c r="AI51" i="3"/>
  <c r="AC52" i="3" s="1"/>
  <c r="AD52" i="3" s="1"/>
  <c r="AF16" i="3" l="1"/>
  <c r="AK16" i="3"/>
  <c r="AH16" i="3"/>
  <c r="AI16" i="3" s="1"/>
  <c r="AC17" i="3" s="1"/>
  <c r="AD88" i="4"/>
  <c r="AG88" i="4"/>
  <c r="AH88" i="4" s="1"/>
  <c r="AJ88" i="4" s="1"/>
  <c r="AE89" i="4" s="1"/>
  <c r="AH52" i="4"/>
  <c r="AJ52" i="4" s="1"/>
  <c r="AE53" i="4" s="1"/>
  <c r="AD18" i="4"/>
  <c r="AG18" i="4"/>
  <c r="AG86" i="3"/>
  <c r="AH86" i="3" s="1"/>
  <c r="AK86" i="3"/>
  <c r="AG52" i="3"/>
  <c r="AH52" i="3" s="1"/>
  <c r="AK52" i="3"/>
  <c r="AD17" i="3" l="1"/>
  <c r="AJ16" i="3"/>
  <c r="AE17" i="3" s="1"/>
  <c r="AF89" i="4"/>
  <c r="AI88" i="4"/>
  <c r="AC89" i="4" s="1"/>
  <c r="AK89" i="4" s="1"/>
  <c r="AF53" i="4"/>
  <c r="AI52" i="4"/>
  <c r="AC53" i="4" s="1"/>
  <c r="AH18" i="4"/>
  <c r="AJ18" i="4" s="1"/>
  <c r="AE19" i="4" s="1"/>
  <c r="AJ86" i="3"/>
  <c r="AE87" i="3" s="1"/>
  <c r="AF87" i="3" s="1"/>
  <c r="AJ52" i="3"/>
  <c r="AE53" i="3" s="1"/>
  <c r="AF53" i="3" s="1"/>
  <c r="AF17" i="3" l="1"/>
  <c r="AK17" i="3"/>
  <c r="AG17" i="3"/>
  <c r="AH17" i="3" s="1"/>
  <c r="AI17" i="3" s="1"/>
  <c r="AC18" i="3" s="1"/>
  <c r="AD89" i="4"/>
  <c r="AG89" i="4"/>
  <c r="AD53" i="4"/>
  <c r="AG53" i="4"/>
  <c r="AK53" i="4"/>
  <c r="AF19" i="4"/>
  <c r="AI18" i="4"/>
  <c r="AC19" i="4" s="1"/>
  <c r="AK19" i="4" s="1"/>
  <c r="AI86" i="3"/>
  <c r="AC87" i="3" s="1"/>
  <c r="AD87" i="3" s="1"/>
  <c r="AI52" i="3"/>
  <c r="AC53" i="3" s="1"/>
  <c r="AD53" i="3" s="1"/>
  <c r="AD18" i="3" l="1"/>
  <c r="AJ17" i="3"/>
  <c r="AE18" i="3" s="1"/>
  <c r="AH89" i="4"/>
  <c r="AJ89" i="4" s="1"/>
  <c r="AE90" i="4" s="1"/>
  <c r="AH53" i="4"/>
  <c r="AJ53" i="4" s="1"/>
  <c r="AE54" i="4" s="1"/>
  <c r="AD19" i="4"/>
  <c r="AG19" i="4"/>
  <c r="AG87" i="3"/>
  <c r="AH87" i="3" s="1"/>
  <c r="AK87" i="3"/>
  <c r="AG53" i="3"/>
  <c r="AH53" i="3" s="1"/>
  <c r="AK53" i="3"/>
  <c r="AK18" i="3" l="1"/>
  <c r="AF18" i="3"/>
  <c r="AG18" i="3"/>
  <c r="AH18" i="3" s="1"/>
  <c r="AI18" i="3" s="1"/>
  <c r="AC19" i="3" s="1"/>
  <c r="AF90" i="4"/>
  <c r="AI89" i="4"/>
  <c r="AC90" i="4" s="1"/>
  <c r="AK90" i="4" s="1"/>
  <c r="AF54" i="4"/>
  <c r="AI53" i="4"/>
  <c r="AC54" i="4" s="1"/>
  <c r="AH19" i="4"/>
  <c r="AJ19" i="4" s="1"/>
  <c r="AE20" i="4" s="1"/>
  <c r="AJ87" i="3"/>
  <c r="AE88" i="3" s="1"/>
  <c r="AF88" i="3" s="1"/>
  <c r="AJ53" i="3"/>
  <c r="AE54" i="3" s="1"/>
  <c r="AF54" i="3" s="1"/>
  <c r="AD19" i="3" l="1"/>
  <c r="AJ18" i="3"/>
  <c r="AE19" i="3" s="1"/>
  <c r="AD90" i="4"/>
  <c r="AG90" i="4"/>
  <c r="AD54" i="4"/>
  <c r="AG54" i="4"/>
  <c r="AK54" i="4"/>
  <c r="AF20" i="4"/>
  <c r="AI19" i="4"/>
  <c r="AC20" i="4" s="1"/>
  <c r="AK20" i="4" s="1"/>
  <c r="AI87" i="3"/>
  <c r="AC88" i="3" s="1"/>
  <c r="AD88" i="3" s="1"/>
  <c r="AI53" i="3"/>
  <c r="AC54" i="3" s="1"/>
  <c r="AD54" i="3" s="1"/>
  <c r="AF19" i="3" l="1"/>
  <c r="AK19" i="3"/>
  <c r="AG19" i="3"/>
  <c r="AH19" i="3" s="1"/>
  <c r="AI19" i="3" s="1"/>
  <c r="AC20" i="3" s="1"/>
  <c r="AH90" i="4"/>
  <c r="AJ90" i="4" s="1"/>
  <c r="AE91" i="4" s="1"/>
  <c r="AH54" i="4"/>
  <c r="AJ54" i="4" s="1"/>
  <c r="AE55" i="4" s="1"/>
  <c r="AD20" i="4"/>
  <c r="AG20" i="4"/>
  <c r="AG88" i="3"/>
  <c r="AH88" i="3" s="1"/>
  <c r="AK88" i="3"/>
  <c r="AG54" i="3"/>
  <c r="AH54" i="3" s="1"/>
  <c r="AK54" i="3"/>
  <c r="AD20" i="3" l="1"/>
  <c r="AJ19" i="3"/>
  <c r="AE20" i="3" s="1"/>
  <c r="AF91" i="4"/>
  <c r="AI90" i="4"/>
  <c r="AC91" i="4" s="1"/>
  <c r="AK91" i="4" s="1"/>
  <c r="AF55" i="4"/>
  <c r="AI54" i="4"/>
  <c r="AC55" i="4" s="1"/>
  <c r="AH20" i="4"/>
  <c r="AJ20" i="4" s="1"/>
  <c r="AE21" i="4" s="1"/>
  <c r="AJ88" i="3"/>
  <c r="AE89" i="3" s="1"/>
  <c r="AF89" i="3" s="1"/>
  <c r="AJ54" i="3"/>
  <c r="AE55" i="3" s="1"/>
  <c r="AF55" i="3" s="1"/>
  <c r="AF20" i="3" l="1"/>
  <c r="AK20" i="3"/>
  <c r="AG20" i="3"/>
  <c r="AH20" i="3" s="1"/>
  <c r="AI20" i="3" s="1"/>
  <c r="AC21" i="3" s="1"/>
  <c r="AD91" i="4"/>
  <c r="AG91" i="4"/>
  <c r="AD55" i="4"/>
  <c r="AG55" i="4"/>
  <c r="AK55" i="4"/>
  <c r="AF21" i="4"/>
  <c r="AI20" i="4"/>
  <c r="AC21" i="4" s="1"/>
  <c r="AI88" i="3"/>
  <c r="AC89" i="3" s="1"/>
  <c r="AD89" i="3" s="1"/>
  <c r="AI54" i="3"/>
  <c r="AC55" i="3" s="1"/>
  <c r="AD55" i="3" s="1"/>
  <c r="AD21" i="3" l="1"/>
  <c r="AJ20" i="3"/>
  <c r="AE21" i="3" s="1"/>
  <c r="AH91" i="4"/>
  <c r="AJ91" i="4" s="1"/>
  <c r="AE92" i="4" s="1"/>
  <c r="AH55" i="4"/>
  <c r="AJ55" i="4" s="1"/>
  <c r="AE56" i="4" s="1"/>
  <c r="AD21" i="4"/>
  <c r="AG21" i="4"/>
  <c r="AK21" i="4"/>
  <c r="AG89" i="3"/>
  <c r="AH89" i="3" s="1"/>
  <c r="AK89" i="3"/>
  <c r="AG55" i="3"/>
  <c r="AH55" i="3" s="1"/>
  <c r="AK55" i="3"/>
  <c r="AF21" i="3" l="1"/>
  <c r="AK21" i="3"/>
  <c r="AG21" i="3"/>
  <c r="AF92" i="4"/>
  <c r="AI91" i="4"/>
  <c r="AC92" i="4" s="1"/>
  <c r="AF56" i="4"/>
  <c r="AI55" i="4"/>
  <c r="AC56" i="4" s="1"/>
  <c r="AH21" i="4"/>
  <c r="AJ21" i="4" s="1"/>
  <c r="AE22" i="4" s="1"/>
  <c r="AJ89" i="3"/>
  <c r="AE90" i="3" s="1"/>
  <c r="AF90" i="3" s="1"/>
  <c r="AJ55" i="3"/>
  <c r="AE56" i="3" s="1"/>
  <c r="AF56" i="3" s="1"/>
  <c r="AH21" i="3" l="1"/>
  <c r="AI21" i="3" s="1"/>
  <c r="AC22" i="3" s="1"/>
  <c r="AD92" i="4"/>
  <c r="AG92" i="4"/>
  <c r="AK92" i="4"/>
  <c r="AD56" i="4"/>
  <c r="AG56" i="4"/>
  <c r="AK56" i="4"/>
  <c r="AI21" i="4"/>
  <c r="AC22" i="4" s="1"/>
  <c r="AK22" i="4" s="1"/>
  <c r="AF22" i="4"/>
  <c r="AI89" i="3"/>
  <c r="AC90" i="3" s="1"/>
  <c r="AD90" i="3" s="1"/>
  <c r="AI55" i="3"/>
  <c r="AC56" i="3" s="1"/>
  <c r="AD56" i="3" s="1"/>
  <c r="AD22" i="3" l="1"/>
  <c r="AJ21" i="3"/>
  <c r="AE22" i="3" s="1"/>
  <c r="AG22" i="3" s="1"/>
  <c r="AG22" i="4"/>
  <c r="AH22" i="4" s="1"/>
  <c r="AD22" i="4"/>
  <c r="AH92" i="4"/>
  <c r="AJ92" i="4" s="1"/>
  <c r="AE93" i="4" s="1"/>
  <c r="AH56" i="4"/>
  <c r="AJ56" i="4" s="1"/>
  <c r="AE57" i="4" s="1"/>
  <c r="AG90" i="3"/>
  <c r="AH90" i="3" s="1"/>
  <c r="AK90" i="3"/>
  <c r="AG56" i="3"/>
  <c r="AK56" i="3"/>
  <c r="AH56" i="3" l="1"/>
  <c r="AJ56" i="3" s="1"/>
  <c r="AE57" i="3" s="1"/>
  <c r="AF57" i="3" s="1"/>
  <c r="AH22" i="3"/>
  <c r="AI22" i="3" s="1"/>
  <c r="AC23" i="3" s="1"/>
  <c r="AF22" i="3"/>
  <c r="AK22" i="3"/>
  <c r="AI22" i="4"/>
  <c r="AC23" i="4" s="1"/>
  <c r="AD23" i="4" s="1"/>
  <c r="AF93" i="4"/>
  <c r="AI92" i="4"/>
  <c r="AC93" i="4" s="1"/>
  <c r="AF57" i="4"/>
  <c r="AI56" i="4"/>
  <c r="AC57" i="4" s="1"/>
  <c r="AJ22" i="4"/>
  <c r="AE23" i="4" s="1"/>
  <c r="AJ90" i="3"/>
  <c r="AE91" i="3" s="1"/>
  <c r="AF91" i="3" s="1"/>
  <c r="AJ22" i="3" l="1"/>
  <c r="AE23" i="3" s="1"/>
  <c r="AG23" i="3" s="1"/>
  <c r="AH23" i="3" s="1"/>
  <c r="AI56" i="3"/>
  <c r="AC57" i="3" s="1"/>
  <c r="AK57" i="3" s="1"/>
  <c r="AD23" i="3"/>
  <c r="AD93" i="4"/>
  <c r="AG93" i="4"/>
  <c r="AK93" i="4"/>
  <c r="AD57" i="4"/>
  <c r="AG57" i="4"/>
  <c r="AK57" i="4"/>
  <c r="AK23" i="4"/>
  <c r="AF23" i="4"/>
  <c r="AG23" i="4"/>
  <c r="AI90" i="3"/>
  <c r="AC91" i="3" s="1"/>
  <c r="AK23" i="3" l="1"/>
  <c r="AF23" i="3"/>
  <c r="AJ23" i="3" s="1"/>
  <c r="AE24" i="3" s="1"/>
  <c r="AG57" i="3"/>
  <c r="AH57" i="3" s="1"/>
  <c r="AJ57" i="3" s="1"/>
  <c r="AE58" i="3" s="1"/>
  <c r="AF58" i="3" s="1"/>
  <c r="AD57" i="3"/>
  <c r="AG91" i="3"/>
  <c r="AH91" i="3" s="1"/>
  <c r="AD91" i="3"/>
  <c r="AI23" i="3"/>
  <c r="AC24" i="3" s="1"/>
  <c r="AH93" i="4"/>
  <c r="AJ93" i="4" s="1"/>
  <c r="AE94" i="4" s="1"/>
  <c r="AH57" i="4"/>
  <c r="AJ57" i="4" s="1"/>
  <c r="AE58" i="4" s="1"/>
  <c r="AH23" i="4"/>
  <c r="AI23" i="4" s="1"/>
  <c r="AC24" i="4" s="1"/>
  <c r="AK91" i="3"/>
  <c r="AI57" i="3" l="1"/>
  <c r="AC58" i="3" s="1"/>
  <c r="AK58" i="3" s="1"/>
  <c r="AG24" i="3"/>
  <c r="AH24" i="3" s="1"/>
  <c r="AD24" i="3"/>
  <c r="AF24" i="3"/>
  <c r="AK24" i="3"/>
  <c r="AF94" i="4"/>
  <c r="AI93" i="4"/>
  <c r="AC94" i="4" s="1"/>
  <c r="AJ23" i="4"/>
  <c r="AE24" i="4" s="1"/>
  <c r="AG24" i="4" s="1"/>
  <c r="AF58" i="4"/>
  <c r="AI57" i="4"/>
  <c r="AC58" i="4" s="1"/>
  <c r="AD24" i="4"/>
  <c r="AI91" i="3"/>
  <c r="AC92" i="3" s="1"/>
  <c r="AD92" i="3" s="1"/>
  <c r="AJ91" i="3"/>
  <c r="AE92" i="3" s="1"/>
  <c r="AF92" i="3" s="1"/>
  <c r="AJ24" i="3" l="1"/>
  <c r="AE25" i="3" s="1"/>
  <c r="AF25" i="3" s="1"/>
  <c r="AG58" i="3"/>
  <c r="AH58" i="3" s="1"/>
  <c r="AJ58" i="3" s="1"/>
  <c r="AE59" i="3" s="1"/>
  <c r="AF59" i="3" s="1"/>
  <c r="AD58" i="3"/>
  <c r="AI24" i="3"/>
  <c r="AC25" i="3" s="1"/>
  <c r="AF24" i="4"/>
  <c r="AK24" i="4"/>
  <c r="AD94" i="4"/>
  <c r="AG94" i="4"/>
  <c r="AK94" i="4"/>
  <c r="AD58" i="4"/>
  <c r="AG58" i="4"/>
  <c r="AK58" i="4"/>
  <c r="AH24" i="4"/>
  <c r="AI24" i="4" s="1"/>
  <c r="AC25" i="4" s="1"/>
  <c r="AK92" i="3"/>
  <c r="AG92" i="3"/>
  <c r="AH92" i="3" s="1"/>
  <c r="AG25" i="3" l="1"/>
  <c r="AH25" i="3" s="1"/>
  <c r="AJ25" i="3" s="1"/>
  <c r="AE26" i="3" s="1"/>
  <c r="AK25" i="3"/>
  <c r="AD25" i="3"/>
  <c r="AH94" i="4"/>
  <c r="AJ94" i="4" s="1"/>
  <c r="AE95" i="4" s="1"/>
  <c r="AH58" i="4"/>
  <c r="AJ58" i="4" s="1"/>
  <c r="AE59" i="4" s="1"/>
  <c r="AJ24" i="4"/>
  <c r="AE25" i="4" s="1"/>
  <c r="AG25" i="4" s="1"/>
  <c r="AD25" i="4"/>
  <c r="AI92" i="3"/>
  <c r="AC93" i="3" s="1"/>
  <c r="AD93" i="3" s="1"/>
  <c r="AI58" i="3"/>
  <c r="AC59" i="3" s="1"/>
  <c r="AD59" i="3" s="1"/>
  <c r="AI25" i="3" l="1"/>
  <c r="AC26" i="3" s="1"/>
  <c r="AK26" i="3" s="1"/>
  <c r="AF26" i="3"/>
  <c r="AF25" i="4"/>
  <c r="AK25" i="4"/>
  <c r="AF95" i="4"/>
  <c r="AI94" i="4"/>
  <c r="AC95" i="4" s="1"/>
  <c r="AF59" i="4"/>
  <c r="AI58" i="4"/>
  <c r="AC59" i="4" s="1"/>
  <c r="AH25" i="4"/>
  <c r="AI25" i="4" s="1"/>
  <c r="AC26" i="4" s="1"/>
  <c r="AJ92" i="3"/>
  <c r="AE93" i="3" s="1"/>
  <c r="AF93" i="3" s="1"/>
  <c r="AG59" i="3"/>
  <c r="AH59" i="3" s="1"/>
  <c r="AK59" i="3"/>
  <c r="AG26" i="3" l="1"/>
  <c r="AH26" i="3" s="1"/>
  <c r="AJ26" i="3" s="1"/>
  <c r="AE27" i="3" s="1"/>
  <c r="AD26" i="3"/>
  <c r="AD95" i="4"/>
  <c r="AG95" i="4"/>
  <c r="AH95" i="4" s="1"/>
  <c r="AJ95" i="4" s="1"/>
  <c r="AE96" i="4" s="1"/>
  <c r="AK95" i="4"/>
  <c r="AD59" i="4"/>
  <c r="AG59" i="4"/>
  <c r="AK59" i="4"/>
  <c r="AJ25" i="4"/>
  <c r="AE26" i="4" s="1"/>
  <c r="AK26" i="4" s="1"/>
  <c r="AD26" i="4"/>
  <c r="AK93" i="3"/>
  <c r="AG93" i="3"/>
  <c r="AH93" i="3" s="1"/>
  <c r="AJ59" i="3"/>
  <c r="AE60" i="3" s="1"/>
  <c r="AF60" i="3" s="1"/>
  <c r="AI26" i="3" l="1"/>
  <c r="AC27" i="3" s="1"/>
  <c r="AK27" i="3" s="1"/>
  <c r="AF27" i="3"/>
  <c r="AG26" i="4"/>
  <c r="AH26" i="4" s="1"/>
  <c r="AI26" i="4" s="1"/>
  <c r="AC27" i="4" s="1"/>
  <c r="AF26" i="4"/>
  <c r="AF96" i="4"/>
  <c r="AI95" i="4"/>
  <c r="AC96" i="4" s="1"/>
  <c r="AK96" i="4" s="1"/>
  <c r="AH59" i="4"/>
  <c r="AJ59" i="4" s="1"/>
  <c r="AE60" i="4" s="1"/>
  <c r="AI93" i="3"/>
  <c r="AC94" i="3" s="1"/>
  <c r="AD94" i="3" s="1"/>
  <c r="AI59" i="3"/>
  <c r="AC60" i="3" s="1"/>
  <c r="AG27" i="3" l="1"/>
  <c r="AH27" i="3" s="1"/>
  <c r="AJ27" i="3" s="1"/>
  <c r="AE28" i="3" s="1"/>
  <c r="AK60" i="3"/>
  <c r="AD60" i="3"/>
  <c r="AD27" i="3"/>
  <c r="AD96" i="4"/>
  <c r="AG96" i="4"/>
  <c r="AF60" i="4"/>
  <c r="AI59" i="4"/>
  <c r="AC60" i="4" s="1"/>
  <c r="AJ26" i="4"/>
  <c r="AE27" i="4" s="1"/>
  <c r="AK27" i="4" s="1"/>
  <c r="AD27" i="4"/>
  <c r="AJ93" i="3"/>
  <c r="AE94" i="3" s="1"/>
  <c r="AG60" i="3"/>
  <c r="AH60" i="3" s="1"/>
  <c r="AG94" i="3" l="1"/>
  <c r="AH94" i="3" s="1"/>
  <c r="AI94" i="3" s="1"/>
  <c r="AC95" i="3" s="1"/>
  <c r="AD95" i="3" s="1"/>
  <c r="AF94" i="3"/>
  <c r="AI27" i="3"/>
  <c r="AC28" i="3" s="1"/>
  <c r="AK28" i="3" s="1"/>
  <c r="AF28" i="3"/>
  <c r="AF27" i="4"/>
  <c r="AG27" i="4"/>
  <c r="AH27" i="4" s="1"/>
  <c r="AI27" i="4" s="1"/>
  <c r="AC28" i="4" s="1"/>
  <c r="AH96" i="4"/>
  <c r="AJ96" i="4" s="1"/>
  <c r="AE97" i="4" s="1"/>
  <c r="AD60" i="4"/>
  <c r="AG60" i="4"/>
  <c r="AK60" i="4"/>
  <c r="AK94" i="3"/>
  <c r="AJ60" i="3"/>
  <c r="AE61" i="3" s="1"/>
  <c r="AF61" i="3" s="1"/>
  <c r="AD28" i="3" l="1"/>
  <c r="AG28" i="3"/>
  <c r="AH28" i="3" s="1"/>
  <c r="AF97" i="4"/>
  <c r="AI96" i="4"/>
  <c r="AC97" i="4" s="1"/>
  <c r="AK97" i="4" s="1"/>
  <c r="AH60" i="4"/>
  <c r="AJ60" i="4" s="1"/>
  <c r="AE61" i="4" s="1"/>
  <c r="AJ27" i="4"/>
  <c r="AE28" i="4" s="1"/>
  <c r="AG28" i="4" s="1"/>
  <c r="AD28" i="4"/>
  <c r="AJ94" i="3"/>
  <c r="AE95" i="3" s="1"/>
  <c r="AI60" i="3"/>
  <c r="AC61" i="3" s="1"/>
  <c r="AG95" i="3" l="1"/>
  <c r="AH95" i="3" s="1"/>
  <c r="AI95" i="3" s="1"/>
  <c r="AC96" i="3" s="1"/>
  <c r="AD96" i="3" s="1"/>
  <c r="AF95" i="3"/>
  <c r="AI28" i="3"/>
  <c r="AC29" i="3" s="1"/>
  <c r="AD29" i="3" s="1"/>
  <c r="AJ28" i="3"/>
  <c r="AE29" i="3" s="1"/>
  <c r="AF29" i="3" s="1"/>
  <c r="AK61" i="3"/>
  <c r="AD61" i="3"/>
  <c r="AK28" i="4"/>
  <c r="AF28" i="4"/>
  <c r="AD97" i="4"/>
  <c r="AG97" i="4"/>
  <c r="AF61" i="4"/>
  <c r="AI60" i="4"/>
  <c r="AC61" i="4" s="1"/>
  <c r="AH28" i="4"/>
  <c r="AK95" i="3"/>
  <c r="AG61" i="3"/>
  <c r="AH61" i="3" s="1"/>
  <c r="AG29" i="3" l="1"/>
  <c r="AH29" i="3" s="1"/>
  <c r="AJ29" i="3" s="1"/>
  <c r="AE30" i="3" s="1"/>
  <c r="AK29" i="3"/>
  <c r="AJ28" i="4"/>
  <c r="AE29" i="4" s="1"/>
  <c r="AF29" i="4" s="1"/>
  <c r="AH97" i="4"/>
  <c r="AJ97" i="4" s="1"/>
  <c r="AE98" i="4" s="1"/>
  <c r="AD61" i="4"/>
  <c r="AG61" i="4"/>
  <c r="AK61" i="4"/>
  <c r="AI28" i="4"/>
  <c r="AC29" i="4" s="1"/>
  <c r="AJ95" i="3"/>
  <c r="AE96" i="3" s="1"/>
  <c r="AJ61" i="3"/>
  <c r="AE62" i="3" s="1"/>
  <c r="AF62" i="3" s="1"/>
  <c r="AI29" i="3" l="1"/>
  <c r="AC30" i="3" s="1"/>
  <c r="AD30" i="3" s="1"/>
  <c r="AG96" i="3"/>
  <c r="AH96" i="3" s="1"/>
  <c r="AI96" i="3" s="1"/>
  <c r="AC97" i="3" s="1"/>
  <c r="AD97" i="3" s="1"/>
  <c r="AF96" i="3"/>
  <c r="AF30" i="3"/>
  <c r="AK29" i="4"/>
  <c r="AF98" i="4"/>
  <c r="AI97" i="4"/>
  <c r="AC98" i="4" s="1"/>
  <c r="AH61" i="4"/>
  <c r="AJ61" i="4" s="1"/>
  <c r="AE62" i="4" s="1"/>
  <c r="AD29" i="4"/>
  <c r="AG29" i="4"/>
  <c r="AK96" i="3"/>
  <c r="AI61" i="3"/>
  <c r="AC62" i="3" s="1"/>
  <c r="AD62" i="3" s="1"/>
  <c r="AG30" i="3" l="1"/>
  <c r="AH30" i="3" s="1"/>
  <c r="AI30" i="3" s="1"/>
  <c r="AC31" i="3" s="1"/>
  <c r="AD31" i="3" s="1"/>
  <c r="AK30" i="3"/>
  <c r="AD98" i="4"/>
  <c r="AG98" i="4"/>
  <c r="AK98" i="4"/>
  <c r="AF62" i="4"/>
  <c r="AI61" i="4"/>
  <c r="AC62" i="4" s="1"/>
  <c r="AH29" i="4"/>
  <c r="AJ29" i="4" s="1"/>
  <c r="AE30" i="4" s="1"/>
  <c r="AJ96" i="3"/>
  <c r="AE97" i="3" s="1"/>
  <c r="AG62" i="3"/>
  <c r="AH62" i="3" s="1"/>
  <c r="AK62" i="3"/>
  <c r="AJ30" i="3" l="1"/>
  <c r="AE31" i="3" s="1"/>
  <c r="AF31" i="3" s="1"/>
  <c r="AG97" i="3"/>
  <c r="AH97" i="3" s="1"/>
  <c r="AI97" i="3" s="1"/>
  <c r="AC98" i="3" s="1"/>
  <c r="AD98" i="3" s="1"/>
  <c r="AF97" i="3"/>
  <c r="AH98" i="4"/>
  <c r="AJ98" i="4" s="1"/>
  <c r="AE99" i="4" s="1"/>
  <c r="AD62" i="4"/>
  <c r="AG62" i="4"/>
  <c r="AK62" i="4"/>
  <c r="AF30" i="4"/>
  <c r="AI29" i="4"/>
  <c r="AC30" i="4" s="1"/>
  <c r="AK97" i="3"/>
  <c r="AJ62" i="3"/>
  <c r="AE63" i="3" s="1"/>
  <c r="AF63" i="3" s="1"/>
  <c r="AG31" i="3" l="1"/>
  <c r="AH31" i="3" s="1"/>
  <c r="AI31" i="3" s="1"/>
  <c r="AC32" i="3" s="1"/>
  <c r="AD32" i="3" s="1"/>
  <c r="AK31" i="3"/>
  <c r="AF99" i="4"/>
  <c r="AI98" i="4"/>
  <c r="AC99" i="4" s="1"/>
  <c r="AK99" i="4" s="1"/>
  <c r="AH62" i="4"/>
  <c r="AJ62" i="4" s="1"/>
  <c r="AE63" i="4" s="1"/>
  <c r="AD30" i="4"/>
  <c r="AG30" i="4"/>
  <c r="AK30" i="4"/>
  <c r="AJ97" i="3"/>
  <c r="AE98" i="3" s="1"/>
  <c r="AI62" i="3"/>
  <c r="AC63" i="3" s="1"/>
  <c r="AJ31" i="3" l="1"/>
  <c r="AE32" i="3" s="1"/>
  <c r="AF32" i="3" s="1"/>
  <c r="AG98" i="3"/>
  <c r="AH98" i="3" s="1"/>
  <c r="AI98" i="3" s="1"/>
  <c r="AC99" i="3" s="1"/>
  <c r="AD99" i="3" s="1"/>
  <c r="AF98" i="3"/>
  <c r="AK63" i="3"/>
  <c r="AD63" i="3"/>
  <c r="AD99" i="4"/>
  <c r="AG99" i="4"/>
  <c r="AF63" i="4"/>
  <c r="AI62" i="4"/>
  <c r="AC63" i="4" s="1"/>
  <c r="AH30" i="4"/>
  <c r="AJ30" i="4" s="1"/>
  <c r="AE31" i="4" s="1"/>
  <c r="AK98" i="3"/>
  <c r="AG63" i="3"/>
  <c r="AH63" i="3" s="1"/>
  <c r="AG32" i="3" l="1"/>
  <c r="AH32" i="3" s="1"/>
  <c r="AJ32" i="3" s="1"/>
  <c r="AE33" i="3" s="1"/>
  <c r="AF33" i="3" s="1"/>
  <c r="AK32" i="3"/>
  <c r="AH99" i="4"/>
  <c r="AJ99" i="4" s="1"/>
  <c r="AE100" i="4" s="1"/>
  <c r="AD63" i="4"/>
  <c r="AG63" i="4"/>
  <c r="AK63" i="4"/>
  <c r="AF31" i="4"/>
  <c r="AI30" i="4"/>
  <c r="AC31" i="4" s="1"/>
  <c r="AK31" i="4" s="1"/>
  <c r="AJ98" i="3"/>
  <c r="AE99" i="3" s="1"/>
  <c r="AJ63" i="3"/>
  <c r="AE64" i="3" s="1"/>
  <c r="AF64" i="3" s="1"/>
  <c r="AI32" i="3" l="1"/>
  <c r="AC33" i="3" s="1"/>
  <c r="AD33" i="3" s="1"/>
  <c r="AK99" i="3"/>
  <c r="AF99" i="3"/>
  <c r="AF100" i="4"/>
  <c r="AI99" i="4"/>
  <c r="AC100" i="4" s="1"/>
  <c r="AH63" i="4"/>
  <c r="AJ63" i="4" s="1"/>
  <c r="AE64" i="4" s="1"/>
  <c r="AD31" i="4"/>
  <c r="AG31" i="4"/>
  <c r="AG99" i="3"/>
  <c r="AH99" i="3" s="1"/>
  <c r="AI63" i="3"/>
  <c r="AC64" i="3" s="1"/>
  <c r="AD64" i="3" s="1"/>
  <c r="AK33" i="3" l="1"/>
  <c r="AG33" i="3"/>
  <c r="AH33" i="3" s="1"/>
  <c r="AJ33" i="3" s="1"/>
  <c r="AE34" i="3" s="1"/>
  <c r="AF34" i="3" s="1"/>
  <c r="AD100" i="4"/>
  <c r="AG100" i="4"/>
  <c r="AK100" i="4"/>
  <c r="AF64" i="4"/>
  <c r="AI63" i="4"/>
  <c r="AC64" i="4" s="1"/>
  <c r="AH31" i="4"/>
  <c r="AJ31" i="4" s="1"/>
  <c r="AE32" i="4" s="1"/>
  <c r="AJ99" i="3"/>
  <c r="AE100" i="3" s="1"/>
  <c r="AF100" i="3" s="1"/>
  <c r="AI99" i="3"/>
  <c r="AC100" i="3" s="1"/>
  <c r="AD100" i="3" s="1"/>
  <c r="AG64" i="3"/>
  <c r="AK64" i="3"/>
  <c r="AH64" i="3" l="1"/>
  <c r="AJ64" i="3" s="1"/>
  <c r="AE65" i="3" s="1"/>
  <c r="AF65" i="3" s="1"/>
  <c r="AH100" i="4"/>
  <c r="AJ100" i="4" s="1"/>
  <c r="AE101" i="4" s="1"/>
  <c r="AD64" i="4"/>
  <c r="AG64" i="4"/>
  <c r="AK64" i="4"/>
  <c r="AF32" i="4"/>
  <c r="AI31" i="4"/>
  <c r="AC32" i="4" s="1"/>
  <c r="AK32" i="4" s="1"/>
  <c r="AG100" i="3"/>
  <c r="AH100" i="3" s="1"/>
  <c r="AK100" i="3"/>
  <c r="AI33" i="3"/>
  <c r="AC34" i="3" s="1"/>
  <c r="AD34" i="3" s="1"/>
  <c r="AI64" i="3" l="1"/>
  <c r="AC65" i="3" s="1"/>
  <c r="AK65" i="3" s="1"/>
  <c r="AF101" i="4"/>
  <c r="AI100" i="4"/>
  <c r="AC101" i="4" s="1"/>
  <c r="AK101" i="4" s="1"/>
  <c r="AH64" i="4"/>
  <c r="AJ64" i="4" s="1"/>
  <c r="AE65" i="4" s="1"/>
  <c r="AD32" i="4"/>
  <c r="AG32" i="4"/>
  <c r="AJ100" i="3"/>
  <c r="AE101" i="3" s="1"/>
  <c r="AF101" i="3" s="1"/>
  <c r="AG34" i="3"/>
  <c r="AK34" i="3"/>
  <c r="AG65" i="3" l="1"/>
  <c r="AH65" i="3" s="1"/>
  <c r="AJ65" i="3" s="1"/>
  <c r="AE66" i="3" s="1"/>
  <c r="AF66" i="3" s="1"/>
  <c r="AD65" i="3"/>
  <c r="S23" i="3"/>
  <c r="S24" i="3" s="1"/>
  <c r="AH34" i="3"/>
  <c r="AJ34" i="3" s="1"/>
  <c r="AD101" i="4"/>
  <c r="AG101" i="4"/>
  <c r="AF65" i="4"/>
  <c r="AI64" i="4"/>
  <c r="AC65" i="4" s="1"/>
  <c r="AH32" i="4"/>
  <c r="AJ32" i="4" s="1"/>
  <c r="AE33" i="4" s="1"/>
  <c r="AI100" i="3"/>
  <c r="AC101" i="3" s="1"/>
  <c r="G22" i="3" l="1"/>
  <c r="G23" i="3" s="1"/>
  <c r="AK101" i="3"/>
  <c r="AD101" i="3"/>
  <c r="AH101" i="4"/>
  <c r="AJ101" i="4" s="1"/>
  <c r="AE102" i="4" s="1"/>
  <c r="AD65" i="4"/>
  <c r="AG65" i="4"/>
  <c r="AK65" i="4"/>
  <c r="AF33" i="4"/>
  <c r="AI32" i="4"/>
  <c r="AC33" i="4" s="1"/>
  <c r="AK33" i="4" s="1"/>
  <c r="AG101" i="3"/>
  <c r="AH101" i="3" s="1"/>
  <c r="AI65" i="3"/>
  <c r="AC66" i="3" s="1"/>
  <c r="AI34" i="3"/>
  <c r="AK66" i="3" l="1"/>
  <c r="AD66" i="3"/>
  <c r="AF102" i="4"/>
  <c r="AI101" i="4"/>
  <c r="AC102" i="4" s="1"/>
  <c r="AK102" i="4" s="1"/>
  <c r="AH65" i="4"/>
  <c r="AJ65" i="4" s="1"/>
  <c r="AE66" i="4" s="1"/>
  <c r="AD33" i="4"/>
  <c r="AG33" i="4"/>
  <c r="AG66" i="3"/>
  <c r="AJ101" i="3"/>
  <c r="AE102" i="3" s="1"/>
  <c r="AF102" i="3" s="1"/>
  <c r="AH66" i="3" l="1"/>
  <c r="AJ66" i="3" s="1"/>
  <c r="AE67" i="3" s="1"/>
  <c r="AF67" i="3" s="1"/>
  <c r="AD102" i="4"/>
  <c r="AG102" i="4"/>
  <c r="AH102" i="4" s="1"/>
  <c r="AJ102" i="4" s="1"/>
  <c r="AE103" i="4" s="1"/>
  <c r="AF66" i="4"/>
  <c r="AI65" i="4"/>
  <c r="AC66" i="4" s="1"/>
  <c r="AH33" i="4"/>
  <c r="AJ33" i="4" s="1"/>
  <c r="AE34" i="4" s="1"/>
  <c r="AI101" i="3"/>
  <c r="AC102" i="3" s="1"/>
  <c r="AI66" i="3" l="1"/>
  <c r="AC67" i="3" s="1"/>
  <c r="AD67" i="3" s="1"/>
  <c r="AK102" i="3"/>
  <c r="AD102" i="3"/>
  <c r="AF103" i="4"/>
  <c r="AI102" i="4"/>
  <c r="AC103" i="4" s="1"/>
  <c r="AD66" i="4"/>
  <c r="AG66" i="4"/>
  <c r="AK66" i="4"/>
  <c r="AF34" i="4"/>
  <c r="AI33" i="4"/>
  <c r="AC34" i="4" s="1"/>
  <c r="AG102" i="3"/>
  <c r="AH102" i="3" s="1"/>
  <c r="AG67" i="3" l="1"/>
  <c r="AH67" i="3" s="1"/>
  <c r="AJ67" i="3" s="1"/>
  <c r="AE68" i="3" s="1"/>
  <c r="AF68" i="3" s="1"/>
  <c r="AK67" i="3"/>
  <c r="AD103" i="4"/>
  <c r="AG103" i="4"/>
  <c r="AK103" i="4"/>
  <c r="AH66" i="4"/>
  <c r="AJ66" i="4" s="1"/>
  <c r="AE67" i="4" s="1"/>
  <c r="AD34" i="4"/>
  <c r="AG34" i="4"/>
  <c r="S23" i="4" s="1"/>
  <c r="S24" i="4" s="1"/>
  <c r="G22" i="4" s="1"/>
  <c r="AK34" i="4"/>
  <c r="AJ102" i="3"/>
  <c r="AE103" i="3" s="1"/>
  <c r="AF103" i="3" s="1"/>
  <c r="AH103" i="4" l="1"/>
  <c r="AJ103" i="4" s="1"/>
  <c r="AE104" i="4" s="1"/>
  <c r="AF67" i="4"/>
  <c r="AI66" i="4"/>
  <c r="AC67" i="4" s="1"/>
  <c r="AH34" i="4"/>
  <c r="AJ34" i="4" s="1"/>
  <c r="G23" i="4"/>
  <c r="AI102" i="3"/>
  <c r="AC103" i="3" s="1"/>
  <c r="AD103" i="3" s="1"/>
  <c r="AI67" i="3"/>
  <c r="AC68" i="3" s="1"/>
  <c r="AD68" i="3" s="1"/>
  <c r="AF104" i="4" l="1"/>
  <c r="AI103" i="4"/>
  <c r="AC104" i="4" s="1"/>
  <c r="AD67" i="4"/>
  <c r="AG67" i="4"/>
  <c r="AK67" i="4"/>
  <c r="AI34" i="4"/>
  <c r="AG103" i="3"/>
  <c r="AH103" i="3" s="1"/>
  <c r="AK103" i="3"/>
  <c r="AG68" i="3"/>
  <c r="AH68" i="3" s="1"/>
  <c r="AK68" i="3"/>
  <c r="AD104" i="4" l="1"/>
  <c r="AG104" i="4"/>
  <c r="W23" i="4" s="1"/>
  <c r="W24" i="4" s="1"/>
  <c r="G33" i="4" s="1"/>
  <c r="AK104" i="4"/>
  <c r="AH67" i="4"/>
  <c r="AJ67" i="4" s="1"/>
  <c r="AE68" i="4" s="1"/>
  <c r="AJ103" i="3"/>
  <c r="AE104" i="3" s="1"/>
  <c r="AF104" i="3" s="1"/>
  <c r="AJ68" i="3"/>
  <c r="AE69" i="3" s="1"/>
  <c r="AF69" i="3" s="1"/>
  <c r="G34" i="4" l="1"/>
  <c r="AH104" i="4"/>
  <c r="AJ104" i="4" s="1"/>
  <c r="AF68" i="4"/>
  <c r="AI67" i="4"/>
  <c r="AC68" i="4" s="1"/>
  <c r="AI103" i="3"/>
  <c r="AC104" i="3" s="1"/>
  <c r="AI68" i="3"/>
  <c r="AC69" i="3" s="1"/>
  <c r="AD69" i="3" s="1"/>
  <c r="AK104" i="3" l="1"/>
  <c r="AD104" i="3"/>
  <c r="AI104" i="4"/>
  <c r="AD68" i="4"/>
  <c r="AG68" i="4"/>
  <c r="AK68" i="4"/>
  <c r="AG104" i="3"/>
  <c r="AH104" i="3" s="1"/>
  <c r="AG69" i="3"/>
  <c r="AK69" i="3"/>
  <c r="O23" i="3" l="1"/>
  <c r="O24" i="3" s="1"/>
  <c r="G17" i="3" s="1"/>
  <c r="AH69" i="3"/>
  <c r="AJ69" i="3" s="1"/>
  <c r="AH68" i="4"/>
  <c r="AJ68" i="4" s="1"/>
  <c r="AE69" i="4" s="1"/>
  <c r="AI104" i="3"/>
  <c r="W23" i="3"/>
  <c r="W24" i="3" s="1"/>
  <c r="G33" i="3" s="1"/>
  <c r="AJ104" i="3"/>
  <c r="G34" i="3" l="1"/>
  <c r="AF69" i="4"/>
  <c r="AI68" i="4"/>
  <c r="AC69" i="4" s="1"/>
  <c r="AI69" i="3"/>
  <c r="AD69" i="4" l="1"/>
  <c r="AG69" i="4"/>
  <c r="O23" i="4" s="1"/>
  <c r="O24" i="4" s="1"/>
  <c r="G17" i="4" s="1"/>
  <c r="AK69" i="4"/>
  <c r="G18" i="3"/>
  <c r="K9" i="3" l="1"/>
  <c r="K14" i="3" s="1"/>
  <c r="K4" i="3"/>
  <c r="K16" i="3" s="1"/>
  <c r="AH69" i="4"/>
  <c r="AJ69" i="4" s="1"/>
  <c r="G18" i="4"/>
  <c r="K11" i="4" l="1"/>
  <c r="K17" i="4" s="1"/>
  <c r="K6" i="4"/>
  <c r="K19" i="4" s="1"/>
  <c r="K5" i="3"/>
  <c r="AI69" i="4"/>
  <c r="K32" i="3"/>
  <c r="K15" i="3" l="1"/>
  <c r="K17" i="3"/>
  <c r="K35" i="4"/>
  <c r="K7" i="4"/>
  <c r="K18" i="4" s="1"/>
  <c r="K38" i="3" l="1"/>
  <c r="K20" i="4"/>
  <c r="K33" i="3"/>
  <c r="K36" i="3" s="1"/>
  <c r="K26" i="3"/>
  <c r="K30" i="4" l="1"/>
  <c r="AQ4" i="3"/>
  <c r="AO4" i="3"/>
  <c r="AS4" i="3"/>
  <c r="K27" i="3"/>
  <c r="K36" i="4"/>
  <c r="K39" i="4" s="1"/>
  <c r="AS4" i="4" l="1"/>
  <c r="AQ4" i="4"/>
  <c r="K31" i="4"/>
  <c r="AO4" i="4"/>
</calcChain>
</file>

<file path=xl/sharedStrings.xml><?xml version="1.0" encoding="utf-8"?>
<sst xmlns="http://schemas.openxmlformats.org/spreadsheetml/2006/main" count="636" uniqueCount="186">
  <si>
    <t>!!! Press F9 to recalculate !!!</t>
  </si>
  <si>
    <t>lift+cruise</t>
  </si>
  <si>
    <t>rotor_lift_solidity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</si>
  <si>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</si>
  <si>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</si>
  <si>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</si>
  <si>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</si>
  <si>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</si>
  <si>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</si>
  <si>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</si>
  <si>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</si>
  <si>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</si>
  <si>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</si>
  <si>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</si>
  <si>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</si>
  <si>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</si>
  <si>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</si>
  <si>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</si>
  <si>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</si>
  <si>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</si>
  <si>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</si>
  <si>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</si>
  <si>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</si>
  <si>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</si>
  <si>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</si>
  <si>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</si>
  <si>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</si>
  <si>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</si>
  <si>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</si>
  <si>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</si>
  <si>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</si>
  <si>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</si>
  <si>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power_fwd_each</t>
  </si>
  <si>
    <t>power_forward</t>
  </si>
  <si>
    <t>Energy and time</t>
  </si>
  <si>
    <t>flight_time</t>
  </si>
  <si>
    <t>lift</t>
  </si>
  <si>
    <t>dyn_pressure</t>
  </si>
  <si>
    <t>N/m^2</t>
  </si>
  <si>
    <t>CL_cruise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</si>
  <si>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</si>
  <si>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</si>
  <si>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</si>
  <si>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</si>
  <si>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</si>
  <si>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</si>
  <si>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</si>
  <si>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</si>
  <si>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</si>
  <si>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</si>
  <si>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</si>
  <si>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</si>
  <si>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</si>
  <si>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</si>
  <si>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</si>
  <si>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</si>
  <si>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</si>
  <si>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</si>
  <si>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</si>
  <si>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</si>
  <si>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</si>
  <si>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</si>
  <si>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</si>
  <si>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</si>
  <si>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</si>
  <si>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</si>
  <si>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</si>
  <si>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</si>
  <si>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</si>
  <si>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</si>
  <si>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</si>
  <si>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</si>
  <si>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</si>
  <si>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</si>
  <si>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</si>
  <si>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</si>
  <si>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</si>
  <si>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</si>
  <si>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</si>
  <si>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</si>
  <si>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</si>
  <si>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</si>
  <si>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</si>
  <si>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</si>
  <si>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</si>
  <si>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</si>
  <si>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</si>
  <si>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</si>
  <si>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</si>
  <si>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</si>
  <si>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</si>
  <si>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</si>
  <si>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</si>
  <si>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</si>
  <si>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</si>
  <si>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</si>
  <si>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</si>
  <si>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</si>
  <si>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</si>
  <si>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</si>
  <si>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</si>
  <si>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</si>
  <si>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</si>
  <si>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</si>
  <si>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</si>
  <si>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</si>
  <si>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</si>
  <si>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</si>
  <si>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</si>
  <si>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</si>
  <si>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</si>
  <si>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</si>
  <si>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</si>
  <si>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</si>
  <si>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</si>
  <si>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</si>
  <si>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</si>
  <si>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</si>
  <si>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</si>
  <si>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</si>
  <si>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</si>
  <si>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</si>
  <si>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</si>
  <si>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</si>
  <si>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</si>
  <si>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</si>
  <si>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</si>
  <si>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</si>
  <si>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</si>
  <si>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</si>
  <si>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</si>
  <si>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</si>
  <si>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</si>
  <si>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</si>
  <si>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</si>
  <si>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Propeller performance in cruise</t>
  </si>
  <si>
    <t>Aerodynamics in climb</t>
  </si>
  <si>
    <t>CD</t>
  </si>
  <si>
    <t>CL</t>
  </si>
  <si>
    <t>Total drag</t>
  </si>
  <si>
    <t>Propeller performance in climb</t>
  </si>
  <si>
    <t>Bisection method for solving RotorInflow lambda in cruise</t>
  </si>
  <si>
    <t>Bisection method for solving RotorInflow lambda in climb</t>
  </si>
  <si>
    <t>power_propeller</t>
  </si>
  <si>
    <t>N_lift_rotor</t>
  </si>
  <si>
    <t>N_propeller</t>
  </si>
  <si>
    <t>r_propeller</t>
  </si>
  <si>
    <t>r_lift_rotor</t>
  </si>
  <si>
    <t>Aerodynamics in descent</t>
  </si>
  <si>
    <t>Propeller performance in descent</t>
  </si>
  <si>
    <t>Bisection method for solving RotorInflow lambda in descent</t>
  </si>
  <si>
    <t>propeller_solidity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</si>
  <si>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</si>
  <si>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</si>
  <si>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</si>
  <si>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</si>
  <si>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</si>
  <si>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</si>
  <si>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</si>
  <si>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</si>
  <si>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p_max_prop</t>
  </si>
  <si>
    <t>p_max_prop_each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</si>
  <si>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</si>
  <si>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</si>
  <si>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</si>
  <si>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</si>
  <si>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</si>
  <si>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</si>
  <si>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</si>
  <si>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</si>
  <si>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</si>
  <si>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</si>
  <si>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Horizontal tail parameters</t>
  </si>
  <si>
    <t>htail_AR</t>
  </si>
  <si>
    <t>t_rh</t>
  </si>
  <si>
    <t>htail_S</t>
  </si>
  <si>
    <t>Vertical tail parameters</t>
  </si>
  <si>
    <t>vtail_AR</t>
  </si>
  <si>
    <t>vtail_S</t>
  </si>
  <si>
    <t>t_rv</t>
  </si>
  <si>
    <t>quarter_chord_sweep</t>
  </si>
  <si>
    <t>Wing parameters</t>
  </si>
  <si>
    <t>N_blade_lift_rotor</t>
  </si>
  <si>
    <t>N_blade_propeller</t>
  </si>
  <si>
    <t>Rotor parameters</t>
  </si>
  <si>
    <t>k_prop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</si>
</sst>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multirotor!$K$31:$K$35</c:f>
              <c:numCache>
                <c:formatCode>General</c:formatCode>
                <c:ptCount val="5"/>
                <c:pt idx="0">
                  <c:v>45.54</c:v>
                </c:pt>
                <c:pt idx="1">
                  <c:v>24.41</c:v>
                </c:pt>
                <c:pt idx="2">
                  <c:v>10.62</c:v>
                </c:pt>
                <c:pt idx="3">
                  <c:v>14.75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B0-0643-9C08-1AD063EA3B3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B0-0643-9C08-1AD063EA3B3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B0-0643-9C08-1AD063EA3B3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6B0-0643-9C08-1AD063EA3B3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6B0-0643-9C08-1AD063EA3B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'lift+cruise'!$K$34:$K$38</c:f>
              <c:numCache>
                <c:formatCode>General</c:formatCode>
                <c:ptCount val="5"/>
                <c:pt idx="0">
                  <c:v>46.92</c:v>
                </c:pt>
                <c:pt idx="1">
                  <c:v>6.96</c:v>
                </c:pt>
                <c:pt idx="2">
                  <c:v>12.42</c:v>
                </c:pt>
                <c:pt idx="3">
                  <c:v>29.03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B0-0643-9C08-1AD063EA3B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30</xdr:row>
      <xdr:rowOff>38100</xdr:rowOff>
    </xdr:from>
    <xdr:to>
      <xdr:col>17</xdr:col>
      <xdr:colOff>393700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37FF3-E4DF-B24D-B571-C2DFB4611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V104"/>
  <sheetViews>
    <sheetView topLeftCell="A3" workbookViewId="0">
      <selection activeCell="C16" sqref="C16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2.1640625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2" style="20" customWidth="1"/>
    <col min="19" max="19" width="10.83203125" style="20"/>
    <col min="20" max="20" width="6.33203125" style="20" customWidth="1"/>
    <col min="21" max="21" width="6.1640625" style="20" customWidth="1"/>
    <col min="22" max="22" width="12.332031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42" t="s">
        <v>0</v>
      </c>
      <c r="C1" s="42"/>
      <c r="D1" s="42"/>
    </row>
    <row r="2" spans="2:48" x14ac:dyDescent="0.2">
      <c r="AB2" s="32" t="s">
        <v>141</v>
      </c>
      <c r="AM2" s="32" t="s">
        <v>104</v>
      </c>
    </row>
    <row r="3" spans="2:48" x14ac:dyDescent="0.2">
      <c r="B3" s="38" t="s">
        <v>98</v>
      </c>
      <c r="C3" s="43"/>
      <c r="D3" s="43"/>
      <c r="F3" s="38" t="s">
        <v>110</v>
      </c>
      <c r="G3" s="43"/>
      <c r="H3" s="43"/>
      <c r="J3" s="37" t="s">
        <v>157</v>
      </c>
      <c r="K3" s="37"/>
      <c r="L3" s="37"/>
      <c r="N3" s="37" t="s">
        <v>136</v>
      </c>
      <c r="O3" s="37"/>
      <c r="P3" s="37"/>
      <c r="R3" s="37" t="s">
        <v>134</v>
      </c>
      <c r="S3" s="37"/>
      <c r="T3" s="37"/>
      <c r="V3" s="37" t="s">
        <v>148</v>
      </c>
      <c r="W3" s="37"/>
      <c r="X3" s="37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3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MAX(G6,G18,G34,G40)*1000</f>
        <v>160544.9736296451</v>
      </c>
      <c r="L4" s="20" t="s">
        <v>29</v>
      </c>
      <c r="N4" s="20" t="s">
        <v>37</v>
      </c>
      <c r="O4" s="20">
        <f xml:space="preserve"> 0.5 * $C$25 * $G$11^2</f>
        <v>551.25</v>
      </c>
      <c r="P4" s="20" t="s">
        <v>38</v>
      </c>
      <c r="R4" s="20" t="s">
        <v>37</v>
      </c>
      <c r="S4" s="20">
        <f xml:space="preserve"> 0.5 * $C$25 * $C$17^2</f>
        <v>551.25</v>
      </c>
      <c r="T4" s="20" t="s">
        <v>38</v>
      </c>
      <c r="V4" s="20" t="s">
        <v>37</v>
      </c>
      <c r="W4" s="20">
        <f xml:space="preserve"> 0.5 * $C$25 * $G$27^2</f>
        <v>551.25</v>
      </c>
      <c r="X4" s="20" t="s">
        <v>38</v>
      </c>
      <c r="AB4" s="8">
        <v>0</v>
      </c>
      <c r="AC4" s="9">
        <v>0</v>
      </c>
      <c r="AD4" s="8">
        <f xml:space="preserve"> $C$18 * TAN($S$17/180*PI()) + $S$20 / (2 * SQRT($C$18^2 + AC4^2)) - AC4</f>
        <v>0.10469636032874594</v>
      </c>
      <c r="AE4" s="9">
        <v>1</v>
      </c>
      <c r="AF4" s="8">
        <f xml:space="preserve"> $C$18 * TAN($S$17/180*PI()) + $S$20 / (2 * SQRT($C$18^2 + AE4^2)) - AE4</f>
        <v>-0.9348282923778839</v>
      </c>
      <c r="AG4" s="8">
        <f xml:space="preserve"> (AC4 + AE4)/2</f>
        <v>0.5</v>
      </c>
      <c r="AH4" s="8">
        <f xml:space="preserve"> $C$18 * TAN($S$17/180*PI()) + $S$20 / (2 * SQRT($C$18^2 + AG4^2)) - AG4</f>
        <v>-0.42223036347613813</v>
      </c>
      <c r="AI4" s="8">
        <f>AD4*AH4</f>
        <v>-4.4205982276235123E-2</v>
      </c>
      <c r="AJ4" s="8">
        <f>AF4*AH4</f>
        <v>0.39471288967849144</v>
      </c>
      <c r="AK4" s="8">
        <f>AE4-AC4</f>
        <v>1</v>
      </c>
      <c r="AM4" s="8">
        <v>0</v>
      </c>
      <c r="AN4" s="8"/>
      <c r="AO4" s="8">
        <f>K26</f>
        <v>6.9235284172464162E-10</v>
      </c>
      <c r="AP4" s="8"/>
      <c r="AQ4" s="8">
        <f>K26</f>
        <v>6.9235284172464162E-10</v>
      </c>
      <c r="AR4" s="8"/>
      <c r="AS4" s="8">
        <f>K26</f>
        <v>6.9235284172464162E-10</v>
      </c>
      <c r="AT4" s="8"/>
      <c r="AU4" s="8"/>
      <c r="AV4" s="8"/>
    </row>
    <row r="5" spans="2:48" x14ac:dyDescent="0.2">
      <c r="B5" s="20" t="s">
        <v>52</v>
      </c>
      <c r="C5" s="33">
        <v>7</v>
      </c>
      <c r="F5" t="s">
        <v>119</v>
      </c>
      <c r="G5" s="1">
        <v>152.4</v>
      </c>
      <c r="H5" t="s">
        <v>14</v>
      </c>
      <c r="J5" t="s">
        <v>159</v>
      </c>
      <c r="K5" s="20">
        <f>K4/$C$5</f>
        <v>22934.996232806443</v>
      </c>
      <c r="L5" s="20" t="s">
        <v>29</v>
      </c>
      <c r="N5" s="20" t="s">
        <v>55</v>
      </c>
      <c r="O5" s="20">
        <f xml:space="preserve"> 0.0327 * ($C$15*2.20462)^0.8903 * 0.3048^2</f>
        <v>2.5645778003936814</v>
      </c>
      <c r="P5" s="20" t="s">
        <v>18</v>
      </c>
      <c r="R5" s="20" t="s">
        <v>55</v>
      </c>
      <c r="S5" s="20">
        <f xml:space="preserve"> 0.0327 * ($C$15*2.20462)^0.8903 * 0.3048^2</f>
        <v>2.5645778003936814</v>
      </c>
      <c r="T5" s="20" t="s">
        <v>18</v>
      </c>
      <c r="V5" s="20" t="s">
        <v>55</v>
      </c>
      <c r="W5" s="20">
        <f xml:space="preserve"> 0.0327 * ($C$15*2.20462)^0.8903 * 0.3048^2</f>
        <v>2.5645778003936814</v>
      </c>
      <c r="X5" s="20" t="s">
        <v>18</v>
      </c>
      <c r="AB5" s="8">
        <v>1</v>
      </c>
      <c r="AC5" s="8">
        <f>IF(AI4&gt;0, AG4, AC4)</f>
        <v>0</v>
      </c>
      <c r="AD5" s="8">
        <f t="shared" ref="AD5:AD34" si="0" xml:space="preserve"> $C$18 * TAN($S$17/180*PI()) + $S$20 / (2 * SQRT($C$18^2 + AC5^2)) - AC5</f>
        <v>0.10469636032874594</v>
      </c>
      <c r="AE5" s="8">
        <f>IF(AJ4&gt;0, AG4, AE4)</f>
        <v>0.5</v>
      </c>
      <c r="AF5" s="8">
        <f t="shared" ref="AF5:AF34" si="1" xml:space="preserve"> $C$18 * TAN($S$17/180*PI()) + $S$20 / (2 * SQRT($C$18^2 + AE5^2)) - AE5</f>
        <v>-0.42223036347613813</v>
      </c>
      <c r="AG5" s="8">
        <f t="shared" ref="AG5:AG34" si="2" xml:space="preserve"> (AC5 + AE5)/2</f>
        <v>0.25</v>
      </c>
      <c r="AH5" s="8">
        <f t="shared" ref="AH5:AH34" si="3" xml:space="preserve"> $C$18 * TAN($S$17/180*PI()) + $S$20 / (2 * SQRT($C$18^2 + AG5^2)) - AG5</f>
        <v>-0.15815840182400653</v>
      </c>
      <c r="AI5" s="8">
        <f t="shared" ref="AI5:AI34" si="4">AD5*AH5</f>
        <v>-1.6558609026384775E-2</v>
      </c>
      <c r="AJ5" s="8">
        <f t="shared" ref="AJ5:AJ34" si="5">AF5*AH5</f>
        <v>6.6779279488955387E-2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5" ca="1"/>
        <v>-183.26101568053718</v>
      </c>
      <c r="AP5" s="9">
        <v>2500</v>
      </c>
      <c r="AQ5" s="8">
        <f t="dataTable" ref="AQ5:AQ44" dt2D="0" dtr="0" r1="C15"/>
        <v>344.59124258861675</v>
      </c>
      <c r="AR5" s="8">
        <f>(AN5+AP5)/2</f>
        <v>1500</v>
      </c>
      <c r="AS5" s="8">
        <f t="dataTable" ref="AS5:AS44" dt2D="0" dtr="0" r1="C15" ca="1"/>
        <v>210.56838225672311</v>
      </c>
      <c r="AT5" s="8">
        <f>AO5*AS5</f>
        <v>-38588.975602574683</v>
      </c>
      <c r="AU5" s="8">
        <f>AQ5*AS5</f>
        <v>72560.020491719057</v>
      </c>
      <c r="AV5" s="8">
        <f>AP5-AN5</f>
        <v>2000</v>
      </c>
    </row>
    <row r="6" spans="2:48" x14ac:dyDescent="0.2">
      <c r="B6" s="20" t="s">
        <v>2</v>
      </c>
      <c r="C6" s="33">
        <v>0.13</v>
      </c>
      <c r="F6" t="s">
        <v>112</v>
      </c>
      <c r="G6" s="20">
        <f xml:space="preserve"> 1/1000 * ($C$15*$C$26)/$C$7 * ( ($G$4/2) + SQRT( ($G$4/2)^2 + ($C$15*$C$26)/(2*$C$25*$C$5*PI()*$C$16*$C$16 ) ) )</f>
        <v>160.54497362964511</v>
      </c>
      <c r="H6" s="20" t="s">
        <v>162</v>
      </c>
      <c r="N6" s="20" t="s">
        <v>56</v>
      </c>
      <c r="O6" s="20">
        <f xml:space="preserve"> O5 / ($C$5 * PI() * $C$16^2)</f>
        <v>0.11661863825039843</v>
      </c>
      <c r="R6" s="20" t="s">
        <v>56</v>
      </c>
      <c r="S6" s="20">
        <f xml:space="preserve"> S5 / ($C$5 * PI() * $C$16^2)</f>
        <v>0.11661863825039843</v>
      </c>
      <c r="V6" s="20" t="s">
        <v>56</v>
      </c>
      <c r="W6" s="20">
        <f xml:space="preserve"> W5 / ($C$5 * PI() * $C$16^2)</f>
        <v>0.11661863825039843</v>
      </c>
      <c r="AB6" s="8">
        <v>2</v>
      </c>
      <c r="AC6" s="8">
        <f t="shared" ref="AC6:AC34" si="7">IF(AI5&gt;0, AG5, AC5)</f>
        <v>0</v>
      </c>
      <c r="AD6" s="8">
        <f t="shared" si="0"/>
        <v>0.10469636032874594</v>
      </c>
      <c r="AE6" s="8">
        <f t="shared" ref="AE6:AE34" si="8">IF(AJ5&gt;0, AG5, AE5)</f>
        <v>0.25</v>
      </c>
      <c r="AF6" s="8">
        <f t="shared" si="1"/>
        <v>-0.15815840182400653</v>
      </c>
      <c r="AG6" s="8">
        <f t="shared" si="2"/>
        <v>0.125</v>
      </c>
      <c r="AH6" s="8">
        <f t="shared" si="3"/>
        <v>-2.4569897834153309E-2</v>
      </c>
      <c r="AI6" s="8">
        <f t="shared" si="4"/>
        <v>-2.5723788768849893E-3</v>
      </c>
      <c r="AJ6" s="8">
        <f t="shared" si="5"/>
        <v>3.8859357744288068E-3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-183.26101568053718</v>
      </c>
      <c r="AP6" s="8">
        <f>IF(AU5&gt;0, AR5, AP5)</f>
        <v>1500</v>
      </c>
      <c r="AQ6" s="8">
        <v>210.56838225672311</v>
      </c>
      <c r="AR6" s="8">
        <f t="shared" ref="AR6:AR44" si="9">(AN6+AP6)/2</f>
        <v>1000</v>
      </c>
      <c r="AS6" s="8">
        <v>49.747772923566231</v>
      </c>
      <c r="AT6" s="8">
        <f t="shared" ref="AT6:AT44" si="10">AO6*AS6</f>
        <v>-9116.8273938174734</v>
      </c>
      <c r="AU6" s="8">
        <f t="shared" ref="AU6:AU44" si="11">AQ6*AS6</f>
        <v>10475.308065390154</v>
      </c>
      <c r="AV6" s="8">
        <f t="shared" ref="AV6:AV44" si="12">AP6-AN6</f>
        <v>1000</v>
      </c>
    </row>
    <row r="7" spans="2:48" x14ac:dyDescent="0.2">
      <c r="B7" s="20" t="s">
        <v>3</v>
      </c>
      <c r="C7" s="33">
        <v>0.75</v>
      </c>
      <c r="F7" t="s">
        <v>30</v>
      </c>
      <c r="G7" s="20">
        <f xml:space="preserve"> $C$15 * $C$26 / $C$5</f>
        <v>1230.5909485571954</v>
      </c>
      <c r="H7" s="20" t="s">
        <v>31</v>
      </c>
      <c r="N7" s="20" t="s">
        <v>57</v>
      </c>
      <c r="O7" s="20">
        <f xml:space="preserve"> O4 * O5</f>
        <v>1413.7235124670169</v>
      </c>
      <c r="P7" s="20" t="s">
        <v>31</v>
      </c>
      <c r="R7" s="20" t="s">
        <v>57</v>
      </c>
      <c r="S7" s="20">
        <f xml:space="preserve"> S4 * S5</f>
        <v>1413.7235124670169</v>
      </c>
      <c r="T7" s="20" t="s">
        <v>31</v>
      </c>
      <c r="V7" s="20" t="s">
        <v>57</v>
      </c>
      <c r="W7" s="20">
        <f xml:space="preserve"> W4 * W5</f>
        <v>1413.7235124670169</v>
      </c>
      <c r="X7" s="20" t="s">
        <v>31</v>
      </c>
      <c r="AB7" s="8">
        <v>3</v>
      </c>
      <c r="AC7" s="8">
        <f t="shared" si="7"/>
        <v>0</v>
      </c>
      <c r="AD7" s="8">
        <f t="shared" si="0"/>
        <v>0.10469636032874594</v>
      </c>
      <c r="AE7" s="8">
        <f t="shared" si="8"/>
        <v>0.125</v>
      </c>
      <c r="AF7" s="8">
        <f t="shared" si="1"/>
        <v>-2.4569897834153309E-2</v>
      </c>
      <c r="AG7" s="8">
        <f t="shared" si="2"/>
        <v>6.25E-2</v>
      </c>
      <c r="AH7" s="8">
        <f t="shared" si="3"/>
        <v>4.1030585902368882E-2</v>
      </c>
      <c r="AI7" s="8">
        <f t="shared" si="4"/>
        <v>4.2957530061339755E-3</v>
      </c>
      <c r="AJ7" s="8">
        <f t="shared" si="5"/>
        <v>-1.0081173036966544E-3</v>
      </c>
      <c r="AK7" s="8">
        <f t="shared" si="6"/>
        <v>0.125</v>
      </c>
      <c r="AM7" s="8">
        <v>3</v>
      </c>
      <c r="AN7" s="8">
        <f t="shared" ref="AN7:AN44" si="13">IF(AT6&gt;0, AR6, AN6)</f>
        <v>500</v>
      </c>
      <c r="AO7" s="8">
        <v>-183.26101568053718</v>
      </c>
      <c r="AP7" s="8">
        <f t="shared" ref="AP7:AP44" si="14">IF(AU6&gt;0, AR6, AP6)</f>
        <v>1000</v>
      </c>
      <c r="AQ7" s="8">
        <v>49.747772923566231</v>
      </c>
      <c r="AR7" s="8">
        <f t="shared" si="9"/>
        <v>750</v>
      </c>
      <c r="AS7" s="8">
        <v>-57.282719849756745</v>
      </c>
      <c r="AT7" s="8">
        <f t="shared" si="10"/>
        <v>10497.68942061009</v>
      </c>
      <c r="AU7" s="8">
        <f t="shared" si="11"/>
        <v>-2849.6877395299584</v>
      </c>
      <c r="AV7" s="8">
        <f t="shared" si="12"/>
        <v>500</v>
      </c>
    </row>
    <row r="8" spans="2:48" x14ac:dyDescent="0.2">
      <c r="F8" t="s">
        <v>120</v>
      </c>
      <c r="G8" s="24">
        <f>$G$5/$G$4</f>
        <v>60</v>
      </c>
      <c r="H8" s="20" t="s">
        <v>22</v>
      </c>
      <c r="J8" s="37" t="s">
        <v>34</v>
      </c>
      <c r="K8" s="37"/>
      <c r="L8" s="37"/>
      <c r="N8" s="20" t="s">
        <v>60</v>
      </c>
      <c r="O8" s="20">
        <f xml:space="preserve"> O7</f>
        <v>1413.7235124670169</v>
      </c>
      <c r="P8" s="20" t="s">
        <v>31</v>
      </c>
      <c r="R8" s="20" t="s">
        <v>60</v>
      </c>
      <c r="S8" s="20">
        <f xml:space="preserve"> S7</f>
        <v>1413.7235124670169</v>
      </c>
      <c r="T8" s="20" t="s">
        <v>31</v>
      </c>
      <c r="V8" s="20" t="s">
        <v>60</v>
      </c>
      <c r="W8" s="20">
        <f xml:space="preserve"> W7</f>
        <v>1413.7235124670169</v>
      </c>
      <c r="X8" s="20" t="s">
        <v>31</v>
      </c>
      <c r="AB8" s="8">
        <v>4</v>
      </c>
      <c r="AC8" s="8">
        <f t="shared" si="7"/>
        <v>6.25E-2</v>
      </c>
      <c r="AD8" s="8">
        <f t="shared" si="0"/>
        <v>4.1030585902368882E-2</v>
      </c>
      <c r="AE8" s="8">
        <f t="shared" si="8"/>
        <v>0.125</v>
      </c>
      <c r="AF8" s="8">
        <f t="shared" si="1"/>
        <v>-2.4569897834153309E-2</v>
      </c>
      <c r="AG8" s="8">
        <f t="shared" si="2"/>
        <v>9.375E-2</v>
      </c>
      <c r="AH8" s="8">
        <f t="shared" si="3"/>
        <v>8.4217581800616337E-3</v>
      </c>
      <c r="AI8" s="8">
        <f t="shared" si="4"/>
        <v>3.4554967245599666E-4</v>
      </c>
      <c r="AJ8" s="8">
        <f t="shared" si="5"/>
        <v>-2.0692173806805924E-4</v>
      </c>
      <c r="AK8" s="8">
        <f t="shared" si="6"/>
        <v>6.25E-2</v>
      </c>
      <c r="AM8" s="8">
        <v>4</v>
      </c>
      <c r="AN8" s="8">
        <f t="shared" si="13"/>
        <v>750</v>
      </c>
      <c r="AO8" s="8">
        <v>-57.282719849756745</v>
      </c>
      <c r="AP8" s="8">
        <f t="shared" si="14"/>
        <v>1000</v>
      </c>
      <c r="AQ8" s="8">
        <v>49.747772923566231</v>
      </c>
      <c r="AR8" s="8">
        <f t="shared" si="9"/>
        <v>875</v>
      </c>
      <c r="AS8" s="8">
        <v>-1.4523282816455776</v>
      </c>
      <c r="AT8" s="8">
        <f t="shared" si="10"/>
        <v>83.193314087382234</v>
      </c>
      <c r="AU8" s="8">
        <f t="shared" si="11"/>
        <v>-72.250097565777338</v>
      </c>
      <c r="AV8" s="8">
        <f t="shared" si="12"/>
        <v>250</v>
      </c>
    </row>
    <row r="9" spans="2:48" x14ac:dyDescent="0.2">
      <c r="B9" s="38" t="s">
        <v>6</v>
      </c>
      <c r="C9" s="43"/>
      <c r="D9" s="43"/>
      <c r="F9"/>
      <c r="G9" s="24"/>
      <c r="J9" s="20" t="s">
        <v>153</v>
      </c>
      <c r="K9" s="20">
        <f xml:space="preserve"> (G6*G8 + G18*G19 + G23*G24 + G34*G35 + G40*G42)/3600</f>
        <v>36.456946576131848</v>
      </c>
      <c r="L9" s="20" t="s">
        <v>163</v>
      </c>
      <c r="AB9" s="8">
        <v>5</v>
      </c>
      <c r="AC9" s="8">
        <f t="shared" si="7"/>
        <v>9.375E-2</v>
      </c>
      <c r="AD9" s="8">
        <f t="shared" si="0"/>
        <v>8.4217581800616337E-3</v>
      </c>
      <c r="AE9" s="8">
        <f t="shared" si="8"/>
        <v>0.125</v>
      </c>
      <c r="AF9" s="8">
        <f t="shared" si="1"/>
        <v>-2.4569897834153309E-2</v>
      </c>
      <c r="AG9" s="8">
        <f t="shared" si="2"/>
        <v>0.109375</v>
      </c>
      <c r="AH9" s="8">
        <f t="shared" si="3"/>
        <v>-8.0336437017142492E-3</v>
      </c>
      <c r="AI9" s="8">
        <f t="shared" si="4"/>
        <v>-6.7657404560612596E-5</v>
      </c>
      <c r="AJ9" s="8">
        <f t="shared" si="5"/>
        <v>1.9738580498710831E-4</v>
      </c>
      <c r="AK9" s="8">
        <f t="shared" si="6"/>
        <v>3.125E-2</v>
      </c>
      <c r="AM9" s="8">
        <v>5</v>
      </c>
      <c r="AN9" s="8">
        <f t="shared" si="13"/>
        <v>875</v>
      </c>
      <c r="AO9" s="8">
        <v>-1.4523282816455776</v>
      </c>
      <c r="AP9" s="8">
        <f t="shared" si="14"/>
        <v>1000</v>
      </c>
      <c r="AQ9" s="8">
        <v>49.747772923566231</v>
      </c>
      <c r="AR9" s="8">
        <f t="shared" si="9"/>
        <v>937.5</v>
      </c>
      <c r="AS9" s="8">
        <v>24.719582373436992</v>
      </c>
      <c r="AT9" s="8">
        <f t="shared" si="10"/>
        <v>-35.900948591410057</v>
      </c>
      <c r="AU9" s="8">
        <f t="shared" si="11"/>
        <v>1229.744170679134</v>
      </c>
      <c r="AV9" s="8">
        <f t="shared" si="12"/>
        <v>125</v>
      </c>
    </row>
    <row r="10" spans="2:48" x14ac:dyDescent="0.2">
      <c r="B10" s="20" t="s">
        <v>7</v>
      </c>
      <c r="C10" s="33">
        <v>250</v>
      </c>
      <c r="D10" s="20" t="s">
        <v>8</v>
      </c>
      <c r="F10" s="40" t="s">
        <v>124</v>
      </c>
      <c r="G10" s="41"/>
      <c r="H10" s="41"/>
      <c r="J10" s="20" t="s">
        <v>35</v>
      </c>
      <c r="K10" s="20">
        <f xml:space="preserve"> (G8 + G19 + G24 + G35 + G42)/60</f>
        <v>19.344818515808399</v>
      </c>
      <c r="L10" s="20" t="s">
        <v>164</v>
      </c>
      <c r="AB10" s="8">
        <v>6</v>
      </c>
      <c r="AC10" s="8">
        <f t="shared" si="7"/>
        <v>9.375E-2</v>
      </c>
      <c r="AD10" s="8">
        <f t="shared" si="0"/>
        <v>8.4217581800616337E-3</v>
      </c>
      <c r="AE10" s="8">
        <f t="shared" si="8"/>
        <v>0.109375</v>
      </c>
      <c r="AF10" s="8">
        <f t="shared" si="1"/>
        <v>-8.0336437017142492E-3</v>
      </c>
      <c r="AG10" s="8">
        <f t="shared" si="2"/>
        <v>0.1015625</v>
      </c>
      <c r="AH10" s="8">
        <f t="shared" si="3"/>
        <v>2.0510801680151403E-4</v>
      </c>
      <c r="AI10" s="8">
        <f t="shared" si="4"/>
        <v>1.7273701182943698E-6</v>
      </c>
      <c r="AJ10" s="8">
        <f t="shared" si="5"/>
        <v>-1.6477647273485835E-6</v>
      </c>
      <c r="AK10" s="8">
        <f t="shared" si="6"/>
        <v>1.5625E-2</v>
      </c>
      <c r="AM10" s="8">
        <v>6</v>
      </c>
      <c r="AN10" s="8">
        <f t="shared" si="13"/>
        <v>875</v>
      </c>
      <c r="AO10" s="8">
        <v>-1.4523282816455776</v>
      </c>
      <c r="AP10" s="8">
        <f t="shared" si="14"/>
        <v>937.5</v>
      </c>
      <c r="AQ10" s="8">
        <v>24.719582373436992</v>
      </c>
      <c r="AR10" s="8">
        <f t="shared" si="9"/>
        <v>906.25</v>
      </c>
      <c r="AS10" s="8">
        <v>11.777479138262777</v>
      </c>
      <c r="AT10" s="8">
        <f t="shared" si="10"/>
        <v>-17.104766038989816</v>
      </c>
      <c r="AU10" s="8">
        <f t="shared" si="11"/>
        <v>291.13436570972243</v>
      </c>
      <c r="AV10" s="8">
        <f t="shared" si="12"/>
        <v>62.5</v>
      </c>
    </row>
    <row r="11" spans="2:48" x14ac:dyDescent="0.2">
      <c r="B11" s="20" t="s">
        <v>9</v>
      </c>
      <c r="C11" s="33">
        <v>0.85</v>
      </c>
      <c r="F11" s="4" t="s">
        <v>154</v>
      </c>
      <c r="G11" s="1">
        <f>$C$17</f>
        <v>30</v>
      </c>
      <c r="H11" t="s">
        <v>16</v>
      </c>
      <c r="N11" s="38" t="s">
        <v>101</v>
      </c>
      <c r="O11" s="39"/>
      <c r="P11" s="39"/>
      <c r="R11" s="38" t="s">
        <v>101</v>
      </c>
      <c r="S11" s="39"/>
      <c r="T11" s="39"/>
      <c r="V11" s="38" t="s">
        <v>101</v>
      </c>
      <c r="W11" s="39"/>
      <c r="X11" s="39"/>
      <c r="AB11" s="8">
        <v>7</v>
      </c>
      <c r="AC11" s="8">
        <f t="shared" si="7"/>
        <v>0.1015625</v>
      </c>
      <c r="AD11" s="8">
        <f t="shared" si="0"/>
        <v>2.0510801680151403E-4</v>
      </c>
      <c r="AE11" s="8">
        <f t="shared" si="8"/>
        <v>0.109375</v>
      </c>
      <c r="AF11" s="8">
        <f t="shared" si="1"/>
        <v>-8.0336437017142492E-3</v>
      </c>
      <c r="AG11" s="8">
        <f t="shared" si="2"/>
        <v>0.10546875</v>
      </c>
      <c r="AH11" s="8">
        <f t="shared" si="3"/>
        <v>-3.9116230391303686E-3</v>
      </c>
      <c r="AI11" s="8">
        <f t="shared" si="4"/>
        <v>-8.0230524403114095E-7</v>
      </c>
      <c r="AJ11" s="8">
        <f t="shared" si="5"/>
        <v>3.1424585791790037E-5</v>
      </c>
      <c r="AK11" s="8">
        <f t="shared" si="6"/>
        <v>7.8125E-3</v>
      </c>
      <c r="AM11" s="8">
        <v>7</v>
      </c>
      <c r="AN11" s="8">
        <f t="shared" si="13"/>
        <v>875</v>
      </c>
      <c r="AO11" s="8">
        <v>-1.4523282816455776</v>
      </c>
      <c r="AP11" s="8">
        <f t="shared" si="14"/>
        <v>906.25</v>
      </c>
      <c r="AQ11" s="8">
        <v>11.777479138262777</v>
      </c>
      <c r="AR11" s="8">
        <f t="shared" si="9"/>
        <v>890.625</v>
      </c>
      <c r="AS11" s="8">
        <v>5.1986486705494599</v>
      </c>
      <c r="AT11" s="8">
        <f t="shared" si="10"/>
        <v>-7.5501444905781634</v>
      </c>
      <c r="AU11" s="8">
        <f t="shared" si="11"/>
        <v>61.226976264553784</v>
      </c>
      <c r="AV11" s="8">
        <f t="shared" si="12"/>
        <v>31.25</v>
      </c>
    </row>
    <row r="12" spans="2:48" x14ac:dyDescent="0.2">
      <c r="B12" s="20" t="s">
        <v>10</v>
      </c>
      <c r="C12" s="33">
        <v>0.8</v>
      </c>
      <c r="F12" t="s">
        <v>126</v>
      </c>
      <c r="G12" s="1">
        <v>2.54</v>
      </c>
      <c r="H12" t="s">
        <v>16</v>
      </c>
      <c r="J12" s="38" t="s">
        <v>73</v>
      </c>
      <c r="K12" s="38"/>
      <c r="L12" s="38"/>
      <c r="N12" s="20" t="s">
        <v>102</v>
      </c>
      <c r="O12" s="20">
        <f>SQRT((O8*COS(G16/180*PI()))^2 + (O8*SIN(G16/180*PI())+$C$15*$C$26)^2)</f>
        <v>8846.7003354452827</v>
      </c>
      <c r="P12" s="20" t="s">
        <v>31</v>
      </c>
      <c r="R12" s="20" t="s">
        <v>102</v>
      </c>
      <c r="S12" s="20">
        <f xml:space="preserve"> SQRT( ($C$15*$C$26)^2 + S8^2)</f>
        <v>8729.3736442299269</v>
      </c>
      <c r="T12" s="20" t="s">
        <v>31</v>
      </c>
      <c r="V12" s="20" t="s">
        <v>102</v>
      </c>
      <c r="W12" s="20">
        <f xml:space="preserve"> SQRT( (W8*COS(G32/180*PI()))^2 + ($C$15*$C$26 - W8*SIN(G32/180*PI()))^2 )</f>
        <v>8658.2145190461251</v>
      </c>
      <c r="X12" s="20" t="s">
        <v>31</v>
      </c>
      <c r="AB12" s="8">
        <v>8</v>
      </c>
      <c r="AC12" s="8">
        <f t="shared" si="7"/>
        <v>0.1015625</v>
      </c>
      <c r="AD12" s="8">
        <f t="shared" si="0"/>
        <v>2.0510801680151403E-4</v>
      </c>
      <c r="AE12" s="8">
        <f t="shared" si="8"/>
        <v>0.10546875</v>
      </c>
      <c r="AF12" s="8">
        <f t="shared" si="1"/>
        <v>-3.9116230391303686E-3</v>
      </c>
      <c r="AG12" s="8">
        <f t="shared" si="2"/>
        <v>0.103515625</v>
      </c>
      <c r="AH12" s="8">
        <f t="shared" si="3"/>
        <v>-1.8525815402952728E-3</v>
      </c>
      <c r="AI12" s="8">
        <f t="shared" si="4"/>
        <v>-3.7997932569305753E-7</v>
      </c>
      <c r="AJ12" s="8">
        <f t="shared" si="5"/>
        <v>7.2466006348866146E-6</v>
      </c>
      <c r="AK12" s="8">
        <f t="shared" si="6"/>
        <v>3.90625E-3</v>
      </c>
      <c r="AM12" s="8">
        <v>8</v>
      </c>
      <c r="AN12" s="8">
        <f t="shared" si="13"/>
        <v>875</v>
      </c>
      <c r="AO12" s="8">
        <v>-1.4523282816455776</v>
      </c>
      <c r="AP12" s="8">
        <f t="shared" si="14"/>
        <v>890.625</v>
      </c>
      <c r="AQ12" s="8">
        <v>5.1986486705494599</v>
      </c>
      <c r="AR12" s="8">
        <f t="shared" si="9"/>
        <v>882.8125</v>
      </c>
      <c r="AS12" s="8">
        <v>1.8821912736588615</v>
      </c>
      <c r="AT12" s="8">
        <f t="shared" si="10"/>
        <v>-2.7335596182012756</v>
      </c>
      <c r="AU12" s="8">
        <f t="shared" si="11"/>
        <v>9.7848511625264347</v>
      </c>
      <c r="AV12" s="8">
        <f t="shared" si="12"/>
        <v>15.625</v>
      </c>
    </row>
    <row r="13" spans="2:48" x14ac:dyDescent="0.2">
      <c r="F13" t="s">
        <v>125</v>
      </c>
      <c r="G13" s="1">
        <v>304.8</v>
      </c>
      <c r="H13" t="s">
        <v>14</v>
      </c>
      <c r="J13" s="26" t="s">
        <v>109</v>
      </c>
      <c r="K13" s="20">
        <f>C15</f>
        <v>878.3974792513618</v>
      </c>
      <c r="L13" s="20" t="s">
        <v>12</v>
      </c>
      <c r="N13" s="20" t="s">
        <v>156</v>
      </c>
      <c r="O13" s="20">
        <f>ACOS(O8*COS(G16/180*PI())/O12) /PI() *180</f>
        <v>80.837878430275694</v>
      </c>
      <c r="P13" s="20" t="s">
        <v>62</v>
      </c>
      <c r="R13" s="20" t="s">
        <v>103</v>
      </c>
      <c r="S13" s="20">
        <f>$C$15*$C$26/S12</f>
        <v>0.98679893781316941</v>
      </c>
      <c r="V13" s="20" t="s">
        <v>156</v>
      </c>
      <c r="W13" s="20">
        <f xml:space="preserve"> ACOS(W8*COS(G32/180*PI())/W12) /PI() * 180</f>
        <v>80.614843805165762</v>
      </c>
      <c r="X13" s="20" t="s">
        <v>62</v>
      </c>
      <c r="AB13" s="8">
        <v>9</v>
      </c>
      <c r="AC13" s="8">
        <f t="shared" si="7"/>
        <v>0.1015625</v>
      </c>
      <c r="AD13" s="8">
        <f t="shared" si="0"/>
        <v>2.0510801680151403E-4</v>
      </c>
      <c r="AE13" s="8">
        <f t="shared" si="8"/>
        <v>0.103515625</v>
      </c>
      <c r="AF13" s="8">
        <f t="shared" si="1"/>
        <v>-1.8525815402952728E-3</v>
      </c>
      <c r="AG13" s="8">
        <f t="shared" si="2"/>
        <v>0.1025390625</v>
      </c>
      <c r="AH13" s="8">
        <f t="shared" si="3"/>
        <v>-8.2356592479095048E-4</v>
      </c>
      <c r="AI13" s="8">
        <f t="shared" si="4"/>
        <v>-1.6891997353917672E-7</v>
      </c>
      <c r="AJ13" s="8">
        <f t="shared" si="5"/>
        <v>1.5257230294839197E-6</v>
      </c>
      <c r="AK13" s="8">
        <f t="shared" si="6"/>
        <v>1.953125E-3</v>
      </c>
      <c r="AM13" s="8">
        <v>9</v>
      </c>
      <c r="AN13" s="8">
        <f t="shared" si="13"/>
        <v>875</v>
      </c>
      <c r="AO13" s="8">
        <v>-1.4523282816455776</v>
      </c>
      <c r="AP13" s="8">
        <f t="shared" si="14"/>
        <v>882.8125</v>
      </c>
      <c r="AQ13" s="8">
        <v>1.8821912736588615</v>
      </c>
      <c r="AR13" s="8">
        <f t="shared" si="9"/>
        <v>878.90625</v>
      </c>
      <c r="AS13" s="8">
        <v>0.21719095345900996</v>
      </c>
      <c r="AT13" s="8">
        <f t="shared" si="10"/>
        <v>-0.31543256422608856</v>
      </c>
      <c r="AU13" s="8">
        <f t="shared" si="11"/>
        <v>0.40879491731819645</v>
      </c>
      <c r="AV13" s="8">
        <f t="shared" si="12"/>
        <v>7.8125</v>
      </c>
    </row>
    <row r="14" spans="2:48" x14ac:dyDescent="0.2">
      <c r="B14" s="37" t="s">
        <v>11</v>
      </c>
      <c r="C14" s="37"/>
      <c r="D14" s="37"/>
      <c r="F14" t="s">
        <v>127</v>
      </c>
      <c r="G14" s="24">
        <f>SQRT($G$11^2-$G$12^2)</f>
        <v>29.892279939810546</v>
      </c>
      <c r="H14" t="s">
        <v>16</v>
      </c>
      <c r="J14" s="27" t="s">
        <v>74</v>
      </c>
      <c r="K14" s="20">
        <f xml:space="preserve"> K9 * 1000 / ($C$10 * $C$11 * $C$12)</f>
        <v>214.45262691842265</v>
      </c>
      <c r="L14" s="20" t="s">
        <v>12</v>
      </c>
      <c r="AB14" s="8">
        <v>10</v>
      </c>
      <c r="AC14" s="8">
        <f t="shared" si="7"/>
        <v>0.1015625</v>
      </c>
      <c r="AD14" s="8">
        <f t="shared" si="0"/>
        <v>2.0510801680151403E-4</v>
      </c>
      <c r="AE14" s="8">
        <f t="shared" si="8"/>
        <v>0.1025390625</v>
      </c>
      <c r="AF14" s="8">
        <f t="shared" si="1"/>
        <v>-8.2356592479095048E-4</v>
      </c>
      <c r="AG14" s="8">
        <f t="shared" si="2"/>
        <v>0.10205078125</v>
      </c>
      <c r="AH14" s="8">
        <f t="shared" si="3"/>
        <v>-3.0918601439960947E-4</v>
      </c>
      <c r="AI14" s="8">
        <f t="shared" si="4"/>
        <v>-6.3416530236268254E-8</v>
      </c>
      <c r="AJ14" s="8">
        <f t="shared" si="5"/>
        <v>2.546350658814425E-7</v>
      </c>
      <c r="AK14" s="8">
        <f t="shared" si="6"/>
        <v>9.765625E-4</v>
      </c>
      <c r="AM14" s="8">
        <v>10</v>
      </c>
      <c r="AN14" s="8">
        <f t="shared" si="13"/>
        <v>875</v>
      </c>
      <c r="AO14" s="8">
        <v>-1.4523282816455776</v>
      </c>
      <c r="AP14" s="8">
        <f t="shared" si="14"/>
        <v>878.90625</v>
      </c>
      <c r="AQ14" s="8">
        <v>0.21719095345900996</v>
      </c>
      <c r="AR14" s="8">
        <f t="shared" si="9"/>
        <v>876.953125</v>
      </c>
      <c r="AS14" s="8">
        <v>-0.61700269665567475</v>
      </c>
      <c r="AT14" s="8">
        <f t="shared" si="10"/>
        <v>0.89609046620462363</v>
      </c>
      <c r="AU14" s="8">
        <f t="shared" si="11"/>
        <v>-0.13400740397342631</v>
      </c>
      <c r="AV14" s="8">
        <f t="shared" si="12"/>
        <v>3.90625</v>
      </c>
    </row>
    <row r="15" spans="2:48" x14ac:dyDescent="0.2">
      <c r="B15" s="26" t="s">
        <v>54</v>
      </c>
      <c r="C15" s="26">
        <f>AR44</f>
        <v>878.3974792513618</v>
      </c>
      <c r="D15" s="26" t="s">
        <v>12</v>
      </c>
      <c r="F15" t="s">
        <v>128</v>
      </c>
      <c r="G15" s="24">
        <f>$G$14*($G$13/$G$12)</f>
        <v>3587.0735927772657</v>
      </c>
      <c r="H15" t="s">
        <v>14</v>
      </c>
      <c r="J15" s="28" t="s">
        <v>75</v>
      </c>
      <c r="K15" s="20">
        <f xml:space="preserve"> $C$27 * ($C$5 * 0.144 * (2*$C$16*3.28084 * (K5*0.00134102) * 4^0.5)^0.782 * 0.453592)</f>
        <v>39.910894406233155</v>
      </c>
      <c r="L15" s="20" t="s">
        <v>12</v>
      </c>
      <c r="AB15" s="8">
        <v>11</v>
      </c>
      <c r="AC15" s="8">
        <f t="shared" si="7"/>
        <v>0.1015625</v>
      </c>
      <c r="AD15" s="8">
        <f t="shared" si="0"/>
        <v>2.0510801680151403E-4</v>
      </c>
      <c r="AE15" s="8">
        <f t="shared" si="8"/>
        <v>0.10205078125</v>
      </c>
      <c r="AF15" s="8">
        <f t="shared" si="1"/>
        <v>-3.0918601439960947E-4</v>
      </c>
      <c r="AG15" s="8">
        <f t="shared" si="2"/>
        <v>0.101806640625</v>
      </c>
      <c r="AH15" s="8">
        <f t="shared" si="3"/>
        <v>-5.2028235118128929E-5</v>
      </c>
      <c r="AI15" s="8">
        <f t="shared" si="4"/>
        <v>-1.0671408122762311E-8</v>
      </c>
      <c r="AJ15" s="8">
        <f t="shared" si="5"/>
        <v>1.6086402652420078E-8</v>
      </c>
      <c r="AK15" s="8">
        <f t="shared" si="6"/>
        <v>4.8828125E-4</v>
      </c>
      <c r="AM15" s="8">
        <v>11</v>
      </c>
      <c r="AN15" s="8">
        <f t="shared" si="13"/>
        <v>876.953125</v>
      </c>
      <c r="AO15" s="8">
        <v>-0.61700269665567475</v>
      </c>
      <c r="AP15" s="8">
        <f t="shared" si="14"/>
        <v>878.90625</v>
      </c>
      <c r="AQ15" s="8">
        <v>0.21719095345900996</v>
      </c>
      <c r="AR15" s="8">
        <f t="shared" si="9"/>
        <v>877.9296875</v>
      </c>
      <c r="AS15" s="8">
        <v>-0.19976417243691458</v>
      </c>
      <c r="AT15" s="8">
        <f t="shared" si="10"/>
        <v>0.12325503308876551</v>
      </c>
      <c r="AU15" s="8">
        <f t="shared" si="11"/>
        <v>-4.3386971078523552E-2</v>
      </c>
      <c r="AV15" s="8">
        <f t="shared" si="12"/>
        <v>1.953125</v>
      </c>
    </row>
    <row r="16" spans="2:48" x14ac:dyDescent="0.2">
      <c r="B16" s="20" t="s">
        <v>13</v>
      </c>
      <c r="C16" s="33">
        <v>1</v>
      </c>
      <c r="D16" s="20" t="s">
        <v>14</v>
      </c>
      <c r="F16" t="s">
        <v>152</v>
      </c>
      <c r="G16" s="24">
        <f>ATAN(G12/G14)/PI()*180</f>
        <v>4.8568571798064104</v>
      </c>
      <c r="H16" t="s">
        <v>62</v>
      </c>
      <c r="J16" s="29" t="s">
        <v>76</v>
      </c>
      <c r="K16" s="20">
        <f xml:space="preserve"> 0.2138 * (K4/1000)</f>
        <v>34.324515362018126</v>
      </c>
      <c r="L16" s="20" t="s">
        <v>12</v>
      </c>
      <c r="N16" s="38" t="s">
        <v>40</v>
      </c>
      <c r="O16" s="39"/>
      <c r="P16" s="39"/>
      <c r="R16" s="38" t="s">
        <v>40</v>
      </c>
      <c r="S16" s="39"/>
      <c r="T16" s="39"/>
      <c r="V16" s="38" t="s">
        <v>40</v>
      </c>
      <c r="W16" s="39"/>
      <c r="X16" s="39"/>
      <c r="AB16" s="8">
        <v>12</v>
      </c>
      <c r="AC16" s="8">
        <f t="shared" si="7"/>
        <v>0.1015625</v>
      </c>
      <c r="AD16" s="8">
        <f t="shared" si="0"/>
        <v>2.0510801680151403E-4</v>
      </c>
      <c r="AE16" s="8">
        <f t="shared" si="8"/>
        <v>0.101806640625</v>
      </c>
      <c r="AF16" s="8">
        <f t="shared" si="1"/>
        <v>-5.2028235118128929E-5</v>
      </c>
      <c r="AG16" s="8">
        <f t="shared" si="2"/>
        <v>0.1016845703125</v>
      </c>
      <c r="AH16" s="8">
        <f t="shared" si="3"/>
        <v>7.6542585358885251E-5</v>
      </c>
      <c r="AI16" s="8">
        <f t="shared" si="4"/>
        <v>1.5699497883821557E-8</v>
      </c>
      <c r="AJ16" s="8">
        <f t="shared" si="5"/>
        <v>-3.982375627601535E-9</v>
      </c>
      <c r="AK16" s="8">
        <f t="shared" si="6"/>
        <v>2.44140625E-4</v>
      </c>
      <c r="AM16" s="8">
        <v>12</v>
      </c>
      <c r="AN16" s="8">
        <f t="shared" si="13"/>
        <v>877.9296875</v>
      </c>
      <c r="AO16" s="8">
        <v>-0.19976417243691458</v>
      </c>
      <c r="AP16" s="8">
        <f t="shared" si="14"/>
        <v>878.90625</v>
      </c>
      <c r="AQ16" s="8">
        <v>0.21719095345900996</v>
      </c>
      <c r="AR16" s="8">
        <f t="shared" si="9"/>
        <v>878.41796875</v>
      </c>
      <c r="AS16" s="8">
        <v>8.7482305624462242E-3</v>
      </c>
      <c r="AT16" s="8">
        <f t="shared" si="10"/>
        <v>-1.7475830385943938E-3</v>
      </c>
      <c r="AU16" s="8">
        <f t="shared" si="11"/>
        <v>1.9000365369369464E-3</v>
      </c>
      <c r="AV16" s="8">
        <f t="shared" si="12"/>
        <v>0.9765625</v>
      </c>
    </row>
    <row r="17" spans="2:48" x14ac:dyDescent="0.2">
      <c r="B17" s="20" t="s">
        <v>15</v>
      </c>
      <c r="C17" s="33">
        <v>30</v>
      </c>
      <c r="D17" s="20" t="s">
        <v>16</v>
      </c>
      <c r="F17" t="s">
        <v>155</v>
      </c>
      <c r="G17" s="20">
        <f xml:space="preserve"> 1/1000 * (O22 + O18 * (O27 * O24 + $G$11 * SIN(O17/180*PI())))</f>
        <v>18.508209621448398</v>
      </c>
      <c r="H17" t="s">
        <v>162</v>
      </c>
      <c r="J17" s="29" t="s">
        <v>107</v>
      </c>
      <c r="K17" s="20">
        <f xml:space="preserve"> 2.20462 * (49.9/398 * (K5/1000 - 2) + 0.1) * 0.453592 * $C$5</f>
        <v>19.073313980096984</v>
      </c>
      <c r="L17" s="20" t="s">
        <v>12</v>
      </c>
      <c r="N17" s="20" t="s">
        <v>41</v>
      </c>
      <c r="O17" s="20">
        <f xml:space="preserve"> 90 + G16 - O13</f>
        <v>14.018978749530717</v>
      </c>
      <c r="P17" s="20" t="s">
        <v>62</v>
      </c>
      <c r="R17" s="20" t="s">
        <v>41</v>
      </c>
      <c r="S17" s="20">
        <f xml:space="preserve"> ACOS(S13)/PI()*180</f>
        <v>9.3201090011339485</v>
      </c>
      <c r="T17" s="20" t="s">
        <v>62</v>
      </c>
      <c r="V17" s="20" t="s">
        <v>41</v>
      </c>
      <c r="W17" s="20">
        <f>90-G32-W13</f>
        <v>6.4732772600655295</v>
      </c>
      <c r="X17" s="20" t="s">
        <v>62</v>
      </c>
      <c r="AB17" s="8">
        <v>13</v>
      </c>
      <c r="AC17" s="8">
        <f t="shared" si="7"/>
        <v>0.1016845703125</v>
      </c>
      <c r="AD17" s="8">
        <f t="shared" si="0"/>
        <v>7.6542585358885251E-5</v>
      </c>
      <c r="AE17" s="8">
        <f t="shared" si="8"/>
        <v>0.101806640625</v>
      </c>
      <c r="AF17" s="8">
        <f t="shared" si="1"/>
        <v>-5.2028235118128929E-5</v>
      </c>
      <c r="AG17" s="8">
        <f t="shared" si="2"/>
        <v>0.10174560546875</v>
      </c>
      <c r="AH17" s="8">
        <f t="shared" si="3"/>
        <v>1.2257848300084584E-5</v>
      </c>
      <c r="AI17" s="8">
        <f t="shared" si="4"/>
        <v>9.3824739982549068E-10</v>
      </c>
      <c r="AJ17" s="8">
        <f t="shared" si="5"/>
        <v>-6.3775421339915773E-10</v>
      </c>
      <c r="AK17" s="8">
        <f t="shared" si="6"/>
        <v>1.220703125E-4</v>
      </c>
      <c r="AM17" s="8">
        <v>13</v>
      </c>
      <c r="AN17" s="8">
        <f t="shared" si="13"/>
        <v>877.9296875</v>
      </c>
      <c r="AO17" s="8">
        <v>-0.19976417243691458</v>
      </c>
      <c r="AP17" s="8">
        <f t="shared" si="14"/>
        <v>878.41796875</v>
      </c>
      <c r="AQ17" s="8">
        <v>8.7482305624462242E-3</v>
      </c>
      <c r="AR17" s="8">
        <f t="shared" si="9"/>
        <v>878.173828125</v>
      </c>
      <c r="AS17" s="8">
        <v>-9.5498594177627183E-2</v>
      </c>
      <c r="AT17" s="8">
        <f t="shared" si="10"/>
        <v>1.9077197634782442E-2</v>
      </c>
      <c r="AU17" s="8">
        <f t="shared" si="11"/>
        <v>-8.3544372025536712E-4</v>
      </c>
      <c r="AV17" s="8">
        <f t="shared" si="12"/>
        <v>0.48828125</v>
      </c>
    </row>
    <row r="18" spans="2:48" x14ac:dyDescent="0.2">
      <c r="B18" s="20" t="s">
        <v>100</v>
      </c>
      <c r="C18" s="33">
        <v>0.3</v>
      </c>
      <c r="F18" t="s">
        <v>129</v>
      </c>
      <c r="G18" s="24">
        <f>$C$5*G17</f>
        <v>129.55746735013878</v>
      </c>
      <c r="H18" t="s">
        <v>162</v>
      </c>
      <c r="J18" s="30" t="s">
        <v>84</v>
      </c>
      <c r="K18" s="20">
        <f xml:space="preserve"> $C$27 * (14.86 * ($C$15*2.20462)^0.144 * (6.7/(PI()*1.8))^0.778 * (6.7*3.28084)^0.383 * 4^0.455 * 0.453592)</f>
        <v>112.29322740776122</v>
      </c>
      <c r="L18" s="20" t="s">
        <v>12</v>
      </c>
      <c r="N18" s="20" t="s">
        <v>30</v>
      </c>
      <c r="O18" s="20">
        <f xml:space="preserve"> O12 / $C$5</f>
        <v>1263.8143336350404</v>
      </c>
      <c r="P18" s="20" t="s">
        <v>31</v>
      </c>
      <c r="R18" s="20" t="s">
        <v>30</v>
      </c>
      <c r="S18" s="20">
        <f xml:space="preserve"> S12 / $C$5</f>
        <v>1247.0533777471323</v>
      </c>
      <c r="T18" s="20" t="s">
        <v>31</v>
      </c>
      <c r="V18" s="20" t="s">
        <v>30</v>
      </c>
      <c r="W18" s="20">
        <f xml:space="preserve"> W12 / $C$5</f>
        <v>1236.8877884351607</v>
      </c>
      <c r="X18" s="20" t="s">
        <v>31</v>
      </c>
      <c r="AB18" s="8">
        <v>14</v>
      </c>
      <c r="AC18" s="8">
        <f t="shared" si="7"/>
        <v>0.10174560546875</v>
      </c>
      <c r="AD18" s="8">
        <f t="shared" si="0"/>
        <v>1.2257848300084584E-5</v>
      </c>
      <c r="AE18" s="8">
        <f t="shared" si="8"/>
        <v>0.101806640625</v>
      </c>
      <c r="AF18" s="8">
        <f t="shared" si="1"/>
        <v>-5.2028235118128929E-5</v>
      </c>
      <c r="AG18" s="8">
        <f t="shared" si="2"/>
        <v>0.101776123046875</v>
      </c>
      <c r="AH18" s="8">
        <f t="shared" si="3"/>
        <v>-1.9885025170293669E-5</v>
      </c>
      <c r="AI18" s="8">
        <f t="shared" si="4"/>
        <v>-2.4374762198082342E-10</v>
      </c>
      <c r="AJ18" s="8">
        <f t="shared" si="5"/>
        <v>1.0345827648899508E-9</v>
      </c>
      <c r="AK18" s="8">
        <f t="shared" si="6"/>
        <v>6.103515625E-5</v>
      </c>
      <c r="AM18" s="8">
        <v>14</v>
      </c>
      <c r="AN18" s="8">
        <f t="shared" si="13"/>
        <v>878.173828125</v>
      </c>
      <c r="AO18" s="8">
        <v>-9.5498594177627183E-2</v>
      </c>
      <c r="AP18" s="8">
        <f t="shared" si="14"/>
        <v>878.41796875</v>
      </c>
      <c r="AQ18" s="8">
        <v>8.7482305624462242E-3</v>
      </c>
      <c r="AR18" s="8">
        <f t="shared" si="9"/>
        <v>878.2958984375</v>
      </c>
      <c r="AS18" s="8">
        <v>-4.33729130832603E-2</v>
      </c>
      <c r="AT18" s="8">
        <f t="shared" si="10"/>
        <v>4.142052224839772E-3</v>
      </c>
      <c r="AU18" s="8">
        <f t="shared" si="11"/>
        <v>-3.7943624381730145E-4</v>
      </c>
      <c r="AV18" s="8">
        <f t="shared" si="12"/>
        <v>0.244140625</v>
      </c>
    </row>
    <row r="19" spans="2:48" x14ac:dyDescent="0.2">
      <c r="F19" t="s">
        <v>130</v>
      </c>
      <c r="G19" s="24">
        <f>$G$13/$G$12</f>
        <v>120</v>
      </c>
      <c r="H19" t="s">
        <v>22</v>
      </c>
      <c r="J19" s="30" t="s">
        <v>85</v>
      </c>
      <c r="K19" s="20">
        <f xml:space="preserve"> $C$27 * (0.054 * (0.7*3.28084)^0.501 * ($C$15*2.20462*5.7)^0.684 * 0.453592)</f>
        <v>17.313909477599481</v>
      </c>
      <c r="L19" s="20" t="s">
        <v>12</v>
      </c>
      <c r="N19" s="20" t="s">
        <v>42</v>
      </c>
      <c r="O19" s="20">
        <f xml:space="preserve"> $G$11 * COS(O17/180*PI()) / ($C$18 * $C$16)</f>
        <v>97.021553843449738</v>
      </c>
      <c r="P19" s="20" t="s">
        <v>43</v>
      </c>
      <c r="R19" s="20" t="s">
        <v>42</v>
      </c>
      <c r="S19" s="20">
        <f xml:space="preserve"> $C$17 * COS(S17/180*PI()) / ($C$18 * $C$16)</f>
        <v>98.679893781316949</v>
      </c>
      <c r="T19" s="20" t="s">
        <v>43</v>
      </c>
      <c r="V19" s="20" t="s">
        <v>42</v>
      </c>
      <c r="W19" s="20">
        <f xml:space="preserve"> $G$27 * COS(W17/180*PI()) / ($C$18 * $C$16)</f>
        <v>99.362454556536534</v>
      </c>
      <c r="X19" s="20" t="s">
        <v>43</v>
      </c>
      <c r="AB19" s="8">
        <v>15</v>
      </c>
      <c r="AC19" s="8">
        <f t="shared" si="7"/>
        <v>0.10174560546875</v>
      </c>
      <c r="AD19" s="8">
        <f t="shared" si="0"/>
        <v>1.2257848300084584E-5</v>
      </c>
      <c r="AE19" s="8">
        <f t="shared" si="8"/>
        <v>0.101776123046875</v>
      </c>
      <c r="AF19" s="8">
        <f t="shared" si="1"/>
        <v>-1.9885025170293669E-5</v>
      </c>
      <c r="AG19" s="8">
        <f t="shared" si="2"/>
        <v>0.1017608642578125</v>
      </c>
      <c r="AH19" s="8">
        <f t="shared" si="3"/>
        <v>-3.8135463684002557E-6</v>
      </c>
      <c r="AI19" s="8">
        <f t="shared" si="4"/>
        <v>-4.6745872869188814E-11</v>
      </c>
      <c r="AJ19" s="8">
        <f t="shared" si="5"/>
        <v>7.58324655237211E-11</v>
      </c>
      <c r="AK19" s="8">
        <f t="shared" si="6"/>
        <v>3.0517578125E-5</v>
      </c>
      <c r="AM19" s="8">
        <v>15</v>
      </c>
      <c r="AN19" s="8">
        <f t="shared" si="13"/>
        <v>878.2958984375</v>
      </c>
      <c r="AO19" s="8">
        <v>-4.33729130832603E-2</v>
      </c>
      <c r="AP19" s="8">
        <f t="shared" si="14"/>
        <v>878.41796875</v>
      </c>
      <c r="AQ19" s="8">
        <v>8.7482305624462242E-3</v>
      </c>
      <c r="AR19" s="8">
        <f t="shared" si="9"/>
        <v>878.35693359375</v>
      </c>
      <c r="AS19" s="8">
        <v>-1.7311790606242994E-2</v>
      </c>
      <c r="AT19" s="8">
        <f t="shared" si="10"/>
        <v>7.5086278928017955E-4</v>
      </c>
      <c r="AU19" s="8">
        <f t="shared" si="11"/>
        <v>-1.514475356722044E-4</v>
      </c>
      <c r="AV19" s="8">
        <f t="shared" si="12"/>
        <v>0.1220703125</v>
      </c>
    </row>
    <row r="20" spans="2:48" x14ac:dyDescent="0.2">
      <c r="B20" s="37" t="s">
        <v>20</v>
      </c>
      <c r="C20" s="37"/>
      <c r="D20" s="37"/>
      <c r="J20" s="30" t="s">
        <v>86</v>
      </c>
      <c r="K20" s="20">
        <f xml:space="preserve"> $C$27 * 0</f>
        <v>0</v>
      </c>
      <c r="L20" s="20" t="s">
        <v>12</v>
      </c>
      <c r="N20" s="20" t="s">
        <v>45</v>
      </c>
      <c r="O20" s="20">
        <f xml:space="preserve"> O18 / ($C$25 * PI() * $C$16^2 * O19^2 * $C$16^2)</f>
        <v>3.4886778166318071E-2</v>
      </c>
      <c r="R20" s="20" t="s">
        <v>45</v>
      </c>
      <c r="S20" s="20">
        <f xml:space="preserve"> S18 / ($C$25 * PI() * $C$16^2 * S19^2 * $C$16^2)</f>
        <v>3.3276813670614074E-2</v>
      </c>
      <c r="V20" s="20" t="s">
        <v>45</v>
      </c>
      <c r="W20" s="20">
        <f xml:space="preserve"> W18 / ($C$25 * PI() * $C$16^2 * W19^2 * $C$16^2)</f>
        <v>3.2553652086949485E-2</v>
      </c>
      <c r="AB20" s="8">
        <v>16</v>
      </c>
      <c r="AC20" s="8">
        <f t="shared" si="7"/>
        <v>0.10174560546875</v>
      </c>
      <c r="AD20" s="8">
        <f t="shared" si="0"/>
        <v>1.2257848300084584E-5</v>
      </c>
      <c r="AE20" s="8">
        <f t="shared" si="8"/>
        <v>0.1017608642578125</v>
      </c>
      <c r="AF20" s="8">
        <f t="shared" si="1"/>
        <v>-3.8135463684002557E-6</v>
      </c>
      <c r="AG20" s="8">
        <f t="shared" si="2"/>
        <v>0.10175323486328125</v>
      </c>
      <c r="AH20" s="8">
        <f t="shared" si="3"/>
        <v>4.2221614834081489E-6</v>
      </c>
      <c r="AI20" s="8">
        <f t="shared" si="4"/>
        <v>5.1754614962077185E-11</v>
      </c>
      <c r="AJ20" s="8">
        <f t="shared" si="5"/>
        <v>-1.6101408591850584E-11</v>
      </c>
      <c r="AK20" s="8">
        <f t="shared" si="6"/>
        <v>1.52587890625E-5</v>
      </c>
      <c r="AM20" s="8">
        <v>16</v>
      </c>
      <c r="AN20" s="8">
        <f t="shared" si="13"/>
        <v>878.35693359375</v>
      </c>
      <c r="AO20" s="8">
        <v>-1.7311790606242994E-2</v>
      </c>
      <c r="AP20" s="8">
        <f t="shared" si="14"/>
        <v>878.41796875</v>
      </c>
      <c r="AQ20" s="8">
        <v>8.7482305624462242E-3</v>
      </c>
      <c r="AR20" s="8">
        <f t="shared" si="9"/>
        <v>878.387451171875</v>
      </c>
      <c r="AS20" s="8">
        <v>-4.2819081753577848E-3</v>
      </c>
      <c r="AT20" s="8">
        <f t="shared" si="10"/>
        <v>7.4127497726953975E-5</v>
      </c>
      <c r="AU20" s="8">
        <f t="shared" si="11"/>
        <v>-3.7459119965253316E-5</v>
      </c>
      <c r="AV20" s="8">
        <f t="shared" si="12"/>
        <v>6.103515625E-2</v>
      </c>
    </row>
    <row r="21" spans="2:48" x14ac:dyDescent="0.2">
      <c r="B21" s="20" t="s">
        <v>92</v>
      </c>
      <c r="C21" s="33">
        <v>400</v>
      </c>
      <c r="D21" s="20" t="s">
        <v>12</v>
      </c>
      <c r="F21" s="38" t="s">
        <v>118</v>
      </c>
      <c r="G21" s="43"/>
      <c r="H21" s="43"/>
      <c r="J21" s="30" t="s">
        <v>87</v>
      </c>
      <c r="K21" s="20">
        <f xml:space="preserve"> $C$27 * 0</f>
        <v>0</v>
      </c>
      <c r="L21" s="20" t="s">
        <v>12</v>
      </c>
      <c r="N21" s="20" t="s">
        <v>4</v>
      </c>
      <c r="O21" s="33">
        <v>1.2E-2</v>
      </c>
      <c r="R21" s="20" t="s">
        <v>4</v>
      </c>
      <c r="S21" s="33">
        <v>1.2E-2</v>
      </c>
      <c r="V21" s="20" t="s">
        <v>4</v>
      </c>
      <c r="W21" s="33">
        <v>1.2E-2</v>
      </c>
      <c r="AB21" s="8">
        <v>17</v>
      </c>
      <c r="AC21" s="8">
        <f t="shared" si="7"/>
        <v>0.10175323486328125</v>
      </c>
      <c r="AD21" s="8">
        <f t="shared" si="0"/>
        <v>4.2221614834081489E-6</v>
      </c>
      <c r="AE21" s="8">
        <f t="shared" si="8"/>
        <v>0.1017608642578125</v>
      </c>
      <c r="AF21" s="8">
        <f t="shared" si="1"/>
        <v>-3.8135463684002557E-6</v>
      </c>
      <c r="AG21" s="8">
        <f t="shared" si="2"/>
        <v>0.10175704956054688</v>
      </c>
      <c r="AH21" s="8">
        <f t="shared" si="3"/>
        <v>2.0431018676880797E-7</v>
      </c>
      <c r="AI21" s="8">
        <f t="shared" si="4"/>
        <v>8.626306012431862E-13</v>
      </c>
      <c r="AJ21" s="8">
        <f t="shared" si="5"/>
        <v>-7.7914637077936565E-13</v>
      </c>
      <c r="AK21" s="8">
        <f t="shared" si="6"/>
        <v>7.62939453125E-6</v>
      </c>
      <c r="AM21" s="8">
        <v>17</v>
      </c>
      <c r="AN21" s="8">
        <f t="shared" si="13"/>
        <v>878.387451171875</v>
      </c>
      <c r="AO21" s="8">
        <v>-4.2819081753577848E-3</v>
      </c>
      <c r="AP21" s="8">
        <f t="shared" si="14"/>
        <v>878.41796875</v>
      </c>
      <c r="AQ21" s="8">
        <v>8.7482305624462242E-3</v>
      </c>
      <c r="AR21" s="8">
        <f t="shared" si="9"/>
        <v>878.4027099609375</v>
      </c>
      <c r="AS21" s="8">
        <v>2.2340279604691204E-3</v>
      </c>
      <c r="AT21" s="8">
        <f t="shared" si="10"/>
        <v>-9.5659025879106048E-6</v>
      </c>
      <c r="AU21" s="8">
        <f t="shared" si="11"/>
        <v>1.9543791681135364E-5</v>
      </c>
      <c r="AV21" s="8">
        <f t="shared" si="12"/>
        <v>3.0517578125E-2</v>
      </c>
    </row>
    <row r="22" spans="2:48" x14ac:dyDescent="0.2">
      <c r="B22" s="20" t="s">
        <v>21</v>
      </c>
      <c r="C22" s="33">
        <v>30000</v>
      </c>
      <c r="D22" s="20" t="s">
        <v>14</v>
      </c>
      <c r="F22" s="25" t="s">
        <v>32</v>
      </c>
      <c r="G22" s="20">
        <f xml:space="preserve"> 1/1000 * (S22 + S18 * (S24 * S27 + $C$17 * SIN(S17/180*PI())))</f>
        <v>15.289000656746548</v>
      </c>
      <c r="H22" s="20" t="s">
        <v>162</v>
      </c>
      <c r="J22" s="31" t="s">
        <v>88</v>
      </c>
      <c r="K22" s="20">
        <f xml:space="preserve"> $C$27 * (0.0268 * $C$15)</f>
        <v>18.832841955149199</v>
      </c>
      <c r="L22" s="20" t="s">
        <v>12</v>
      </c>
      <c r="N22" s="20" t="s">
        <v>46</v>
      </c>
      <c r="O22" s="20">
        <f xml:space="preserve"> ($C$6 * O21 / 8) * (1 + 4.65 *$C$18^ 2) * ( PI() * $C$25 * O19^3 *$C$16^ 5)</f>
        <v>972.19770198900653</v>
      </c>
      <c r="P22" s="20" t="s">
        <v>29</v>
      </c>
      <c r="R22" s="20" t="s">
        <v>46</v>
      </c>
      <c r="S22" s="20">
        <f xml:space="preserve"> ($C$6 * S21 / 8) * (1 + 4.65 *$C$18^ 2) * ( PI() * $C$25 * S19^3 *$C$16^ 5)</f>
        <v>1022.9064872987674</v>
      </c>
      <c r="T22" s="20" t="s">
        <v>29</v>
      </c>
      <c r="V22" s="20" t="s">
        <v>46</v>
      </c>
      <c r="W22" s="20">
        <f xml:space="preserve"> ($C$6 * W21 / 8) * (1 + 4.65 *$C$18^ 2) * ( PI() * $C$25 * W19^3 *$C$16^ 5)</f>
        <v>1044.2797270687579</v>
      </c>
      <c r="X22" s="20" t="s">
        <v>29</v>
      </c>
      <c r="AB22" s="8">
        <v>18</v>
      </c>
      <c r="AC22" s="8">
        <f t="shared" si="7"/>
        <v>0.10175704956054688</v>
      </c>
      <c r="AD22" s="8">
        <f t="shared" si="0"/>
        <v>2.0431018676880797E-7</v>
      </c>
      <c r="AE22" s="8">
        <f t="shared" si="8"/>
        <v>0.1017608642578125</v>
      </c>
      <c r="AF22" s="8">
        <f t="shared" si="1"/>
        <v>-3.8135463684002557E-6</v>
      </c>
      <c r="AG22" s="8">
        <f t="shared" si="2"/>
        <v>0.10175895690917969</v>
      </c>
      <c r="AH22" s="8">
        <f t="shared" si="3"/>
        <v>-1.8046174334873655E-6</v>
      </c>
      <c r="AI22" s="8">
        <f t="shared" si="4"/>
        <v>-3.6870172488205055E-13</v>
      </c>
      <c r="AJ22" s="8">
        <f t="shared" si="5"/>
        <v>6.8819922598275329E-12</v>
      </c>
      <c r="AK22" s="8">
        <f t="shared" si="6"/>
        <v>3.814697265625E-6</v>
      </c>
      <c r="AM22" s="8">
        <v>18</v>
      </c>
      <c r="AN22" s="8">
        <f t="shared" si="13"/>
        <v>878.387451171875</v>
      </c>
      <c r="AO22" s="8">
        <v>-4.2819081753577848E-3</v>
      </c>
      <c r="AP22" s="8">
        <f t="shared" si="14"/>
        <v>878.4027099609375</v>
      </c>
      <c r="AQ22" s="8">
        <v>2.2340279604691204E-3</v>
      </c>
      <c r="AR22" s="8">
        <f t="shared" si="9"/>
        <v>878.39508056640625</v>
      </c>
      <c r="AS22" s="8">
        <v>-1.0241973274105476E-3</v>
      </c>
      <c r="AT22" s="8">
        <f t="shared" si="10"/>
        <v>4.3855189094188176E-6</v>
      </c>
      <c r="AU22" s="8">
        <f t="shared" si="11"/>
        <v>-2.2880854664729097E-6</v>
      </c>
      <c r="AV22" s="8">
        <f t="shared" si="12"/>
        <v>1.52587890625E-2</v>
      </c>
    </row>
    <row r="23" spans="2:48" x14ac:dyDescent="0.2">
      <c r="F23" s="25" t="s">
        <v>33</v>
      </c>
      <c r="G23" s="20">
        <f>$C$5 * G22</f>
        <v>107.02300459722584</v>
      </c>
      <c r="H23" s="20" t="s">
        <v>162</v>
      </c>
      <c r="J23" s="31" t="s">
        <v>89</v>
      </c>
      <c r="K23" s="20">
        <f xml:space="preserve"> $C$27 * (11.5 * ($C$15*2.20462/1000)^0.4 * 0.453592)</f>
        <v>5.4357959177017525</v>
      </c>
      <c r="L23" s="20" t="s">
        <v>12</v>
      </c>
      <c r="N23" s="20" t="s">
        <v>47</v>
      </c>
      <c r="O23" s="34">
        <f>AG69</f>
        <v>0.12836088193580508</v>
      </c>
      <c r="R23" s="20" t="s">
        <v>47</v>
      </c>
      <c r="S23" s="34">
        <f>AG34</f>
        <v>0.10175724374130368</v>
      </c>
      <c r="V23" s="20" t="s">
        <v>47</v>
      </c>
      <c r="W23" s="34">
        <f>AG104</f>
        <v>8.6185777094215155E-2</v>
      </c>
      <c r="AB23" s="8">
        <v>19</v>
      </c>
      <c r="AC23" s="8">
        <f t="shared" si="7"/>
        <v>0.10175704956054688</v>
      </c>
      <c r="AD23" s="8">
        <f t="shared" si="0"/>
        <v>2.0431018676880797E-7</v>
      </c>
      <c r="AE23" s="8">
        <f t="shared" si="8"/>
        <v>0.10175895690917969</v>
      </c>
      <c r="AF23" s="8">
        <f t="shared" si="1"/>
        <v>-1.8046174334873655E-6</v>
      </c>
      <c r="AG23" s="8">
        <f t="shared" si="2"/>
        <v>0.10175800323486328</v>
      </c>
      <c r="AH23" s="8">
        <f t="shared" si="3"/>
        <v>-8.0015345903239332E-7</v>
      </c>
      <c r="AI23" s="8">
        <f t="shared" si="4"/>
        <v>-1.6347950265861601E-13</v>
      </c>
      <c r="AJ23" s="8">
        <f t="shared" si="5"/>
        <v>1.4439708816350755E-12</v>
      </c>
      <c r="AK23" s="8">
        <f t="shared" si="6"/>
        <v>1.9073486328125E-6</v>
      </c>
      <c r="AM23" s="8">
        <v>19</v>
      </c>
      <c r="AN23" s="8">
        <f t="shared" si="13"/>
        <v>878.39508056640625</v>
      </c>
      <c r="AO23" s="8">
        <v>-1.0241973274105476E-3</v>
      </c>
      <c r="AP23" s="8">
        <f t="shared" si="14"/>
        <v>878.4027099609375</v>
      </c>
      <c r="AQ23" s="8">
        <v>2.2340279604691204E-3</v>
      </c>
      <c r="AR23" s="8">
        <f t="shared" si="9"/>
        <v>878.39889526367188</v>
      </c>
      <c r="AS23" s="8">
        <v>6.0564996300627172E-4</v>
      </c>
      <c r="AT23" s="8">
        <f t="shared" si="10"/>
        <v>-6.2030507345732049E-7</v>
      </c>
      <c r="AU23" s="8">
        <f t="shared" si="11"/>
        <v>1.3530389516130996E-6</v>
      </c>
      <c r="AV23" s="8">
        <f t="shared" si="12"/>
        <v>7.62939453125E-3</v>
      </c>
    </row>
    <row r="24" spans="2:48" x14ac:dyDescent="0.2">
      <c r="B24" s="37" t="s">
        <v>97</v>
      </c>
      <c r="C24" s="44"/>
      <c r="D24" s="44"/>
      <c r="F24" s="25" t="s">
        <v>121</v>
      </c>
      <c r="G24" s="20">
        <f xml:space="preserve"> ($C$22-G15-G31)/$C$17</f>
        <v>680.68911094850387</v>
      </c>
      <c r="H24" s="20" t="s">
        <v>22</v>
      </c>
      <c r="J24" s="31" t="s">
        <v>90</v>
      </c>
      <c r="K24" s="20">
        <f xml:space="preserve"> $C$27 * (8 * ($C$15/1000))</f>
        <v>5.6217438672087159</v>
      </c>
      <c r="L24" s="20" t="s">
        <v>12</v>
      </c>
      <c r="N24" s="20" t="s">
        <v>48</v>
      </c>
      <c r="O24" s="20">
        <f xml:space="preserve"> O19 * $C$16 * O23 - $C$17 * SIN(O17/180*PI())</f>
        <v>5.1864736772504223</v>
      </c>
      <c r="P24" s="20" t="s">
        <v>16</v>
      </c>
      <c r="R24" s="20" t="s">
        <v>48</v>
      </c>
      <c r="S24" s="20">
        <f xml:space="preserve"> S19 * $C$16 * S23 - $C$17 * SIN(S17/180*PI())</f>
        <v>5.1828890180017471</v>
      </c>
      <c r="T24" s="20" t="s">
        <v>16</v>
      </c>
      <c r="V24" s="20" t="s">
        <v>48</v>
      </c>
      <c r="W24" s="20">
        <f xml:space="preserve"> W19 * $C$16 * W23 - $C$17 * SIN(W17/180*PI())</f>
        <v>5.1814363671309476</v>
      </c>
      <c r="X24" s="20" t="s">
        <v>16</v>
      </c>
      <c r="AB24" s="8">
        <v>20</v>
      </c>
      <c r="AC24" s="8">
        <f t="shared" si="7"/>
        <v>0.10175704956054688</v>
      </c>
      <c r="AD24" s="8">
        <f t="shared" si="0"/>
        <v>2.0431018676880797E-7</v>
      </c>
      <c r="AE24" s="8">
        <f t="shared" si="8"/>
        <v>0.10175800323486328</v>
      </c>
      <c r="AF24" s="8">
        <f t="shared" si="1"/>
        <v>-8.0015345903239332E-7</v>
      </c>
      <c r="AG24" s="8">
        <f t="shared" si="2"/>
        <v>0.10175752639770508</v>
      </c>
      <c r="AH24" s="8">
        <f t="shared" si="3"/>
        <v>-2.9792159503272408E-7</v>
      </c>
      <c r="AI24" s="8">
        <f t="shared" si="4"/>
        <v>-6.0868416723597034E-14</v>
      </c>
      <c r="AJ24" s="8">
        <f t="shared" si="5"/>
        <v>2.3838299478588206E-13</v>
      </c>
      <c r="AK24" s="8">
        <f t="shared" si="6"/>
        <v>9.5367431640625E-7</v>
      </c>
      <c r="AM24" s="8">
        <v>20</v>
      </c>
      <c r="AN24" s="8">
        <f t="shared" si="13"/>
        <v>878.39508056640625</v>
      </c>
      <c r="AO24" s="8">
        <v>-1.0241973274105476E-3</v>
      </c>
      <c r="AP24" s="8">
        <f t="shared" si="14"/>
        <v>878.39889526367188</v>
      </c>
      <c r="AQ24" s="8">
        <v>6.0564996300627172E-4</v>
      </c>
      <c r="AR24" s="8">
        <f t="shared" si="9"/>
        <v>878.39698791503906</v>
      </c>
      <c r="AS24" s="8">
        <v>-2.0917329345593316E-4</v>
      </c>
      <c r="AT24" s="8">
        <f t="shared" si="10"/>
        <v>2.1423472812322893E-7</v>
      </c>
      <c r="AU24" s="8">
        <f t="shared" si="11"/>
        <v>-1.2668579744348594E-7</v>
      </c>
      <c r="AV24" s="8">
        <f t="shared" si="12"/>
        <v>3.814697265625E-3</v>
      </c>
    </row>
    <row r="25" spans="2:48" x14ac:dyDescent="0.2">
      <c r="B25" s="20" t="s">
        <v>23</v>
      </c>
      <c r="C25" s="33">
        <v>1.2250000000000001</v>
      </c>
      <c r="D25" s="20" t="s">
        <v>24</v>
      </c>
      <c r="F25" s="25"/>
      <c r="J25" s="31" t="s">
        <v>91</v>
      </c>
      <c r="K25" s="20">
        <f xml:space="preserve"> $C$27 * (13 * ($C$15*2.20462/1000)^1.3 * 0.453592)</f>
        <v>11.138609958478254</v>
      </c>
      <c r="L25" s="20" t="s">
        <v>12</v>
      </c>
      <c r="N25" s="20" t="s">
        <v>49</v>
      </c>
      <c r="O25" s="20">
        <f xml:space="preserve"> 1/$C$7 - O22 * SQRT( (2*$C$25*PI()*$C$16^2) / O18^3 )</f>
        <v>1.2733006641089946</v>
      </c>
      <c r="R25" s="20" t="s">
        <v>49</v>
      </c>
      <c r="S25" s="20">
        <f xml:space="preserve"> 1/$C$7 - S22 * SQRT( (2*$C$25*PI()*$C$16^2) / S18^3 )</f>
        <v>1.2688917285740524</v>
      </c>
      <c r="V25" s="20" t="s">
        <v>49</v>
      </c>
      <c r="W25" s="20">
        <f xml:space="preserve"> 1/$C$7 - W22 * SQRT( (2*$C$25*PI()*$C$16^2) / W18^3 )</f>
        <v>1.266732544546475</v>
      </c>
      <c r="AB25" s="8">
        <v>21</v>
      </c>
      <c r="AC25" s="8">
        <f t="shared" si="7"/>
        <v>0.10175704956054688</v>
      </c>
      <c r="AD25" s="8">
        <f t="shared" si="0"/>
        <v>2.0431018676880797E-7</v>
      </c>
      <c r="AE25" s="8">
        <f t="shared" si="8"/>
        <v>0.10175752639770508</v>
      </c>
      <c r="AF25" s="8">
        <f t="shared" si="1"/>
        <v>-2.9792159503272408E-7</v>
      </c>
      <c r="AG25" s="8">
        <f t="shared" si="2"/>
        <v>0.10175728797912598</v>
      </c>
      <c r="AH25" s="8">
        <f t="shared" si="3"/>
        <v>-4.6805693848517294E-8</v>
      </c>
      <c r="AI25" s="8">
        <f t="shared" si="4"/>
        <v>-9.5628800520342148E-15</v>
      </c>
      <c r="AJ25" s="8">
        <f t="shared" si="5"/>
        <v>1.3944426967963634E-14</v>
      </c>
      <c r="AK25" s="8">
        <f t="shared" si="6"/>
        <v>4.76837158203125E-7</v>
      </c>
      <c r="AM25" s="8">
        <v>21</v>
      </c>
      <c r="AN25" s="8">
        <f t="shared" si="13"/>
        <v>878.39698791503906</v>
      </c>
      <c r="AO25" s="8">
        <v>-2.0917329345593316E-4</v>
      </c>
      <c r="AP25" s="8">
        <f t="shared" si="14"/>
        <v>878.39889526367188</v>
      </c>
      <c r="AQ25" s="8">
        <v>6.0564996300627172E-4</v>
      </c>
      <c r="AR25" s="8">
        <f t="shared" si="9"/>
        <v>878.39794158935547</v>
      </c>
      <c r="AS25" s="8">
        <v>1.9750597266465775E-4</v>
      </c>
      <c r="AT25" s="8">
        <f t="shared" si="10"/>
        <v>-4.1312974779483968E-8</v>
      </c>
      <c r="AU25" s="8">
        <f t="shared" si="11"/>
        <v>1.1961948503786769E-7</v>
      </c>
      <c r="AV25" s="8">
        <f t="shared" si="12"/>
        <v>1.9073486328125E-3</v>
      </c>
    </row>
    <row r="26" spans="2:48" x14ac:dyDescent="0.2">
      <c r="B26" s="20" t="s">
        <v>25</v>
      </c>
      <c r="C26" s="1">
        <v>9.8066499999999994</v>
      </c>
      <c r="D26" s="20" t="s">
        <v>26</v>
      </c>
      <c r="F26" s="40" t="s">
        <v>131</v>
      </c>
      <c r="G26" s="41"/>
      <c r="H26" s="41"/>
      <c r="J26" s="26" t="s">
        <v>78</v>
      </c>
      <c r="K26" s="26">
        <f>$C$15 - $C$21 - SUM(K14:K25)</f>
        <v>6.9235284172464162E-10</v>
      </c>
      <c r="L26" s="26" t="s">
        <v>12</v>
      </c>
      <c r="N26" s="20" t="s">
        <v>50</v>
      </c>
      <c r="O26" s="33">
        <v>1.1499999999999999</v>
      </c>
      <c r="R26" s="20" t="s">
        <v>50</v>
      </c>
      <c r="S26" s="33">
        <v>1.1499999999999999</v>
      </c>
      <c r="V26" s="20" t="s">
        <v>50</v>
      </c>
      <c r="W26" s="33">
        <v>1.1499999999999999</v>
      </c>
      <c r="AB26" s="8">
        <v>22</v>
      </c>
      <c r="AC26" s="8">
        <f t="shared" si="7"/>
        <v>0.10175704956054688</v>
      </c>
      <c r="AD26" s="8">
        <f t="shared" si="0"/>
        <v>2.0431018676880797E-7</v>
      </c>
      <c r="AE26" s="8">
        <f t="shared" si="8"/>
        <v>0.10175728797912598</v>
      </c>
      <c r="AF26" s="8">
        <f t="shared" si="1"/>
        <v>-4.6805693848517294E-8</v>
      </c>
      <c r="AG26" s="8">
        <f t="shared" si="2"/>
        <v>0.10175716876983643</v>
      </c>
      <c r="AH26" s="8">
        <f t="shared" si="3"/>
        <v>7.8752249027536081E-8</v>
      </c>
      <c r="AI26" s="8">
        <f t="shared" si="4"/>
        <v>1.6089886707279573E-14</v>
      </c>
      <c r="AJ26" s="8">
        <f t="shared" si="5"/>
        <v>-3.6860536578650475E-15</v>
      </c>
      <c r="AK26" s="8">
        <f t="shared" si="6"/>
        <v>2.384185791015625E-7</v>
      </c>
      <c r="AM26" s="8">
        <v>22</v>
      </c>
      <c r="AN26" s="8">
        <f t="shared" si="13"/>
        <v>878.39698791503906</v>
      </c>
      <c r="AO26" s="8">
        <v>-2.0917329345593316E-4</v>
      </c>
      <c r="AP26" s="8">
        <f t="shared" si="14"/>
        <v>878.39794158935547</v>
      </c>
      <c r="AQ26" s="8">
        <v>1.9750597266465775E-4</v>
      </c>
      <c r="AR26" s="8">
        <f t="shared" si="9"/>
        <v>878.39746475219727</v>
      </c>
      <c r="AS26" s="8">
        <v>-5.8336266306469042E-6</v>
      </c>
      <c r="AT26" s="8">
        <f t="shared" si="10"/>
        <v>1.2202388951246514E-9</v>
      </c>
      <c r="AU26" s="8">
        <f t="shared" si="11"/>
        <v>-1.152176101848367E-9</v>
      </c>
      <c r="AV26" s="8">
        <f t="shared" si="12"/>
        <v>9.5367431640625E-4</v>
      </c>
    </row>
    <row r="27" spans="2:48" x14ac:dyDescent="0.2">
      <c r="B27" s="20" t="s">
        <v>105</v>
      </c>
      <c r="C27" s="33">
        <v>0.8</v>
      </c>
      <c r="F27" s="4" t="s">
        <v>154</v>
      </c>
      <c r="G27" s="1">
        <f>$C$17</f>
        <v>30</v>
      </c>
      <c r="H27" t="s">
        <v>16</v>
      </c>
      <c r="J27" s="20" t="s">
        <v>79</v>
      </c>
      <c r="K27" s="10" t="str">
        <f>IF(ABS(K26)&lt;0.00001, "TRUE", "FALSE")</f>
        <v>TRUE</v>
      </c>
      <c r="N27" s="20" t="s">
        <v>51</v>
      </c>
      <c r="O27" s="20">
        <f xml:space="preserve"> 1/$C$30 * LN( EXP($C$30 * O25) + EXP($C$30 * O26) )</f>
        <v>1.2741155475615811</v>
      </c>
      <c r="R27" s="20" t="s">
        <v>51</v>
      </c>
      <c r="S27" s="20">
        <f xml:space="preserve"> 1/$C$30 * LN( EXP($C$30 * S25) + EXP($C$30 * S26) )</f>
        <v>1.2698202570608708</v>
      </c>
      <c r="V27" s="20" t="s">
        <v>51</v>
      </c>
      <c r="W27" s="20">
        <f xml:space="preserve"> 1/$C$30 * LN( EXP($C$30 * W25) + EXP($C$30 * W26) )</f>
        <v>1.2677222959790471</v>
      </c>
      <c r="AB27" s="8">
        <v>23</v>
      </c>
      <c r="AC27" s="8">
        <f t="shared" si="7"/>
        <v>0.10175716876983643</v>
      </c>
      <c r="AD27" s="8">
        <f t="shared" si="0"/>
        <v>7.8752249027536081E-8</v>
      </c>
      <c r="AE27" s="8">
        <f t="shared" si="8"/>
        <v>0.10175728797912598</v>
      </c>
      <c r="AF27" s="8">
        <f t="shared" si="1"/>
        <v>-4.6805693848517294E-8</v>
      </c>
      <c r="AG27" s="8">
        <f t="shared" si="2"/>
        <v>0.1017572283744812</v>
      </c>
      <c r="AH27" s="8">
        <f t="shared" si="3"/>
        <v>1.5973278227887633E-8</v>
      </c>
      <c r="AI27" s="8">
        <f t="shared" si="4"/>
        <v>1.2579315847887271E-15</v>
      </c>
      <c r="AJ27" s="8">
        <f t="shared" si="5"/>
        <v>-7.4764037049169541E-16</v>
      </c>
      <c r="AK27" s="8">
        <f t="shared" si="6"/>
        <v>1.1920928955078125E-7</v>
      </c>
      <c r="AM27" s="8">
        <v>23</v>
      </c>
      <c r="AN27" s="8">
        <f t="shared" si="13"/>
        <v>878.39746475219727</v>
      </c>
      <c r="AO27" s="8">
        <v>-5.8336266306469042E-6</v>
      </c>
      <c r="AP27" s="8">
        <f t="shared" si="14"/>
        <v>878.39794158935547</v>
      </c>
      <c r="AQ27" s="8">
        <v>1.9750597266465775E-4</v>
      </c>
      <c r="AR27" s="8">
        <f t="shared" si="9"/>
        <v>878.39770317077637</v>
      </c>
      <c r="AS27" s="8">
        <v>9.5836181458253122E-5</v>
      </c>
      <c r="AT27" s="8">
        <f t="shared" si="10"/>
        <v>-5.5907250033437451E-10</v>
      </c>
      <c r="AU27" s="8">
        <f t="shared" si="11"/>
        <v>1.8928218235378921E-8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AB28" s="8">
        <v>24</v>
      </c>
      <c r="AC28" s="8">
        <f t="shared" si="7"/>
        <v>0.1017572283744812</v>
      </c>
      <c r="AD28" s="8">
        <f t="shared" si="0"/>
        <v>1.5973278227887633E-8</v>
      </c>
      <c r="AE28" s="8">
        <f t="shared" si="8"/>
        <v>0.10175728797912598</v>
      </c>
      <c r="AF28" s="8">
        <f t="shared" si="1"/>
        <v>-4.6805693848517294E-8</v>
      </c>
      <c r="AG28" s="8">
        <f t="shared" si="2"/>
        <v>0.10175725817680359</v>
      </c>
      <c r="AH28" s="8">
        <f t="shared" si="3"/>
        <v>-1.5416207657659164E-8</v>
      </c>
      <c r="AI28" s="8">
        <f t="shared" si="4"/>
        <v>-2.4624737413468175E-16</v>
      </c>
      <c r="AJ28" s="8">
        <f t="shared" si="5"/>
        <v>7.2156629592956271E-16</v>
      </c>
      <c r="AK28" s="8">
        <f t="shared" si="6"/>
        <v>5.9604644775390625E-8</v>
      </c>
      <c r="AM28" s="8">
        <v>24</v>
      </c>
      <c r="AN28" s="8">
        <f t="shared" si="13"/>
        <v>878.39746475219727</v>
      </c>
      <c r="AO28" s="8">
        <v>-5.8336266306469042E-6</v>
      </c>
      <c r="AP28" s="8">
        <f t="shared" si="14"/>
        <v>878.39770317077637</v>
      </c>
      <c r="AQ28" s="8">
        <v>9.5836181458253122E-5</v>
      </c>
      <c r="AR28" s="8">
        <f t="shared" si="9"/>
        <v>878.39758396148682</v>
      </c>
      <c r="AS28" s="8">
        <v>4.5633923264176701E-5</v>
      </c>
      <c r="AT28" s="8">
        <f t="shared" si="10"/>
        <v>-2.6621127001479849E-10</v>
      </c>
      <c r="AU28" s="8">
        <f t="shared" si="11"/>
        <v>4.3733809505976367E-9</v>
      </c>
      <c r="AV28" s="8">
        <f t="shared" si="12"/>
        <v>2.384185791015625E-4</v>
      </c>
    </row>
    <row r="29" spans="2:48" x14ac:dyDescent="0.2">
      <c r="B29" s="37" t="s">
        <v>27</v>
      </c>
      <c r="C29" s="37"/>
      <c r="D29" s="37"/>
      <c r="F29" t="s">
        <v>125</v>
      </c>
      <c r="G29" s="1">
        <v>304.8</v>
      </c>
      <c r="H29" t="s">
        <v>14</v>
      </c>
      <c r="AB29" s="8">
        <v>25</v>
      </c>
      <c r="AC29" s="8">
        <f t="shared" si="7"/>
        <v>0.1017572283744812</v>
      </c>
      <c r="AD29" s="8">
        <f t="shared" si="0"/>
        <v>1.5973278227887633E-8</v>
      </c>
      <c r="AE29" s="8">
        <f t="shared" si="8"/>
        <v>0.10175725817680359</v>
      </c>
      <c r="AF29" s="8">
        <f t="shared" si="1"/>
        <v>-1.5416207657659164E-8</v>
      </c>
      <c r="AG29" s="8">
        <f t="shared" si="2"/>
        <v>0.1017572432756424</v>
      </c>
      <c r="AH29" s="8">
        <f t="shared" si="3"/>
        <v>2.7853531980870372E-10</v>
      </c>
      <c r="AI29" s="8">
        <f t="shared" si="4"/>
        <v>4.4491221595980864E-18</v>
      </c>
      <c r="AJ29" s="8">
        <f t="shared" si="5"/>
        <v>-4.2939583301634824E-18</v>
      </c>
      <c r="AK29" s="8">
        <f t="shared" si="6"/>
        <v>2.9802322387695312E-8</v>
      </c>
      <c r="AM29" s="8">
        <v>25</v>
      </c>
      <c r="AN29" s="8">
        <f t="shared" si="13"/>
        <v>878.39746475219727</v>
      </c>
      <c r="AO29" s="8">
        <v>-5.8336266306469042E-6</v>
      </c>
      <c r="AP29" s="8">
        <f t="shared" si="14"/>
        <v>878.39758396148682</v>
      </c>
      <c r="AQ29" s="8">
        <v>4.5633923264176701E-5</v>
      </c>
      <c r="AR29" s="8">
        <f t="shared" si="9"/>
        <v>878.39752435684204</v>
      </c>
      <c r="AS29" s="8">
        <v>2.0000001029529813E-5</v>
      </c>
      <c r="AT29" s="8">
        <f t="shared" si="10"/>
        <v>-1.1667253861883062E-10</v>
      </c>
      <c r="AU29" s="8">
        <f t="shared" si="11"/>
        <v>9.126785122650185E-10</v>
      </c>
      <c r="AV29" s="8">
        <f t="shared" si="12"/>
        <v>1.1920928955078125E-4</v>
      </c>
    </row>
    <row r="30" spans="2:48" x14ac:dyDescent="0.2">
      <c r="B30" s="20" t="s">
        <v>28</v>
      </c>
      <c r="C30" s="33">
        <v>30</v>
      </c>
      <c r="F30" t="s">
        <v>127</v>
      </c>
      <c r="G30" s="20">
        <f>SQRT($G$27^2-$G$28^2)</f>
        <v>29.96126539383809</v>
      </c>
      <c r="H30" t="s">
        <v>16</v>
      </c>
      <c r="J30" s="37" t="s">
        <v>80</v>
      </c>
      <c r="K30" s="37"/>
      <c r="L30" s="37"/>
      <c r="AB30" s="8">
        <v>26</v>
      </c>
      <c r="AC30" s="8">
        <f t="shared" si="7"/>
        <v>0.1017572432756424</v>
      </c>
      <c r="AD30" s="8">
        <f t="shared" si="0"/>
        <v>2.7853531980870372E-10</v>
      </c>
      <c r="AE30" s="8">
        <f t="shared" si="8"/>
        <v>0.10175725817680359</v>
      </c>
      <c r="AF30" s="8">
        <f t="shared" si="1"/>
        <v>-1.5416207657659164E-8</v>
      </c>
      <c r="AG30" s="8">
        <f t="shared" si="2"/>
        <v>0.10175725072622299</v>
      </c>
      <c r="AH30" s="8">
        <f t="shared" si="3"/>
        <v>-7.5688361550474426E-9</v>
      </c>
      <c r="AI30" s="8">
        <f t="shared" si="4"/>
        <v>-2.108188199025819E-18</v>
      </c>
      <c r="AJ30" s="8">
        <f t="shared" si="5"/>
        <v>1.1668274989300993E-16</v>
      </c>
      <c r="AK30" s="8">
        <f t="shared" si="6"/>
        <v>1.4901161193847656E-8</v>
      </c>
      <c r="AM30" s="8">
        <v>26</v>
      </c>
      <c r="AN30" s="8">
        <f t="shared" si="13"/>
        <v>878.39746475219727</v>
      </c>
      <c r="AO30" s="8">
        <v>-5.8336266306469042E-6</v>
      </c>
      <c r="AP30" s="8">
        <f t="shared" si="14"/>
        <v>878.39752435684204</v>
      </c>
      <c r="AQ30" s="8">
        <v>2.0000001029529813E-5</v>
      </c>
      <c r="AR30" s="8">
        <f t="shared" si="9"/>
        <v>878.39749455451965</v>
      </c>
      <c r="AS30" s="8">
        <v>6.5827745743263222E-6</v>
      </c>
      <c r="AT30" s="8">
        <f t="shared" si="10"/>
        <v>-3.8401449060335375E-11</v>
      </c>
      <c r="AU30" s="8">
        <f t="shared" si="11"/>
        <v>1.3165549826368911E-10</v>
      </c>
      <c r="AV30" s="8">
        <f t="shared" si="12"/>
        <v>5.9604644775390625E-5</v>
      </c>
    </row>
    <row r="31" spans="2:48" x14ac:dyDescent="0.2">
      <c r="F31" t="s">
        <v>128</v>
      </c>
      <c r="G31" s="20">
        <f>$G$30*($G$29/$G$28)</f>
        <v>5992.2530787676178</v>
      </c>
      <c r="H31" t="s">
        <v>14</v>
      </c>
      <c r="J31" s="20" t="s">
        <v>81</v>
      </c>
      <c r="K31" s="20">
        <f>ROUND($C$21/$C$15 * 100, 2)</f>
        <v>45.54</v>
      </c>
      <c r="L31" s="20" t="s">
        <v>82</v>
      </c>
      <c r="AB31" s="8">
        <v>27</v>
      </c>
      <c r="AC31" s="8">
        <f t="shared" si="7"/>
        <v>0.1017572432756424</v>
      </c>
      <c r="AD31" s="8">
        <f t="shared" si="0"/>
        <v>2.7853531980870372E-10</v>
      </c>
      <c r="AE31" s="8">
        <f t="shared" si="8"/>
        <v>0.10175725072622299</v>
      </c>
      <c r="AF31" s="8">
        <f t="shared" si="1"/>
        <v>-7.5688361550474426E-9</v>
      </c>
      <c r="AG31" s="8">
        <f t="shared" si="2"/>
        <v>0.10175724700093269</v>
      </c>
      <c r="AH31" s="8">
        <f t="shared" si="3"/>
        <v>-3.6451504176193694E-9</v>
      </c>
      <c r="AI31" s="8">
        <f t="shared" si="4"/>
        <v>-1.015303137322441E-18</v>
      </c>
      <c r="AJ31" s="8">
        <f t="shared" si="5"/>
        <v>2.7589546271463769E-17</v>
      </c>
      <c r="AK31" s="8">
        <f t="shared" si="6"/>
        <v>7.4505805969238281E-9</v>
      </c>
      <c r="AM31" s="8">
        <v>27</v>
      </c>
      <c r="AN31" s="8">
        <f t="shared" si="13"/>
        <v>878.39746475219727</v>
      </c>
      <c r="AO31" s="8">
        <v>-5.8336266306469042E-6</v>
      </c>
      <c r="AP31" s="8">
        <f t="shared" si="14"/>
        <v>878.39749455451965</v>
      </c>
      <c r="AQ31" s="8">
        <v>6.5827745743263222E-6</v>
      </c>
      <c r="AR31" s="8">
        <f t="shared" si="9"/>
        <v>878.39747965335846</v>
      </c>
      <c r="AS31" s="8">
        <v>2.0860619542872882E-7</v>
      </c>
      <c r="AT31" s="8">
        <f t="shared" si="10"/>
        <v>-1.216930656970965E-12</v>
      </c>
      <c r="AU31" s="8">
        <f t="shared" si="11"/>
        <v>1.373207559315184E-12</v>
      </c>
      <c r="AV31" s="8">
        <f t="shared" si="12"/>
        <v>2.9802322387695312E-5</v>
      </c>
    </row>
    <row r="32" spans="2:48" x14ac:dyDescent="0.2">
      <c r="F32" t="s">
        <v>152</v>
      </c>
      <c r="G32" s="20">
        <f>ATAN(G28/G30)/PI()*180</f>
        <v>2.9118789347687013</v>
      </c>
      <c r="H32" t="s">
        <v>62</v>
      </c>
      <c r="J32" s="27" t="s">
        <v>74</v>
      </c>
      <c r="K32" s="20">
        <f>ROUND(K14/$C$15 * 100, 2)</f>
        <v>24.41</v>
      </c>
      <c r="L32" s="20" t="s">
        <v>82</v>
      </c>
      <c r="AB32" s="8">
        <v>28</v>
      </c>
      <c r="AC32" s="8">
        <f t="shared" si="7"/>
        <v>0.1017572432756424</v>
      </c>
      <c r="AD32" s="8">
        <f t="shared" si="0"/>
        <v>2.7853531980870372E-10</v>
      </c>
      <c r="AE32" s="8">
        <f t="shared" si="8"/>
        <v>0.10175724700093269</v>
      </c>
      <c r="AF32" s="8">
        <f t="shared" si="1"/>
        <v>-3.6451504176193694E-9</v>
      </c>
      <c r="AG32" s="8">
        <f t="shared" si="2"/>
        <v>0.10175724513828754</v>
      </c>
      <c r="AH32" s="8">
        <f t="shared" si="3"/>
        <v>-1.6833075489053329E-9</v>
      </c>
      <c r="AI32" s="8">
        <f t="shared" si="4"/>
        <v>-4.6886060647075206E-19</v>
      </c>
      <c r="AJ32" s="8">
        <f t="shared" si="5"/>
        <v>6.1359092148741112E-18</v>
      </c>
      <c r="AK32" s="8">
        <f t="shared" si="6"/>
        <v>3.7252902984619141E-9</v>
      </c>
      <c r="AM32" s="8">
        <v>28</v>
      </c>
      <c r="AN32" s="8">
        <f t="shared" si="13"/>
        <v>878.39746475219727</v>
      </c>
      <c r="AO32" s="8">
        <v>-5.8336266306469042E-6</v>
      </c>
      <c r="AP32" s="8">
        <f t="shared" si="14"/>
        <v>878.39747965335846</v>
      </c>
      <c r="AQ32" s="8">
        <v>2.0860619542872882E-7</v>
      </c>
      <c r="AR32" s="8">
        <f t="shared" si="9"/>
        <v>878.39747220277786</v>
      </c>
      <c r="AS32" s="8">
        <v>-2.1798666125505406E-6</v>
      </c>
      <c r="AT32" s="8">
        <f t="shared" si="10"/>
        <v>1.2716527922232891E-11</v>
      </c>
      <c r="AU32" s="8">
        <f t="shared" si="11"/>
        <v>-4.5473368058627917E-13</v>
      </c>
      <c r="AV32" s="8">
        <f t="shared" si="12"/>
        <v>1.4901161193847656E-5</v>
      </c>
    </row>
    <row r="33" spans="6:48" x14ac:dyDescent="0.2">
      <c r="F33" t="s">
        <v>155</v>
      </c>
      <c r="G33" s="20">
        <f xml:space="preserve"> 1/1000 * (W22 + W18 * (W27 * W24 + $G$27 * SIN(W17/180*PI())))</f>
        <v>13.35232301795765</v>
      </c>
      <c r="H33" t="s">
        <v>162</v>
      </c>
      <c r="J33" s="35" t="s">
        <v>94</v>
      </c>
      <c r="K33" s="20">
        <f>ROUND(SUM(K15:K17)/$C$15 * 100, 2)</f>
        <v>10.62</v>
      </c>
      <c r="L33" s="20" t="s">
        <v>82</v>
      </c>
      <c r="AB33" s="8">
        <v>29</v>
      </c>
      <c r="AC33" s="8">
        <f t="shared" si="7"/>
        <v>0.1017572432756424</v>
      </c>
      <c r="AD33" s="8">
        <f t="shared" si="0"/>
        <v>2.7853531980870372E-10</v>
      </c>
      <c r="AE33" s="8">
        <f t="shared" si="8"/>
        <v>0.10175724513828754</v>
      </c>
      <c r="AF33" s="8">
        <f t="shared" si="1"/>
        <v>-1.6833075489053329E-9</v>
      </c>
      <c r="AG33" s="8">
        <f t="shared" si="2"/>
        <v>0.10175724420696497</v>
      </c>
      <c r="AH33" s="8">
        <f t="shared" si="3"/>
        <v>-7.0238612148720847E-10</v>
      </c>
      <c r="AI33" s="8">
        <f t="shared" si="4"/>
        <v>-1.9563934297763463E-19</v>
      </c>
      <c r="AJ33" s="8">
        <f t="shared" si="5"/>
        <v>1.1823318605457562E-18</v>
      </c>
      <c r="AK33" s="8">
        <f t="shared" si="6"/>
        <v>1.862645149230957E-9</v>
      </c>
      <c r="AM33" s="8">
        <v>29</v>
      </c>
      <c r="AN33" s="8">
        <f t="shared" si="13"/>
        <v>878.39747220277786</v>
      </c>
      <c r="AO33" s="8">
        <v>-2.1798666125505406E-6</v>
      </c>
      <c r="AP33" s="8">
        <f t="shared" si="14"/>
        <v>878.39747965335846</v>
      </c>
      <c r="AQ33" s="8">
        <v>2.0860619542872882E-7</v>
      </c>
      <c r="AR33" s="8">
        <f t="shared" si="9"/>
        <v>878.39747592806816</v>
      </c>
      <c r="AS33" s="8">
        <v>-1.3861908314538596E-6</v>
      </c>
      <c r="AT33" s="8">
        <f t="shared" si="10"/>
        <v>3.0217111121099422E-12</v>
      </c>
      <c r="AU33" s="8">
        <f t="shared" si="11"/>
        <v>-2.8916799548777593E-13</v>
      </c>
      <c r="AV33" s="8">
        <f t="shared" si="12"/>
        <v>7.4505805969238281E-6</v>
      </c>
    </row>
    <row r="34" spans="6:48" x14ac:dyDescent="0.2">
      <c r="F34" t="s">
        <v>133</v>
      </c>
      <c r="G34" s="20">
        <f>$C$5*G33</f>
        <v>93.466261125703554</v>
      </c>
      <c r="H34" t="s">
        <v>162</v>
      </c>
      <c r="J34" s="36" t="s">
        <v>95</v>
      </c>
      <c r="K34" s="20">
        <f>ROUND(SUM(K18:K21)/$C$15 * 100, 2)</f>
        <v>14.75</v>
      </c>
      <c r="L34" s="20" t="s">
        <v>82</v>
      </c>
      <c r="AB34" s="8">
        <v>30</v>
      </c>
      <c r="AC34" s="8">
        <f t="shared" si="7"/>
        <v>0.1017572432756424</v>
      </c>
      <c r="AD34" s="8">
        <f t="shared" si="0"/>
        <v>2.7853531980870372E-10</v>
      </c>
      <c r="AE34" s="8">
        <f t="shared" si="8"/>
        <v>0.10175724420696497</v>
      </c>
      <c r="AF34" s="8">
        <f t="shared" si="1"/>
        <v>-7.0238612148720847E-10</v>
      </c>
      <c r="AG34" s="8">
        <f t="shared" si="2"/>
        <v>0.10175724374130368</v>
      </c>
      <c r="AH34" s="8">
        <f t="shared" si="3"/>
        <v>-2.1192539390035847E-10</v>
      </c>
      <c r="AI34" s="8">
        <f t="shared" si="4"/>
        <v>-5.9028707365621855E-20</v>
      </c>
      <c r="AJ34" s="8">
        <f t="shared" si="5"/>
        <v>1.4885345546632169E-19</v>
      </c>
      <c r="AK34" s="8">
        <f t="shared" si="6"/>
        <v>9.3132257461547852E-10</v>
      </c>
      <c r="AM34" s="8">
        <v>30</v>
      </c>
      <c r="AN34" s="8">
        <f t="shared" si="13"/>
        <v>878.39747592806816</v>
      </c>
      <c r="AO34" s="8">
        <v>-1.3861908314538596E-6</v>
      </c>
      <c r="AP34" s="8">
        <f t="shared" si="14"/>
        <v>878.39747965335846</v>
      </c>
      <c r="AQ34" s="8">
        <v>2.0860619542872882E-7</v>
      </c>
      <c r="AR34" s="8">
        <f t="shared" si="9"/>
        <v>878.39747779071331</v>
      </c>
      <c r="AS34" s="8">
        <v>-7.5476009442354552E-7</v>
      </c>
      <c r="AT34" s="8">
        <f t="shared" si="10"/>
        <v>1.0462415228371681E-12</v>
      </c>
      <c r="AU34" s="8">
        <f t="shared" si="11"/>
        <v>-1.5744763175912396E-13</v>
      </c>
      <c r="AV34" s="8">
        <f t="shared" si="12"/>
        <v>3.7252902984619141E-6</v>
      </c>
    </row>
    <row r="35" spans="6:48" x14ac:dyDescent="0.2">
      <c r="F35" t="s">
        <v>132</v>
      </c>
      <c r="G35" s="20">
        <f>$G$29/$G$28</f>
        <v>200</v>
      </c>
      <c r="H35" t="s">
        <v>22</v>
      </c>
      <c r="J35" s="31" t="s">
        <v>96</v>
      </c>
      <c r="K35" s="20">
        <f>ROUND(SUM(K22:K25)/$C$15*100, 2)</f>
        <v>4.67</v>
      </c>
      <c r="L35" s="20" t="s">
        <v>82</v>
      </c>
      <c r="AM35" s="8">
        <v>31</v>
      </c>
      <c r="AN35" s="8">
        <f t="shared" si="13"/>
        <v>878.39747779071331</v>
      </c>
      <c r="AO35" s="20">
        <v>-7.5476009442354552E-7</v>
      </c>
      <c r="AP35" s="8">
        <f t="shared" si="14"/>
        <v>878.39747965335846</v>
      </c>
      <c r="AQ35" s="20">
        <v>2.0860619542872882E-7</v>
      </c>
      <c r="AR35" s="8">
        <f t="shared" si="9"/>
        <v>878.39747872203588</v>
      </c>
      <c r="AS35" s="20">
        <v>-2.7307692107569892E-7</v>
      </c>
      <c r="AT35" s="8">
        <f t="shared" si="10"/>
        <v>2.0610756273598561E-13</v>
      </c>
      <c r="AU35" s="8">
        <f t="shared" si="11"/>
        <v>-5.6965537564992806E-14</v>
      </c>
      <c r="AV35" s="8">
        <f t="shared" si="12"/>
        <v>1.862645149230957E-6</v>
      </c>
    </row>
    <row r="36" spans="6:48" x14ac:dyDescent="0.2">
      <c r="J36" s="26" t="s">
        <v>83</v>
      </c>
      <c r="K36" s="26">
        <f>SUM(K31:K35)</f>
        <v>99.990000000000009</v>
      </c>
      <c r="L36" s="26" t="s">
        <v>82</v>
      </c>
      <c r="AM36" s="8">
        <v>32</v>
      </c>
      <c r="AN36" s="8">
        <f t="shared" si="13"/>
        <v>878.39747872203588</v>
      </c>
      <c r="AO36" s="20">
        <v>-2.7307692107569892E-7</v>
      </c>
      <c r="AP36" s="8">
        <f t="shared" si="14"/>
        <v>878.39747965335846</v>
      </c>
      <c r="AQ36" s="20">
        <v>2.0860619542872882E-7</v>
      </c>
      <c r="AR36" s="8">
        <f t="shared" si="9"/>
        <v>878.39747918769717</v>
      </c>
      <c r="AS36" s="20">
        <v>-3.2235220714937896E-8</v>
      </c>
      <c r="AT36" s="8">
        <f t="shared" si="10"/>
        <v>8.8026948230308306E-15</v>
      </c>
      <c r="AU36" s="8">
        <f t="shared" si="11"/>
        <v>-6.7244667521485423E-15</v>
      </c>
      <c r="AV36" s="8">
        <f t="shared" si="12"/>
        <v>9.3132257461547852E-7</v>
      </c>
    </row>
    <row r="37" spans="6:48" x14ac:dyDescent="0.2">
      <c r="F37" s="38" t="s">
        <v>111</v>
      </c>
      <c r="G37" s="43"/>
      <c r="H37" s="43"/>
      <c r="AB37" s="32" t="s">
        <v>142</v>
      </c>
      <c r="AM37" s="8">
        <v>33</v>
      </c>
      <c r="AN37" s="8">
        <f t="shared" si="13"/>
        <v>878.39747918769717</v>
      </c>
      <c r="AO37" s="20">
        <v>-3.2235220714937896E-8</v>
      </c>
      <c r="AP37" s="8">
        <f t="shared" si="14"/>
        <v>878.39747965335846</v>
      </c>
      <c r="AQ37" s="20">
        <v>2.0860619542872882E-7</v>
      </c>
      <c r="AR37" s="8">
        <f t="shared" si="9"/>
        <v>878.39747942052782</v>
      </c>
      <c r="AS37" s="20">
        <v>8.8185572622023756E-8</v>
      </c>
      <c r="AT37" s="8">
        <f t="shared" si="10"/>
        <v>-2.8426813973441203E-15</v>
      </c>
      <c r="AU37" s="8">
        <f t="shared" si="11"/>
        <v>1.8396056796384246E-14</v>
      </c>
      <c r="AV37" s="8">
        <f t="shared" si="12"/>
        <v>4.6566128730773926E-7</v>
      </c>
    </row>
    <row r="38" spans="6:48" x14ac:dyDescent="0.2">
      <c r="F38" t="s">
        <v>117</v>
      </c>
      <c r="G38" s="1">
        <v>1.524</v>
      </c>
      <c r="H38" t="s">
        <v>16</v>
      </c>
      <c r="K38" s="20">
        <f>SUM(K15:K17)</f>
        <v>93.308723748348271</v>
      </c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878.39747918769717</v>
      </c>
      <c r="AO38" s="20">
        <v>-3.2235220714937896E-8</v>
      </c>
      <c r="AP38" s="8">
        <f t="shared" si="14"/>
        <v>878.39747942052782</v>
      </c>
      <c r="AQ38" s="20">
        <v>8.8185572622023756E-8</v>
      </c>
      <c r="AR38" s="8">
        <f t="shared" si="9"/>
        <v>878.39747930411249</v>
      </c>
      <c r="AS38" s="20">
        <v>2.7975090688414639E-8</v>
      </c>
      <c r="AT38" s="8">
        <f t="shared" si="10"/>
        <v>-9.017832228614498E-16</v>
      </c>
      <c r="AU38" s="8">
        <f t="shared" si="11"/>
        <v>2.4669993915108897E-15</v>
      </c>
      <c r="AV38" s="8">
        <f t="shared" si="12"/>
        <v>2.3283064365386963E-7</v>
      </c>
    </row>
    <row r="39" spans="6:48" x14ac:dyDescent="0.2">
      <c r="F39" t="s">
        <v>123</v>
      </c>
      <c r="G39" s="1">
        <v>152.4</v>
      </c>
      <c r="H39" t="s">
        <v>14</v>
      </c>
      <c r="K39" s="20">
        <f>SUM(K18:K21)</f>
        <v>129.60713688536072</v>
      </c>
      <c r="AB39" s="8">
        <v>0</v>
      </c>
      <c r="AC39" s="9">
        <v>0</v>
      </c>
      <c r="AD39" s="8">
        <f xml:space="preserve"> $C$18 * TAN($O$17/180*PI()) + $O$20 / (2 * SQRT($C$18^2 + AC39^2)) - AC39</f>
        <v>0.13304858978915454</v>
      </c>
      <c r="AE39" s="9">
        <v>1</v>
      </c>
      <c r="AF39" s="8">
        <f xml:space="preserve"> $C$18 * TAN($O$17/180*PI()) + $O$20 / (2 * SQRT($C$18^2 + AE39^2)) - AE39</f>
        <v>-0.9083883039208529</v>
      </c>
      <c r="AG39" s="8">
        <f xml:space="preserve"> (AC39 + AE39)/2</f>
        <v>0.5</v>
      </c>
      <c r="AH39" s="8">
        <f xml:space="preserve"> $C$18 * TAN($O$17/180*PI()) + $O$20 / (2 * SQRT($C$18^2 + AG39^2)) - AG39</f>
        <v>-0.39518087500952165</v>
      </c>
      <c r="AI39" s="8">
        <f>AD39*AH39</f>
        <v>-5.2578258131660997E-2</v>
      </c>
      <c r="AJ39" s="8">
        <f>AF39*AH39</f>
        <v>0.35897768479185793</v>
      </c>
      <c r="AK39" s="8">
        <f>AE39-AC39</f>
        <v>1</v>
      </c>
      <c r="AM39" s="8">
        <v>35</v>
      </c>
      <c r="AN39" s="8">
        <f t="shared" si="13"/>
        <v>878.39747918769717</v>
      </c>
      <c r="AO39" s="20">
        <v>-3.2235220714937896E-8</v>
      </c>
      <c r="AP39" s="8">
        <f t="shared" si="14"/>
        <v>878.39747930411249</v>
      </c>
      <c r="AQ39" s="20">
        <v>2.7975090688414639E-8</v>
      </c>
      <c r="AR39" s="8">
        <f t="shared" si="9"/>
        <v>878.39747924590483</v>
      </c>
      <c r="AS39" s="20">
        <v>-2.1300934349710587E-9</v>
      </c>
      <c r="AT39" s="8">
        <f t="shared" si="10"/>
        <v>6.866403201973229E-17</v>
      </c>
      <c r="AU39" s="8">
        <f t="shared" si="11"/>
        <v>-5.9589557018112018E-17</v>
      </c>
      <c r="AV39" s="8">
        <f t="shared" si="12"/>
        <v>1.1641532182693481E-7</v>
      </c>
    </row>
    <row r="40" spans="6:48" x14ac:dyDescent="0.2">
      <c r="F40" t="s">
        <v>115</v>
      </c>
      <c r="G40" s="20">
        <f xml:space="preserve"> 1/1000 * IF($G$38&gt;= 2*SQRT(($C$15*$C$26)/(2*$C$25*$C$5*PI()*$C$16*$C$16)), ($C$15*$C$26)/$C$7 * ( ($G$38/2) - SQRT( ($G$38/2)^2 - ($C$15*$C$26)/(2*$C$25*$C$5*PI()*$C$16*$C$16 ) ) ), 1/$C$7 * SQRT(($C$15*$C$26)^3/(2*$C$25*$C$5*PI()*$C$16*$C$16)) )</f>
        <v>145.22767098815279</v>
      </c>
      <c r="H40" t="s">
        <v>162</v>
      </c>
      <c r="K40" s="20">
        <f>SUM(K22:K25)</f>
        <v>41.028991698537922</v>
      </c>
      <c r="AB40" s="8">
        <v>1</v>
      </c>
      <c r="AC40" s="8">
        <f>IF(AI39&gt;0, AG39, AC39)</f>
        <v>0</v>
      </c>
      <c r="AD40" s="8">
        <f t="shared" ref="AD40:AD69" si="15" xml:space="preserve"> $C$18 * TAN($O$17/180*PI()) + $O$20 / (2 * SQRT($C$18^2 + AC40^2)) - AC40</f>
        <v>0.13304858978915454</v>
      </c>
      <c r="AE40" s="8">
        <f>IF(AJ39&gt;0, AG39, AE39)</f>
        <v>0.5</v>
      </c>
      <c r="AF40" s="8">
        <f t="shared" ref="AF40:AF69" si="16" xml:space="preserve"> $C$18 * TAN($O$17/180*PI()) + $O$20 / (2 * SQRT($C$18^2 + AE40^2)) - AE40</f>
        <v>-0.39518087500952165</v>
      </c>
      <c r="AG40" s="8">
        <f t="shared" ref="AG40:AG69" si="17" xml:space="preserve"> (AC40 + AE40)/2</f>
        <v>0.25</v>
      </c>
      <c r="AH40" s="8">
        <f t="shared" ref="AH40:AH69" si="18" xml:space="preserve"> $C$18 * TAN($O$17/180*PI()) + $O$20 / (2 * SQRT($C$18^2 + AG40^2)) - AG40</f>
        <v>-0.13042809821477783</v>
      </c>
      <c r="AI40" s="8">
        <f t="shared" ref="AI40:AI69" si="19">AD40*AH40</f>
        <v>-1.7353274536357537E-2</v>
      </c>
      <c r="AJ40" s="8">
        <f t="shared" ref="AJ40:AJ69" si="20">AF40*AH40</f>
        <v>5.1542689978343728E-2</v>
      </c>
      <c r="AK40" s="8">
        <f t="shared" ref="AK40:AK69" si="21">AE40-AC40</f>
        <v>0.5</v>
      </c>
      <c r="AM40" s="8">
        <v>36</v>
      </c>
      <c r="AN40" s="8">
        <f t="shared" si="13"/>
        <v>878.39747924590483</v>
      </c>
      <c r="AO40" s="20">
        <v>-2.1300934349710587E-9</v>
      </c>
      <c r="AP40" s="8">
        <f t="shared" si="14"/>
        <v>878.39747930411249</v>
      </c>
      <c r="AQ40" s="20">
        <v>2.7975090688414639E-8</v>
      </c>
      <c r="AR40" s="8">
        <f t="shared" si="9"/>
        <v>878.39747927500866</v>
      </c>
      <c r="AS40" s="20">
        <v>1.2922328096465208E-8</v>
      </c>
      <c r="AT40" s="8">
        <f t="shared" si="10"/>
        <v>-2.7525766242822597E-17</v>
      </c>
      <c r="AU40" s="8">
        <f t="shared" si="11"/>
        <v>3.615033004040627E-16</v>
      </c>
      <c r="AV40" s="8">
        <f t="shared" si="12"/>
        <v>5.8207660913467407E-8</v>
      </c>
    </row>
    <row r="41" spans="6:48" x14ac:dyDescent="0.2">
      <c r="F41" t="s">
        <v>30</v>
      </c>
      <c r="G41" s="20">
        <f xml:space="preserve"> $C$15 * $C$26 / $C$5</f>
        <v>1230.5909485571954</v>
      </c>
      <c r="H41" t="s">
        <v>31</v>
      </c>
      <c r="AB41" s="8">
        <v>2</v>
      </c>
      <c r="AC41" s="8">
        <f t="shared" ref="AC41:AC69" si="22">IF(AI40&gt;0, AG40, AC40)</f>
        <v>0</v>
      </c>
      <c r="AD41" s="8">
        <f t="shared" si="15"/>
        <v>0.13304858978915454</v>
      </c>
      <c r="AE41" s="8">
        <f t="shared" ref="AE41:AE69" si="23">IF(AJ40&gt;0, AG40, AE40)</f>
        <v>0.25</v>
      </c>
      <c r="AF41" s="8">
        <f t="shared" si="16"/>
        <v>-0.13042809821477783</v>
      </c>
      <c r="AG41" s="8">
        <f t="shared" si="17"/>
        <v>0.125</v>
      </c>
      <c r="AH41" s="8">
        <f t="shared" si="18"/>
        <v>3.5759259216778527E-3</v>
      </c>
      <c r="AI41" s="8">
        <f t="shared" si="19"/>
        <v>4.75771901069721E-4</v>
      </c>
      <c r="AJ41" s="8">
        <f t="shared" si="20"/>
        <v>-4.6640121732136888E-4</v>
      </c>
      <c r="AK41" s="8">
        <f t="shared" si="21"/>
        <v>0.25</v>
      </c>
      <c r="AM41" s="8">
        <v>37</v>
      </c>
      <c r="AN41" s="8">
        <f t="shared" si="13"/>
        <v>878.39747924590483</v>
      </c>
      <c r="AO41" s="20">
        <v>-2.1300934349710587E-9</v>
      </c>
      <c r="AP41" s="8">
        <f t="shared" si="14"/>
        <v>878.39747927500866</v>
      </c>
      <c r="AQ41" s="20">
        <v>1.2922328096465208E-8</v>
      </c>
      <c r="AR41" s="8">
        <f t="shared" si="9"/>
        <v>878.39747926045675</v>
      </c>
      <c r="AS41" s="20">
        <v>5.3963162827130873E-9</v>
      </c>
      <c r="AT41" s="8">
        <f t="shared" si="10"/>
        <v>-1.1494657886834575E-17</v>
      </c>
      <c r="AU41" s="8">
        <f t="shared" si="11"/>
        <v>6.9732969517516014E-17</v>
      </c>
      <c r="AV41" s="8">
        <f t="shared" si="12"/>
        <v>2.9103830456733704E-8</v>
      </c>
    </row>
    <row r="42" spans="6:48" x14ac:dyDescent="0.2">
      <c r="F42" t="s">
        <v>122</v>
      </c>
      <c r="G42" s="24">
        <f>$G$39/$G$38</f>
        <v>100</v>
      </c>
      <c r="H42" t="s">
        <v>22</v>
      </c>
      <c r="AB42" s="8">
        <v>3</v>
      </c>
      <c r="AC42" s="8">
        <f t="shared" si="22"/>
        <v>0.125</v>
      </c>
      <c r="AD42" s="8">
        <f t="shared" si="15"/>
        <v>3.5759259216778527E-3</v>
      </c>
      <c r="AE42" s="8">
        <f t="shared" si="23"/>
        <v>0.25</v>
      </c>
      <c r="AF42" s="8">
        <f t="shared" si="16"/>
        <v>-0.13042809821477783</v>
      </c>
      <c r="AG42" s="8">
        <f t="shared" si="17"/>
        <v>0.1875</v>
      </c>
      <c r="AH42" s="8">
        <f t="shared" si="18"/>
        <v>-6.3289492625976496E-2</v>
      </c>
      <c r="AI42" s="8">
        <f t="shared" si="19"/>
        <v>-2.2631853725106868E-4</v>
      </c>
      <c r="AJ42" s="8">
        <f t="shared" si="20"/>
        <v>8.25472816018432E-3</v>
      </c>
      <c r="AK42" s="8">
        <f t="shared" si="21"/>
        <v>0.125</v>
      </c>
      <c r="AM42" s="8">
        <v>38</v>
      </c>
      <c r="AN42" s="8">
        <f t="shared" si="13"/>
        <v>878.39747924590483</v>
      </c>
      <c r="AO42" s="20">
        <v>-2.1300934349710587E-9</v>
      </c>
      <c r="AP42" s="8">
        <f t="shared" si="14"/>
        <v>878.39747926045675</v>
      </c>
      <c r="AQ42" s="20">
        <v>5.3963162827130873E-9</v>
      </c>
      <c r="AR42" s="8">
        <f t="shared" si="9"/>
        <v>878.39747925318079</v>
      </c>
      <c r="AS42" s="20">
        <v>1.6329977370332927E-9</v>
      </c>
      <c r="AT42" s="8">
        <f t="shared" si="10"/>
        <v>-3.478437758977212E-18</v>
      </c>
      <c r="AU42" s="8">
        <f t="shared" si="11"/>
        <v>8.8121722779863814E-18</v>
      </c>
      <c r="AV42" s="8">
        <f t="shared" si="12"/>
        <v>1.4551915228366852E-8</v>
      </c>
    </row>
    <row r="43" spans="6:48" x14ac:dyDescent="0.2">
      <c r="AB43" s="8">
        <v>4</v>
      </c>
      <c r="AC43" s="8">
        <f t="shared" si="22"/>
        <v>0.125</v>
      </c>
      <c r="AD43" s="8">
        <f t="shared" si="15"/>
        <v>3.5759259216778527E-3</v>
      </c>
      <c r="AE43" s="8">
        <f t="shared" si="23"/>
        <v>0.1875</v>
      </c>
      <c r="AF43" s="8">
        <f t="shared" si="16"/>
        <v>-6.3289492625976496E-2</v>
      </c>
      <c r="AG43" s="8">
        <f t="shared" si="17"/>
        <v>0.15625</v>
      </c>
      <c r="AH43" s="8">
        <f t="shared" si="18"/>
        <v>-2.9776748976514639E-2</v>
      </c>
      <c r="AI43" s="8">
        <f t="shared" si="19"/>
        <v>-1.0647944852841316E-4</v>
      </c>
      <c r="AJ43" s="8">
        <f t="shared" si="20"/>
        <v>1.8845553347746763E-3</v>
      </c>
      <c r="AK43" s="8">
        <f t="shared" si="21"/>
        <v>6.25E-2</v>
      </c>
      <c r="AM43" s="8">
        <v>39</v>
      </c>
      <c r="AN43" s="8">
        <f t="shared" si="13"/>
        <v>878.39747924590483</v>
      </c>
      <c r="AO43" s="20">
        <v>-2.1300934349710587E-9</v>
      </c>
      <c r="AP43" s="8">
        <f t="shared" si="14"/>
        <v>878.39747925318079</v>
      </c>
      <c r="AQ43" s="20">
        <v>1.6329977370332927E-9</v>
      </c>
      <c r="AR43" s="8">
        <f t="shared" si="9"/>
        <v>878.39747924954281</v>
      </c>
      <c r="AS43" s="20">
        <v>-2.4851942725945264E-10</v>
      </c>
      <c r="AT43" s="8">
        <f t="shared" si="10"/>
        <v>5.2936960046812765E-19</v>
      </c>
      <c r="AU43" s="8">
        <f t="shared" si="11"/>
        <v>-4.0583166232349615E-19</v>
      </c>
      <c r="AV43" s="8">
        <f t="shared" si="12"/>
        <v>7.2759576141834259E-9</v>
      </c>
    </row>
    <row r="44" spans="6:48" x14ac:dyDescent="0.2">
      <c r="AB44" s="8">
        <v>5</v>
      </c>
      <c r="AC44" s="8">
        <f t="shared" si="22"/>
        <v>0.125</v>
      </c>
      <c r="AD44" s="8">
        <f t="shared" si="15"/>
        <v>3.5759259216778527E-3</v>
      </c>
      <c r="AE44" s="8">
        <f t="shared" si="23"/>
        <v>0.15625</v>
      </c>
      <c r="AF44" s="8">
        <f t="shared" si="16"/>
        <v>-2.9776748976514639E-2</v>
      </c>
      <c r="AG44" s="8">
        <f t="shared" si="17"/>
        <v>0.140625</v>
      </c>
      <c r="AH44" s="8">
        <f t="shared" si="18"/>
        <v>-1.307346542552984E-2</v>
      </c>
      <c r="AI44" s="8">
        <f t="shared" si="19"/>
        <v>-4.6749743901311335E-5</v>
      </c>
      <c r="AJ44" s="8">
        <f t="shared" si="20"/>
        <v>3.8928529822914517E-4</v>
      </c>
      <c r="AK44" s="8">
        <f t="shared" si="21"/>
        <v>3.125E-2</v>
      </c>
      <c r="AM44" s="8">
        <v>40</v>
      </c>
      <c r="AN44" s="8">
        <f t="shared" si="13"/>
        <v>878.39747924954281</v>
      </c>
      <c r="AO44" s="20">
        <v>-2.4851942725945264E-10</v>
      </c>
      <c r="AP44" s="8">
        <f t="shared" si="14"/>
        <v>878.39747925318079</v>
      </c>
      <c r="AQ44" s="20">
        <v>1.6329977370332927E-9</v>
      </c>
      <c r="AR44" s="11">
        <f t="shared" si="9"/>
        <v>878.3974792513618</v>
      </c>
      <c r="AS44" s="20">
        <v>6.9235284172464162E-10</v>
      </c>
      <c r="AT44" s="8">
        <f t="shared" si="10"/>
        <v>-1.720631316868624E-19</v>
      </c>
      <c r="AU44" s="8">
        <f t="shared" si="11"/>
        <v>1.1306106237649092E-18</v>
      </c>
      <c r="AV44" s="8">
        <f t="shared" si="12"/>
        <v>3.637978807091713E-9</v>
      </c>
    </row>
    <row r="45" spans="6:48" x14ac:dyDescent="0.2">
      <c r="AB45" s="8">
        <v>6</v>
      </c>
      <c r="AC45" s="8">
        <f t="shared" si="22"/>
        <v>0.125</v>
      </c>
      <c r="AD45" s="8">
        <f t="shared" si="15"/>
        <v>3.5759259216778527E-3</v>
      </c>
      <c r="AE45" s="8">
        <f t="shared" si="23"/>
        <v>0.140625</v>
      </c>
      <c r="AF45" s="8">
        <f t="shared" si="16"/>
        <v>-1.307346542552984E-2</v>
      </c>
      <c r="AG45" s="8">
        <f t="shared" si="17"/>
        <v>0.1328125</v>
      </c>
      <c r="AH45" s="8">
        <f t="shared" si="18"/>
        <v>-4.7411043902588212E-3</v>
      </c>
      <c r="AI45" s="8">
        <f t="shared" si="19"/>
        <v>-1.6953838086507188E-5</v>
      </c>
      <c r="AJ45" s="8">
        <f t="shared" si="20"/>
        <v>6.1982664324876431E-5</v>
      </c>
      <c r="AK45" s="8">
        <f t="shared" si="21"/>
        <v>1.5625E-2</v>
      </c>
    </row>
    <row r="46" spans="6:48" x14ac:dyDescent="0.2">
      <c r="AB46" s="8">
        <v>7</v>
      </c>
      <c r="AC46" s="8">
        <f t="shared" si="22"/>
        <v>0.125</v>
      </c>
      <c r="AD46" s="8">
        <f t="shared" si="15"/>
        <v>3.5759259216778527E-3</v>
      </c>
      <c r="AE46" s="8">
        <f t="shared" si="23"/>
        <v>0.1328125</v>
      </c>
      <c r="AF46" s="8">
        <f t="shared" si="16"/>
        <v>-4.7411043902588212E-3</v>
      </c>
      <c r="AG46" s="8">
        <f t="shared" si="17"/>
        <v>0.12890625</v>
      </c>
      <c r="AH46" s="8">
        <f t="shared" si="18"/>
        <v>-5.8055373139362376E-4</v>
      </c>
      <c r="AI46" s="8">
        <f t="shared" si="19"/>
        <v>-2.0760171370172608E-6</v>
      </c>
      <c r="AJ46" s="8">
        <f t="shared" si="20"/>
        <v>2.75246584469145E-6</v>
      </c>
      <c r="AK46" s="8">
        <f t="shared" si="21"/>
        <v>7.8125E-3</v>
      </c>
    </row>
    <row r="47" spans="6:48" x14ac:dyDescent="0.2">
      <c r="AB47" s="8">
        <v>8</v>
      </c>
      <c r="AC47" s="8">
        <f t="shared" si="22"/>
        <v>0.125</v>
      </c>
      <c r="AD47" s="8">
        <f t="shared" si="15"/>
        <v>3.5759259216778527E-3</v>
      </c>
      <c r="AE47" s="8">
        <f t="shared" si="23"/>
        <v>0.12890625</v>
      </c>
      <c r="AF47" s="8">
        <f t="shared" si="16"/>
        <v>-5.8055373139362376E-4</v>
      </c>
      <c r="AG47" s="8">
        <f t="shared" si="17"/>
        <v>0.126953125</v>
      </c>
      <c r="AH47" s="8">
        <f t="shared" si="18"/>
        <v>1.498210025764668E-3</v>
      </c>
      <c r="AI47" s="8">
        <f t="shared" si="19"/>
        <v>5.3574880672495198E-6</v>
      </c>
      <c r="AJ47" s="8">
        <f t="shared" si="20"/>
        <v>-8.6979142086901517E-7</v>
      </c>
      <c r="AK47" s="8">
        <f t="shared" si="21"/>
        <v>3.90625E-3</v>
      </c>
    </row>
    <row r="48" spans="6:48" x14ac:dyDescent="0.2">
      <c r="AB48" s="8">
        <v>9</v>
      </c>
      <c r="AC48" s="8">
        <f t="shared" si="22"/>
        <v>0.126953125</v>
      </c>
      <c r="AD48" s="8">
        <f t="shared" si="15"/>
        <v>1.498210025764668E-3</v>
      </c>
      <c r="AE48" s="8">
        <f t="shared" si="23"/>
        <v>0.12890625</v>
      </c>
      <c r="AF48" s="8">
        <f t="shared" si="16"/>
        <v>-5.8055373139362376E-4</v>
      </c>
      <c r="AG48" s="8">
        <f t="shared" si="17"/>
        <v>0.1279296875</v>
      </c>
      <c r="AH48" s="8">
        <f t="shared" si="18"/>
        <v>4.5895724152650308E-4</v>
      </c>
      <c r="AI48" s="8">
        <f t="shared" si="19"/>
        <v>6.8761434065230316E-7</v>
      </c>
      <c r="AJ48" s="8">
        <f t="shared" si="20"/>
        <v>-2.66449339118336E-7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0.1279296875</v>
      </c>
      <c r="AD49" s="8">
        <f t="shared" si="15"/>
        <v>4.5895724152650308E-4</v>
      </c>
      <c r="AE49" s="8">
        <f t="shared" si="23"/>
        <v>0.12890625</v>
      </c>
      <c r="AF49" s="8">
        <f t="shared" si="16"/>
        <v>-5.8055373139362376E-4</v>
      </c>
      <c r="AG49" s="8">
        <f t="shared" si="17"/>
        <v>0.12841796875</v>
      </c>
      <c r="AH49" s="8">
        <f t="shared" si="18"/>
        <v>-6.0766206844253823E-5</v>
      </c>
      <c r="AI49" s="8">
        <f t="shared" si="19"/>
        <v>-2.7889090671267646E-8</v>
      </c>
      <c r="AJ49" s="8">
        <f t="shared" si="20"/>
        <v>3.5278048126068316E-8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0.1279296875</v>
      </c>
      <c r="AD50" s="8">
        <f t="shared" si="15"/>
        <v>4.5895724152650308E-4</v>
      </c>
      <c r="AE50" s="8">
        <f t="shared" si="23"/>
        <v>0.12841796875</v>
      </c>
      <c r="AF50" s="8">
        <f t="shared" si="16"/>
        <v>-6.0766206844253823E-5</v>
      </c>
      <c r="AG50" s="8">
        <f t="shared" si="17"/>
        <v>0.128173828125</v>
      </c>
      <c r="AH50" s="8">
        <f t="shared" si="18"/>
        <v>1.9910355627550391E-4</v>
      </c>
      <c r="AI50" s="8">
        <f t="shared" si="19"/>
        <v>9.1380018966322146E-8</v>
      </c>
      <c r="AJ50" s="8">
        <f t="shared" si="20"/>
        <v>-1.2098767884063802E-8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0.128173828125</v>
      </c>
      <c r="AD51" s="8">
        <f t="shared" si="15"/>
        <v>1.9910355627550391E-4</v>
      </c>
      <c r="AE51" s="8">
        <f t="shared" si="23"/>
        <v>0.12841796875</v>
      </c>
      <c r="AF51" s="8">
        <f t="shared" si="16"/>
        <v>-6.0766206844253823E-5</v>
      </c>
      <c r="AG51" s="8">
        <f t="shared" si="17"/>
        <v>0.1282958984375</v>
      </c>
      <c r="AH51" s="8">
        <f t="shared" si="18"/>
        <v>6.9170680771141191E-5</v>
      </c>
      <c r="AI51" s="8">
        <f t="shared" si="19"/>
        <v>1.3772128531531826E-8</v>
      </c>
      <c r="AJ51" s="8">
        <f t="shared" si="20"/>
        <v>-4.2032398952970158E-9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0.1282958984375</v>
      </c>
      <c r="AD52" s="8">
        <f t="shared" si="15"/>
        <v>6.9170680771141191E-5</v>
      </c>
      <c r="AE52" s="8">
        <f t="shared" si="23"/>
        <v>0.12841796875</v>
      </c>
      <c r="AF52" s="8">
        <f t="shared" si="16"/>
        <v>-6.0766206844253823E-5</v>
      </c>
      <c r="AG52" s="8">
        <f t="shared" si="17"/>
        <v>0.12835693359375</v>
      </c>
      <c r="AH52" s="8">
        <f t="shared" si="18"/>
        <v>4.202738017711205E-6</v>
      </c>
      <c r="AI52" s="8">
        <f t="shared" si="19"/>
        <v>2.9070624978784049E-10</v>
      </c>
      <c r="AJ52" s="8">
        <f t="shared" si="20"/>
        <v>-2.5538444769644838E-10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0.12835693359375</v>
      </c>
      <c r="AD53" s="8">
        <f t="shared" si="15"/>
        <v>4.202738017711205E-6</v>
      </c>
      <c r="AE53" s="8">
        <f t="shared" si="23"/>
        <v>0.12841796875</v>
      </c>
      <c r="AF53" s="8">
        <f t="shared" si="16"/>
        <v>-6.0766206844253823E-5</v>
      </c>
      <c r="AG53" s="8">
        <f t="shared" si="17"/>
        <v>0.128387451171875</v>
      </c>
      <c r="AH53" s="8">
        <f t="shared" si="18"/>
        <v>-2.8281609207148062E-5</v>
      </c>
      <c r="AI53" s="8">
        <f t="shared" si="19"/>
        <v>-1.1886019421693242E-10</v>
      </c>
      <c r="AJ53" s="8">
        <f t="shared" si="20"/>
        <v>1.7185661149699125E-9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0.12835693359375</v>
      </c>
      <c r="AD54" s="8">
        <f t="shared" si="15"/>
        <v>4.202738017711205E-6</v>
      </c>
      <c r="AE54" s="8">
        <f t="shared" si="23"/>
        <v>0.128387451171875</v>
      </c>
      <c r="AF54" s="8">
        <f t="shared" si="16"/>
        <v>-2.8281609207148062E-5</v>
      </c>
      <c r="AG54" s="8">
        <f t="shared" si="17"/>
        <v>0.1283721923828125</v>
      </c>
      <c r="AH54" s="8">
        <f t="shared" si="18"/>
        <v>-1.20394042860128E-5</v>
      </c>
      <c r="AI54" s="8">
        <f t="shared" si="19"/>
        <v>-5.0598462103421225E-11</v>
      </c>
      <c r="AJ54" s="8">
        <f t="shared" si="20"/>
        <v>3.4049372710387746E-10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0.12835693359375</v>
      </c>
      <c r="AD55" s="8">
        <f t="shared" si="15"/>
        <v>4.202738017711205E-6</v>
      </c>
      <c r="AE55" s="8">
        <f t="shared" si="23"/>
        <v>0.1283721923828125</v>
      </c>
      <c r="AF55" s="8">
        <f t="shared" si="16"/>
        <v>-1.20394042860128E-5</v>
      </c>
      <c r="AG55" s="8">
        <f t="shared" si="17"/>
        <v>0.12836456298828125</v>
      </c>
      <c r="AH55" s="8">
        <f t="shared" si="18"/>
        <v>-3.9183253060792733E-6</v>
      </c>
      <c r="AI55" s="8">
        <f t="shared" si="19"/>
        <v>-1.6467694729619256E-11</v>
      </c>
      <c r="AJ55" s="8">
        <f t="shared" si="20"/>
        <v>4.7174302484003221E-11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0.12835693359375</v>
      </c>
      <c r="AD56" s="8">
        <f t="shared" si="15"/>
        <v>4.202738017711205E-6</v>
      </c>
      <c r="AE56" s="8">
        <f t="shared" si="23"/>
        <v>0.12836456298828125</v>
      </c>
      <c r="AF56" s="8">
        <f t="shared" si="16"/>
        <v>-3.9183253060792733E-6</v>
      </c>
      <c r="AG56" s="8">
        <f t="shared" si="17"/>
        <v>0.12836074829101562</v>
      </c>
      <c r="AH56" s="8">
        <f t="shared" si="18"/>
        <v>1.4220831295874703E-7</v>
      </c>
      <c r="AI56" s="8">
        <f t="shared" si="19"/>
        <v>5.9766428330629916E-13</v>
      </c>
      <c r="AJ56" s="8">
        <f t="shared" si="20"/>
        <v>-5.5721843140109953E-13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0.12836074829101562</v>
      </c>
      <c r="AD57" s="8">
        <f t="shared" si="15"/>
        <v>1.4220831295874703E-7</v>
      </c>
      <c r="AE57" s="8">
        <f t="shared" si="23"/>
        <v>0.12836456298828125</v>
      </c>
      <c r="AF57" s="8">
        <f t="shared" si="16"/>
        <v>-3.9183253060792733E-6</v>
      </c>
      <c r="AG57" s="8">
        <f t="shared" si="17"/>
        <v>0.12836265563964844</v>
      </c>
      <c r="AH57" s="8">
        <f t="shared" si="18"/>
        <v>-1.888058007298854E-6</v>
      </c>
      <c r="AI57" s="8">
        <f t="shared" si="19"/>
        <v>-2.6849754398622369E-13</v>
      </c>
      <c r="AJ57" s="8">
        <f t="shared" si="20"/>
        <v>7.398025469344705E-12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0.12836074829101562</v>
      </c>
      <c r="AD58" s="8">
        <f t="shared" si="15"/>
        <v>1.4220831295874703E-7</v>
      </c>
      <c r="AE58" s="8">
        <f t="shared" si="23"/>
        <v>0.12836265563964844</v>
      </c>
      <c r="AF58" s="8">
        <f t="shared" si="16"/>
        <v>-1.888058007298854E-6</v>
      </c>
      <c r="AG58" s="8">
        <f t="shared" si="17"/>
        <v>0.12836170196533203</v>
      </c>
      <c r="AH58" s="8">
        <f t="shared" si="18"/>
        <v>-8.7292472486510952E-7</v>
      </c>
      <c r="AI58" s="8">
        <f t="shared" si="19"/>
        <v>-1.2413715246304565E-13</v>
      </c>
      <c r="AJ58" s="8">
        <f t="shared" si="20"/>
        <v>1.648132516550719E-12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0.12836074829101562</v>
      </c>
      <c r="AD59" s="8">
        <f t="shared" si="15"/>
        <v>1.4220831295874703E-7</v>
      </c>
      <c r="AE59" s="8">
        <f t="shared" si="23"/>
        <v>0.12836170196533203</v>
      </c>
      <c r="AF59" s="8">
        <f t="shared" si="16"/>
        <v>-8.7292472486510952E-7</v>
      </c>
      <c r="AG59" s="8">
        <f t="shared" si="17"/>
        <v>0.12836122512817383</v>
      </c>
      <c r="AH59" s="8">
        <f t="shared" si="18"/>
        <v>-3.6535817538041471E-7</v>
      </c>
      <c r="AI59" s="8">
        <f t="shared" si="19"/>
        <v>-5.1956969746534797E-14</v>
      </c>
      <c r="AJ59" s="8">
        <f t="shared" si="20"/>
        <v>3.1893018472116695E-13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0.12836074829101562</v>
      </c>
      <c r="AD60" s="8">
        <f t="shared" si="15"/>
        <v>1.4220831295874703E-7</v>
      </c>
      <c r="AE60" s="8">
        <f t="shared" si="23"/>
        <v>0.12836122512817383</v>
      </c>
      <c r="AF60" s="8">
        <f t="shared" si="16"/>
        <v>-3.6535817538041471E-7</v>
      </c>
      <c r="AG60" s="8">
        <f t="shared" si="17"/>
        <v>0.12836098670959473</v>
      </c>
      <c r="AH60" s="8">
        <f t="shared" si="18"/>
        <v>-1.1157492357805054E-7</v>
      </c>
      <c r="AI60" s="8">
        <f t="shared" si="19"/>
        <v>-1.5866881650535694E-14</v>
      </c>
      <c r="AJ60" s="8">
        <f t="shared" si="20"/>
        <v>4.0764810496685758E-14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0.12836074829101562</v>
      </c>
      <c r="AD61" s="8">
        <f t="shared" si="15"/>
        <v>1.4220831295874703E-7</v>
      </c>
      <c r="AE61" s="8">
        <f t="shared" si="23"/>
        <v>0.12836098670959473</v>
      </c>
      <c r="AF61" s="8">
        <f t="shared" si="16"/>
        <v>-1.1157492357805054E-7</v>
      </c>
      <c r="AG61" s="8">
        <f t="shared" si="17"/>
        <v>0.12836086750030518</v>
      </c>
      <c r="AH61" s="8">
        <f t="shared" si="18"/>
        <v>1.531669660548296E-8</v>
      </c>
      <c r="AI61" s="8">
        <f t="shared" si="19"/>
        <v>2.1781615843666989E-15</v>
      </c>
      <c r="AJ61" s="8">
        <f t="shared" si="20"/>
        <v>-1.7089592532249474E-15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0.12836086750030518</v>
      </c>
      <c r="AD62" s="8">
        <f t="shared" si="15"/>
        <v>1.531669660548296E-8</v>
      </c>
      <c r="AE62" s="8">
        <f t="shared" si="23"/>
        <v>0.12836098670959473</v>
      </c>
      <c r="AF62" s="8">
        <f t="shared" si="16"/>
        <v>-1.1157492357805054E-7</v>
      </c>
      <c r="AG62" s="8">
        <f t="shared" si="17"/>
        <v>0.12836092710494995</v>
      </c>
      <c r="AH62" s="8">
        <f t="shared" si="18"/>
        <v>-4.8129113000561219E-8</v>
      </c>
      <c r="AI62" s="8">
        <f t="shared" si="19"/>
        <v>-7.3717902172060183E-16</v>
      </c>
      <c r="AJ62" s="8">
        <f t="shared" si="20"/>
        <v>5.3700021049169768E-15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0.12836086750030518</v>
      </c>
      <c r="AD63" s="8">
        <f t="shared" si="15"/>
        <v>1.531669660548296E-8</v>
      </c>
      <c r="AE63" s="8">
        <f t="shared" si="23"/>
        <v>0.12836092710494995</v>
      </c>
      <c r="AF63" s="8">
        <f t="shared" si="16"/>
        <v>-4.8129113000561219E-8</v>
      </c>
      <c r="AG63" s="8">
        <f t="shared" si="17"/>
        <v>0.12836089730262756</v>
      </c>
      <c r="AH63" s="8">
        <f t="shared" si="18"/>
        <v>-1.6406208086516827E-8</v>
      </c>
      <c r="AI63" s="8">
        <f t="shared" si="19"/>
        <v>-2.5128891170759936E-16</v>
      </c>
      <c r="AJ63" s="8">
        <f t="shared" si="20"/>
        <v>7.8961624290668963E-16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0.12836086750030518</v>
      </c>
      <c r="AD64" s="8">
        <f t="shared" si="15"/>
        <v>1.531669660548296E-8</v>
      </c>
      <c r="AE64" s="8">
        <f t="shared" si="23"/>
        <v>0.12836089730262756</v>
      </c>
      <c r="AF64" s="8">
        <f t="shared" si="16"/>
        <v>-1.6406208086516827E-8</v>
      </c>
      <c r="AG64" s="8">
        <f t="shared" si="17"/>
        <v>0.12836088240146637</v>
      </c>
      <c r="AH64" s="8">
        <f t="shared" si="18"/>
        <v>-5.4475571276135781E-10</v>
      </c>
      <c r="AI64" s="8">
        <f t="shared" si="19"/>
        <v>-8.3438579764693389E-18</v>
      </c>
      <c r="AJ64" s="8">
        <f t="shared" si="20"/>
        <v>8.9373755798816256E-18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0.12836086750030518</v>
      </c>
      <c r="AD65" s="8">
        <f t="shared" si="15"/>
        <v>1.531669660548296E-8</v>
      </c>
      <c r="AE65" s="8">
        <f t="shared" si="23"/>
        <v>0.12836088240146637</v>
      </c>
      <c r="AF65" s="8">
        <f t="shared" si="16"/>
        <v>-5.4475571276135781E-10</v>
      </c>
      <c r="AG65" s="8">
        <f t="shared" si="17"/>
        <v>0.12836087495088577</v>
      </c>
      <c r="AH65" s="8">
        <f t="shared" si="18"/>
        <v>7.3859704463608011E-9</v>
      </c>
      <c r="AI65" s="8">
        <f t="shared" si="19"/>
        <v>1.1312866846397195E-16</v>
      </c>
      <c r="AJ65" s="8">
        <f t="shared" si="20"/>
        <v>-4.0235495949416023E-18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0.12836087495088577</v>
      </c>
      <c r="AD66" s="8">
        <f t="shared" si="15"/>
        <v>7.3859704463608011E-9</v>
      </c>
      <c r="AE66" s="8">
        <f t="shared" si="23"/>
        <v>0.12836088240146637</v>
      </c>
      <c r="AF66" s="8">
        <f t="shared" si="16"/>
        <v>-5.4475571276135781E-10</v>
      </c>
      <c r="AG66" s="8">
        <f t="shared" si="17"/>
        <v>0.12836087867617607</v>
      </c>
      <c r="AH66" s="8">
        <f t="shared" si="18"/>
        <v>3.4206073806775095E-9</v>
      </c>
      <c r="AI66" s="8">
        <f t="shared" si="19"/>
        <v>2.5264505022287717E-17</v>
      </c>
      <c r="AJ66" s="8">
        <f t="shared" si="20"/>
        <v>-1.8633954117377379E-18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0.12836087867617607</v>
      </c>
      <c r="AD67" s="8">
        <f t="shared" si="15"/>
        <v>3.4206073806775095E-9</v>
      </c>
      <c r="AE67" s="8">
        <f t="shared" si="23"/>
        <v>0.12836088240146637</v>
      </c>
      <c r="AF67" s="8">
        <f t="shared" si="16"/>
        <v>-5.4475571276135781E-10</v>
      </c>
      <c r="AG67" s="8">
        <f t="shared" si="17"/>
        <v>0.12836088053882122</v>
      </c>
      <c r="AH67" s="8">
        <f t="shared" si="18"/>
        <v>1.4379258339580758E-9</v>
      </c>
      <c r="AI67" s="8">
        <f t="shared" si="19"/>
        <v>4.9185797205038572E-18</v>
      </c>
      <c r="AJ67" s="8">
        <f t="shared" si="20"/>
        <v>-7.8331831257580144E-19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0.12836088053882122</v>
      </c>
      <c r="AD68" s="8">
        <f t="shared" si="15"/>
        <v>1.4379258339580758E-9</v>
      </c>
      <c r="AE68" s="8">
        <f t="shared" si="23"/>
        <v>0.12836088240146637</v>
      </c>
      <c r="AF68" s="8">
        <f t="shared" si="16"/>
        <v>-5.4475571276135781E-10</v>
      </c>
      <c r="AG68" s="8">
        <f t="shared" si="17"/>
        <v>0.1283608814701438</v>
      </c>
      <c r="AH68" s="8">
        <f t="shared" si="18"/>
        <v>4.4658507447614681E-10</v>
      </c>
      <c r="AI68" s="8">
        <f t="shared" si="19"/>
        <v>6.4215621564934281E-19</v>
      </c>
      <c r="AJ68" s="8">
        <f t="shared" si="20"/>
        <v>-2.4327977055483742E-19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0.1283608814701438</v>
      </c>
      <c r="AD69" s="8">
        <f t="shared" si="15"/>
        <v>4.4658507447614681E-10</v>
      </c>
      <c r="AE69" s="8">
        <f t="shared" si="23"/>
        <v>0.12836088240146637</v>
      </c>
      <c r="AF69" s="8">
        <f t="shared" si="16"/>
        <v>-5.4475571276135781E-10</v>
      </c>
      <c r="AG69" s="8">
        <f t="shared" si="17"/>
        <v>0.12836088193580508</v>
      </c>
      <c r="AH69" s="8">
        <f t="shared" si="18"/>
        <v>-4.9085319142605499E-11</v>
      </c>
      <c r="AI69" s="8">
        <f t="shared" si="19"/>
        <v>-2.1920770904985912E-20</v>
      </c>
      <c r="AJ69" s="8">
        <f t="shared" si="20"/>
        <v>2.6739508015648779E-20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xml:space="preserve"> $C$18 * TAN($W$17/180*PI()) + $W$20 / (2 * SQRT($C$18^2 + AC74^2)) - AC74</f>
        <v>8.8295040538197062E-2</v>
      </c>
      <c r="AE74" s="9">
        <v>1</v>
      </c>
      <c r="AF74" s="8">
        <f xml:space="preserve"> $C$18 * TAN($W$17/180*PI()) + $W$20 / (2 * SQRT($C$18^2 + AE74^2)) - AE74</f>
        <v>-0.95037067444897305</v>
      </c>
      <c r="AG74" s="8">
        <f xml:space="preserve"> (AC74 + AE74)/2</f>
        <v>0.5</v>
      </c>
      <c r="AH74" s="8">
        <f xml:space="preserve"> $C$18 * TAN($W$17/180*PI()) + $W$20 / (2 * SQRT($C$18^2 + AG74^2)) - AG74</f>
        <v>-0.43804651990271881</v>
      </c>
      <c r="AI74" s="8">
        <f>AD74*AH74</f>
        <v>-3.8677335232426703E-2</v>
      </c>
      <c r="AJ74" s="8">
        <f>AF74*AH74</f>
        <v>0.41630656655997239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$C$18 * TAN($W$17/180*PI()) + $W$20 / (2 * SQRT($C$18^2 + AC75^2)) - AC75</f>
        <v>8.8295040538197062E-2</v>
      </c>
      <c r="AE75" s="8">
        <f>IF(AJ74&gt;0, AG74, AE74)</f>
        <v>0.5</v>
      </c>
      <c r="AF75" s="8">
        <f t="shared" ref="AF75:AF104" si="25" xml:space="preserve"> $C$18 * TAN($W$17/180*PI()) + $W$20 / (2 * SQRT($C$18^2 + AE75^2)) - AE75</f>
        <v>-0.43804651990271881</v>
      </c>
      <c r="AG75" s="8">
        <f t="shared" ref="AG75:AG104" si="26" xml:space="preserve"> (AC75 + AE75)/2</f>
        <v>0.25</v>
      </c>
      <c r="AH75" s="8">
        <f t="shared" ref="AH75:AH104" si="27" xml:space="preserve"> $C$18 * TAN($W$17/180*PI()) + $W$20 / (2 * SQRT($C$18^2 + AG75^2)) - AG75</f>
        <v>-0.1742803658370452</v>
      </c>
      <c r="AI75" s="8">
        <f t="shared" ref="AI75:AI104" si="28">AD75*AH75</f>
        <v>-1.5388091966593721E-2</v>
      </c>
      <c r="AJ75" s="8">
        <f t="shared" ref="AJ75:AJ104" si="29">AF75*AH75</f>
        <v>7.6342907742290342E-2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8.8295040538197062E-2</v>
      </c>
      <c r="AE76" s="8">
        <f t="shared" ref="AE76:AE104" si="32">IF(AJ75&gt;0, AG75, AE75)</f>
        <v>0.25</v>
      </c>
      <c r="AF76" s="8">
        <f t="shared" si="25"/>
        <v>-0.1742803658370452</v>
      </c>
      <c r="AG76" s="8">
        <f t="shared" si="26"/>
        <v>0.125</v>
      </c>
      <c r="AH76" s="8">
        <f t="shared" si="27"/>
        <v>-4.0878504601155441E-2</v>
      </c>
      <c r="AI76" s="8">
        <f t="shared" si="28"/>
        <v>-3.6093692208998946E-3</v>
      </c>
      <c r="AJ76" s="8">
        <f t="shared" si="29"/>
        <v>7.1243207367607062E-3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</v>
      </c>
      <c r="AD77" s="8">
        <f t="shared" si="24"/>
        <v>8.8295040538197062E-2</v>
      </c>
      <c r="AE77" s="8">
        <f t="shared" si="32"/>
        <v>0.125</v>
      </c>
      <c r="AF77" s="8">
        <f t="shared" si="25"/>
        <v>-4.0878504601155441E-2</v>
      </c>
      <c r="AG77" s="8">
        <f t="shared" si="26"/>
        <v>6.25E-2</v>
      </c>
      <c r="AH77" s="8">
        <f t="shared" si="27"/>
        <v>2.4654600366737542E-2</v>
      </c>
      <c r="AI77" s="8">
        <f t="shared" si="28"/>
        <v>2.1768789388341395E-3</v>
      </c>
      <c r="AJ77" s="8">
        <f t="shared" si="29"/>
        <v>-1.0078431945313292E-3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6.25E-2</v>
      </c>
      <c r="AD78" s="8">
        <f t="shared" si="24"/>
        <v>2.4654600366737542E-2</v>
      </c>
      <c r="AE78" s="8">
        <f t="shared" si="32"/>
        <v>0.125</v>
      </c>
      <c r="AF78" s="8">
        <f t="shared" si="25"/>
        <v>-4.0878504601155441E-2</v>
      </c>
      <c r="AG78" s="8">
        <f t="shared" si="26"/>
        <v>9.375E-2</v>
      </c>
      <c r="AH78" s="8">
        <f t="shared" si="27"/>
        <v>-7.9246977251994921E-3</v>
      </c>
      <c r="AI78" s="8">
        <f t="shared" si="28"/>
        <v>-1.9538025544198757E-4</v>
      </c>
      <c r="AJ78" s="8">
        <f t="shared" si="29"/>
        <v>3.2394979242233351E-4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6.25E-2</v>
      </c>
      <c r="AD79" s="8">
        <f t="shared" si="24"/>
        <v>2.4654600366737542E-2</v>
      </c>
      <c r="AE79" s="8">
        <f t="shared" si="32"/>
        <v>9.375E-2</v>
      </c>
      <c r="AF79" s="8">
        <f t="shared" si="25"/>
        <v>-7.9246977251994921E-3</v>
      </c>
      <c r="AG79" s="8">
        <f t="shared" si="26"/>
        <v>7.8125E-2</v>
      </c>
      <c r="AH79" s="8">
        <f t="shared" si="27"/>
        <v>8.4188838046463099E-3</v>
      </c>
      <c r="AI79" s="8">
        <f t="shared" si="28"/>
        <v>2.0756421573755367E-4</v>
      </c>
      <c r="AJ79" s="8">
        <f t="shared" si="29"/>
        <v>-6.6717109335399463E-5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7.8125E-2</v>
      </c>
      <c r="AD80" s="8">
        <f t="shared" si="24"/>
        <v>8.4188838046463099E-3</v>
      </c>
      <c r="AE80" s="8">
        <f t="shared" si="32"/>
        <v>9.375E-2</v>
      </c>
      <c r="AF80" s="8">
        <f t="shared" si="25"/>
        <v>-7.9246977251994921E-3</v>
      </c>
      <c r="AG80" s="8">
        <f t="shared" si="26"/>
        <v>8.59375E-2</v>
      </c>
      <c r="AH80" s="8">
        <f t="shared" si="27"/>
        <v>2.5971693211704339E-4</v>
      </c>
      <c r="AI80" s="8">
        <f t="shared" si="28"/>
        <v>2.1865266735926014E-6</v>
      </c>
      <c r="AJ80" s="8">
        <f t="shared" si="29"/>
        <v>-2.0581781811437245E-6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8.59375E-2</v>
      </c>
      <c r="AD81" s="8">
        <f t="shared" si="24"/>
        <v>2.5971693211704339E-4</v>
      </c>
      <c r="AE81" s="8">
        <f t="shared" si="32"/>
        <v>9.375E-2</v>
      </c>
      <c r="AF81" s="8">
        <f t="shared" si="25"/>
        <v>-7.9246977251994921E-3</v>
      </c>
      <c r="AG81" s="8">
        <f t="shared" si="26"/>
        <v>8.984375E-2</v>
      </c>
      <c r="AH81" s="8">
        <f t="shared" si="27"/>
        <v>-3.8294455313723635E-3</v>
      </c>
      <c r="AI81" s="8">
        <f t="shared" si="28"/>
        <v>-9.9457184511735135E-7</v>
      </c>
      <c r="AJ81" s="8">
        <f t="shared" si="29"/>
        <v>3.0347198291241929E-5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8.59375E-2</v>
      </c>
      <c r="AD82" s="8">
        <f t="shared" si="24"/>
        <v>2.5971693211704339E-4</v>
      </c>
      <c r="AE82" s="8">
        <f t="shared" si="32"/>
        <v>8.984375E-2</v>
      </c>
      <c r="AF82" s="8">
        <f t="shared" si="25"/>
        <v>-3.8294455313723635E-3</v>
      </c>
      <c r="AG82" s="8">
        <f t="shared" si="26"/>
        <v>8.7890625E-2</v>
      </c>
      <c r="AH82" s="8">
        <f t="shared" si="27"/>
        <v>-1.7840890635689444E-3</v>
      </c>
      <c r="AI82" s="8">
        <f t="shared" si="28"/>
        <v>-4.6335813821369504E-7</v>
      </c>
      <c r="AJ82" s="8">
        <f t="shared" si="29"/>
        <v>6.8320718920543985E-6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8.59375E-2</v>
      </c>
      <c r="AD83" s="8">
        <f t="shared" si="24"/>
        <v>2.5971693211704339E-4</v>
      </c>
      <c r="AE83" s="8">
        <f t="shared" si="32"/>
        <v>8.7890625E-2</v>
      </c>
      <c r="AF83" s="8">
        <f t="shared" si="25"/>
        <v>-1.7840890635689444E-3</v>
      </c>
      <c r="AG83" s="8">
        <f t="shared" si="26"/>
        <v>8.69140625E-2</v>
      </c>
      <c r="AH83" s="8">
        <f t="shared" si="27"/>
        <v>-7.619905147090017E-4</v>
      </c>
      <c r="AI83" s="8">
        <f t="shared" si="28"/>
        <v>-1.9790183878250875E-7</v>
      </c>
      <c r="AJ83" s="8">
        <f t="shared" si="29"/>
        <v>1.3594589438356009E-6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8.59375E-2</v>
      </c>
      <c r="AD84" s="8">
        <f t="shared" si="24"/>
        <v>2.5971693211704339E-4</v>
      </c>
      <c r="AE84" s="8">
        <f t="shared" si="32"/>
        <v>8.69140625E-2</v>
      </c>
      <c r="AF84" s="8">
        <f t="shared" si="25"/>
        <v>-7.619905147090017E-4</v>
      </c>
      <c r="AG84" s="8">
        <f t="shared" si="26"/>
        <v>8.642578125E-2</v>
      </c>
      <c r="AH84" s="8">
        <f t="shared" si="27"/>
        <v>-2.5108768649842461E-4</v>
      </c>
      <c r="AI84" s="8">
        <f t="shared" si="28"/>
        <v>-6.5211723629736812E-8</v>
      </c>
      <c r="AJ84" s="8">
        <f t="shared" si="29"/>
        <v>1.9132643547202702E-7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8.59375E-2</v>
      </c>
      <c r="AD85" s="8">
        <f t="shared" si="24"/>
        <v>2.5971693211704339E-4</v>
      </c>
      <c r="AE85" s="8">
        <f t="shared" si="32"/>
        <v>8.642578125E-2</v>
      </c>
      <c r="AF85" s="8">
        <f t="shared" si="25"/>
        <v>-2.5108768649842461E-4</v>
      </c>
      <c r="AG85" s="8">
        <f t="shared" si="26"/>
        <v>8.6181640625E-2</v>
      </c>
      <c r="AH85" s="8">
        <f t="shared" si="27"/>
        <v>4.3269260932843334E-6</v>
      </c>
      <c r="AI85" s="8">
        <f t="shared" si="28"/>
        <v>1.123775970444991E-9</v>
      </c>
      <c r="AJ85" s="8">
        <f t="shared" si="29"/>
        <v>-1.0864378624124299E-9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8.6181640625E-2</v>
      </c>
      <c r="AD86" s="8">
        <f t="shared" si="24"/>
        <v>4.3269260932843334E-6</v>
      </c>
      <c r="AE86" s="8">
        <f t="shared" si="32"/>
        <v>8.642578125E-2</v>
      </c>
      <c r="AF86" s="8">
        <f t="shared" si="25"/>
        <v>-2.5108768649842461E-4</v>
      </c>
      <c r="AG86" s="8">
        <f t="shared" si="26"/>
        <v>8.63037109375E-2</v>
      </c>
      <c r="AH86" s="8">
        <f t="shared" si="27"/>
        <v>-1.2337730776507128E-4</v>
      </c>
      <c r="AI86" s="8">
        <f t="shared" si="28"/>
        <v>-5.3384449228785867E-10</v>
      </c>
      <c r="AJ86" s="8">
        <f t="shared" si="29"/>
        <v>3.0978522773135863E-8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8.6181640625E-2</v>
      </c>
      <c r="AD87" s="8">
        <f t="shared" si="24"/>
        <v>4.3269260932843334E-6</v>
      </c>
      <c r="AE87" s="8">
        <f t="shared" si="32"/>
        <v>8.63037109375E-2</v>
      </c>
      <c r="AF87" s="8">
        <f t="shared" si="25"/>
        <v>-1.2337730776507128E-4</v>
      </c>
      <c r="AG87" s="8">
        <f t="shared" si="26"/>
        <v>8.624267578125E-2</v>
      </c>
      <c r="AH87" s="8">
        <f t="shared" si="27"/>
        <v>-5.9524422303475211E-5</v>
      </c>
      <c r="AI87" s="8">
        <f t="shared" si="28"/>
        <v>-2.5755777605258283E-10</v>
      </c>
      <c r="AJ87" s="8">
        <f t="shared" si="29"/>
        <v>7.343962970073934E-9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8.6181640625E-2</v>
      </c>
      <c r="AD88" s="8">
        <f t="shared" si="24"/>
        <v>4.3269260932843334E-6</v>
      </c>
      <c r="AE88" s="8">
        <f t="shared" si="32"/>
        <v>8.624267578125E-2</v>
      </c>
      <c r="AF88" s="8">
        <f t="shared" si="25"/>
        <v>-5.9524422303475211E-5</v>
      </c>
      <c r="AG88" s="8">
        <f t="shared" si="26"/>
        <v>8.6212158203125E-2</v>
      </c>
      <c r="AH88" s="8">
        <f t="shared" si="27"/>
        <v>-2.7598555919119971E-5</v>
      </c>
      <c r="AI88" s="8">
        <f t="shared" si="28"/>
        <v>-1.1941691174340698E-10</v>
      </c>
      <c r="AJ88" s="8">
        <f t="shared" si="29"/>
        <v>1.6427880974957726E-9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8.6181640625E-2</v>
      </c>
      <c r="AD89" s="8">
        <f t="shared" si="24"/>
        <v>4.3269260932843334E-6</v>
      </c>
      <c r="AE89" s="8">
        <f t="shared" si="32"/>
        <v>8.6212158203125E-2</v>
      </c>
      <c r="AF89" s="8">
        <f t="shared" si="25"/>
        <v>-2.7598555919119971E-5</v>
      </c>
      <c r="AG89" s="8">
        <f t="shared" si="26"/>
        <v>8.61968994140625E-2</v>
      </c>
      <c r="AH89" s="8">
        <f t="shared" si="27"/>
        <v>-1.1635766859821595E-5</v>
      </c>
      <c r="AI89" s="8">
        <f t="shared" si="28"/>
        <v>-5.0347103241135169E-11</v>
      </c>
      <c r="AJ89" s="8">
        <f t="shared" si="29"/>
        <v>3.2113036234262927E-10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8.6181640625E-2</v>
      </c>
      <c r="AD90" s="8">
        <f t="shared" si="24"/>
        <v>4.3269260932843334E-6</v>
      </c>
      <c r="AE90" s="8">
        <f t="shared" si="32"/>
        <v>8.61968994140625E-2</v>
      </c>
      <c r="AF90" s="8">
        <f t="shared" si="25"/>
        <v>-1.1635766859821595E-5</v>
      </c>
      <c r="AG90" s="8">
        <f t="shared" si="26"/>
        <v>8.618927001953125E-2</v>
      </c>
      <c r="AH90" s="8">
        <f t="shared" si="27"/>
        <v>-3.654408369163642E-6</v>
      </c>
      <c r="AI90" s="8">
        <f t="shared" si="28"/>
        <v>-1.581235492805081E-11</v>
      </c>
      <c r="AJ90" s="8">
        <f t="shared" si="29"/>
        <v>4.2521843794168988E-11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8.6181640625E-2</v>
      </c>
      <c r="AD91" s="8">
        <f t="shared" si="24"/>
        <v>4.3269260932843334E-6</v>
      </c>
      <c r="AE91" s="8">
        <f t="shared" si="32"/>
        <v>8.618927001953125E-2</v>
      </c>
      <c r="AF91" s="8">
        <f t="shared" si="25"/>
        <v>-3.654408369163642E-6</v>
      </c>
      <c r="AG91" s="8">
        <f t="shared" si="26"/>
        <v>8.6185455322265625E-2</v>
      </c>
      <c r="AH91" s="8">
        <f t="shared" si="27"/>
        <v>3.3626186567159433E-7</v>
      </c>
      <c r="AI91" s="8">
        <f t="shared" si="28"/>
        <v>1.454980240750893E-12</v>
      </c>
      <c r="AJ91" s="8">
        <f t="shared" si="29"/>
        <v>-1.2288381761408547E-12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8.6185455322265625E-2</v>
      </c>
      <c r="AD92" s="8">
        <f t="shared" si="24"/>
        <v>3.3626186567159433E-7</v>
      </c>
      <c r="AE92" s="8">
        <f t="shared" si="32"/>
        <v>8.618927001953125E-2</v>
      </c>
      <c r="AF92" s="8">
        <f t="shared" si="25"/>
        <v>-3.654408369163642E-6</v>
      </c>
      <c r="AG92" s="8">
        <f t="shared" si="26"/>
        <v>8.6187362670898438E-2</v>
      </c>
      <c r="AH92" s="8">
        <f t="shared" si="27"/>
        <v>-1.65907250085362E-6</v>
      </c>
      <c r="AI92" s="8">
        <f t="shared" si="28"/>
        <v>-5.5788281442147609E-13</v>
      </c>
      <c r="AJ92" s="8">
        <f t="shared" si="29"/>
        <v>6.0629284321687222E-12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8.6185455322265625E-2</v>
      </c>
      <c r="AD93" s="8">
        <f t="shared" si="24"/>
        <v>3.3626186567159433E-7</v>
      </c>
      <c r="AE93" s="8">
        <f t="shared" si="32"/>
        <v>8.6187362670898438E-2</v>
      </c>
      <c r="AF93" s="8">
        <f t="shared" si="25"/>
        <v>-1.65907250085362E-6</v>
      </c>
      <c r="AG93" s="8">
        <f t="shared" si="26"/>
        <v>8.6186408996582031E-2</v>
      </c>
      <c r="AH93" s="8">
        <f t="shared" si="27"/>
        <v>-6.6140512985923827E-7</v>
      </c>
      <c r="AI93" s="8">
        <f t="shared" si="28"/>
        <v>-2.2240532293123059E-13</v>
      </c>
      <c r="AJ93" s="8">
        <f t="shared" si="29"/>
        <v>1.0973190628729798E-12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8.6185455322265625E-2</v>
      </c>
      <c r="AD94" s="8">
        <f t="shared" si="24"/>
        <v>3.3626186567159433E-7</v>
      </c>
      <c r="AE94" s="8">
        <f t="shared" si="32"/>
        <v>8.6186408996582031E-2</v>
      </c>
      <c r="AF94" s="8">
        <f t="shared" si="25"/>
        <v>-6.6140512985923827E-7</v>
      </c>
      <c r="AG94" s="8">
        <f t="shared" si="26"/>
        <v>8.6185932159423828E-2</v>
      </c>
      <c r="AH94" s="8">
        <f t="shared" si="27"/>
        <v>-1.625715851660825E-7</v>
      </c>
      <c r="AI94" s="8">
        <f t="shared" si="28"/>
        <v>-5.466662453313539E-14</v>
      </c>
      <c r="AJ94" s="8">
        <f t="shared" si="29"/>
        <v>1.0752568039819502E-13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8.6185455322265625E-2</v>
      </c>
      <c r="AD95" s="8">
        <f t="shared" si="24"/>
        <v>3.3626186567159433E-7</v>
      </c>
      <c r="AE95" s="8">
        <f t="shared" si="32"/>
        <v>8.6185932159423828E-2</v>
      </c>
      <c r="AF95" s="8">
        <f t="shared" si="25"/>
        <v>-1.625715851660825E-7</v>
      </c>
      <c r="AG95" s="8">
        <f t="shared" si="26"/>
        <v>8.6185693740844727E-2</v>
      </c>
      <c r="AH95" s="8">
        <f t="shared" si="27"/>
        <v>8.6845151986425506E-8</v>
      </c>
      <c r="AI95" s="8">
        <f t="shared" si="28"/>
        <v>2.9202712831488609E-14</v>
      </c>
      <c r="AJ95" s="8">
        <f t="shared" si="29"/>
        <v>-1.4118554022422553E-14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8.6185693740844727E-2</v>
      </c>
      <c r="AD96" s="8">
        <f t="shared" si="24"/>
        <v>8.6845151986425506E-8</v>
      </c>
      <c r="AE96" s="8">
        <f t="shared" si="32"/>
        <v>8.6185932159423828E-2</v>
      </c>
      <c r="AF96" s="8">
        <f t="shared" si="25"/>
        <v>-1.625715851660825E-7</v>
      </c>
      <c r="AG96" s="8">
        <f t="shared" si="26"/>
        <v>8.6185812950134277E-2</v>
      </c>
      <c r="AH96" s="8">
        <f t="shared" si="27"/>
        <v>-3.7863213647737481E-8</v>
      </c>
      <c r="AI96" s="8">
        <f t="shared" si="28"/>
        <v>-3.288236543932262E-15</v>
      </c>
      <c r="AJ96" s="8">
        <f t="shared" si="29"/>
        <v>6.1554826621947308E-15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8.6185693740844727E-2</v>
      </c>
      <c r="AD97" s="8">
        <f t="shared" si="24"/>
        <v>8.6845151986425506E-8</v>
      </c>
      <c r="AE97" s="8">
        <f t="shared" si="32"/>
        <v>8.6185812950134277E-2</v>
      </c>
      <c r="AF97" s="8">
        <f t="shared" si="25"/>
        <v>-3.7863213647737481E-8</v>
      </c>
      <c r="AG97" s="8">
        <f t="shared" si="26"/>
        <v>8.6185753345489502E-2</v>
      </c>
      <c r="AH97" s="8">
        <f t="shared" si="27"/>
        <v>2.4490969890988978E-8</v>
      </c>
      <c r="AI97" s="8">
        <f t="shared" si="28"/>
        <v>2.1269220024779086E-15</v>
      </c>
      <c r="AJ97" s="8">
        <f t="shared" si="29"/>
        <v>-9.2730682542282161E-16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8.6185753345489502E-2</v>
      </c>
      <c r="AD98" s="8">
        <f t="shared" si="24"/>
        <v>2.4490969890988978E-8</v>
      </c>
      <c r="AE98" s="8">
        <f t="shared" si="32"/>
        <v>8.6185812950134277E-2</v>
      </c>
      <c r="AF98" s="8">
        <f t="shared" si="25"/>
        <v>-3.7863213647737481E-8</v>
      </c>
      <c r="AG98" s="8">
        <f t="shared" si="26"/>
        <v>8.618578314781189E-2</v>
      </c>
      <c r="AH98" s="8">
        <f t="shared" si="27"/>
        <v>-6.6861216840852222E-9</v>
      </c>
      <c r="AI98" s="8">
        <f t="shared" si="28"/>
        <v>-1.637496048524197E-16</v>
      </c>
      <c r="AJ98" s="8">
        <f t="shared" si="29"/>
        <v>2.5315805379928908E-16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8.6185753345489502E-2</v>
      </c>
      <c r="AD99" s="8">
        <f t="shared" si="24"/>
        <v>2.4490969890988978E-8</v>
      </c>
      <c r="AE99" s="8">
        <f t="shared" si="32"/>
        <v>8.618578314781189E-2</v>
      </c>
      <c r="AF99" s="8">
        <f t="shared" si="25"/>
        <v>-6.6861216840852222E-9</v>
      </c>
      <c r="AG99" s="8">
        <f t="shared" si="26"/>
        <v>8.6185768246650696E-2</v>
      </c>
      <c r="AH99" s="8">
        <f t="shared" si="27"/>
        <v>8.9024241589630293E-9</v>
      </c>
      <c r="AI99" s="8">
        <f t="shared" si="28"/>
        <v>2.1802900203397642E-16</v>
      </c>
      <c r="AJ99" s="8">
        <f t="shared" si="29"/>
        <v>-5.9522691210166863E-17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8.6185768246650696E-2</v>
      </c>
      <c r="AD100" s="8">
        <f t="shared" si="24"/>
        <v>8.9024241589630293E-9</v>
      </c>
      <c r="AE100" s="8">
        <f t="shared" si="32"/>
        <v>8.618578314781189E-2</v>
      </c>
      <c r="AF100" s="8">
        <f t="shared" si="25"/>
        <v>-6.6861216840852222E-9</v>
      </c>
      <c r="AG100" s="8">
        <f t="shared" si="26"/>
        <v>8.6185775697231293E-2</v>
      </c>
      <c r="AH100" s="8">
        <f t="shared" si="27"/>
        <v>1.1081512374389035E-9</v>
      </c>
      <c r="AI100" s="8">
        <f t="shared" si="28"/>
        <v>9.865232347960871E-18</v>
      </c>
      <c r="AJ100" s="8">
        <f t="shared" si="29"/>
        <v>-7.4092340178861247E-18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8.6185775697231293E-2</v>
      </c>
      <c r="AD101" s="8">
        <f t="shared" si="24"/>
        <v>1.1081512374389035E-9</v>
      </c>
      <c r="AE101" s="8">
        <f t="shared" si="32"/>
        <v>8.618578314781189E-2</v>
      </c>
      <c r="AF101" s="8">
        <f t="shared" si="25"/>
        <v>-6.6861216840852222E-9</v>
      </c>
      <c r="AG101" s="8">
        <f t="shared" si="26"/>
        <v>8.6185779422521591E-2</v>
      </c>
      <c r="AH101" s="8">
        <f t="shared" si="27"/>
        <v>-2.7889852233231593E-9</v>
      </c>
      <c r="AI101" s="8">
        <f t="shared" si="28"/>
        <v>-3.0906174264243758E-18</v>
      </c>
      <c r="AJ101" s="8">
        <f t="shared" si="29"/>
        <v>1.8647494578254243E-17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8.6185775697231293E-2</v>
      </c>
      <c r="AD102" s="8">
        <f t="shared" si="24"/>
        <v>1.1081512374389035E-9</v>
      </c>
      <c r="AE102" s="8">
        <f t="shared" si="32"/>
        <v>8.6185779422521591E-2</v>
      </c>
      <c r="AF102" s="8">
        <f t="shared" si="25"/>
        <v>-2.7889852233231593E-9</v>
      </c>
      <c r="AG102" s="8">
        <f t="shared" si="26"/>
        <v>8.6185777559876442E-2</v>
      </c>
      <c r="AH102" s="8">
        <f t="shared" si="27"/>
        <v>-8.40416986003234E-10</v>
      </c>
      <c r="AI102" s="8">
        <f t="shared" si="28"/>
        <v>-9.3130912300415743E-19</v>
      </c>
      <c r="AJ102" s="8">
        <f t="shared" si="29"/>
        <v>2.3439105553928061E-18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8.6185775697231293E-2</v>
      </c>
      <c r="AD103" s="8">
        <f t="shared" si="24"/>
        <v>1.1081512374389035E-9</v>
      </c>
      <c r="AE103" s="8">
        <f t="shared" si="32"/>
        <v>8.6185777559876442E-2</v>
      </c>
      <c r="AF103" s="8">
        <f t="shared" si="25"/>
        <v>-8.40416986003234E-10</v>
      </c>
      <c r="AG103" s="8">
        <f t="shared" si="26"/>
        <v>8.6185776628553867E-2</v>
      </c>
      <c r="AH103" s="8">
        <f t="shared" si="27"/>
        <v>1.3386713959562258E-10</v>
      </c>
      <c r="AI103" s="8">
        <f t="shared" si="28"/>
        <v>1.483450363952956E-19</v>
      </c>
      <c r="AJ103" s="8">
        <f t="shared" si="29"/>
        <v>-1.1250421798382731E-19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8.6185776628553867E-2</v>
      </c>
      <c r="AD104" s="8">
        <f t="shared" si="24"/>
        <v>1.3386713959562258E-10</v>
      </c>
      <c r="AE104" s="8">
        <f t="shared" si="32"/>
        <v>8.6185777559876442E-2</v>
      </c>
      <c r="AF104" s="8">
        <f t="shared" si="25"/>
        <v>-8.40416986003234E-10</v>
      </c>
      <c r="AG104" s="8">
        <f t="shared" si="26"/>
        <v>8.6185777094215155E-2</v>
      </c>
      <c r="AH104" s="8">
        <f t="shared" si="27"/>
        <v>-3.5327493708159352E-10</v>
      </c>
      <c r="AI104" s="8">
        <f t="shared" si="28"/>
        <v>-4.7291905317936462E-20</v>
      </c>
      <c r="AJ104" s="8">
        <f t="shared" si="29"/>
        <v>2.9689825785259495E-19</v>
      </c>
      <c r="AK104" s="8">
        <f t="shared" si="30"/>
        <v>9.3132257461547852E-10</v>
      </c>
    </row>
  </sheetData>
  <mergeCells count="25">
    <mergeCell ref="B24:D24"/>
    <mergeCell ref="B29:D29"/>
    <mergeCell ref="J30:L30"/>
    <mergeCell ref="J8:L8"/>
    <mergeCell ref="F37:H37"/>
    <mergeCell ref="B1:D1"/>
    <mergeCell ref="B3:D3"/>
    <mergeCell ref="F3:H3"/>
    <mergeCell ref="R3:T3"/>
    <mergeCell ref="F21:H21"/>
    <mergeCell ref="N3:P3"/>
    <mergeCell ref="B9:D9"/>
    <mergeCell ref="J12:L12"/>
    <mergeCell ref="B14:D14"/>
    <mergeCell ref="B20:D20"/>
    <mergeCell ref="R11:T11"/>
    <mergeCell ref="R16:T16"/>
    <mergeCell ref="N11:P11"/>
    <mergeCell ref="N16:P16"/>
    <mergeCell ref="J3:L3"/>
    <mergeCell ref="V3:X3"/>
    <mergeCell ref="V11:X11"/>
    <mergeCell ref="V16:X16"/>
    <mergeCell ref="F10:H10"/>
    <mergeCell ref="F26:H26"/>
  </mergeCells>
  <conditionalFormatting sqref="K27">
    <cfRule type="containsText" dxfId="11" priority="1" operator="containsText" text="FALSE">
      <formula>NOT(ISERROR(SEARCH("FALSE",K27)))</formula>
    </cfRule>
    <cfRule type="containsText" dxfId="10" priority="2" operator="containsText" text="TRUE">
      <formula>NOT(ISERROR(SEARCH("TRUE",K27)))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NOT(ISERROR(SEARCH("YES",K27)))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19E-19FD-DD4C-B095-5F00DAC7B3E8}">
  <dimension ref="B1:AV104"/>
  <sheetViews>
    <sheetView tabSelected="1" topLeftCell="A8" workbookViewId="0">
      <selection activeCell="I37" sqref="I37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2.6640625" customWidth="1"/>
    <col min="15" max="15" width="11" customWidth="1"/>
    <col min="16" max="16" width="6.6640625" customWidth="1"/>
    <col min="17" max="17" width="6" customWidth="1"/>
    <col min="18" max="18" width="12" customWidth="1"/>
    <col min="20" max="20" width="6.33203125" customWidth="1"/>
    <col min="21" max="21" width="6.1640625" customWidth="1"/>
    <col min="22" max="22" width="12.832031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4" max="44" width="18.33203125" customWidth="1"/>
  </cols>
  <sheetData>
    <row r="1" spans="2:48" x14ac:dyDescent="0.2">
      <c r="B1" s="42" t="s">
        <v>0</v>
      </c>
      <c r="C1" s="42"/>
      <c r="D1" s="42"/>
    </row>
    <row r="2" spans="2:48" x14ac:dyDescent="0.2">
      <c r="AB2" s="6" t="s">
        <v>141</v>
      </c>
      <c r="AM2" s="6" t="s">
        <v>93</v>
      </c>
    </row>
    <row r="3" spans="2:48" x14ac:dyDescent="0.2">
      <c r="B3" s="37" t="s">
        <v>98</v>
      </c>
      <c r="C3" s="44"/>
      <c r="D3" s="44"/>
      <c r="F3" s="40" t="s">
        <v>110</v>
      </c>
      <c r="G3" s="41"/>
      <c r="H3" s="41"/>
      <c r="J3" s="37" t="s">
        <v>157</v>
      </c>
      <c r="K3" s="37"/>
      <c r="L3" s="37"/>
      <c r="N3" s="45" t="s">
        <v>136</v>
      </c>
      <c r="O3" s="45"/>
      <c r="P3" s="45"/>
      <c r="R3" s="45" t="s">
        <v>134</v>
      </c>
      <c r="S3" s="45"/>
      <c r="T3" s="45"/>
      <c r="V3" s="45" t="s">
        <v>148</v>
      </c>
      <c r="W3" s="45"/>
      <c r="X3" s="45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1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MAX(G6,G40)</f>
        <v>120.06775785612803</v>
      </c>
      <c r="L4" t="s">
        <v>162</v>
      </c>
      <c r="N4" t="s">
        <v>36</v>
      </c>
      <c r="O4">
        <f>$C$17*$C$31*COS(G16/180*PI())</f>
        <v>8345.5922602360861</v>
      </c>
      <c r="P4" t="s">
        <v>31</v>
      </c>
      <c r="R4" t="s">
        <v>36</v>
      </c>
      <c r="S4">
        <f xml:space="preserve"> $C$17 * $C$31</f>
        <v>8360.0753052316741</v>
      </c>
      <c r="T4" t="s">
        <v>31</v>
      </c>
      <c r="V4" t="s">
        <v>36</v>
      </c>
      <c r="W4">
        <f>$C$17*$C$31*COS(G32/180*PI())</f>
        <v>8354.8643012638422</v>
      </c>
      <c r="X4" t="s">
        <v>31</v>
      </c>
      <c r="AB4" s="8">
        <v>0</v>
      </c>
      <c r="AC4" s="9">
        <v>0</v>
      </c>
      <c r="AD4" s="8">
        <f xml:space="preserve"> $S$19 * TAN($S$16/180*PI()) + $S$20 / (2 * SQRT($S$19^2 + AC4^2)) - AC4</f>
        <v>0.66496961520254083</v>
      </c>
      <c r="AE4" s="9">
        <v>1</v>
      </c>
      <c r="AF4" s="8">
        <f xml:space="preserve"> $S$19 * TAN($S$16/180*PI()) + $S$20 / (2 * SQRT($S$19^2 + AE4^2)) - AE4</f>
        <v>-0.57866252164169485</v>
      </c>
      <c r="AG4" s="8">
        <f xml:space="preserve"> (AC4 + AE4)/2</f>
        <v>0.5</v>
      </c>
      <c r="AH4" s="8">
        <f xml:space="preserve"> $S$19 * TAN($S$16/180*PI()) + $S$20 / (2 * SQRT($S$19^2 + AG4^2)) - AG4</f>
        <v>-6.9588646381804897E-2</v>
      </c>
      <c r="AI4" s="8">
        <f>AD4*AH4</f>
        <v>-4.6274335406974489E-2</v>
      </c>
      <c r="AJ4" s="8">
        <f>AF4*AH4</f>
        <v>4.0268341592927429E-2</v>
      </c>
      <c r="AK4" s="8">
        <f>AE4-AC4</f>
        <v>1</v>
      </c>
      <c r="AM4" s="8">
        <v>0</v>
      </c>
      <c r="AN4" s="8"/>
      <c r="AO4" s="8">
        <f>K30</f>
        <v>-7.6630612966255285E-10</v>
      </c>
      <c r="AP4" s="8"/>
      <c r="AQ4" s="8">
        <f>K30</f>
        <v>-7.6630612966255285E-10</v>
      </c>
      <c r="AR4" s="8"/>
      <c r="AS4" s="8">
        <f>K30</f>
        <v>-7.6630612966255285E-10</v>
      </c>
      <c r="AT4" s="8"/>
      <c r="AU4" s="8"/>
      <c r="AV4" s="8"/>
    </row>
    <row r="5" spans="2:48" x14ac:dyDescent="0.2">
      <c r="B5" t="s">
        <v>144</v>
      </c>
      <c r="C5" s="1">
        <v>4</v>
      </c>
      <c r="F5" t="s">
        <v>119</v>
      </c>
      <c r="G5" s="1">
        <v>152.4</v>
      </c>
      <c r="H5" t="s">
        <v>14</v>
      </c>
      <c r="J5" t="s">
        <v>159</v>
      </c>
      <c r="K5">
        <f>K4/$C$5</f>
        <v>30.016939464032006</v>
      </c>
      <c r="L5" t="s">
        <v>162</v>
      </c>
      <c r="N5" t="s">
        <v>37</v>
      </c>
      <c r="O5">
        <f>0.5*$C$30*$G$11^2</f>
        <v>1141.4849512500002</v>
      </c>
      <c r="P5" t="s">
        <v>38</v>
      </c>
      <c r="R5" t="s">
        <v>37</v>
      </c>
      <c r="S5">
        <f xml:space="preserve"> 0.5 * $C$30 * $C$20^2</f>
        <v>1141.4849512500002</v>
      </c>
      <c r="T5" t="s">
        <v>38</v>
      </c>
      <c r="V5" t="s">
        <v>37</v>
      </c>
      <c r="W5">
        <f>0.5*$C$30*$G$27^2</f>
        <v>1141.4849512500002</v>
      </c>
      <c r="X5" t="s">
        <v>38</v>
      </c>
      <c r="AB5" s="8">
        <v>1</v>
      </c>
      <c r="AC5" s="8">
        <f>IF(AI4&gt;0, AG4, AC4)</f>
        <v>0</v>
      </c>
      <c r="AD5" s="8">
        <f t="shared" ref="AD5:AD34" si="0" xml:space="preserve"> $S$19 * TAN($S$16/180*PI()) + $S$20 / (2 * SQRT($S$19^2 + AC5^2)) - AC5</f>
        <v>0.66496961520254083</v>
      </c>
      <c r="AE5" s="8">
        <f>IF(AJ4&gt;0, AG4, AE4)</f>
        <v>0.5</v>
      </c>
      <c r="AF5" s="8">
        <f t="shared" ref="AF5:AF34" si="1" xml:space="preserve"> $S$19 * TAN($S$16/180*PI()) + $S$20 / (2 * SQRT($S$19^2 + AE5^2)) - AE5</f>
        <v>-6.9588646381804897E-2</v>
      </c>
      <c r="AG5" s="8">
        <f t="shared" ref="AG5:AG34" si="2" xml:space="preserve"> (AC5 + AE5)/2</f>
        <v>0.25</v>
      </c>
      <c r="AH5" s="8">
        <f t="shared" ref="AH5:AH34" si="3" xml:space="preserve"> $S$19 * TAN($S$16/180*PI()) + $S$20 / (2 * SQRT($S$19^2 + AG5^2)) - AG5</f>
        <v>0.19831540404458048</v>
      </c>
      <c r="AI5" s="8">
        <f t="shared" ref="AI5:AI34" si="4">AD5*AH5</f>
        <v>0.1318737179162611</v>
      </c>
      <c r="AJ5" s="8">
        <f t="shared" ref="AJ5:AJ34" si="5">AF5*AH5</f>
        <v>-1.3800500524123072E-2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/>
        <v>-222.15251534111007</v>
      </c>
      <c r="AP5" s="9">
        <v>2500</v>
      </c>
      <c r="AQ5" s="8">
        <f t="dataTable" ref="AQ5:AQ44" dt2D="0" dtr="0" r1="C17" ca="1"/>
        <v>833.93788242421033</v>
      </c>
      <c r="AR5" s="8">
        <f>(AN5+AP5)/2</f>
        <v>1500</v>
      </c>
      <c r="AS5" s="8">
        <f t="dataTable" ref="AS5:AS44" dt2D="0" dtr="0" r1="C17" ca="1"/>
        <v>374.14992801424194</v>
      </c>
      <c r="AT5" s="8">
        <f>AO5*AS5</f>
        <v>-83118.347623059119</v>
      </c>
      <c r="AU5" s="8">
        <f>AQ5*AS5</f>
        <v>312017.79867736762</v>
      </c>
      <c r="AV5" s="8">
        <f>AP5-AN5</f>
        <v>2000</v>
      </c>
    </row>
    <row r="6" spans="2:48" x14ac:dyDescent="0.2">
      <c r="B6" t="s">
        <v>145</v>
      </c>
      <c r="C6" s="1">
        <v>1</v>
      </c>
      <c r="F6" t="s">
        <v>112</v>
      </c>
      <c r="G6">
        <f xml:space="preserve"> 1/1000 * ($C$17*$C$31)/$C$9 * ( ($G$4/2) + SQRT( ($G$4/2)^2 + ($C$17*$C$31)/(2*$C$30*$C$5*PI()*$C$18*$C$18 ) ) )</f>
        <v>120.06775785612803</v>
      </c>
      <c r="H6" t="s">
        <v>162</v>
      </c>
      <c r="J6" t="s">
        <v>160</v>
      </c>
      <c r="K6">
        <f>MAX(G18,G23,G34)</f>
        <v>51.390092600903856</v>
      </c>
      <c r="L6" t="s">
        <v>162</v>
      </c>
      <c r="N6" t="s">
        <v>55</v>
      </c>
      <c r="O6">
        <f xml:space="preserve"> 1.6 * ($C$17*2.20462/1000)^(2/3) * 0.3048^2</f>
        <v>0.22637688478394008</v>
      </c>
      <c r="P6" t="s">
        <v>18</v>
      </c>
      <c r="R6" t="s">
        <v>55</v>
      </c>
      <c r="S6">
        <f xml:space="preserve"> 1.6 * ($C$17*2.20462/1000)^(2/3) * 0.3048^2</f>
        <v>0.22637688478394008</v>
      </c>
      <c r="T6" t="s">
        <v>18</v>
      </c>
      <c r="V6" t="s">
        <v>55</v>
      </c>
      <c r="W6">
        <f xml:space="preserve"> 1.6 * ($C$17*2.20462/1000)^(2/3) * 0.3048^2</f>
        <v>0.22637688478394008</v>
      </c>
      <c r="X6" t="s">
        <v>18</v>
      </c>
      <c r="AB6" s="8">
        <v>2</v>
      </c>
      <c r="AC6" s="8">
        <f t="shared" ref="AC6:AC34" si="7">IF(AI5&gt;0, AG5, AC5)</f>
        <v>0.25</v>
      </c>
      <c r="AD6" s="8">
        <f t="shared" si="0"/>
        <v>0.19831540404458048</v>
      </c>
      <c r="AE6" s="8">
        <f t="shared" ref="AE6:AE34" si="8">IF(AJ5&gt;0, AG5, AE5)</f>
        <v>0.5</v>
      </c>
      <c r="AF6" s="8">
        <f t="shared" si="1"/>
        <v>-6.9588646381804897E-2</v>
      </c>
      <c r="AG6" s="8">
        <f t="shared" si="2"/>
        <v>0.375</v>
      </c>
      <c r="AH6" s="8">
        <f t="shared" si="3"/>
        <v>6.1423749393111682E-2</v>
      </c>
      <c r="AI6" s="8">
        <f t="shared" si="4"/>
        <v>1.2181275678827997E-2</v>
      </c>
      <c r="AJ6" s="8">
        <f t="shared" si="5"/>
        <v>-4.2743955759618523E-3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-222.15251534111007</v>
      </c>
      <c r="AP6" s="8">
        <f>IF(AU5&gt;0,AR5,AP5)</f>
        <v>1500</v>
      </c>
      <c r="AQ6" s="8">
        <v>374.14992801424194</v>
      </c>
      <c r="AR6" s="8">
        <f t="shared" ref="AR6:AR44" si="9">(AN6+AP6)/2</f>
        <v>1000</v>
      </c>
      <c r="AS6" s="8">
        <v>89.645908600196776</v>
      </c>
      <c r="AT6" s="8">
        <f t="shared" ref="AT6:AT44" si="10">AO6*AS6</f>
        <v>-19915.064085572965</v>
      </c>
      <c r="AU6" s="8">
        <f t="shared" ref="AU6:AU44" si="11">AQ6*AS6</f>
        <v>33541.010249534935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30</v>
      </c>
      <c r="G7">
        <f xml:space="preserve"> $C$17 * $C$31 / $C$5</f>
        <v>2090.0188263079185</v>
      </c>
      <c r="H7" t="s">
        <v>31</v>
      </c>
      <c r="J7" t="s">
        <v>161</v>
      </c>
      <c r="K7">
        <f>K6/$C$6</f>
        <v>51.390092600903856</v>
      </c>
      <c r="L7" t="s">
        <v>162</v>
      </c>
      <c r="N7" t="s">
        <v>56</v>
      </c>
      <c r="O7">
        <f xml:space="preserve"> O6 / $C$21</f>
        <v>1.8555482359339352E-2</v>
      </c>
      <c r="R7" t="s">
        <v>56</v>
      </c>
      <c r="S7">
        <f xml:space="preserve"> S6 / $C$21</f>
        <v>1.8555482359339352E-2</v>
      </c>
      <c r="V7" t="s">
        <v>56</v>
      </c>
      <c r="W7">
        <f xml:space="preserve"> W6 / $C$21</f>
        <v>1.8555482359339352E-2</v>
      </c>
      <c r="AB7" s="8">
        <v>3</v>
      </c>
      <c r="AC7" s="8">
        <f t="shared" si="7"/>
        <v>0.375</v>
      </c>
      <c r="AD7" s="8">
        <f t="shared" si="0"/>
        <v>6.1423749393111682E-2</v>
      </c>
      <c r="AE7" s="8">
        <f t="shared" si="8"/>
        <v>0.5</v>
      </c>
      <c r="AF7" s="8">
        <f t="shared" si="1"/>
        <v>-6.9588646381804897E-2</v>
      </c>
      <c r="AG7" s="8">
        <f t="shared" si="2"/>
        <v>0.4375</v>
      </c>
      <c r="AH7" s="8">
        <f t="shared" si="3"/>
        <v>-4.5074975994607858E-3</v>
      </c>
      <c r="AI7" s="8">
        <f t="shared" si="4"/>
        <v>-2.7686740293933178E-4</v>
      </c>
      <c r="AJ7" s="8">
        <f t="shared" si="5"/>
        <v>3.136706565157111E-4</v>
      </c>
      <c r="AK7" s="8">
        <f t="shared" si="6"/>
        <v>0.125</v>
      </c>
      <c r="AM7" s="8">
        <v>3</v>
      </c>
      <c r="AN7" s="8">
        <f t="shared" ref="AN7:AN44" si="13">IF(AT6&gt;0,AR6,AN6)</f>
        <v>500</v>
      </c>
      <c r="AO7" s="8">
        <v>-222.15251534111007</v>
      </c>
      <c r="AP7" s="8">
        <f t="shared" ref="AP7:AP44" si="14">IF(AU6&gt;0,AR6,AP6)</f>
        <v>1000</v>
      </c>
      <c r="AQ7" s="8">
        <v>89.645908600196776</v>
      </c>
      <c r="AR7" s="8">
        <f t="shared" si="9"/>
        <v>750</v>
      </c>
      <c r="AS7" s="8">
        <v>-63.582520585164332</v>
      </c>
      <c r="AT7" s="8">
        <f t="shared" si="10"/>
        <v>14125.016879722167</v>
      </c>
      <c r="AU7" s="8">
        <f t="shared" si="11"/>
        <v>-5699.9128289477721</v>
      </c>
      <c r="AV7" s="8">
        <f t="shared" si="12"/>
        <v>500</v>
      </c>
    </row>
    <row r="8" spans="2:48" x14ac:dyDescent="0.2">
      <c r="B8" t="s">
        <v>151</v>
      </c>
      <c r="C8" s="1">
        <v>0.13</v>
      </c>
      <c r="F8" t="s">
        <v>120</v>
      </c>
      <c r="G8">
        <f xml:space="preserve"> $G$5/$G$4</f>
        <v>60</v>
      </c>
      <c r="H8" t="s">
        <v>22</v>
      </c>
      <c r="N8" t="s">
        <v>57</v>
      </c>
      <c r="O8">
        <f xml:space="preserve"> O5 * $C$21 * O7</f>
        <v>258.40580729172279</v>
      </c>
      <c r="P8" t="s">
        <v>31</v>
      </c>
      <c r="R8" t="s">
        <v>57</v>
      </c>
      <c r="S8">
        <f xml:space="preserve"> S5 * $C$21 * S7</f>
        <v>258.40580729172279</v>
      </c>
      <c r="T8" t="s">
        <v>31</v>
      </c>
      <c r="V8" t="s">
        <v>57</v>
      </c>
      <c r="W8">
        <f xml:space="preserve"> W5*W7*$C$21</f>
        <v>258.40580729172274</v>
      </c>
      <c r="X8" t="s">
        <v>31</v>
      </c>
      <c r="AB8" s="8">
        <v>4</v>
      </c>
      <c r="AC8" s="8">
        <f t="shared" si="7"/>
        <v>0.375</v>
      </c>
      <c r="AD8" s="8">
        <f t="shared" si="0"/>
        <v>6.1423749393111682E-2</v>
      </c>
      <c r="AE8" s="8">
        <f t="shared" si="8"/>
        <v>0.4375</v>
      </c>
      <c r="AF8" s="8">
        <f t="shared" si="1"/>
        <v>-4.5074975994607858E-3</v>
      </c>
      <c r="AG8" s="8">
        <f t="shared" si="2"/>
        <v>0.40625</v>
      </c>
      <c r="AH8" s="8">
        <f t="shared" si="3"/>
        <v>2.8327708857929623E-2</v>
      </c>
      <c r="AI8" s="8">
        <f t="shared" si="4"/>
        <v>1.7399940897704991E-3</v>
      </c>
      <c r="AJ8" s="8">
        <f t="shared" si="5"/>
        <v>-1.2768707967534182E-4</v>
      </c>
      <c r="AK8" s="8">
        <f t="shared" si="6"/>
        <v>6.25E-2</v>
      </c>
      <c r="AM8" s="8">
        <v>4</v>
      </c>
      <c r="AN8" s="8">
        <f t="shared" si="13"/>
        <v>750</v>
      </c>
      <c r="AO8" s="8">
        <v>-63.582520585164332</v>
      </c>
      <c r="AP8" s="8">
        <f t="shared" si="14"/>
        <v>1000</v>
      </c>
      <c r="AQ8" s="8">
        <v>89.645908600196776</v>
      </c>
      <c r="AR8" s="8">
        <f t="shared" si="9"/>
        <v>875</v>
      </c>
      <c r="AS8" s="8">
        <v>13.827767391850898</v>
      </c>
      <c r="AT8" s="8">
        <f t="shared" si="10"/>
        <v>-879.20430483922382</v>
      </c>
      <c r="AU8" s="8">
        <f t="shared" si="11"/>
        <v>1239.6027717546469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N9" t="s">
        <v>58</v>
      </c>
      <c r="O9">
        <f xml:space="preserve"> 1.78 * (1 - 0.045 * $C$22^0.68) - 0.64</f>
        <v>0.86912098200199439</v>
      </c>
      <c r="R9" t="s">
        <v>58</v>
      </c>
      <c r="S9">
        <f xml:space="preserve"> 1.78 * (1 - 0.045 * $C$22^0.68) - 0.64</f>
        <v>0.86912098200199439</v>
      </c>
      <c r="V9" t="s">
        <v>58</v>
      </c>
      <c r="W9">
        <f xml:space="preserve"> 1.78 * (1 - 0.045 * $C$22^0.68) - 0.64</f>
        <v>0.86912098200199439</v>
      </c>
      <c r="AB9" s="8">
        <v>5</v>
      </c>
      <c r="AC9" s="8">
        <f t="shared" si="7"/>
        <v>0.40625</v>
      </c>
      <c r="AD9" s="8">
        <f t="shared" si="0"/>
        <v>2.8327708857929623E-2</v>
      </c>
      <c r="AE9" s="8">
        <f t="shared" si="8"/>
        <v>0.4375</v>
      </c>
      <c r="AF9" s="8">
        <f t="shared" si="1"/>
        <v>-4.5074975994607858E-3</v>
      </c>
      <c r="AG9" s="8">
        <f t="shared" si="2"/>
        <v>0.421875</v>
      </c>
      <c r="AH9" s="8">
        <f t="shared" si="3"/>
        <v>1.1881069714876735E-2</v>
      </c>
      <c r="AI9" s="8">
        <f t="shared" si="4"/>
        <v>3.365634838037931E-4</v>
      </c>
      <c r="AJ9" s="8">
        <f t="shared" si="5"/>
        <v>-5.3553893218833127E-5</v>
      </c>
      <c r="AK9" s="8">
        <f t="shared" si="6"/>
        <v>3.125E-2</v>
      </c>
      <c r="AM9" s="8">
        <v>5</v>
      </c>
      <c r="AN9" s="8">
        <f t="shared" si="13"/>
        <v>750</v>
      </c>
      <c r="AO9" s="8">
        <v>-63.582520585164332</v>
      </c>
      <c r="AP9" s="8">
        <f t="shared" si="14"/>
        <v>875</v>
      </c>
      <c r="AQ9" s="8">
        <v>13.827767391850898</v>
      </c>
      <c r="AR9" s="8">
        <f t="shared" si="9"/>
        <v>812.5</v>
      </c>
      <c r="AS9" s="8">
        <v>-24.690548186880733</v>
      </c>
      <c r="AT9" s="8">
        <f t="shared" si="10"/>
        <v>1569.8872883513361</v>
      </c>
      <c r="AU9" s="8">
        <f t="shared" si="11"/>
        <v>-341.4151571054727</v>
      </c>
      <c r="AV9" s="8">
        <f t="shared" si="12"/>
        <v>125</v>
      </c>
    </row>
    <row r="10" spans="2:48" x14ac:dyDescent="0.2">
      <c r="F10" s="40" t="s">
        <v>124</v>
      </c>
      <c r="G10" s="41"/>
      <c r="H10" s="41"/>
      <c r="J10" s="37" t="s">
        <v>34</v>
      </c>
      <c r="K10" s="37"/>
      <c r="L10" s="37"/>
      <c r="N10" t="s">
        <v>138</v>
      </c>
      <c r="O10">
        <f>O4/(O5*$C$21)</f>
        <v>0.59927635367817866</v>
      </c>
      <c r="R10" t="s">
        <v>39</v>
      </c>
      <c r="S10">
        <f xml:space="preserve"> S4 / (S5 * $C$21)</f>
        <v>0.6003163453437752</v>
      </c>
      <c r="V10" t="s">
        <v>138</v>
      </c>
      <c r="W10">
        <f>W4 / ( W5 * $C$21)</f>
        <v>0.59994215602809009</v>
      </c>
      <c r="AB10" s="8">
        <v>6</v>
      </c>
      <c r="AC10" s="8">
        <f t="shared" si="7"/>
        <v>0.421875</v>
      </c>
      <c r="AD10" s="8">
        <f t="shared" si="0"/>
        <v>1.1881069714876735E-2</v>
      </c>
      <c r="AE10" s="8">
        <f t="shared" si="8"/>
        <v>0.4375</v>
      </c>
      <c r="AF10" s="8">
        <f t="shared" si="1"/>
        <v>-4.5074975994607858E-3</v>
      </c>
      <c r="AG10" s="8">
        <f t="shared" si="2"/>
        <v>0.4296875</v>
      </c>
      <c r="AH10" s="8">
        <f t="shared" si="3"/>
        <v>3.6799173926581608E-3</v>
      </c>
      <c r="AI10" s="8">
        <f t="shared" si="4"/>
        <v>4.3721355087159034E-5</v>
      </c>
      <c r="AJ10" s="8">
        <f t="shared" si="5"/>
        <v>-1.6587218813620654E-5</v>
      </c>
      <c r="AK10" s="8">
        <f t="shared" si="6"/>
        <v>1.5625E-2</v>
      </c>
      <c r="AM10" s="8">
        <v>6</v>
      </c>
      <c r="AN10" s="8">
        <f t="shared" si="13"/>
        <v>812.5</v>
      </c>
      <c r="AO10" s="8">
        <v>-24.690548186880733</v>
      </c>
      <c r="AP10" s="8">
        <f t="shared" si="14"/>
        <v>875</v>
      </c>
      <c r="AQ10" s="8">
        <v>13.827767391850898</v>
      </c>
      <c r="AR10" s="8">
        <f t="shared" si="9"/>
        <v>843.75</v>
      </c>
      <c r="AS10" s="8">
        <v>-5.3830176133223517</v>
      </c>
      <c r="AT10" s="8">
        <f t="shared" si="10"/>
        <v>132.90965577256324</v>
      </c>
      <c r="AU10" s="8">
        <f t="shared" si="11"/>
        <v>-74.435115423257855</v>
      </c>
      <c r="AV10" s="8">
        <f t="shared" si="12"/>
        <v>62.5</v>
      </c>
    </row>
    <row r="11" spans="2:48" x14ac:dyDescent="0.2">
      <c r="B11" s="38" t="s">
        <v>6</v>
      </c>
      <c r="C11" s="43"/>
      <c r="D11" s="43"/>
      <c r="F11" s="4" t="s">
        <v>154</v>
      </c>
      <c r="G11" s="1">
        <f>$C$20</f>
        <v>43.17</v>
      </c>
      <c r="H11" t="s">
        <v>16</v>
      </c>
      <c r="J11" t="s">
        <v>153</v>
      </c>
      <c r="K11">
        <f xml:space="preserve"> (G6*G8 + G18*G19 + G23*G24 + G34*G35 + G40*G42)/3600</f>
        <v>10.082065798254614</v>
      </c>
      <c r="L11" t="s">
        <v>163</v>
      </c>
      <c r="N11" t="s">
        <v>137</v>
      </c>
      <c r="O11">
        <f>O7+O10^2/(PI()*O9*$C$22)</f>
        <v>4.0477116505958602E-2</v>
      </c>
      <c r="R11" t="s">
        <v>59</v>
      </c>
      <c r="S11">
        <f xml:space="preserve"> S7 + S10^2 / ( PI() * S9 * $C$22 )</f>
        <v>4.0553268681530003E-2</v>
      </c>
      <c r="V11" t="s">
        <v>137</v>
      </c>
      <c r="W11">
        <f xml:space="preserve"> W7 + W10^2 / (PI() * W9 * $C$22)</f>
        <v>4.0525853898324304E-2</v>
      </c>
      <c r="AB11" s="8">
        <v>7</v>
      </c>
      <c r="AC11" s="8">
        <f t="shared" si="7"/>
        <v>0.4296875</v>
      </c>
      <c r="AD11" s="8">
        <f t="shared" si="0"/>
        <v>3.6799173926581608E-3</v>
      </c>
      <c r="AE11" s="8">
        <f t="shared" si="8"/>
        <v>0.4375</v>
      </c>
      <c r="AF11" s="8">
        <f t="shared" si="1"/>
        <v>-4.5074975994607858E-3</v>
      </c>
      <c r="AG11" s="8">
        <f t="shared" si="2"/>
        <v>0.43359375</v>
      </c>
      <c r="AH11" s="8">
        <f t="shared" si="3"/>
        <v>-4.1546150311205787E-4</v>
      </c>
      <c r="AI11" s="8">
        <f t="shared" si="4"/>
        <v>-1.5288640112819644E-6</v>
      </c>
      <c r="AJ11" s="8">
        <f t="shared" si="5"/>
        <v>1.8726917279459707E-6</v>
      </c>
      <c r="AK11" s="8">
        <f t="shared" si="6"/>
        <v>7.8125E-3</v>
      </c>
      <c r="AM11" s="8">
        <v>7</v>
      </c>
      <c r="AN11" s="8">
        <f t="shared" si="13"/>
        <v>843.75</v>
      </c>
      <c r="AO11" s="8">
        <v>-5.3830176133223517</v>
      </c>
      <c r="AP11" s="8">
        <f t="shared" si="14"/>
        <v>875</v>
      </c>
      <c r="AQ11" s="8">
        <v>13.827767391850898</v>
      </c>
      <c r="AR11" s="8">
        <f t="shared" si="9"/>
        <v>859.375</v>
      </c>
      <c r="AS11" s="8">
        <v>4.2346616490440852</v>
      </c>
      <c r="AT11" s="8">
        <f t="shared" si="10"/>
        <v>-22.795258243264986</v>
      </c>
      <c r="AU11" s="8">
        <f t="shared" si="11"/>
        <v>58.555916266173355</v>
      </c>
      <c r="AV11" s="8">
        <f t="shared" si="12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126</v>
      </c>
      <c r="G12" s="1">
        <v>2.54</v>
      </c>
      <c r="H12" t="s">
        <v>16</v>
      </c>
      <c r="J12" t="s">
        <v>35</v>
      </c>
      <c r="K12">
        <f xml:space="preserve"> (G8 + G19 + G24 + G35 +G42)/60</f>
        <v>14.254326423845301</v>
      </c>
      <c r="L12" t="s">
        <v>164</v>
      </c>
      <c r="N12" t="s">
        <v>139</v>
      </c>
      <c r="O12">
        <f>O5*O11*$C$21</f>
        <v>563.68903621084564</v>
      </c>
      <c r="P12" t="s">
        <v>31</v>
      </c>
      <c r="R12" t="s">
        <v>60</v>
      </c>
      <c r="S12">
        <f xml:space="preserve"> S5 * S11 * $C$21</f>
        <v>564.74954027236606</v>
      </c>
      <c r="T12" t="s">
        <v>31</v>
      </c>
      <c r="V12" t="s">
        <v>139</v>
      </c>
      <c r="W12">
        <f xml:space="preserve"> W5 * $C$21 * W11</f>
        <v>564.3677588102189</v>
      </c>
      <c r="X12" t="s">
        <v>31</v>
      </c>
      <c r="AB12" s="8">
        <v>8</v>
      </c>
      <c r="AC12" s="8">
        <f t="shared" si="7"/>
        <v>0.4296875</v>
      </c>
      <c r="AD12" s="8">
        <f t="shared" si="0"/>
        <v>3.6799173926581608E-3</v>
      </c>
      <c r="AE12" s="8">
        <f t="shared" si="8"/>
        <v>0.43359375</v>
      </c>
      <c r="AF12" s="8">
        <f t="shared" si="1"/>
        <v>-4.1546150311205787E-4</v>
      </c>
      <c r="AG12" s="8">
        <f t="shared" si="2"/>
        <v>0.431640625</v>
      </c>
      <c r="AH12" s="8">
        <f t="shared" si="3"/>
        <v>1.6318045011970428E-3</v>
      </c>
      <c r="AI12" s="8">
        <f t="shared" si="4"/>
        <v>6.0049057653728719E-6</v>
      </c>
      <c r="AJ12" s="8">
        <f t="shared" si="5"/>
        <v>-6.7795195085234521E-7</v>
      </c>
      <c r="AK12" s="8">
        <f t="shared" si="6"/>
        <v>3.90625E-3</v>
      </c>
      <c r="AM12" s="8">
        <v>8</v>
      </c>
      <c r="AN12" s="8">
        <f t="shared" si="13"/>
        <v>843.75</v>
      </c>
      <c r="AO12" s="8">
        <v>-5.3830176133223517</v>
      </c>
      <c r="AP12" s="8">
        <f t="shared" si="14"/>
        <v>859.375</v>
      </c>
      <c r="AQ12" s="8">
        <v>4.2346616490440852</v>
      </c>
      <c r="AR12" s="8">
        <f t="shared" si="9"/>
        <v>851.5625</v>
      </c>
      <c r="AS12" s="8">
        <v>-0.57112992852563593</v>
      </c>
      <c r="AT12" s="8">
        <f t="shared" si="10"/>
        <v>3.074402464749034</v>
      </c>
      <c r="AU12" s="8">
        <f t="shared" si="11"/>
        <v>-2.4185420049488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125</v>
      </c>
      <c r="G13" s="1">
        <v>304.8</v>
      </c>
      <c r="H13" t="s">
        <v>14</v>
      </c>
      <c r="N13" t="s">
        <v>106</v>
      </c>
      <c r="O13">
        <f>O4/O12</f>
        <v>14.805312369273137</v>
      </c>
      <c r="R13" t="s">
        <v>106</v>
      </c>
      <c r="S13">
        <f>S10/S11</f>
        <v>14.803155574415866</v>
      </c>
      <c r="V13" t="s">
        <v>106</v>
      </c>
      <c r="W13">
        <f>W4/W12</f>
        <v>14.803936211517975</v>
      </c>
      <c r="AB13" s="8">
        <v>9</v>
      </c>
      <c r="AC13" s="8">
        <f t="shared" si="7"/>
        <v>0.431640625</v>
      </c>
      <c r="AD13" s="8">
        <f t="shared" si="0"/>
        <v>1.6318045011970428E-3</v>
      </c>
      <c r="AE13" s="8">
        <f t="shared" si="8"/>
        <v>0.43359375</v>
      </c>
      <c r="AF13" s="8">
        <f t="shared" si="1"/>
        <v>-4.1546150311205787E-4</v>
      </c>
      <c r="AG13" s="8">
        <f t="shared" si="2"/>
        <v>0.4326171875</v>
      </c>
      <c r="AH13" s="8">
        <f t="shared" si="3"/>
        <v>6.0806634510945923E-4</v>
      </c>
      <c r="AI13" s="8">
        <f t="shared" si="4"/>
        <v>9.9224539897604998E-7</v>
      </c>
      <c r="AJ13" s="8">
        <f t="shared" si="5"/>
        <v>-2.5262815773103125E-7</v>
      </c>
      <c r="AK13" s="8">
        <f t="shared" si="6"/>
        <v>1.953125E-3</v>
      </c>
      <c r="AM13" s="8">
        <v>9</v>
      </c>
      <c r="AN13" s="8">
        <f t="shared" si="13"/>
        <v>851.5625</v>
      </c>
      <c r="AO13" s="8">
        <v>-0.57112992852563593</v>
      </c>
      <c r="AP13" s="8">
        <f t="shared" si="14"/>
        <v>859.375</v>
      </c>
      <c r="AQ13" s="8">
        <v>4.2346616490440852</v>
      </c>
      <c r="AR13" s="8">
        <f t="shared" si="9"/>
        <v>855.46875</v>
      </c>
      <c r="AS13" s="8">
        <v>1.8325308638025604</v>
      </c>
      <c r="AT13" s="8">
        <f t="shared" si="10"/>
        <v>-1.0466132212645782</v>
      </c>
      <c r="AU13" s="8">
        <f t="shared" si="11"/>
        <v>7.7601481696343324</v>
      </c>
      <c r="AV13" s="8">
        <f t="shared" si="12"/>
        <v>7.8125</v>
      </c>
    </row>
    <row r="14" spans="2:48" x14ac:dyDescent="0.2">
      <c r="B14" t="s">
        <v>10</v>
      </c>
      <c r="C14" s="1">
        <v>0.8</v>
      </c>
      <c r="F14" t="s">
        <v>127</v>
      </c>
      <c r="G14">
        <f>SQRT($G$11^2-$G$12^2)</f>
        <v>43.095212031036581</v>
      </c>
      <c r="H14" t="s">
        <v>16</v>
      </c>
      <c r="AB14" s="8">
        <v>10</v>
      </c>
      <c r="AC14" s="8">
        <f t="shared" si="7"/>
        <v>0.4326171875</v>
      </c>
      <c r="AD14" s="8">
        <f t="shared" si="0"/>
        <v>6.0806634510945923E-4</v>
      </c>
      <c r="AE14" s="8">
        <f t="shared" si="8"/>
        <v>0.43359375</v>
      </c>
      <c r="AF14" s="8">
        <f t="shared" si="1"/>
        <v>-4.1546150311205787E-4</v>
      </c>
      <c r="AG14" s="8">
        <f t="shared" si="2"/>
        <v>0.43310546875</v>
      </c>
      <c r="AH14" s="8">
        <f t="shared" si="3"/>
        <v>9.6276220200253171E-5</v>
      </c>
      <c r="AI14" s="8">
        <f t="shared" si="4"/>
        <v>5.8542329338121436E-8</v>
      </c>
      <c r="AJ14" s="8">
        <f t="shared" si="5"/>
        <v>-3.9999063158344653E-8</v>
      </c>
      <c r="AK14" s="8">
        <f t="shared" si="6"/>
        <v>9.765625E-4</v>
      </c>
      <c r="AM14" s="8">
        <v>10</v>
      </c>
      <c r="AN14" s="8">
        <f t="shared" si="13"/>
        <v>851.5625</v>
      </c>
      <c r="AO14" s="8">
        <v>-0.57112992852563593</v>
      </c>
      <c r="AP14" s="8">
        <f t="shared" si="14"/>
        <v>855.46875</v>
      </c>
      <c r="AQ14" s="8">
        <v>1.8325308638025604</v>
      </c>
      <c r="AR14" s="8">
        <f t="shared" si="9"/>
        <v>853.515625</v>
      </c>
      <c r="AS14" s="8">
        <v>0.63089131933401177</v>
      </c>
      <c r="AT14" s="8">
        <f t="shared" si="10"/>
        <v>-0.36032091411867828</v>
      </c>
      <c r="AU14" s="8">
        <f t="shared" si="11"/>
        <v>1.1561278143846936</v>
      </c>
      <c r="AV14" s="8">
        <f t="shared" si="12"/>
        <v>3.90625</v>
      </c>
    </row>
    <row r="15" spans="2:48" x14ac:dyDescent="0.2">
      <c r="F15" t="s">
        <v>128</v>
      </c>
      <c r="G15">
        <f>$G$14 * ($G$13/$G$12)</f>
        <v>5171.4254437243899</v>
      </c>
      <c r="H15" t="s">
        <v>14</v>
      </c>
      <c r="J15" s="21" t="s">
        <v>73</v>
      </c>
      <c r="K15" s="21"/>
      <c r="L15" s="21"/>
      <c r="N15" s="40" t="s">
        <v>140</v>
      </c>
      <c r="O15" s="46"/>
      <c r="P15" s="46"/>
      <c r="R15" s="40" t="s">
        <v>135</v>
      </c>
      <c r="S15" s="46"/>
      <c r="T15" s="46"/>
      <c r="V15" s="40" t="s">
        <v>149</v>
      </c>
      <c r="W15" s="46"/>
      <c r="X15" s="46"/>
      <c r="AB15" s="8">
        <v>11</v>
      </c>
      <c r="AC15" s="8">
        <f t="shared" si="7"/>
        <v>0.43310546875</v>
      </c>
      <c r="AD15" s="8">
        <f t="shared" si="0"/>
        <v>9.6276220200253171E-5</v>
      </c>
      <c r="AE15" s="8">
        <f t="shared" si="8"/>
        <v>0.43359375</v>
      </c>
      <c r="AF15" s="8">
        <f t="shared" si="1"/>
        <v>-4.1546150311205787E-4</v>
      </c>
      <c r="AG15" s="8">
        <f t="shared" si="2"/>
        <v>0.433349609375</v>
      </c>
      <c r="AH15" s="8">
        <f t="shared" si="3"/>
        <v>-1.5959918073737978E-4</v>
      </c>
      <c r="AI15" s="8">
        <f t="shared" si="4"/>
        <v>-1.5365605868451978E-8</v>
      </c>
      <c r="AJ15" s="8">
        <f t="shared" si="5"/>
        <v>6.6307315524604791E-8</v>
      </c>
      <c r="AK15" s="8">
        <f t="shared" si="6"/>
        <v>4.8828125E-4</v>
      </c>
      <c r="AM15" s="8">
        <v>11</v>
      </c>
      <c r="AN15" s="8">
        <f t="shared" si="13"/>
        <v>851.5625</v>
      </c>
      <c r="AO15" s="8">
        <v>-0.57112992852563593</v>
      </c>
      <c r="AP15" s="8">
        <f t="shared" si="14"/>
        <v>853.515625</v>
      </c>
      <c r="AQ15" s="8">
        <v>0.63089131933401177</v>
      </c>
      <c r="AR15" s="8">
        <f t="shared" si="9"/>
        <v>852.5390625</v>
      </c>
      <c r="AS15" s="8">
        <v>2.9928390310089981E-2</v>
      </c>
      <c r="AT15" s="8">
        <f t="shared" si="10"/>
        <v>-1.7092999418689026E-2</v>
      </c>
      <c r="AU15" s="8">
        <f t="shared" si="11"/>
        <v>1.8881561648275921E-2</v>
      </c>
      <c r="AV15" s="8">
        <f t="shared" si="12"/>
        <v>1.953125</v>
      </c>
    </row>
    <row r="16" spans="2:48" x14ac:dyDescent="0.2">
      <c r="B16" s="37" t="s">
        <v>11</v>
      </c>
      <c r="C16" s="37"/>
      <c r="D16" s="37"/>
      <c r="F16" t="s">
        <v>152</v>
      </c>
      <c r="G16">
        <f>ATAN(G12/G14)/PI()*180</f>
        <v>3.3730687514309912</v>
      </c>
      <c r="H16" t="s">
        <v>62</v>
      </c>
      <c r="J16" s="3" t="s">
        <v>109</v>
      </c>
      <c r="K16" s="5">
        <f>C17</f>
        <v>852.49043304611405</v>
      </c>
      <c r="L16" t="s">
        <v>12</v>
      </c>
      <c r="N16" t="s">
        <v>41</v>
      </c>
      <c r="O16">
        <f xml:space="preserve"> 90 - $C$32</f>
        <v>85</v>
      </c>
      <c r="P16" t="s">
        <v>62</v>
      </c>
      <c r="R16" t="s">
        <v>41</v>
      </c>
      <c r="S16">
        <f xml:space="preserve"> 90 - $C$32</f>
        <v>85</v>
      </c>
      <c r="T16" t="s">
        <v>62</v>
      </c>
      <c r="V16" t="s">
        <v>41</v>
      </c>
      <c r="W16">
        <f xml:space="preserve"> 90 - $C$32</f>
        <v>85</v>
      </c>
      <c r="X16" t="s">
        <v>62</v>
      </c>
      <c r="AB16" s="8">
        <v>12</v>
      </c>
      <c r="AC16" s="8">
        <f t="shared" si="7"/>
        <v>0.43310546875</v>
      </c>
      <c r="AD16" s="8">
        <f t="shared" si="0"/>
        <v>9.6276220200253171E-5</v>
      </c>
      <c r="AE16" s="8">
        <f t="shared" si="8"/>
        <v>0.433349609375</v>
      </c>
      <c r="AF16" s="8">
        <f t="shared" si="1"/>
        <v>-1.5959918073737978E-4</v>
      </c>
      <c r="AG16" s="8">
        <f t="shared" si="2"/>
        <v>0.4332275390625</v>
      </c>
      <c r="AH16" s="8">
        <f t="shared" si="3"/>
        <v>-3.1663116451807749E-5</v>
      </c>
      <c r="AI16" s="8">
        <f t="shared" si="4"/>
        <v>-3.0484051717405018E-9</v>
      </c>
      <c r="AJ16" s="8">
        <f t="shared" si="5"/>
        <v>5.0534074453007677E-9</v>
      </c>
      <c r="AK16" s="8">
        <f t="shared" si="6"/>
        <v>2.44140625E-4</v>
      </c>
      <c r="AM16" s="8">
        <v>12</v>
      </c>
      <c r="AN16" s="8">
        <f t="shared" si="13"/>
        <v>851.5625</v>
      </c>
      <c r="AO16" s="8">
        <v>-0.57112992852563593</v>
      </c>
      <c r="AP16" s="8">
        <f t="shared" si="14"/>
        <v>852.5390625</v>
      </c>
      <c r="AQ16" s="8">
        <v>2.9928390310089981E-2</v>
      </c>
      <c r="AR16" s="8">
        <f t="shared" si="9"/>
        <v>852.05078125</v>
      </c>
      <c r="AS16" s="8">
        <v>-0.27058882543411755</v>
      </c>
      <c r="AT16" s="8">
        <f t="shared" si="10"/>
        <v>0.15454137653002334</v>
      </c>
      <c r="AU16" s="8">
        <f t="shared" si="11"/>
        <v>-8.0982879811410738E-3</v>
      </c>
      <c r="AV16" s="8">
        <f t="shared" si="12"/>
        <v>0.9765625</v>
      </c>
    </row>
    <row r="17" spans="2:48" x14ac:dyDescent="0.2">
      <c r="B17" s="3" t="s">
        <v>54</v>
      </c>
      <c r="C17" s="3">
        <f>AR44</f>
        <v>852.49043304611405</v>
      </c>
      <c r="D17" s="3" t="s">
        <v>12</v>
      </c>
      <c r="F17" t="s">
        <v>143</v>
      </c>
      <c r="G17">
        <f xml:space="preserve"> 1/1000 * (O22 + O17 * (O27 * O24 + $G$11 * SIN(O16/180*PI())))</f>
        <v>51.390092600903856</v>
      </c>
      <c r="H17" t="s">
        <v>162</v>
      </c>
      <c r="J17" s="16" t="s">
        <v>74</v>
      </c>
      <c r="K17">
        <f xml:space="preserve"> 1000 * K11 / ($C$12 * $C$13 * $C$14)</f>
        <v>59.30626940149773</v>
      </c>
      <c r="L17" t="s">
        <v>12</v>
      </c>
      <c r="N17" t="s">
        <v>30</v>
      </c>
      <c r="O17">
        <f>(O12+$C$17*$C$31*SIN(G16/180*PI()))/$C$6</f>
        <v>1055.5720863680949</v>
      </c>
      <c r="P17" t="s">
        <v>31</v>
      </c>
      <c r="R17" t="s">
        <v>30</v>
      </c>
      <c r="S17">
        <f xml:space="preserve"> S12 / $C$6</f>
        <v>564.74954027236606</v>
      </c>
      <c r="T17" t="s">
        <v>31</v>
      </c>
      <c r="V17" t="s">
        <v>30</v>
      </c>
      <c r="W17">
        <f>(W12-$C$17*$C$31*SIN(G32/180*PI()))/$C$6</f>
        <v>269.23792871586932</v>
      </c>
      <c r="X17" t="s">
        <v>31</v>
      </c>
      <c r="AB17" s="8">
        <v>13</v>
      </c>
      <c r="AC17" s="8">
        <f t="shared" si="7"/>
        <v>0.43310546875</v>
      </c>
      <c r="AD17" s="8">
        <f t="shared" si="0"/>
        <v>9.6276220200253171E-5</v>
      </c>
      <c r="AE17" s="8">
        <f t="shared" si="8"/>
        <v>0.4332275390625</v>
      </c>
      <c r="AF17" s="8">
        <f t="shared" si="1"/>
        <v>-3.1663116451807749E-5</v>
      </c>
      <c r="AG17" s="8">
        <f t="shared" si="2"/>
        <v>0.43316650390625</v>
      </c>
      <c r="AH17" s="8">
        <f t="shared" si="3"/>
        <v>3.2306142657922976E-5</v>
      </c>
      <c r="AI17" s="8">
        <f t="shared" si="4"/>
        <v>3.1103133043549847E-9</v>
      </c>
      <c r="AJ17" s="8">
        <f t="shared" si="5"/>
        <v>-1.022913157086529E-9</v>
      </c>
      <c r="AK17" s="8">
        <f t="shared" si="6"/>
        <v>1.220703125E-4</v>
      </c>
      <c r="AM17" s="8">
        <v>13</v>
      </c>
      <c r="AN17" s="8">
        <f t="shared" si="13"/>
        <v>852.05078125</v>
      </c>
      <c r="AO17" s="8">
        <v>-0.27058882543411755</v>
      </c>
      <c r="AP17" s="8">
        <f t="shared" si="14"/>
        <v>852.5390625</v>
      </c>
      <c r="AQ17" s="8">
        <v>2.9928390310089981E-2</v>
      </c>
      <c r="AR17" s="8">
        <f t="shared" si="9"/>
        <v>852.294921875</v>
      </c>
      <c r="AS17" s="8">
        <v>-0.12032722915927252</v>
      </c>
      <c r="AT17" s="8">
        <f t="shared" si="10"/>
        <v>3.2559203605949452E-2</v>
      </c>
      <c r="AU17" s="8">
        <f t="shared" si="11"/>
        <v>-3.6012002792103481E-3</v>
      </c>
      <c r="AV17" s="8">
        <f t="shared" si="12"/>
        <v>0.48828125</v>
      </c>
    </row>
    <row r="18" spans="2:48" x14ac:dyDescent="0.2">
      <c r="B18" t="s">
        <v>147</v>
      </c>
      <c r="C18" s="1">
        <v>1.75</v>
      </c>
      <c r="D18" t="s">
        <v>14</v>
      </c>
      <c r="F18" t="s">
        <v>129</v>
      </c>
      <c r="G18">
        <f>$C$6*G17</f>
        <v>51.390092600903856</v>
      </c>
      <c r="H18" t="s">
        <v>162</v>
      </c>
      <c r="J18" s="12" t="s">
        <v>75</v>
      </c>
      <c r="K18">
        <f xml:space="preserve"> $C$33 * ($C$5 * $C$41 * (2*$C$18*3.28084 * (K5*1000*0.00134102) * $C$39^0.5)^0.782 * 0.453592 + C6 * $C$6 * $C$41 * (2*$C$19*3.28084 * (K7*1000*0.00134102) * $C$40^0.5)^0.782 * 0.453592)</f>
        <v>48.485561882580932</v>
      </c>
      <c r="L18" t="s">
        <v>12</v>
      </c>
      <c r="N18" t="s">
        <v>42</v>
      </c>
      <c r="O18">
        <f xml:space="preserve"> PI() * $G$11 / ($C$19 * $C$23)</f>
        <v>121.3081886006005</v>
      </c>
      <c r="P18" t="s">
        <v>43</v>
      </c>
      <c r="R18" t="s">
        <v>42</v>
      </c>
      <c r="S18">
        <f xml:space="preserve"> PI() * $C$20 / ($C$19 * $C$23)</f>
        <v>121.3081886006005</v>
      </c>
      <c r="T18" t="s">
        <v>43</v>
      </c>
      <c r="V18" t="s">
        <v>42</v>
      </c>
      <c r="W18">
        <f xml:space="preserve"> PI() * $G$27 / ($C$19 * $C$23)</f>
        <v>121.3081886006005</v>
      </c>
      <c r="X18" t="s">
        <v>43</v>
      </c>
      <c r="AB18" s="8">
        <v>14</v>
      </c>
      <c r="AC18" s="8">
        <f t="shared" si="7"/>
        <v>0.43316650390625</v>
      </c>
      <c r="AD18" s="8">
        <f t="shared" si="0"/>
        <v>3.2306142657922976E-5</v>
      </c>
      <c r="AE18" s="8">
        <f t="shared" si="8"/>
        <v>0.4332275390625</v>
      </c>
      <c r="AF18" s="8">
        <f t="shared" si="1"/>
        <v>-3.1663116451807749E-5</v>
      </c>
      <c r="AG18" s="8">
        <f t="shared" si="2"/>
        <v>0.433197021484375</v>
      </c>
      <c r="AH18" s="8">
        <f t="shared" si="3"/>
        <v>3.2141082029202295E-7</v>
      </c>
      <c r="AI18" s="8">
        <f t="shared" si="4"/>
        <v>1.0383543812154139E-11</v>
      </c>
      <c r="AJ18" s="8">
        <f t="shared" si="5"/>
        <v>-1.0176868231777375E-11</v>
      </c>
      <c r="AK18" s="8">
        <f t="shared" si="6"/>
        <v>6.103515625E-5</v>
      </c>
      <c r="AM18" s="8">
        <v>14</v>
      </c>
      <c r="AN18" s="8">
        <f t="shared" si="13"/>
        <v>852.294921875</v>
      </c>
      <c r="AO18" s="8">
        <v>-0.12032722915927252</v>
      </c>
      <c r="AP18" s="8">
        <f t="shared" si="14"/>
        <v>852.5390625</v>
      </c>
      <c r="AQ18" s="8">
        <v>2.9928390310089981E-2</v>
      </c>
      <c r="AR18" s="8">
        <f t="shared" si="9"/>
        <v>852.4169921875</v>
      </c>
      <c r="AS18" s="8">
        <v>-4.519875566063547E-2</v>
      </c>
      <c r="AT18" s="8">
        <f t="shared" si="10"/>
        <v>5.4386410300912499E-3</v>
      </c>
      <c r="AU18" s="8">
        <f t="shared" si="11"/>
        <v>-1.3527260009418873E-3</v>
      </c>
      <c r="AV18" s="8">
        <f t="shared" si="12"/>
        <v>0.244140625</v>
      </c>
    </row>
    <row r="19" spans="2:48" x14ac:dyDescent="0.2">
      <c r="B19" t="s">
        <v>146</v>
      </c>
      <c r="C19" s="1">
        <v>0.86</v>
      </c>
      <c r="D19" t="s">
        <v>14</v>
      </c>
      <c r="F19" t="s">
        <v>130</v>
      </c>
      <c r="G19">
        <f>$G$13/$G$12</f>
        <v>120</v>
      </c>
      <c r="H19" t="s">
        <v>22</v>
      </c>
      <c r="J19" s="13" t="s">
        <v>76</v>
      </c>
      <c r="K19">
        <f xml:space="preserve"> 0.2138 * (K4) + 0.2138 * (K6)</f>
        <v>36.65768842771341</v>
      </c>
      <c r="L19" t="s">
        <v>12</v>
      </c>
      <c r="N19" t="s">
        <v>44</v>
      </c>
      <c r="O19">
        <f xml:space="preserve"> $G$11 * COS(O16/180*PI()) / (O18 * $C$19)</f>
        <v>3.6065294920552139E-2</v>
      </c>
      <c r="R19" t="s">
        <v>44</v>
      </c>
      <c r="S19">
        <f xml:space="preserve"> $C$20 * COS(S16/180*PI()) / (S18 * $C$19)</f>
        <v>3.6065294920552139E-2</v>
      </c>
      <c r="V19" t="s">
        <v>44</v>
      </c>
      <c r="W19">
        <f xml:space="preserve"> $G$27 * COS(W16/180*PI()) / (W18 * $C$19)</f>
        <v>3.6065294920552139E-2</v>
      </c>
      <c r="AB19" s="8">
        <v>15</v>
      </c>
      <c r="AC19" s="8">
        <f t="shared" si="7"/>
        <v>0.433197021484375</v>
      </c>
      <c r="AD19" s="8">
        <f t="shared" si="0"/>
        <v>3.2141082029202295E-7</v>
      </c>
      <c r="AE19" s="8">
        <f t="shared" si="8"/>
        <v>0.4332275390625</v>
      </c>
      <c r="AF19" s="8">
        <f t="shared" si="1"/>
        <v>-3.1663116451807749E-5</v>
      </c>
      <c r="AG19" s="8">
        <f t="shared" si="2"/>
        <v>0.4332122802734375</v>
      </c>
      <c r="AH19" s="8">
        <f t="shared" si="3"/>
        <v>-1.5670878383777787E-5</v>
      </c>
      <c r="AI19" s="8">
        <f t="shared" si="4"/>
        <v>-5.0367898760265492E-12</v>
      </c>
      <c r="AJ19" s="8">
        <f t="shared" si="5"/>
        <v>4.9618884716767285E-10</v>
      </c>
      <c r="AK19" s="8">
        <f t="shared" si="6"/>
        <v>3.0517578125E-5</v>
      </c>
      <c r="AM19" s="8">
        <v>15</v>
      </c>
      <c r="AN19" s="8">
        <f t="shared" si="13"/>
        <v>852.4169921875</v>
      </c>
      <c r="AO19" s="8">
        <v>-4.519875566063547E-2</v>
      </c>
      <c r="AP19" s="8">
        <f t="shared" si="14"/>
        <v>852.5390625</v>
      </c>
      <c r="AQ19" s="8">
        <v>2.9928390310089981E-2</v>
      </c>
      <c r="AR19" s="8">
        <f t="shared" si="9"/>
        <v>852.47802734375</v>
      </c>
      <c r="AS19" s="8">
        <v>-7.6349858816797678E-3</v>
      </c>
      <c r="AT19" s="8">
        <f t="shared" si="10"/>
        <v>3.4509186133844529E-4</v>
      </c>
      <c r="AU19" s="8">
        <f t="shared" si="11"/>
        <v>-2.2850283747893858E-4</v>
      </c>
      <c r="AV19" s="8">
        <f t="shared" si="12"/>
        <v>0.1220703125</v>
      </c>
    </row>
    <row r="20" spans="2:48" x14ac:dyDescent="0.2">
      <c r="B20" t="s">
        <v>15</v>
      </c>
      <c r="C20" s="1">
        <v>43.17</v>
      </c>
      <c r="D20" t="s">
        <v>16</v>
      </c>
      <c r="J20" s="13" t="s">
        <v>107</v>
      </c>
      <c r="K20">
        <f>2.20462 * (49.9/398 * (K5 -2) + 0.1) * $C$5 * 0.453592 + 2.20462 * (49.9/398 * (K7 -2) + 0.1) * 0.453592 * $C$6</f>
        <v>20.743040666743497</v>
      </c>
      <c r="L20" t="s">
        <v>12</v>
      </c>
      <c r="N20" t="s">
        <v>45</v>
      </c>
      <c r="O20">
        <f xml:space="preserve"> O17 / ( $C$30 * PI() * $C$19^2 * O18^2 * $C$19^2)</f>
        <v>3.4074374730290541E-2</v>
      </c>
      <c r="R20" t="s">
        <v>45</v>
      </c>
      <c r="S20">
        <f xml:space="preserve"> S17 / ( $C$30 * PI() * $C$19^2 * S18^2 * $C$19^2)</f>
        <v>1.823038683242463E-2</v>
      </c>
      <c r="V20" t="s">
        <v>45</v>
      </c>
      <c r="W20">
        <f xml:space="preserve"> W17 / ( $C$30 * PI() * $C$19^2 * W18^2 * $C$19^2)</f>
        <v>8.6911298556947847E-3</v>
      </c>
      <c r="AB20" s="8">
        <v>16</v>
      </c>
      <c r="AC20" s="8">
        <f t="shared" si="7"/>
        <v>0.433197021484375</v>
      </c>
      <c r="AD20" s="8">
        <f t="shared" si="0"/>
        <v>3.2141082029202295E-7</v>
      </c>
      <c r="AE20" s="8">
        <f t="shared" si="8"/>
        <v>0.4332122802734375</v>
      </c>
      <c r="AF20" s="8">
        <f t="shared" si="1"/>
        <v>-1.5670878383777787E-5</v>
      </c>
      <c r="AG20" s="8">
        <f t="shared" si="2"/>
        <v>0.43320465087890625</v>
      </c>
      <c r="AH20" s="8">
        <f t="shared" si="3"/>
        <v>-7.6747401741017462E-6</v>
      </c>
      <c r="AI20" s="8">
        <f t="shared" si="4"/>
        <v>-2.4667445348861854E-12</v>
      </c>
      <c r="AJ20" s="8">
        <f t="shared" si="5"/>
        <v>1.2026991989544201E-10</v>
      </c>
      <c r="AK20" s="8">
        <f t="shared" si="6"/>
        <v>1.52587890625E-5</v>
      </c>
      <c r="AM20" s="8">
        <v>16</v>
      </c>
      <c r="AN20" s="8">
        <f t="shared" si="13"/>
        <v>852.47802734375</v>
      </c>
      <c r="AO20" s="8">
        <v>-7.6349858816797678E-3</v>
      </c>
      <c r="AP20" s="8">
        <f t="shared" si="14"/>
        <v>852.5390625</v>
      </c>
      <c r="AQ20" s="8">
        <v>2.9928390310089981E-2</v>
      </c>
      <c r="AR20" s="8">
        <f t="shared" si="9"/>
        <v>852.508544921875</v>
      </c>
      <c r="AS20" s="8">
        <v>1.1146752410979843E-2</v>
      </c>
      <c r="AT20" s="8">
        <f t="shared" si="10"/>
        <v>-8.5105297284411016E-5</v>
      </c>
      <c r="AU20" s="8">
        <f t="shared" si="11"/>
        <v>3.3360435684574126E-4</v>
      </c>
      <c r="AV20" s="8">
        <f t="shared" si="12"/>
        <v>6.103515625E-2</v>
      </c>
    </row>
    <row r="21" spans="2:48" x14ac:dyDescent="0.2">
      <c r="B21" t="s">
        <v>17</v>
      </c>
      <c r="C21" s="1">
        <v>12.2</v>
      </c>
      <c r="D21" t="s">
        <v>18</v>
      </c>
      <c r="F21" s="40" t="s">
        <v>118</v>
      </c>
      <c r="G21" s="41"/>
      <c r="H21" s="41"/>
      <c r="J21" s="14" t="s">
        <v>84</v>
      </c>
      <c r="K21">
        <f xml:space="preserve"> $C$33 * (14.86 * ($C$17*2.20462)^0.144 * ($C$45/(PI()*$C$46))^0.778 * ($C$45*3.28084)^0.383 * $C$44^0.455 * 0.453592)</f>
        <v>157.50126487557895</v>
      </c>
      <c r="L21" t="s">
        <v>12</v>
      </c>
      <c r="N21" t="s">
        <v>4</v>
      </c>
      <c r="O21" s="1">
        <v>1.2E-2</v>
      </c>
      <c r="R21" t="s">
        <v>4</v>
      </c>
      <c r="S21" s="1">
        <v>1.2E-2</v>
      </c>
      <c r="V21" t="s">
        <v>4</v>
      </c>
      <c r="W21" s="1">
        <v>1.2E-2</v>
      </c>
      <c r="AB21" s="8">
        <v>17</v>
      </c>
      <c r="AC21" s="8">
        <f t="shared" si="7"/>
        <v>0.433197021484375</v>
      </c>
      <c r="AD21" s="8">
        <f t="shared" si="0"/>
        <v>3.2141082029202295E-7</v>
      </c>
      <c r="AE21" s="8">
        <f t="shared" si="8"/>
        <v>0.43320465087890625</v>
      </c>
      <c r="AF21" s="8">
        <f t="shared" si="1"/>
        <v>-7.6747401741017462E-6</v>
      </c>
      <c r="AG21" s="8">
        <f t="shared" si="2"/>
        <v>0.43320083618164062</v>
      </c>
      <c r="AH21" s="8">
        <f t="shared" si="3"/>
        <v>-3.67666627504315E-6</v>
      </c>
      <c r="AI21" s="8">
        <f t="shared" si="4"/>
        <v>-1.1817203234016354E-12</v>
      </c>
      <c r="AJ21" s="8">
        <f t="shared" si="5"/>
        <v>2.8217458367838685E-11</v>
      </c>
      <c r="AK21" s="8">
        <f t="shared" si="6"/>
        <v>7.62939453125E-6</v>
      </c>
      <c r="AM21" s="8">
        <v>17</v>
      </c>
      <c r="AN21" s="8">
        <f t="shared" si="13"/>
        <v>852.47802734375</v>
      </c>
      <c r="AO21" s="8">
        <v>-7.6349858816797678E-3</v>
      </c>
      <c r="AP21" s="8">
        <f t="shared" si="14"/>
        <v>852.508544921875</v>
      </c>
      <c r="AQ21" s="8">
        <v>1.1146752410979843E-2</v>
      </c>
      <c r="AR21" s="8">
        <f t="shared" si="9"/>
        <v>852.4932861328125</v>
      </c>
      <c r="AS21" s="8">
        <v>1.7559189707867517E-3</v>
      </c>
      <c r="AT21" s="8">
        <f t="shared" si="10"/>
        <v>-1.3406416551330518E-5</v>
      </c>
      <c r="AU21" s="8">
        <f t="shared" si="11"/>
        <v>1.9572794021102471E-5</v>
      </c>
      <c r="AV21" s="8">
        <f t="shared" si="12"/>
        <v>3.0517578125E-2</v>
      </c>
    </row>
    <row r="22" spans="2:48" x14ac:dyDescent="0.2">
      <c r="B22" t="s">
        <v>5</v>
      </c>
      <c r="C22" s="1">
        <v>6</v>
      </c>
      <c r="F22" s="4" t="s">
        <v>114</v>
      </c>
      <c r="G22">
        <f xml:space="preserve"> 1/1000 * (S22 + S17 * (S27 * S24 + $C$20 * SIN(S16/180*PI())))</f>
        <v>26.434169974281307</v>
      </c>
      <c r="H22" t="s">
        <v>162</v>
      </c>
      <c r="J22" s="14" t="s">
        <v>85</v>
      </c>
      <c r="K22">
        <f xml:space="preserve"> $C$33 * (0.054 * ($C$49*3.28084)^0.501 * ($C$17*2.20462*$C$50)^0.684 * 0.453592)</f>
        <v>11.095469944902691</v>
      </c>
      <c r="L22" t="s">
        <v>12</v>
      </c>
      <c r="N22" t="s">
        <v>46</v>
      </c>
      <c r="O22">
        <f xml:space="preserve"> ($C$8 * $O$21 / 8) * (1 + 4.65 * O19^2) * ( PI() * $C$30 * O18^3 * $C$19^ 5)</f>
        <v>634.01860977186379</v>
      </c>
      <c r="P22" t="s">
        <v>29</v>
      </c>
      <c r="R22" t="s">
        <v>46</v>
      </c>
      <c r="S22">
        <f xml:space="preserve"> ($C$8 * $S$21 / 8) * (1 + 4.65 * S19^2) * ( PI() * $C$30 * S18^3 * $C$19^5)</f>
        <v>634.01860977186379</v>
      </c>
      <c r="T22" t="s">
        <v>29</v>
      </c>
      <c r="V22" t="s">
        <v>46</v>
      </c>
      <c r="W22">
        <f xml:space="preserve"> ($C$8 * $W$21 / 8) * (1 + 4.65 * W19^2) * ( PI() * $C$30 * W18^3 * $C$19^ 5)</f>
        <v>634.01860977186379</v>
      </c>
      <c r="X22" t="s">
        <v>29</v>
      </c>
      <c r="AB22" s="8">
        <v>18</v>
      </c>
      <c r="AC22" s="8">
        <f t="shared" si="7"/>
        <v>0.433197021484375</v>
      </c>
      <c r="AD22" s="8">
        <f t="shared" si="0"/>
        <v>3.2141082029202295E-7</v>
      </c>
      <c r="AE22" s="8">
        <f t="shared" si="8"/>
        <v>0.43320083618164062</v>
      </c>
      <c r="AF22" s="8">
        <f t="shared" si="1"/>
        <v>-3.67666627504315E-6</v>
      </c>
      <c r="AG22" s="8">
        <f t="shared" si="2"/>
        <v>0.43319892883300781</v>
      </c>
      <c r="AH22" s="8">
        <f t="shared" si="3"/>
        <v>-1.6776281269170745E-6</v>
      </c>
      <c r="AI22" s="8">
        <f t="shared" si="4"/>
        <v>-5.3920783241738695E-13</v>
      </c>
      <c r="AJ22" s="8">
        <f t="shared" si="5"/>
        <v>6.168078756299817E-12</v>
      </c>
      <c r="AK22" s="8">
        <f t="shared" si="6"/>
        <v>3.814697265625E-6</v>
      </c>
      <c r="AM22" s="8">
        <v>18</v>
      </c>
      <c r="AN22" s="8">
        <f t="shared" si="13"/>
        <v>852.47802734375</v>
      </c>
      <c r="AO22" s="8">
        <v>-7.6349858816797678E-3</v>
      </c>
      <c r="AP22" s="8">
        <f t="shared" si="14"/>
        <v>852.4932861328125</v>
      </c>
      <c r="AQ22" s="8">
        <v>1.7559189707867517E-3</v>
      </c>
      <c r="AR22" s="8">
        <f t="shared" si="9"/>
        <v>852.48565673828125</v>
      </c>
      <c r="AS22" s="8">
        <v>-2.9395051113283444E-3</v>
      </c>
      <c r="AT22" s="8">
        <f t="shared" si="10"/>
        <v>2.2443080024117424E-5</v>
      </c>
      <c r="AU22" s="8">
        <f t="shared" si="11"/>
        <v>-5.1615327897060628E-6</v>
      </c>
      <c r="AV22" s="8">
        <f t="shared" si="12"/>
        <v>1.52587890625E-2</v>
      </c>
    </row>
    <row r="23" spans="2:48" x14ac:dyDescent="0.2">
      <c r="B23" t="s">
        <v>19</v>
      </c>
      <c r="C23" s="1">
        <v>1.3</v>
      </c>
      <c r="F23" s="4" t="s">
        <v>113</v>
      </c>
      <c r="G23">
        <f xml:space="preserve"> $C$6 * G22</f>
        <v>26.434169974281307</v>
      </c>
      <c r="H23" t="s">
        <v>162</v>
      </c>
      <c r="J23" s="14" t="s">
        <v>77</v>
      </c>
      <c r="K23">
        <f xml:space="preserve"> $C$33 * (0.04674 * ($C$17*2.20462)^0.397 * ($C$21*3.28084^2)^0.36 * $C$53^0.397 * $C$22^1.712 * 0.453592)</f>
        <v>65.079194513094166</v>
      </c>
      <c r="L23" t="s">
        <v>12</v>
      </c>
      <c r="N23" t="s">
        <v>47</v>
      </c>
      <c r="O23" s="5">
        <f>AG69</f>
        <v>0.44997010426595807</v>
      </c>
      <c r="R23" t="s">
        <v>47</v>
      </c>
      <c r="S23" s="5">
        <f>AG34</f>
        <v>0.43319732835516334</v>
      </c>
      <c r="V23" t="s">
        <v>47</v>
      </c>
      <c r="W23" s="5">
        <f>AG104</f>
        <v>0.42247685650363564</v>
      </c>
      <c r="AB23" s="8">
        <v>19</v>
      </c>
      <c r="AC23" s="8">
        <f t="shared" si="7"/>
        <v>0.433197021484375</v>
      </c>
      <c r="AD23" s="8">
        <f t="shared" si="0"/>
        <v>3.2141082029202295E-7</v>
      </c>
      <c r="AE23" s="8">
        <f t="shared" si="8"/>
        <v>0.43319892883300781</v>
      </c>
      <c r="AF23" s="8">
        <f t="shared" si="1"/>
        <v>-1.6776281269170745E-6</v>
      </c>
      <c r="AG23" s="8">
        <f t="shared" si="2"/>
        <v>0.43319797515869141</v>
      </c>
      <c r="AH23" s="8">
        <f t="shared" si="3"/>
        <v>-6.7810875320484243E-7</v>
      </c>
      <c r="AI23" s="8">
        <f t="shared" si="4"/>
        <v>-2.1795149061476934E-13</v>
      </c>
      <c r="AJ23" s="8">
        <f t="shared" si="5"/>
        <v>1.1376143174851125E-12</v>
      </c>
      <c r="AK23" s="8">
        <f t="shared" si="6"/>
        <v>1.9073486328125E-6</v>
      </c>
      <c r="AM23" s="8">
        <v>19</v>
      </c>
      <c r="AN23" s="8">
        <f t="shared" si="13"/>
        <v>852.48565673828125</v>
      </c>
      <c r="AO23" s="8">
        <v>-2.9395051113283444E-3</v>
      </c>
      <c r="AP23" s="8">
        <f t="shared" si="14"/>
        <v>852.4932861328125</v>
      </c>
      <c r="AQ23" s="8">
        <v>1.7559189707867517E-3</v>
      </c>
      <c r="AR23" s="8">
        <f t="shared" si="9"/>
        <v>852.48947143554688</v>
      </c>
      <c r="AS23" s="8">
        <v>-5.9179727941227611E-4</v>
      </c>
      <c r="AT23" s="8">
        <f t="shared" si="10"/>
        <v>1.7395911277025941E-6</v>
      </c>
      <c r="AU23" s="8">
        <f t="shared" si="11"/>
        <v>-1.0391480697800035E-6</v>
      </c>
      <c r="AV23" s="8">
        <f t="shared" si="12"/>
        <v>7.62939453125E-3</v>
      </c>
    </row>
    <row r="24" spans="2:48" x14ac:dyDescent="0.2">
      <c r="F24" s="4" t="s">
        <v>121</v>
      </c>
      <c r="G24">
        <f xml:space="preserve"> ($C$27-G15-G31)/$C$20</f>
        <v>375.25958543071806</v>
      </c>
      <c r="H24" t="s">
        <v>22</v>
      </c>
      <c r="J24" s="14" t="s">
        <v>86</v>
      </c>
      <c r="K24">
        <f xml:space="preserve"> $C$33 * (3.184 * ($C$17*2.20462)^0.887 * ($C$57*3.28084*3.28084)^0.101 * ($C$56)^0.138 ) / ( 174.04 * ($C$58*3.28084)^0.223 ) * 0.453592</f>
        <v>8.8995733279115363</v>
      </c>
      <c r="L24" t="s">
        <v>12</v>
      </c>
      <c r="N24" t="s">
        <v>48</v>
      </c>
      <c r="O24">
        <f xml:space="preserve"> O18 * $C$19 * O23 - $G$11 * SIN(O16/180*PI())</f>
        <v>3.9374249980963185</v>
      </c>
      <c r="P24" t="s">
        <v>16</v>
      </c>
      <c r="R24" t="s">
        <v>48</v>
      </c>
      <c r="S24">
        <f xml:space="preserve"> S18 * $C$19 * S23 - $C$20 * SIN(S16/180*PI())</f>
        <v>2.187604443449942</v>
      </c>
      <c r="T24" t="s">
        <v>16</v>
      </c>
      <c r="V24" t="s">
        <v>48</v>
      </c>
      <c r="W24">
        <f xml:space="preserve"> W18 * $C$19 * W23 - $G$27 * SIN(W16/180*PI())</f>
        <v>1.069190765172749</v>
      </c>
      <c r="X24" t="s">
        <v>16</v>
      </c>
      <c r="AB24" s="8">
        <v>20</v>
      </c>
      <c r="AC24" s="8">
        <f t="shared" si="7"/>
        <v>0.433197021484375</v>
      </c>
      <c r="AD24" s="8">
        <f t="shared" si="0"/>
        <v>3.2141082029202295E-7</v>
      </c>
      <c r="AE24" s="8">
        <f t="shared" si="8"/>
        <v>0.43319797515869141</v>
      </c>
      <c r="AF24" s="8">
        <f t="shared" si="1"/>
        <v>-6.7810875320484243E-7</v>
      </c>
      <c r="AG24" s="8">
        <f t="shared" si="2"/>
        <v>0.4331974983215332</v>
      </c>
      <c r="AH24" s="8">
        <f t="shared" si="3"/>
        <v>-1.7834899140867222E-7</v>
      </c>
      <c r="AI24" s="8">
        <f t="shared" si="4"/>
        <v>-5.732329562691629E-14</v>
      </c>
      <c r="AJ24" s="8">
        <f t="shared" si="5"/>
        <v>1.2094001219947587E-13</v>
      </c>
      <c r="AK24" s="8">
        <f t="shared" si="6"/>
        <v>9.5367431640625E-7</v>
      </c>
      <c r="AM24" s="8">
        <v>20</v>
      </c>
      <c r="AN24" s="8">
        <f t="shared" si="13"/>
        <v>852.48947143554688</v>
      </c>
      <c r="AO24" s="8">
        <v>-5.9179727941227611E-4</v>
      </c>
      <c r="AP24" s="8">
        <f t="shared" si="14"/>
        <v>852.4932861328125</v>
      </c>
      <c r="AQ24" s="8">
        <v>1.7559189707867517E-3</v>
      </c>
      <c r="AR24" s="8">
        <f t="shared" si="9"/>
        <v>852.49137878417969</v>
      </c>
      <c r="AS24" s="8">
        <v>5.820659393407368E-4</v>
      </c>
      <c r="AT24" s="8">
        <f t="shared" si="10"/>
        <v>-3.44465039340399E-7</v>
      </c>
      <c r="AU24" s="8">
        <f t="shared" si="11"/>
        <v>1.0220606251372104E-6</v>
      </c>
      <c r="AV24" s="8">
        <f t="shared" si="12"/>
        <v>3.814697265625E-3</v>
      </c>
    </row>
    <row r="25" spans="2:48" x14ac:dyDescent="0.2">
      <c r="B25" s="45" t="s">
        <v>20</v>
      </c>
      <c r="C25" s="45"/>
      <c r="D25" s="45"/>
      <c r="F25" s="4"/>
      <c r="J25" s="14" t="s">
        <v>87</v>
      </c>
      <c r="K25">
        <f xml:space="preserve"> $C$33 * ( 1.68 * ($C$17*2.20462)^0.567 * ($C$62*3.28084*3.28084)^1.249 * ($C$61)^0.482 ) / (639.95 * ($C$63*3.28084)^0.747 * (COS($C$64/180*PI()))^0.882 ) * 0.453592</f>
        <v>4.9045048395424793</v>
      </c>
      <c r="L25" t="s">
        <v>12</v>
      </c>
      <c r="N25" t="s">
        <v>49</v>
      </c>
      <c r="O25">
        <f xml:space="preserve"> 1/$C$9 - O22 * SQRT( (2*$C$30*PI()*$C$19^2) / O17^3 )</f>
        <v>1.2892243965504608</v>
      </c>
      <c r="R25" t="s">
        <v>49</v>
      </c>
      <c r="S25">
        <f xml:space="preserve"> 1/$C$9 - S22 * SQRT( (2*$C$30*PI()*$C$19^2) / S17^3 )</f>
        <v>1.2206201784021593</v>
      </c>
      <c r="V25" t="s">
        <v>49</v>
      </c>
      <c r="W25">
        <f xml:space="preserve"> 1/$C$9 - W22 * SQRT( (2*$C$30*PI()*$C$19^2) / W17^3 )</f>
        <v>0.99091731408672867</v>
      </c>
      <c r="AB25" s="8">
        <v>21</v>
      </c>
      <c r="AC25" s="8">
        <f t="shared" si="7"/>
        <v>0.433197021484375</v>
      </c>
      <c r="AD25" s="8">
        <f t="shared" si="0"/>
        <v>3.2141082029202295E-7</v>
      </c>
      <c r="AE25" s="8">
        <f t="shared" si="8"/>
        <v>0.4331974983215332</v>
      </c>
      <c r="AF25" s="8">
        <f t="shared" si="1"/>
        <v>-1.7834899140867222E-7</v>
      </c>
      <c r="AG25" s="8">
        <f t="shared" si="2"/>
        <v>0.4331972599029541</v>
      </c>
      <c r="AH25" s="8">
        <f t="shared" si="3"/>
        <v>7.153090819667085E-8</v>
      </c>
      <c r="AI25" s="8">
        <f t="shared" si="4"/>
        <v>2.2990807879725367E-14</v>
      </c>
      <c r="AJ25" s="8">
        <f t="shared" si="5"/>
        <v>-1.2757465331422571E-14</v>
      </c>
      <c r="AK25" s="8">
        <f t="shared" si="6"/>
        <v>4.76837158203125E-7</v>
      </c>
      <c r="AM25" s="8">
        <v>21</v>
      </c>
      <c r="AN25" s="8">
        <f t="shared" si="13"/>
        <v>852.48947143554688</v>
      </c>
      <c r="AO25" s="8">
        <v>-5.9179727941227611E-4</v>
      </c>
      <c r="AP25" s="8">
        <f t="shared" si="14"/>
        <v>852.49137878417969</v>
      </c>
      <c r="AQ25" s="8">
        <v>5.820659393407368E-4</v>
      </c>
      <c r="AR25" s="8">
        <f t="shared" si="9"/>
        <v>852.49042510986328</v>
      </c>
      <c r="AS25" s="8">
        <v>-4.9361245260115538E-6</v>
      </c>
      <c r="AT25" s="8">
        <f t="shared" si="10"/>
        <v>2.9211850653338486E-9</v>
      </c>
      <c r="AU25" s="8">
        <f t="shared" si="11"/>
        <v>-2.8731499589357643E-9</v>
      </c>
      <c r="AV25" s="8">
        <f t="shared" si="12"/>
        <v>1.9073486328125E-3</v>
      </c>
    </row>
    <row r="26" spans="2:48" x14ac:dyDescent="0.2">
      <c r="B26" t="s">
        <v>92</v>
      </c>
      <c r="C26">
        <f>C44*100</f>
        <v>400</v>
      </c>
      <c r="D26" t="s">
        <v>12</v>
      </c>
      <c r="F26" s="40" t="s">
        <v>131</v>
      </c>
      <c r="G26" s="41"/>
      <c r="H26" s="41"/>
      <c r="J26" s="15" t="s">
        <v>88</v>
      </c>
      <c r="K26">
        <f xml:space="preserve"> $C$33 * (0.0268 * $C$17)</f>
        <v>18.277394884508688</v>
      </c>
      <c r="L26" t="s">
        <v>12</v>
      </c>
      <c r="N26" t="s">
        <v>50</v>
      </c>
      <c r="O26" s="1">
        <v>1.1499999999999999</v>
      </c>
      <c r="R26" t="s">
        <v>50</v>
      </c>
      <c r="S26" s="1">
        <v>1.1499999999999999</v>
      </c>
      <c r="V26" t="s">
        <v>50</v>
      </c>
      <c r="W26" s="1">
        <v>1.1499999999999999</v>
      </c>
      <c r="AB26" s="8">
        <v>22</v>
      </c>
      <c r="AC26" s="8">
        <f t="shared" si="7"/>
        <v>0.4331972599029541</v>
      </c>
      <c r="AD26" s="8">
        <f t="shared" si="0"/>
        <v>7.153090819667085E-8</v>
      </c>
      <c r="AE26" s="8">
        <f t="shared" si="8"/>
        <v>0.4331974983215332</v>
      </c>
      <c r="AF26" s="8">
        <f t="shared" si="1"/>
        <v>-1.7834899140867222E-7</v>
      </c>
      <c r="AG26" s="8">
        <f t="shared" si="2"/>
        <v>0.43319737911224365</v>
      </c>
      <c r="AH26" s="8">
        <f t="shared" si="3"/>
        <v>-5.3409043188068495E-8</v>
      </c>
      <c r="AI26" s="8">
        <f t="shared" si="4"/>
        <v>-3.8203973651577564E-15</v>
      </c>
      <c r="AJ26" s="8">
        <f t="shared" si="5"/>
        <v>9.5254489846942308E-15</v>
      </c>
      <c r="AK26" s="8">
        <f t="shared" si="6"/>
        <v>2.384185791015625E-7</v>
      </c>
      <c r="AM26" s="8">
        <v>22</v>
      </c>
      <c r="AN26" s="8">
        <f t="shared" si="13"/>
        <v>852.49042510986328</v>
      </c>
      <c r="AO26" s="8">
        <v>-4.9361245260115538E-6</v>
      </c>
      <c r="AP26" s="8">
        <f t="shared" si="14"/>
        <v>852.49137878417969</v>
      </c>
      <c r="AQ26" s="8">
        <v>5.820659393407368E-4</v>
      </c>
      <c r="AR26" s="8">
        <f t="shared" si="9"/>
        <v>852.49090194702148</v>
      </c>
      <c r="AS26" s="8">
        <v>2.8859043305828891E-4</v>
      </c>
      <c r="AT26" s="8">
        <f t="shared" si="10"/>
        <v>-1.4245183145913155E-9</v>
      </c>
      <c r="AU26" s="8">
        <f t="shared" si="11"/>
        <v>1.6797866150282296E-7</v>
      </c>
      <c r="AV26" s="8">
        <f t="shared" si="12"/>
        <v>9.5367431640625E-4</v>
      </c>
    </row>
    <row r="27" spans="2:48" x14ac:dyDescent="0.2">
      <c r="B27" t="s">
        <v>21</v>
      </c>
      <c r="C27" s="1">
        <v>30000</v>
      </c>
      <c r="D27" t="s">
        <v>14</v>
      </c>
      <c r="F27" s="4" t="s">
        <v>154</v>
      </c>
      <c r="G27" s="1">
        <f>$C$20</f>
        <v>43.17</v>
      </c>
      <c r="H27" t="s">
        <v>16</v>
      </c>
      <c r="J27" s="15" t="s">
        <v>89</v>
      </c>
      <c r="K27">
        <f xml:space="preserve"> $C$33 * (11.5 * ($C$17*2.20462/1000)^0.4 * 0.453592)</f>
        <v>5.3710910728097794</v>
      </c>
      <c r="L27" t="s">
        <v>12</v>
      </c>
      <c r="N27" t="s">
        <v>51</v>
      </c>
      <c r="O27">
        <f xml:space="preserve"> 1/$C$36 * LN( EXP($C$36 * O25) + EXP($C$36 * O26) )</f>
        <v>1.2897321294994277</v>
      </c>
      <c r="R27" t="s">
        <v>51</v>
      </c>
      <c r="S27">
        <f xml:space="preserve"> 1/$C$36 * LN( EXP($C$36 * S25) + EXP($C$36 * S26) )</f>
        <v>1.2244037277177158</v>
      </c>
      <c r="V27" t="s">
        <v>51</v>
      </c>
      <c r="W27">
        <f xml:space="preserve"> 1/$C$36 * LN( EXP($C$36 * W25) + EXP($C$36 * W26) )</f>
        <v>1.1502807930011643</v>
      </c>
      <c r="AB27" s="8">
        <v>23</v>
      </c>
      <c r="AC27" s="8">
        <f t="shared" si="7"/>
        <v>0.4331972599029541</v>
      </c>
      <c r="AD27" s="8">
        <f t="shared" si="0"/>
        <v>7.153090819667085E-8</v>
      </c>
      <c r="AE27" s="8">
        <f t="shared" si="8"/>
        <v>0.43319737911224365</v>
      </c>
      <c r="AF27" s="8">
        <f t="shared" si="1"/>
        <v>-5.3409043188068495E-8</v>
      </c>
      <c r="AG27" s="8">
        <f t="shared" si="2"/>
        <v>0.43319731950759888</v>
      </c>
      <c r="AH27" s="8">
        <f t="shared" si="3"/>
        <v>9.0609321157231193E-9</v>
      </c>
      <c r="AI27" s="8">
        <f t="shared" si="4"/>
        <v>6.4813670334605699E-16</v>
      </c>
      <c r="AJ27" s="8">
        <f t="shared" si="5"/>
        <v>-4.8393571469281294E-16</v>
      </c>
      <c r="AK27" s="8">
        <f t="shared" si="6"/>
        <v>1.1920928955078125E-7</v>
      </c>
      <c r="AM27" s="8">
        <v>23</v>
      </c>
      <c r="AN27" s="8">
        <f t="shared" si="13"/>
        <v>852.49042510986328</v>
      </c>
      <c r="AO27" s="8">
        <v>-4.9361245260115538E-6</v>
      </c>
      <c r="AP27" s="8">
        <f t="shared" si="14"/>
        <v>852.49090194702148</v>
      </c>
      <c r="AQ27" s="8">
        <v>2.8859043305828891E-4</v>
      </c>
      <c r="AR27" s="8">
        <f t="shared" si="9"/>
        <v>852.49066352844238</v>
      </c>
      <c r="AS27" s="8">
        <v>1.418721412846935E-4</v>
      </c>
      <c r="AT27" s="8">
        <f t="shared" si="10"/>
        <v>-7.0029855615315184E-10</v>
      </c>
      <c r="AU27" s="8">
        <f t="shared" si="11"/>
        <v>4.0942942692256443E-8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15" t="s">
        <v>90</v>
      </c>
      <c r="K28">
        <f xml:space="preserve"> $C$33 * (8 * ($C$17/1000))</f>
        <v>5.4559387714951306</v>
      </c>
      <c r="L28" t="s">
        <v>12</v>
      </c>
      <c r="AB28" s="8">
        <v>24</v>
      </c>
      <c r="AC28" s="8">
        <f t="shared" si="7"/>
        <v>0.43319731950759888</v>
      </c>
      <c r="AD28" s="8">
        <f t="shared" si="0"/>
        <v>9.0609321157231193E-9</v>
      </c>
      <c r="AE28" s="8">
        <f t="shared" si="8"/>
        <v>0.43319737911224365</v>
      </c>
      <c r="AF28" s="8">
        <f t="shared" si="1"/>
        <v>-5.3409043188068495E-8</v>
      </c>
      <c r="AG28" s="8">
        <f t="shared" si="2"/>
        <v>0.43319734930992126</v>
      </c>
      <c r="AH28" s="8">
        <f t="shared" si="3"/>
        <v>-2.217405564719499E-8</v>
      </c>
      <c r="AI28" s="8">
        <f t="shared" si="4"/>
        <v>-2.0091761294950069E-16</v>
      </c>
      <c r="AJ28" s="8">
        <f t="shared" si="5"/>
        <v>1.1842950957156714E-15</v>
      </c>
      <c r="AK28" s="8">
        <f t="shared" si="6"/>
        <v>5.9604644775390625E-8</v>
      </c>
      <c r="AM28" s="8">
        <v>24</v>
      </c>
      <c r="AN28" s="8">
        <f t="shared" si="13"/>
        <v>852.49042510986328</v>
      </c>
      <c r="AO28" s="8">
        <v>-4.9361245260115538E-6</v>
      </c>
      <c r="AP28" s="8">
        <f t="shared" si="14"/>
        <v>852.49066352844238</v>
      </c>
      <c r="AQ28" s="8">
        <v>1.418721412846935E-4</v>
      </c>
      <c r="AR28" s="8">
        <f t="shared" si="9"/>
        <v>852.49054431915283</v>
      </c>
      <c r="AS28" s="8">
        <v>6.8472925818241492E-5</v>
      </c>
      <c r="AT28" s="8">
        <f t="shared" si="10"/>
        <v>-3.3799088849919159E-10</v>
      </c>
      <c r="AU28" s="8">
        <f t="shared" si="11"/>
        <v>9.7144006058618936E-9</v>
      </c>
      <c r="AV28" s="8">
        <f t="shared" si="12"/>
        <v>2.384185791015625E-4</v>
      </c>
    </row>
    <row r="29" spans="2:48" x14ac:dyDescent="0.2">
      <c r="B29" s="19" t="s">
        <v>97</v>
      </c>
      <c r="C29" s="19"/>
      <c r="D29" s="19"/>
      <c r="F29" t="s">
        <v>125</v>
      </c>
      <c r="G29" s="1">
        <v>304.8</v>
      </c>
      <c r="H29" t="s">
        <v>14</v>
      </c>
      <c r="J29" s="15" t="s">
        <v>91</v>
      </c>
      <c r="K29">
        <f xml:space="preserve"> $C$33 * (13 * ($C$17*2.20462/1000)^1.3 * 0.453592)</f>
        <v>10.713440438501381</v>
      </c>
      <c r="L29" t="s">
        <v>12</v>
      </c>
      <c r="AB29" s="8">
        <v>25</v>
      </c>
      <c r="AC29" s="8">
        <f t="shared" si="7"/>
        <v>0.43319731950759888</v>
      </c>
      <c r="AD29" s="8">
        <f t="shared" si="0"/>
        <v>9.0609321157231193E-9</v>
      </c>
      <c r="AE29" s="8">
        <f t="shared" si="8"/>
        <v>0.43319734930992126</v>
      </c>
      <c r="AF29" s="8">
        <f t="shared" si="1"/>
        <v>-2.217405564719499E-8</v>
      </c>
      <c r="AG29" s="8">
        <f t="shared" si="2"/>
        <v>0.43319733440876007</v>
      </c>
      <c r="AH29" s="8">
        <f t="shared" si="3"/>
        <v>-6.556561793491511E-9</v>
      </c>
      <c r="AI29" s="8">
        <f t="shared" si="4"/>
        <v>-5.94085613233704E-17</v>
      </c>
      <c r="AJ29" s="8">
        <f t="shared" si="5"/>
        <v>1.4538556606315336E-16</v>
      </c>
      <c r="AK29" s="8">
        <f t="shared" si="6"/>
        <v>2.9802322387695312E-8</v>
      </c>
      <c r="AM29" s="8">
        <v>25</v>
      </c>
      <c r="AN29" s="8">
        <f t="shared" si="13"/>
        <v>852.49042510986328</v>
      </c>
      <c r="AO29" s="8">
        <v>-4.9361245260115538E-6</v>
      </c>
      <c r="AP29" s="8">
        <f t="shared" si="14"/>
        <v>852.49054431915283</v>
      </c>
      <c r="AQ29" s="8">
        <v>6.8472925818241492E-5</v>
      </c>
      <c r="AR29" s="8">
        <f t="shared" si="9"/>
        <v>852.49048471450806</v>
      </c>
      <c r="AS29" s="8">
        <v>3.1768400788223516E-5</v>
      </c>
      <c r="AT29" s="8">
        <f t="shared" si="10"/>
        <v>-1.5681278228291489E-10</v>
      </c>
      <c r="AU29" s="8">
        <f t="shared" si="11"/>
        <v>2.1752753505361935E-9</v>
      </c>
      <c r="AV29" s="8">
        <f t="shared" si="12"/>
        <v>1.1920928955078125E-4</v>
      </c>
    </row>
    <row r="30" spans="2:48" x14ac:dyDescent="0.2">
      <c r="B30" t="s">
        <v>23</v>
      </c>
      <c r="C30" s="1">
        <v>1.2250000000000001</v>
      </c>
      <c r="D30" t="s">
        <v>24</v>
      </c>
      <c r="F30" t="s">
        <v>127</v>
      </c>
      <c r="G30">
        <f>SQRT($G$27^2-$G$28^2)</f>
        <v>43.143091266157555</v>
      </c>
      <c r="H30" t="s">
        <v>16</v>
      </c>
      <c r="J30" s="3" t="s">
        <v>78</v>
      </c>
      <c r="K30" s="3">
        <f>$C$17 - $C$26 - SUM(K17:K29)</f>
        <v>-7.6630612966255285E-10</v>
      </c>
      <c r="L30" s="3" t="s">
        <v>12</v>
      </c>
      <c r="AB30" s="8">
        <v>26</v>
      </c>
      <c r="AC30" s="8">
        <f>IF(AI29&gt;0, AG29, AC29)</f>
        <v>0.43319731950759888</v>
      </c>
      <c r="AD30" s="8">
        <f t="shared" si="0"/>
        <v>9.0609321157231193E-9</v>
      </c>
      <c r="AE30" s="8">
        <f t="shared" si="8"/>
        <v>0.43319733440876007</v>
      </c>
      <c r="AF30" s="8">
        <f t="shared" si="1"/>
        <v>-6.556561793491511E-9</v>
      </c>
      <c r="AG30" s="8">
        <f t="shared" si="2"/>
        <v>0.43319732695817947</v>
      </c>
      <c r="AH30" s="8">
        <f t="shared" si="3"/>
        <v>1.2521851333602285E-9</v>
      </c>
      <c r="AI30" s="8">
        <f t="shared" si="4"/>
        <v>1.1345964489694732E-17</v>
      </c>
      <c r="AJ30" s="8">
        <f t="shared" si="5"/>
        <v>-8.2100292037677468E-18</v>
      </c>
      <c r="AK30" s="8">
        <f t="shared" si="6"/>
        <v>1.4901161193847656E-8</v>
      </c>
      <c r="AM30" s="8">
        <v>26</v>
      </c>
      <c r="AN30" s="8">
        <f t="shared" si="13"/>
        <v>852.49042510986328</v>
      </c>
      <c r="AO30" s="8">
        <v>-4.9361245260115538E-6</v>
      </c>
      <c r="AP30" s="8">
        <f t="shared" si="14"/>
        <v>852.49048471450806</v>
      </c>
      <c r="AQ30" s="8">
        <v>3.1768400788223516E-5</v>
      </c>
      <c r="AR30" s="8">
        <f t="shared" si="9"/>
        <v>852.49045491218567</v>
      </c>
      <c r="AS30" s="8">
        <v>1.3466039149534481E-5</v>
      </c>
      <c r="AT30" s="8">
        <f t="shared" si="10"/>
        <v>-6.6470046114248912E-11</v>
      </c>
      <c r="AU30" s="8">
        <f t="shared" si="11"/>
        <v>4.2779452873231996E-10</v>
      </c>
      <c r="AV30" s="8">
        <f t="shared" si="12"/>
        <v>5.9604644775390625E-5</v>
      </c>
    </row>
    <row r="31" spans="2:48" x14ac:dyDescent="0.2">
      <c r="B31" t="s">
        <v>25</v>
      </c>
      <c r="C31" s="1">
        <v>9.8066499999999994</v>
      </c>
      <c r="D31" t="s">
        <v>26</v>
      </c>
      <c r="F31" t="s">
        <v>128</v>
      </c>
      <c r="G31">
        <f>$G$30 * ($G$29/$G$28)</f>
        <v>8628.6182532315106</v>
      </c>
      <c r="H31" t="s">
        <v>14</v>
      </c>
      <c r="J31" t="s">
        <v>79</v>
      </c>
      <c r="K31" s="10" t="str">
        <f>IF(ABS(K30)&lt;0.00001, "TRUE", "FALSE")</f>
        <v>TRUE</v>
      </c>
      <c r="AB31" s="8">
        <v>27</v>
      </c>
      <c r="AC31" s="8">
        <f t="shared" si="7"/>
        <v>0.43319732695817947</v>
      </c>
      <c r="AD31" s="8">
        <f t="shared" si="0"/>
        <v>1.2521851333602285E-9</v>
      </c>
      <c r="AE31" s="8">
        <f t="shared" si="8"/>
        <v>0.43319733440876007</v>
      </c>
      <c r="AF31" s="8">
        <f t="shared" si="1"/>
        <v>-6.556561793491511E-9</v>
      </c>
      <c r="AG31" s="8">
        <f t="shared" si="2"/>
        <v>0.43319733068346977</v>
      </c>
      <c r="AH31" s="8">
        <f t="shared" si="3"/>
        <v>-2.6521883023100656E-9</v>
      </c>
      <c r="AI31" s="8">
        <f t="shared" si="4"/>
        <v>-3.3210307630245676E-18</v>
      </c>
      <c r="AJ31" s="8">
        <f t="shared" si="5"/>
        <v>1.738923649207129E-17</v>
      </c>
      <c r="AK31" s="8">
        <f t="shared" si="6"/>
        <v>7.4505805969238281E-9</v>
      </c>
      <c r="AM31" s="8">
        <v>27</v>
      </c>
      <c r="AN31" s="8">
        <f t="shared" si="13"/>
        <v>852.49042510986328</v>
      </c>
      <c r="AO31" s="8">
        <v>-4.9361245260115538E-6</v>
      </c>
      <c r="AP31" s="8">
        <f t="shared" si="14"/>
        <v>852.49045491218567</v>
      </c>
      <c r="AQ31" s="8">
        <v>1.3466039149534481E-5</v>
      </c>
      <c r="AR31" s="8">
        <f t="shared" si="9"/>
        <v>852.49044001102448</v>
      </c>
      <c r="AS31" s="8">
        <v>4.2405709450576978E-6</v>
      </c>
      <c r="AT31" s="8">
        <f t="shared" si="10"/>
        <v>-2.0931986246191296E-11</v>
      </c>
      <c r="AU31" s="8">
        <f t="shared" si="11"/>
        <v>5.7103694362525392E-11</v>
      </c>
      <c r="AV31" s="8">
        <f t="shared" si="12"/>
        <v>2.9802322387695312E-5</v>
      </c>
    </row>
    <row r="32" spans="2:48" x14ac:dyDescent="0.2">
      <c r="B32" t="s">
        <v>61</v>
      </c>
      <c r="C32" s="1">
        <v>5</v>
      </c>
      <c r="D32" t="s">
        <v>62</v>
      </c>
      <c r="F32" t="s">
        <v>152</v>
      </c>
      <c r="G32">
        <f>ATAN(G28/G30)/PI()*180</f>
        <v>2.0230927732322703</v>
      </c>
      <c r="H32" t="s">
        <v>62</v>
      </c>
      <c r="AB32" s="8">
        <v>28</v>
      </c>
      <c r="AC32" s="8">
        <f t="shared" si="7"/>
        <v>0.43319732695817947</v>
      </c>
      <c r="AD32" s="8">
        <f t="shared" si="0"/>
        <v>1.2521851333602285E-9</v>
      </c>
      <c r="AE32" s="8">
        <f t="shared" si="8"/>
        <v>0.43319733068346977</v>
      </c>
      <c r="AF32" s="8">
        <f t="shared" si="1"/>
        <v>-2.6521883023100656E-9</v>
      </c>
      <c r="AG32" s="8">
        <f t="shared" si="2"/>
        <v>0.43319732882082462</v>
      </c>
      <c r="AH32" s="8">
        <f t="shared" si="3"/>
        <v>-7.0000155671934294E-10</v>
      </c>
      <c r="AI32" s="8">
        <f t="shared" si="4"/>
        <v>-8.7653154265297801E-19</v>
      </c>
      <c r="AJ32" s="8">
        <f t="shared" si="5"/>
        <v>1.8565359403298773E-18</v>
      </c>
      <c r="AK32" s="8">
        <f t="shared" si="6"/>
        <v>3.7252902984619141E-9</v>
      </c>
      <c r="AM32" s="8">
        <v>28</v>
      </c>
      <c r="AN32" s="8">
        <f t="shared" si="13"/>
        <v>852.49042510986328</v>
      </c>
      <c r="AO32" s="8">
        <v>-4.9361245260115538E-6</v>
      </c>
      <c r="AP32" s="8">
        <f t="shared" si="14"/>
        <v>852.49044001102448</v>
      </c>
      <c r="AQ32" s="8">
        <v>4.2405709450576978E-6</v>
      </c>
      <c r="AR32" s="8">
        <f t="shared" si="9"/>
        <v>852.49043256044388</v>
      </c>
      <c r="AS32" s="8">
        <v>-3.0279250040621264E-7</v>
      </c>
      <c r="AT32" s="8">
        <f t="shared" si="10"/>
        <v>1.4946214875474696E-12</v>
      </c>
      <c r="AU32" s="8">
        <f t="shared" si="11"/>
        <v>-1.2840130796039565E-12</v>
      </c>
      <c r="AV32" s="8">
        <f t="shared" si="12"/>
        <v>1.4901161193847656E-5</v>
      </c>
    </row>
    <row r="33" spans="2:48" x14ac:dyDescent="0.2">
      <c r="B33" t="s">
        <v>105</v>
      </c>
      <c r="C33" s="1">
        <v>0.8</v>
      </c>
      <c r="F33" t="s">
        <v>143</v>
      </c>
      <c r="G33">
        <f>1/1000 * (W22 + W17 * (W27 * W24 + $G$27 * SIN(W16/180*PI())))</f>
        <v>12.54391850712128</v>
      </c>
      <c r="H33" t="s">
        <v>162</v>
      </c>
      <c r="J33" s="2" t="s">
        <v>80</v>
      </c>
      <c r="K33" s="2"/>
      <c r="L33" s="2"/>
      <c r="AB33" s="8">
        <v>29</v>
      </c>
      <c r="AC33" s="8">
        <f t="shared" si="7"/>
        <v>0.43319732695817947</v>
      </c>
      <c r="AD33" s="8">
        <f t="shared" si="0"/>
        <v>1.2521851333602285E-9</v>
      </c>
      <c r="AE33" s="8">
        <f t="shared" si="8"/>
        <v>0.43319732882082462</v>
      </c>
      <c r="AF33" s="8">
        <f t="shared" si="1"/>
        <v>-7.0000155671934294E-10</v>
      </c>
      <c r="AG33" s="8">
        <f t="shared" si="2"/>
        <v>0.43319732788950205</v>
      </c>
      <c r="AH33" s="8">
        <f t="shared" si="3"/>
        <v>2.760918160760184E-10</v>
      </c>
      <c r="AI33" s="8">
        <f t="shared" si="4"/>
        <v>3.4571806753281679E-19</v>
      </c>
      <c r="AJ33" s="8">
        <f t="shared" si="5"/>
        <v>-1.932647010506834E-19</v>
      </c>
      <c r="AK33" s="8">
        <f t="shared" si="6"/>
        <v>1.862645149230957E-9</v>
      </c>
      <c r="AM33" s="8">
        <v>29</v>
      </c>
      <c r="AN33" s="8">
        <f t="shared" si="13"/>
        <v>852.49043256044388</v>
      </c>
      <c r="AO33" s="8">
        <v>-3.0279250040621264E-7</v>
      </c>
      <c r="AP33" s="8">
        <f t="shared" si="14"/>
        <v>852.49044001102448</v>
      </c>
      <c r="AQ33" s="8">
        <v>4.2405709450576978E-6</v>
      </c>
      <c r="AR33" s="8">
        <f t="shared" si="9"/>
        <v>852.49043628573418</v>
      </c>
      <c r="AS33" s="8">
        <v>2.0138732566010731E-6</v>
      </c>
      <c r="AT33" s="8">
        <f t="shared" si="10"/>
        <v>-6.0978571886744119E-13</v>
      </c>
      <c r="AU33" s="8">
        <f t="shared" si="11"/>
        <v>8.5399724189712361E-12</v>
      </c>
      <c r="AV33" s="8">
        <f t="shared" si="12"/>
        <v>7.4505805969238281E-6</v>
      </c>
    </row>
    <row r="34" spans="2:48" x14ac:dyDescent="0.2">
      <c r="F34" t="s">
        <v>133</v>
      </c>
      <c r="G34">
        <f>$C$6*G33</f>
        <v>12.54391850712128</v>
      </c>
      <c r="H34" t="s">
        <v>162</v>
      </c>
      <c r="J34" t="s">
        <v>81</v>
      </c>
      <c r="K34">
        <f>ROUND($C$26/$C$17 * 100, 2)</f>
        <v>46.92</v>
      </c>
      <c r="L34" t="s">
        <v>82</v>
      </c>
      <c r="AB34" s="8">
        <v>30</v>
      </c>
      <c r="AC34" s="8">
        <f t="shared" si="7"/>
        <v>0.43319732788950205</v>
      </c>
      <c r="AD34" s="8">
        <f t="shared" si="0"/>
        <v>2.760918160760184E-10</v>
      </c>
      <c r="AE34" s="8">
        <f t="shared" si="8"/>
        <v>0.43319732882082462</v>
      </c>
      <c r="AF34" s="8">
        <f t="shared" si="1"/>
        <v>-7.0000155671934294E-10</v>
      </c>
      <c r="AG34" s="8">
        <f t="shared" si="2"/>
        <v>0.43319732835516334</v>
      </c>
      <c r="AH34" s="8">
        <f t="shared" si="3"/>
        <v>-2.1195489807723789E-10</v>
      </c>
      <c r="AI34" s="8">
        <f t="shared" si="4"/>
        <v>-5.8519012736351989E-20</v>
      </c>
      <c r="AJ34" s="8">
        <f t="shared" si="5"/>
        <v>1.4836875860835619E-19</v>
      </c>
      <c r="AK34" s="8">
        <f t="shared" si="6"/>
        <v>9.3132257461547852E-10</v>
      </c>
      <c r="AM34" s="8">
        <v>30</v>
      </c>
      <c r="AN34" s="8">
        <f t="shared" si="13"/>
        <v>852.49043256044388</v>
      </c>
      <c r="AO34" s="8">
        <v>-3.0279250040621264E-7</v>
      </c>
      <c r="AP34" s="8">
        <f t="shared" si="14"/>
        <v>852.49043628573418</v>
      </c>
      <c r="AQ34" s="8">
        <v>2.0138732566010731E-6</v>
      </c>
      <c r="AR34" s="8">
        <f t="shared" si="9"/>
        <v>852.49043442308903</v>
      </c>
      <c r="AS34" s="8">
        <v>8.5554046336255851E-7</v>
      </c>
      <c r="AT34" s="8">
        <f t="shared" si="10"/>
        <v>-2.5905123610023885E-13</v>
      </c>
      <c r="AU34" s="8">
        <f t="shared" si="11"/>
        <v>1.7229500591059468E-12</v>
      </c>
      <c r="AV34" s="8">
        <f t="shared" si="12"/>
        <v>3.7252902984619141E-6</v>
      </c>
    </row>
    <row r="35" spans="2:48" x14ac:dyDescent="0.2">
      <c r="B35" s="37" t="s">
        <v>27</v>
      </c>
      <c r="C35" s="37"/>
      <c r="D35" s="37"/>
      <c r="F35" t="s">
        <v>132</v>
      </c>
      <c r="G35">
        <f>$G$29/$G$28</f>
        <v>200</v>
      </c>
      <c r="H35" t="s">
        <v>22</v>
      </c>
      <c r="J35" s="16" t="s">
        <v>74</v>
      </c>
      <c r="K35">
        <f>ROUND(K17/$C$17 * 100, 2)</f>
        <v>6.96</v>
      </c>
      <c r="L35" t="s">
        <v>82</v>
      </c>
      <c r="AM35" s="8">
        <v>31</v>
      </c>
      <c r="AN35" s="8">
        <f t="shared" si="13"/>
        <v>852.49043256044388</v>
      </c>
      <c r="AO35">
        <v>-3.0279250040621264E-7</v>
      </c>
      <c r="AP35" s="8">
        <f t="shared" si="14"/>
        <v>852.49043442308903</v>
      </c>
      <c r="AQ35">
        <v>8.5554046336255851E-7</v>
      </c>
      <c r="AR35" s="8">
        <f t="shared" si="9"/>
        <v>852.49043349176645</v>
      </c>
      <c r="AS35">
        <v>2.7637389621304465E-7</v>
      </c>
      <c r="AT35" s="8">
        <f t="shared" si="10"/>
        <v>-8.3683943081354891E-14</v>
      </c>
      <c r="AU35" s="8">
        <f t="shared" si="11"/>
        <v>2.3644905122742387E-13</v>
      </c>
      <c r="AV35" s="8">
        <f t="shared" si="12"/>
        <v>1.862645149230957E-6</v>
      </c>
    </row>
    <row r="36" spans="2:48" x14ac:dyDescent="0.2">
      <c r="B36" t="s">
        <v>28</v>
      </c>
      <c r="C36" s="1">
        <v>30</v>
      </c>
      <c r="J36" s="18" t="s">
        <v>108</v>
      </c>
      <c r="K36">
        <f>ROUND(SUM(K18:K20)/$C$17 * 100, 2)</f>
        <v>12.42</v>
      </c>
      <c r="L36" t="s">
        <v>82</v>
      </c>
      <c r="AM36" s="8">
        <v>32</v>
      </c>
      <c r="AN36" s="8">
        <f t="shared" si="13"/>
        <v>852.49043256044388</v>
      </c>
      <c r="AO36">
        <v>-3.0279250040621264E-7</v>
      </c>
      <c r="AP36" s="8">
        <f t="shared" si="14"/>
        <v>852.49043349176645</v>
      </c>
      <c r="AQ36">
        <v>2.7637389621304465E-7</v>
      </c>
      <c r="AR36" s="8">
        <f t="shared" si="9"/>
        <v>852.49043302610517</v>
      </c>
      <c r="AS36">
        <v>-1.3209444205131149E-8</v>
      </c>
      <c r="AT36" s="8">
        <f t="shared" si="10"/>
        <v>3.9997206398480166E-15</v>
      </c>
      <c r="AU36" s="8">
        <f t="shared" si="11"/>
        <v>-3.6507455617809202E-15</v>
      </c>
      <c r="AV36" s="8">
        <f t="shared" si="12"/>
        <v>9.3132257461547852E-7</v>
      </c>
    </row>
    <row r="37" spans="2:48" x14ac:dyDescent="0.2">
      <c r="F37" s="21" t="s">
        <v>111</v>
      </c>
      <c r="G37" s="22"/>
      <c r="H37" s="22"/>
      <c r="J37" s="17" t="s">
        <v>95</v>
      </c>
      <c r="K37">
        <f>ROUND(SUM(K21:K25)/$C$17 * 100, 2)</f>
        <v>29.03</v>
      </c>
      <c r="L37" t="s">
        <v>82</v>
      </c>
      <c r="AB37" s="6" t="s">
        <v>142</v>
      </c>
      <c r="AM37" s="8">
        <v>33</v>
      </c>
      <c r="AN37" s="8">
        <f t="shared" si="13"/>
        <v>852.49043302610517</v>
      </c>
      <c r="AO37">
        <v>-1.3209444205131149E-8</v>
      </c>
      <c r="AP37" s="8">
        <f t="shared" si="14"/>
        <v>852.49043349176645</v>
      </c>
      <c r="AQ37">
        <v>2.7637389621304465E-7</v>
      </c>
      <c r="AR37" s="8">
        <f t="shared" si="9"/>
        <v>852.49043325893581</v>
      </c>
      <c r="AS37">
        <v>1.3158233969079447E-7</v>
      </c>
      <c r="AT37" s="8">
        <f t="shared" si="10"/>
        <v>-1.7381295745261634E-15</v>
      </c>
      <c r="AU37" s="8">
        <f t="shared" si="11"/>
        <v>3.6365923893173216E-14</v>
      </c>
      <c r="AV37" s="8">
        <f t="shared" si="12"/>
        <v>4.6566128730773926E-7</v>
      </c>
    </row>
    <row r="38" spans="2:48" x14ac:dyDescent="0.2">
      <c r="B38" s="45" t="s">
        <v>184</v>
      </c>
      <c r="C38" s="45"/>
      <c r="D38" s="45"/>
      <c r="F38" t="s">
        <v>117</v>
      </c>
      <c r="G38" s="1">
        <v>1.524</v>
      </c>
      <c r="H38" t="s">
        <v>16</v>
      </c>
      <c r="J38" s="15" t="s">
        <v>96</v>
      </c>
      <c r="K38">
        <f>ROUND(SUM(K26:K29)/$C$17*100, 2)</f>
        <v>4.67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852.49043302610517</v>
      </c>
      <c r="AO38">
        <v>-1.3209444205131149E-8</v>
      </c>
      <c r="AP38" s="8">
        <f t="shared" si="14"/>
        <v>852.49043325893581</v>
      </c>
      <c r="AQ38">
        <v>1.3158233969079447E-7</v>
      </c>
      <c r="AR38" s="8">
        <f t="shared" si="9"/>
        <v>852.49043314252049</v>
      </c>
      <c r="AS38">
        <v>5.9186504586250521E-8</v>
      </c>
      <c r="AT38" s="8">
        <f t="shared" si="10"/>
        <v>-7.8182083002881512E-16</v>
      </c>
      <c r="AU38" s="8">
        <f t="shared" si="11"/>
        <v>7.7878987515787809E-15</v>
      </c>
      <c r="AV38" s="8">
        <f t="shared" si="12"/>
        <v>2.3283064365386963E-7</v>
      </c>
    </row>
    <row r="39" spans="2:48" x14ac:dyDescent="0.2">
      <c r="B39" t="s">
        <v>182</v>
      </c>
      <c r="C39" s="1">
        <v>3</v>
      </c>
      <c r="F39" t="s">
        <v>123</v>
      </c>
      <c r="G39" s="1">
        <v>152.4</v>
      </c>
      <c r="H39" t="s">
        <v>14</v>
      </c>
      <c r="J39" s="3" t="s">
        <v>83</v>
      </c>
      <c r="K39" s="3">
        <f>SUM(K34:K38)</f>
        <v>100</v>
      </c>
      <c r="L39" s="3" t="s">
        <v>82</v>
      </c>
      <c r="AB39" s="8">
        <v>0</v>
      </c>
      <c r="AC39" s="9">
        <v>0</v>
      </c>
      <c r="AD39" s="8">
        <f xml:space="preserve"> $O$19 * TAN($O$16/180*PI()) + $O$20 / (2 * SQRT($O$19^2 + AC39^2)) - AC39</f>
        <v>0.88462660030093621</v>
      </c>
      <c r="AE39" s="9">
        <v>1</v>
      </c>
      <c r="AF39" s="8">
        <f xml:space="preserve"> $O$19 * TAN($O$16/180*PI()) + $O$20 / (2 * SQRT($O$19^2 + AE39^2)) - AE39</f>
        <v>-0.57074567476273019</v>
      </c>
      <c r="AG39" s="8">
        <f xml:space="preserve"> (AC39 + AE39)/2</f>
        <v>0.5</v>
      </c>
      <c r="AH39" s="8">
        <f xml:space="preserve"> $O$19 * TAN($O$16/180*PI()) + $O$20 / (2 * SQRT($O$19^2 + AG39^2)) - AG39</f>
        <v>-5.3785715069967044E-2</v>
      </c>
      <c r="AI39" s="8">
        <f>AD39*AH39</f>
        <v>-4.7580274267099779E-2</v>
      </c>
      <c r="AJ39" s="8">
        <f>AF39*AH39</f>
        <v>3.0697964240204285E-2</v>
      </c>
      <c r="AK39" s="8">
        <f>AE39-AC39</f>
        <v>1</v>
      </c>
      <c r="AM39" s="8">
        <v>35</v>
      </c>
      <c r="AN39" s="8">
        <f t="shared" si="13"/>
        <v>852.49043302610517</v>
      </c>
      <c r="AO39">
        <v>-1.3209444205131149E-8</v>
      </c>
      <c r="AP39" s="8">
        <f t="shared" si="14"/>
        <v>852.49043314252049</v>
      </c>
      <c r="AQ39">
        <v>5.9186504586250521E-8</v>
      </c>
      <c r="AR39" s="8">
        <f t="shared" si="9"/>
        <v>852.49043308431283</v>
      </c>
      <c r="AS39">
        <v>2.2988388082012534E-8</v>
      </c>
      <c r="AT39" s="8">
        <f t="shared" si="10"/>
        <v>-3.0366382973524644E-16</v>
      </c>
      <c r="AU39" s="8">
        <f t="shared" si="11"/>
        <v>1.3606023366465417E-15</v>
      </c>
      <c r="AV39" s="8">
        <f t="shared" si="12"/>
        <v>1.1641532182693481E-7</v>
      </c>
    </row>
    <row r="40" spans="2:48" x14ac:dyDescent="0.2">
      <c r="B40" t="s">
        <v>183</v>
      </c>
      <c r="C40" s="1">
        <v>4</v>
      </c>
      <c r="F40" t="s">
        <v>115</v>
      </c>
      <c r="G40">
        <f xml:space="preserve"> 1/1000 * IF( $G$38&gt;=2*SQRT(($C$17*$C$31)/(2*$C$30*$C$5*PI()*$C$18*$C$18)), ($C$17*$C$31)/$C$9 * ( ($G$38/2) - SQRT( ($G$38/2)^2 - ($C$17*$C$31)/(2*$C$30*$C$5*PI()*$C$18*$C$18 ) ) ), 1/$C$9 * SQRT(($C$17*$C$31)^3/(2*$C$30*$C$5*PI()*$C$18*$C$18)) )</f>
        <v>104.96100923062279</v>
      </c>
      <c r="H40" t="s">
        <v>162</v>
      </c>
      <c r="AB40" s="8">
        <v>1</v>
      </c>
      <c r="AC40" s="8">
        <f>IF(AI39&gt;0, AG39, AC39)</f>
        <v>0</v>
      </c>
      <c r="AD40" s="8">
        <f t="shared" ref="AD40:AD69" si="15" xml:space="preserve"> $O$19 * TAN($O$16/180*PI()) + $O$20 / (2 * SQRT($O$19^2 + AC40^2)) - AC40</f>
        <v>0.88462660030093621</v>
      </c>
      <c r="AE40" s="8">
        <f>IF(AJ39&gt;0, AG39, AE39)</f>
        <v>0.5</v>
      </c>
      <c r="AF40" s="8">
        <f t="shared" ref="AF40:AF69" si="16" xml:space="preserve"> $O$19 * TAN($O$16/180*PI()) + $O$20 / (2 * SQRT($O$19^2 + AE40^2)) - AE40</f>
        <v>-5.3785715069967044E-2</v>
      </c>
      <c r="AG40" s="8">
        <f t="shared" ref="AG40:AG69" si="17" xml:space="preserve"> (AC40 + AE40)/2</f>
        <v>0.25</v>
      </c>
      <c r="AH40" s="8">
        <f t="shared" ref="AH40:AH69" si="18" xml:space="preserve"> $O$19 * TAN($O$16/180*PI()) + $O$20 / (2 * SQRT($O$19^2 + AG40^2)) - AG40</f>
        <v>0.22967870502306154</v>
      </c>
      <c r="AI40" s="8">
        <f t="shared" ref="AI40:AI69" si="19">AD40*AH40</f>
        <v>0.20317989198607248</v>
      </c>
      <c r="AJ40" s="8">
        <f t="shared" ref="AJ40:AJ69" si="20">AF40*AH40</f>
        <v>-1.2353433386009397E-2</v>
      </c>
      <c r="AK40" s="8">
        <f t="shared" ref="AK40:AK69" si="21">AE40-AC40</f>
        <v>0.5</v>
      </c>
      <c r="AM40" s="8">
        <v>36</v>
      </c>
      <c r="AN40" s="8">
        <f t="shared" si="13"/>
        <v>852.49043302610517</v>
      </c>
      <c r="AO40">
        <v>-1.3209444205131149E-8</v>
      </c>
      <c r="AP40" s="8">
        <f t="shared" si="14"/>
        <v>852.49043308431283</v>
      </c>
      <c r="AQ40">
        <v>2.2988388082012534E-8</v>
      </c>
      <c r="AR40" s="8">
        <f t="shared" si="9"/>
        <v>852.490433055209</v>
      </c>
      <c r="AS40">
        <v>4.8895572035689838E-9</v>
      </c>
      <c r="AT40" s="8">
        <f t="shared" si="10"/>
        <v>-6.4588333068341579E-17</v>
      </c>
      <c r="AU40" s="8">
        <f t="shared" si="11"/>
        <v>1.1240303854484376E-16</v>
      </c>
      <c r="AV40" s="8">
        <f t="shared" si="12"/>
        <v>5.8207660913467407E-8</v>
      </c>
    </row>
    <row r="41" spans="2:48" x14ac:dyDescent="0.2">
      <c r="B41" t="s">
        <v>185</v>
      </c>
      <c r="C41" s="1">
        <v>0.14399999999999999</v>
      </c>
      <c r="F41" t="s">
        <v>30</v>
      </c>
      <c r="G41">
        <f xml:space="preserve"> $C$17 * $C$31 / $C$5</f>
        <v>2090.0188263079185</v>
      </c>
      <c r="H41" t="s">
        <v>31</v>
      </c>
      <c r="AB41" s="8">
        <v>2</v>
      </c>
      <c r="AC41" s="8">
        <f t="shared" ref="AC41:AC69" si="22">IF(AI40&gt;0, AG40, AC40)</f>
        <v>0.25</v>
      </c>
      <c r="AD41" s="8">
        <f t="shared" si="15"/>
        <v>0.22967870502306154</v>
      </c>
      <c r="AE41" s="8">
        <f t="shared" ref="AE41:AE69" si="23">IF(AJ40&gt;0, AG40, AE40)</f>
        <v>0.5</v>
      </c>
      <c r="AF41" s="8">
        <f t="shared" si="16"/>
        <v>-5.3785715069967044E-2</v>
      </c>
      <c r="AG41" s="8">
        <f t="shared" si="17"/>
        <v>0.375</v>
      </c>
      <c r="AH41" s="8">
        <f t="shared" si="18"/>
        <v>8.2452040252752934E-2</v>
      </c>
      <c r="AI41" s="8">
        <f t="shared" si="19"/>
        <v>1.8937477831761636E-2</v>
      </c>
      <c r="AJ41" s="8">
        <f t="shared" si="20"/>
        <v>-4.4347419439720228E-3</v>
      </c>
      <c r="AK41" s="8">
        <f t="shared" si="21"/>
        <v>0.25</v>
      </c>
      <c r="AM41" s="8">
        <v>37</v>
      </c>
      <c r="AN41" s="8">
        <f t="shared" si="13"/>
        <v>852.49043302610517</v>
      </c>
      <c r="AO41">
        <v>-1.3209444205131149E-8</v>
      </c>
      <c r="AP41" s="8">
        <f t="shared" si="14"/>
        <v>852.490433055209</v>
      </c>
      <c r="AQ41">
        <v>4.8895572035689838E-9</v>
      </c>
      <c r="AR41" s="8">
        <f t="shared" si="9"/>
        <v>852.49043304065708</v>
      </c>
      <c r="AS41">
        <v>-4.1599150790716521E-9</v>
      </c>
      <c r="AT41" s="8">
        <f t="shared" si="10"/>
        <v>5.4950166135080721E-17</v>
      </c>
      <c r="AU41" s="8">
        <f t="shared" si="11"/>
        <v>-2.0340142741110036E-17</v>
      </c>
      <c r="AV41" s="8">
        <f t="shared" si="12"/>
        <v>2.9103830456733704E-8</v>
      </c>
    </row>
    <row r="42" spans="2:48" x14ac:dyDescent="0.2">
      <c r="F42" t="s">
        <v>122</v>
      </c>
      <c r="G42">
        <f xml:space="preserve"> $G$39/$G$38</f>
        <v>100</v>
      </c>
      <c r="H42" t="s">
        <v>22</v>
      </c>
      <c r="AB42" s="8">
        <v>3</v>
      </c>
      <c r="AC42" s="8">
        <f>IF(AI41&gt;0, AG41, AC41)</f>
        <v>0.375</v>
      </c>
      <c r="AD42" s="8">
        <f t="shared" si="15"/>
        <v>8.2452040252752934E-2</v>
      </c>
      <c r="AE42" s="8">
        <f t="shared" si="23"/>
        <v>0.5</v>
      </c>
      <c r="AF42" s="8">
        <f t="shared" si="16"/>
        <v>-5.3785715069967044E-2</v>
      </c>
      <c r="AG42" s="8">
        <f t="shared" si="17"/>
        <v>0.4375</v>
      </c>
      <c r="AH42" s="8">
        <f t="shared" si="18"/>
        <v>1.353870427190873E-2</v>
      </c>
      <c r="AI42" s="8">
        <f t="shared" si="19"/>
        <v>1.1162937895975366E-3</v>
      </c>
      <c r="AJ42" s="8">
        <f t="shared" si="20"/>
        <v>-7.2818889038542864E-4</v>
      </c>
      <c r="AK42" s="8">
        <f t="shared" si="21"/>
        <v>0.125</v>
      </c>
      <c r="AM42" s="8">
        <v>38</v>
      </c>
      <c r="AN42" s="8">
        <f t="shared" si="13"/>
        <v>852.49043304065708</v>
      </c>
      <c r="AO42">
        <v>-4.1599150790716521E-9</v>
      </c>
      <c r="AP42" s="8">
        <f t="shared" si="14"/>
        <v>852.490433055209</v>
      </c>
      <c r="AQ42">
        <v>4.8895572035689838E-9</v>
      </c>
      <c r="AR42" s="8">
        <f t="shared" si="9"/>
        <v>852.49043304793304</v>
      </c>
      <c r="AS42">
        <v>3.6487790566752665E-10</v>
      </c>
      <c r="AT42" s="8">
        <f t="shared" si="10"/>
        <v>-1.5178611018064279E-18</v>
      </c>
      <c r="AU42" s="8">
        <f t="shared" si="11"/>
        <v>1.7840913920798191E-18</v>
      </c>
      <c r="AV42" s="8">
        <f t="shared" si="12"/>
        <v>1.4551915228366852E-8</v>
      </c>
    </row>
    <row r="43" spans="2:48" x14ac:dyDescent="0.2">
      <c r="B43" s="45" t="s">
        <v>165</v>
      </c>
      <c r="C43" s="45"/>
      <c r="D43" s="45"/>
      <c r="AB43" s="8">
        <v>4</v>
      </c>
      <c r="AC43" s="8">
        <f t="shared" si="22"/>
        <v>0.4375</v>
      </c>
      <c r="AD43" s="8">
        <f t="shared" si="15"/>
        <v>1.353870427190873E-2</v>
      </c>
      <c r="AE43" s="8">
        <f t="shared" si="23"/>
        <v>0.5</v>
      </c>
      <c r="AF43" s="8">
        <f t="shared" si="16"/>
        <v>-5.3785715069967044E-2</v>
      </c>
      <c r="AG43" s="8">
        <f t="shared" si="17"/>
        <v>0.46875</v>
      </c>
      <c r="AH43" s="8">
        <f t="shared" si="18"/>
        <v>-2.0282895651084432E-2</v>
      </c>
      <c r="AI43" s="8">
        <f t="shared" si="19"/>
        <v>-2.746041259980158E-4</v>
      </c>
      <c r="AJ43" s="8">
        <f t="shared" si="20"/>
        <v>1.090930046283101E-3</v>
      </c>
      <c r="AK43" s="8">
        <f t="shared" si="21"/>
        <v>6.25E-2</v>
      </c>
      <c r="AM43" s="8">
        <v>39</v>
      </c>
      <c r="AN43" s="8">
        <f t="shared" si="13"/>
        <v>852.49043304065708</v>
      </c>
      <c r="AO43">
        <v>-4.1599150790716521E-9</v>
      </c>
      <c r="AP43" s="8">
        <f t="shared" si="14"/>
        <v>852.49043304793304</v>
      </c>
      <c r="AQ43">
        <v>3.6487790566752665E-10</v>
      </c>
      <c r="AR43" s="8">
        <f t="shared" si="9"/>
        <v>852.49043304429506</v>
      </c>
      <c r="AS43">
        <v>-1.8975470084114932E-9</v>
      </c>
      <c r="AT43" s="8">
        <f t="shared" si="10"/>
        <v>7.8936344135382735E-18</v>
      </c>
      <c r="AU43" s="8">
        <f t="shared" si="11"/>
        <v>-6.9237297833486619E-19</v>
      </c>
      <c r="AV43" s="8">
        <f t="shared" si="12"/>
        <v>7.2759576141834259E-9</v>
      </c>
    </row>
    <row r="44" spans="2:48" x14ac:dyDescent="0.2">
      <c r="B44" t="s">
        <v>166</v>
      </c>
      <c r="C44" s="1">
        <v>4</v>
      </c>
      <c r="G44" s="1">
        <v>1</v>
      </c>
      <c r="AB44" s="8">
        <v>5</v>
      </c>
      <c r="AC44" s="8">
        <f t="shared" si="22"/>
        <v>0.4375</v>
      </c>
      <c r="AD44" s="8">
        <f t="shared" si="15"/>
        <v>1.353870427190873E-2</v>
      </c>
      <c r="AE44" s="8">
        <f t="shared" si="23"/>
        <v>0.46875</v>
      </c>
      <c r="AF44" s="8">
        <f t="shared" si="16"/>
        <v>-2.0282895651084432E-2</v>
      </c>
      <c r="AG44" s="8">
        <f t="shared" si="17"/>
        <v>0.453125</v>
      </c>
      <c r="AH44" s="8">
        <f t="shared" si="18"/>
        <v>-3.4160146250438728E-3</v>
      </c>
      <c r="AI44" s="8">
        <f t="shared" si="19"/>
        <v>-4.6248411796984182E-5</v>
      </c>
      <c r="AJ44" s="8">
        <f t="shared" si="20"/>
        <v>6.9286668182343182E-5</v>
      </c>
      <c r="AK44" s="8">
        <f t="shared" si="21"/>
        <v>3.125E-2</v>
      </c>
      <c r="AM44" s="8">
        <v>40</v>
      </c>
      <c r="AN44" s="8">
        <f t="shared" si="13"/>
        <v>852.49043304429506</v>
      </c>
      <c r="AO44">
        <v>-1.8975470084114932E-9</v>
      </c>
      <c r="AP44" s="8">
        <f t="shared" si="14"/>
        <v>852.49043304793304</v>
      </c>
      <c r="AQ44">
        <v>3.6487790566752665E-10</v>
      </c>
      <c r="AR44" s="11">
        <f t="shared" si="9"/>
        <v>852.49043304611405</v>
      </c>
      <c r="AS44">
        <v>-7.6630612966255285E-10</v>
      </c>
      <c r="AT44" s="8">
        <f t="shared" si="10"/>
        <v>1.4541019038685669E-18</v>
      </c>
      <c r="AU44" s="8">
        <f t="shared" si="11"/>
        <v>-2.796081756914604E-19</v>
      </c>
      <c r="AV44" s="8">
        <f t="shared" si="12"/>
        <v>3.637978807091713E-9</v>
      </c>
    </row>
    <row r="45" spans="2:48" x14ac:dyDescent="0.2">
      <c r="B45" t="s">
        <v>167</v>
      </c>
      <c r="C45" s="1">
        <v>9</v>
      </c>
      <c r="D45" t="s">
        <v>14</v>
      </c>
      <c r="G45" s="1">
        <v>1</v>
      </c>
      <c r="AB45" s="8">
        <v>6</v>
      </c>
      <c r="AC45" s="8">
        <f t="shared" si="22"/>
        <v>0.4375</v>
      </c>
      <c r="AD45" s="8">
        <f t="shared" si="15"/>
        <v>1.353870427190873E-2</v>
      </c>
      <c r="AE45" s="8">
        <f t="shared" si="23"/>
        <v>0.453125</v>
      </c>
      <c r="AF45" s="8">
        <f t="shared" si="16"/>
        <v>-3.4160146250438728E-3</v>
      </c>
      <c r="AG45" s="8">
        <f t="shared" si="17"/>
        <v>0.4453125</v>
      </c>
      <c r="AH45" s="8">
        <f t="shared" si="18"/>
        <v>5.0497946592003573E-3</v>
      </c>
      <c r="AI45" s="8">
        <f t="shared" si="19"/>
        <v>6.8367676524777772E-5</v>
      </c>
      <c r="AJ45" s="8">
        <f t="shared" si="20"/>
        <v>-1.725017240929686E-5</v>
      </c>
      <c r="AK45" s="8">
        <f t="shared" si="21"/>
        <v>1.5625E-2</v>
      </c>
    </row>
    <row r="46" spans="2:48" x14ac:dyDescent="0.2">
      <c r="B46" t="s">
        <v>168</v>
      </c>
      <c r="C46" s="1">
        <v>1.8</v>
      </c>
      <c r="D46" t="s">
        <v>14</v>
      </c>
      <c r="G46" s="1">
        <v>50</v>
      </c>
      <c r="AB46" s="8">
        <v>7</v>
      </c>
      <c r="AC46" s="8">
        <f t="shared" si="22"/>
        <v>0.4453125</v>
      </c>
      <c r="AD46" s="8">
        <f t="shared" si="15"/>
        <v>5.0497946592003573E-3</v>
      </c>
      <c r="AE46" s="8">
        <f t="shared" si="23"/>
        <v>0.453125</v>
      </c>
      <c r="AF46" s="8">
        <f t="shared" si="16"/>
        <v>-3.4160146250438728E-3</v>
      </c>
      <c r="AG46" s="8">
        <f t="shared" si="17"/>
        <v>0.44921875</v>
      </c>
      <c r="AH46" s="8">
        <f t="shared" si="18"/>
        <v>8.1407683025191968E-4</v>
      </c>
      <c r="AI46" s="8">
        <f t="shared" si="19"/>
        <v>4.1109208295848999E-6</v>
      </c>
      <c r="AJ46" s="8">
        <f t="shared" si="20"/>
        <v>-2.7808983580499158E-6</v>
      </c>
      <c r="AK46" s="8">
        <f t="shared" si="21"/>
        <v>7.8125E-3</v>
      </c>
    </row>
    <row r="47" spans="2:48" x14ac:dyDescent="0.2">
      <c r="G47" s="1">
        <v>8</v>
      </c>
      <c r="AB47" s="8">
        <v>8</v>
      </c>
      <c r="AC47" s="8">
        <f t="shared" si="22"/>
        <v>0.44921875</v>
      </c>
      <c r="AD47" s="8">
        <f t="shared" si="15"/>
        <v>8.1407683025191968E-4</v>
      </c>
      <c r="AE47" s="8">
        <f t="shared" si="23"/>
        <v>0.453125</v>
      </c>
      <c r="AF47" s="8">
        <f t="shared" si="16"/>
        <v>-3.4160146250438728E-3</v>
      </c>
      <c r="AG47" s="8">
        <f t="shared" si="17"/>
        <v>0.451171875</v>
      </c>
      <c r="AH47" s="8">
        <f t="shared" si="18"/>
        <v>-1.3016631769356413E-3</v>
      </c>
      <c r="AI47" s="8">
        <f t="shared" si="19"/>
        <v>-1.0596538331354106E-6</v>
      </c>
      <c r="AJ47" s="8">
        <f t="shared" si="20"/>
        <v>4.4465004492932207E-6</v>
      </c>
      <c r="AK47" s="8">
        <f t="shared" si="21"/>
        <v>3.90625E-3</v>
      </c>
    </row>
    <row r="48" spans="2:48" x14ac:dyDescent="0.2">
      <c r="B48" s="45" t="s">
        <v>169</v>
      </c>
      <c r="C48" s="45"/>
      <c r="D48" s="45"/>
      <c r="G48" s="1">
        <v>10</v>
      </c>
      <c r="AB48" s="8">
        <v>9</v>
      </c>
      <c r="AC48" s="8">
        <f t="shared" si="22"/>
        <v>0.44921875</v>
      </c>
      <c r="AD48" s="8">
        <f t="shared" si="15"/>
        <v>8.1407683025191968E-4</v>
      </c>
      <c r="AE48" s="8">
        <f t="shared" si="23"/>
        <v>0.451171875</v>
      </c>
      <c r="AF48" s="8">
        <f t="shared" si="16"/>
        <v>-1.3016631769356413E-3</v>
      </c>
      <c r="AG48" s="8">
        <f t="shared" si="17"/>
        <v>0.4501953125</v>
      </c>
      <c r="AH48" s="8">
        <f t="shared" si="18"/>
        <v>-2.4396785834363E-4</v>
      </c>
      <c r="AI48" s="8">
        <f t="shared" si="19"/>
        <v>-1.9860858080373166E-7</v>
      </c>
      <c r="AJ48" s="8">
        <f t="shared" si="20"/>
        <v>3.1756397756175391E-7</v>
      </c>
      <c r="AK48" s="8">
        <f t="shared" si="21"/>
        <v>1.953125E-3</v>
      </c>
    </row>
    <row r="49" spans="2:39" x14ac:dyDescent="0.2">
      <c r="B49" t="s">
        <v>170</v>
      </c>
      <c r="C49" s="1">
        <v>0.3</v>
      </c>
      <c r="D49" t="s">
        <v>14</v>
      </c>
      <c r="G49" s="1">
        <v>1</v>
      </c>
      <c r="AB49" s="8">
        <v>10</v>
      </c>
      <c r="AC49" s="8">
        <f t="shared" si="22"/>
        <v>0.44921875</v>
      </c>
      <c r="AD49" s="8">
        <f t="shared" si="15"/>
        <v>8.1407683025191968E-4</v>
      </c>
      <c r="AE49" s="8">
        <f t="shared" si="23"/>
        <v>0.4501953125</v>
      </c>
      <c r="AF49" s="8">
        <f t="shared" si="16"/>
        <v>-2.4396785834363E-4</v>
      </c>
      <c r="AG49" s="8">
        <f t="shared" si="17"/>
        <v>0.44970703125</v>
      </c>
      <c r="AH49" s="8">
        <f t="shared" si="18"/>
        <v>2.8501067427166848E-4</v>
      </c>
      <c r="AI49" s="8">
        <f t="shared" si="19"/>
        <v>2.3202058629904225E-7</v>
      </c>
      <c r="AJ49" s="8">
        <f t="shared" si="20"/>
        <v>-6.9533443807132888E-8</v>
      </c>
      <c r="AK49" s="8">
        <f t="shared" si="21"/>
        <v>9.765625E-4</v>
      </c>
    </row>
    <row r="50" spans="2:39" x14ac:dyDescent="0.2">
      <c r="B50" t="s">
        <v>171</v>
      </c>
      <c r="C50" s="1">
        <v>5.7</v>
      </c>
      <c r="AB50" s="8">
        <v>11</v>
      </c>
      <c r="AC50" s="8">
        <f t="shared" si="22"/>
        <v>0.44970703125</v>
      </c>
      <c r="AD50" s="8">
        <f t="shared" si="15"/>
        <v>2.8501067427166848E-4</v>
      </c>
      <c r="AE50" s="8">
        <f t="shared" si="23"/>
        <v>0.4501953125</v>
      </c>
      <c r="AF50" s="8">
        <f t="shared" si="16"/>
        <v>-2.4396785834363E-4</v>
      </c>
      <c r="AG50" s="8">
        <f t="shared" si="17"/>
        <v>0.449951171875</v>
      </c>
      <c r="AH50" s="8">
        <f t="shared" si="18"/>
        <v>2.0510472644230671E-5</v>
      </c>
      <c r="AI50" s="8">
        <f t="shared" si="19"/>
        <v>5.8457036379627946E-9</v>
      </c>
      <c r="AJ50" s="8">
        <f t="shared" si="20"/>
        <v>-5.003896084628566E-9</v>
      </c>
      <c r="AK50" s="8">
        <f t="shared" si="21"/>
        <v>4.8828125E-4</v>
      </c>
    </row>
    <row r="51" spans="2:39" x14ac:dyDescent="0.2">
      <c r="AB51" s="8">
        <v>12</v>
      </c>
      <c r="AC51" s="8">
        <f t="shared" si="22"/>
        <v>0.449951171875</v>
      </c>
      <c r="AD51" s="8">
        <f t="shared" si="15"/>
        <v>2.0510472644230671E-5</v>
      </c>
      <c r="AE51" s="8">
        <f t="shared" si="23"/>
        <v>0.4501953125</v>
      </c>
      <c r="AF51" s="8">
        <f t="shared" si="16"/>
        <v>-2.4396785834363E-4</v>
      </c>
      <c r="AG51" s="8">
        <f t="shared" si="17"/>
        <v>0.4500732421875</v>
      </c>
      <c r="AH51" s="8">
        <f t="shared" si="18"/>
        <v>-1.1173142448361872E-4</v>
      </c>
      <c r="AI51" s="8">
        <f t="shared" si="19"/>
        <v>-2.2916643253721867E-9</v>
      </c>
      <c r="AJ51" s="8">
        <f t="shared" si="20"/>
        <v>2.7258876340951487E-8</v>
      </c>
      <c r="AK51" s="8">
        <f t="shared" si="21"/>
        <v>2.44140625E-4</v>
      </c>
    </row>
    <row r="52" spans="2:39" x14ac:dyDescent="0.2">
      <c r="B52" s="45" t="s">
        <v>181</v>
      </c>
      <c r="C52" s="45"/>
      <c r="D52" s="45"/>
      <c r="AB52" s="8">
        <v>13</v>
      </c>
      <c r="AC52" s="8">
        <f t="shared" si="22"/>
        <v>0.449951171875</v>
      </c>
      <c r="AD52" s="8">
        <f t="shared" si="15"/>
        <v>2.0510472644230671E-5</v>
      </c>
      <c r="AE52" s="8">
        <f t="shared" si="23"/>
        <v>0.4500732421875</v>
      </c>
      <c r="AF52" s="8">
        <f t="shared" si="16"/>
        <v>-1.1173142448361872E-4</v>
      </c>
      <c r="AG52" s="8">
        <f t="shared" si="17"/>
        <v>0.45001220703125</v>
      </c>
      <c r="AH52" s="8">
        <f t="shared" si="18"/>
        <v>-4.5611159102509902E-5</v>
      </c>
      <c r="AI52" s="8">
        <f t="shared" si="19"/>
        <v>-9.3550643104368214E-10</v>
      </c>
      <c r="AJ52" s="8">
        <f t="shared" si="20"/>
        <v>5.096199778872404E-9</v>
      </c>
      <c r="AK52" s="8">
        <f t="shared" si="21"/>
        <v>1.220703125E-4</v>
      </c>
    </row>
    <row r="53" spans="2:39" x14ac:dyDescent="0.2">
      <c r="B53" t="s">
        <v>171</v>
      </c>
      <c r="C53" s="1">
        <v>3</v>
      </c>
      <c r="AB53" s="8">
        <v>14</v>
      </c>
      <c r="AC53" s="8">
        <f t="shared" si="22"/>
        <v>0.449951171875</v>
      </c>
      <c r="AD53" s="8">
        <f t="shared" si="15"/>
        <v>2.0510472644230671E-5</v>
      </c>
      <c r="AE53" s="8">
        <f t="shared" si="23"/>
        <v>0.45001220703125</v>
      </c>
      <c r="AF53" s="8">
        <f t="shared" si="16"/>
        <v>-4.5611159102509902E-5</v>
      </c>
      <c r="AG53" s="8">
        <f t="shared" si="17"/>
        <v>0.449981689453125</v>
      </c>
      <c r="AH53" s="8">
        <f t="shared" si="18"/>
        <v>-1.2550514059128659E-5</v>
      </c>
      <c r="AI53" s="8">
        <f t="shared" si="19"/>
        <v>-2.574169752807908E-10</v>
      </c>
      <c r="AJ53" s="8">
        <f t="shared" si="20"/>
        <v>5.724434935692046E-10</v>
      </c>
      <c r="AK53" s="8">
        <f t="shared" si="21"/>
        <v>6.103515625E-5</v>
      </c>
    </row>
    <row r="54" spans="2:39" x14ac:dyDescent="0.2">
      <c r="AB54" s="8">
        <v>15</v>
      </c>
      <c r="AC54" s="8">
        <f t="shared" si="22"/>
        <v>0.449951171875</v>
      </c>
      <c r="AD54" s="8">
        <f t="shared" si="15"/>
        <v>2.0510472644230671E-5</v>
      </c>
      <c r="AE54" s="8">
        <f t="shared" si="23"/>
        <v>0.449981689453125</v>
      </c>
      <c r="AF54" s="8">
        <f t="shared" si="16"/>
        <v>-1.2550514059128659E-5</v>
      </c>
      <c r="AG54" s="8">
        <f t="shared" si="17"/>
        <v>0.4499664306640625</v>
      </c>
      <c r="AH54" s="8">
        <f t="shared" si="18"/>
        <v>3.9799365807446918E-6</v>
      </c>
      <c r="AI54" s="8">
        <f t="shared" si="19"/>
        <v>8.1630380365136954E-11</v>
      </c>
      <c r="AJ54" s="8">
        <f t="shared" si="20"/>
        <v>-4.99502500110767E-11</v>
      </c>
      <c r="AK54" s="8">
        <f t="shared" si="21"/>
        <v>3.0517578125E-5</v>
      </c>
    </row>
    <row r="55" spans="2:39" x14ac:dyDescent="0.2">
      <c r="B55" s="45" t="s">
        <v>172</v>
      </c>
      <c r="C55" s="45"/>
      <c r="D55" s="45"/>
      <c r="AB55" s="8">
        <v>16</v>
      </c>
      <c r="AC55" s="8">
        <f t="shared" si="22"/>
        <v>0.4499664306640625</v>
      </c>
      <c r="AD55" s="8">
        <f t="shared" si="15"/>
        <v>3.9799365807446918E-6</v>
      </c>
      <c r="AE55" s="8">
        <f t="shared" si="23"/>
        <v>0.449981689453125</v>
      </c>
      <c r="AF55" s="8">
        <f t="shared" si="16"/>
        <v>-1.2550514059128659E-5</v>
      </c>
      <c r="AG55" s="8">
        <f t="shared" si="17"/>
        <v>0.44997406005859375</v>
      </c>
      <c r="AH55" s="8">
        <f t="shared" si="18"/>
        <v>-4.2852994165953895E-6</v>
      </c>
      <c r="AI55" s="8">
        <f t="shared" si="19"/>
        <v>-1.7055219907551878E-11</v>
      </c>
      <c r="AJ55" s="8">
        <f t="shared" si="20"/>
        <v>5.3782710575556278E-11</v>
      </c>
      <c r="AK55" s="8">
        <f t="shared" si="21"/>
        <v>1.52587890625E-5</v>
      </c>
      <c r="AM55" s="8"/>
    </row>
    <row r="56" spans="2:39" x14ac:dyDescent="0.2">
      <c r="B56" t="s">
        <v>173</v>
      </c>
      <c r="C56" s="1">
        <v>2</v>
      </c>
      <c r="AB56" s="8">
        <v>17</v>
      </c>
      <c r="AC56" s="8">
        <f t="shared" si="22"/>
        <v>0.4499664306640625</v>
      </c>
      <c r="AD56" s="8">
        <f t="shared" si="15"/>
        <v>3.9799365807446918E-6</v>
      </c>
      <c r="AE56" s="8">
        <f t="shared" si="23"/>
        <v>0.44997406005859375</v>
      </c>
      <c r="AF56" s="8">
        <f t="shared" si="16"/>
        <v>-4.2852994165953895E-6</v>
      </c>
      <c r="AG56" s="8">
        <f t="shared" si="17"/>
        <v>0.44997024536132812</v>
      </c>
      <c r="AH56" s="8">
        <f t="shared" si="18"/>
        <v>-1.5268408731783367E-7</v>
      </c>
      <c r="AI56" s="8">
        <f t="shared" si="19"/>
        <v>-6.0767298441386293E-13</v>
      </c>
      <c r="AJ56" s="8">
        <f t="shared" si="20"/>
        <v>6.5429703030651211E-13</v>
      </c>
      <c r="AK56" s="8">
        <f t="shared" si="21"/>
        <v>7.62939453125E-6</v>
      </c>
      <c r="AM56" s="8"/>
    </row>
    <row r="57" spans="2:39" x14ac:dyDescent="0.2">
      <c r="B57" t="s">
        <v>175</v>
      </c>
      <c r="C57" s="1">
        <v>2</v>
      </c>
      <c r="D57" t="s">
        <v>18</v>
      </c>
      <c r="AB57" s="8">
        <v>18</v>
      </c>
      <c r="AC57" s="8">
        <f t="shared" si="22"/>
        <v>0.4499664306640625</v>
      </c>
      <c r="AD57" s="8">
        <f t="shared" si="15"/>
        <v>3.9799365807446918E-6</v>
      </c>
      <c r="AE57" s="8">
        <f t="shared" si="23"/>
        <v>0.44997024536132812</v>
      </c>
      <c r="AF57" s="8">
        <f t="shared" si="16"/>
        <v>-1.5268408731783367E-7</v>
      </c>
      <c r="AG57" s="8">
        <f t="shared" si="17"/>
        <v>0.44996833801269531</v>
      </c>
      <c r="AH57" s="8">
        <f t="shared" si="18"/>
        <v>1.9136255793306134E-6</v>
      </c>
      <c r="AI57" s="8">
        <f t="shared" si="19"/>
        <v>7.6161084450266616E-12</v>
      </c>
      <c r="AJ57" s="8">
        <f t="shared" si="20"/>
        <v>-2.9218017504815543E-13</v>
      </c>
      <c r="AK57" s="8">
        <f t="shared" si="21"/>
        <v>3.814697265625E-6</v>
      </c>
      <c r="AM57" s="8"/>
    </row>
    <row r="58" spans="2:39" x14ac:dyDescent="0.2">
      <c r="B58" t="s">
        <v>174</v>
      </c>
      <c r="C58" s="1">
        <f>0.15*1.25</f>
        <v>0.1875</v>
      </c>
      <c r="D58" t="s">
        <v>14</v>
      </c>
      <c r="AB58" s="8">
        <v>19</v>
      </c>
      <c r="AC58" s="8">
        <f t="shared" si="22"/>
        <v>0.44996833801269531</v>
      </c>
      <c r="AD58" s="8">
        <f t="shared" si="15"/>
        <v>1.9136255793306134E-6</v>
      </c>
      <c r="AE58" s="8">
        <f t="shared" si="23"/>
        <v>0.44997024536132812</v>
      </c>
      <c r="AF58" s="8">
        <f t="shared" si="16"/>
        <v>-1.5268408731783367E-7</v>
      </c>
      <c r="AG58" s="8">
        <f t="shared" si="17"/>
        <v>0.44996929168701172</v>
      </c>
      <c r="AH58" s="8">
        <f t="shared" si="18"/>
        <v>8.8047057916762483E-7</v>
      </c>
      <c r="AI58" s="8">
        <f t="shared" si="19"/>
        <v>1.6848910221432068E-12</v>
      </c>
      <c r="AJ58" s="8">
        <f t="shared" si="20"/>
        <v>-1.3443384679041322E-13</v>
      </c>
      <c r="AK58" s="8">
        <f t="shared" si="21"/>
        <v>1.9073486328125E-6</v>
      </c>
    </row>
    <row r="59" spans="2:39" x14ac:dyDescent="0.2">
      <c r="AB59" s="8">
        <v>20</v>
      </c>
      <c r="AC59" s="8">
        <f t="shared" si="22"/>
        <v>0.44996929168701172</v>
      </c>
      <c r="AD59" s="8">
        <f t="shared" si="15"/>
        <v>8.8047057916762483E-7</v>
      </c>
      <c r="AE59" s="8">
        <f t="shared" si="23"/>
        <v>0.44997024536132812</v>
      </c>
      <c r="AF59" s="8">
        <f t="shared" si="16"/>
        <v>-1.5268408731783367E-7</v>
      </c>
      <c r="AG59" s="8">
        <f t="shared" si="17"/>
        <v>0.44996976852416992</v>
      </c>
      <c r="AH59" s="8">
        <f t="shared" si="18"/>
        <v>3.6389320418050985E-7</v>
      </c>
      <c r="AI59" s="8">
        <f t="shared" si="19"/>
        <v>3.2039726023997628E-13</v>
      </c>
      <c r="AJ59" s="8">
        <f t="shared" si="20"/>
        <v>-5.5560701761463241E-14</v>
      </c>
      <c r="AK59" s="8">
        <f t="shared" si="21"/>
        <v>9.5367431640625E-7</v>
      </c>
    </row>
    <row r="60" spans="2:39" x14ac:dyDescent="0.2">
      <c r="B60" s="45" t="s">
        <v>176</v>
      </c>
      <c r="C60" s="45"/>
      <c r="D60" s="45"/>
      <c r="AB60" s="8">
        <v>21</v>
      </c>
      <c r="AC60" s="8">
        <f t="shared" si="22"/>
        <v>0.44996976852416992</v>
      </c>
      <c r="AD60" s="8">
        <f t="shared" si="15"/>
        <v>3.6389320418050985E-7</v>
      </c>
      <c r="AE60" s="8">
        <f t="shared" si="23"/>
        <v>0.44997024536132812</v>
      </c>
      <c r="AF60" s="8">
        <f t="shared" si="16"/>
        <v>-1.5268408731783367E-7</v>
      </c>
      <c r="AG60" s="8">
        <f t="shared" si="17"/>
        <v>0.44997000694274902</v>
      </c>
      <c r="AH60" s="8">
        <f t="shared" si="18"/>
        <v>1.0560454799524166E-7</v>
      </c>
      <c r="AI60" s="8">
        <f t="shared" si="19"/>
        <v>3.8428777346022924E-14</v>
      </c>
      <c r="AJ60" s="8">
        <f t="shared" si="20"/>
        <v>-1.6124134027265834E-14</v>
      </c>
      <c r="AK60" s="8">
        <f t="shared" si="21"/>
        <v>4.76837158203125E-7</v>
      </c>
    </row>
    <row r="61" spans="2:39" x14ac:dyDescent="0.2">
      <c r="B61" t="s">
        <v>177</v>
      </c>
      <c r="C61" s="1">
        <v>1.2</v>
      </c>
      <c r="AB61" s="8">
        <v>22</v>
      </c>
      <c r="AC61" s="8">
        <f t="shared" si="22"/>
        <v>0.44997000694274902</v>
      </c>
      <c r="AD61" s="8">
        <f t="shared" si="15"/>
        <v>1.0560454799524166E-7</v>
      </c>
      <c r="AE61" s="8">
        <f t="shared" si="23"/>
        <v>0.44997024536132812</v>
      </c>
      <c r="AF61" s="8">
        <f t="shared" si="16"/>
        <v>-1.5268408731783367E-7</v>
      </c>
      <c r="AG61" s="8">
        <f t="shared" si="17"/>
        <v>0.44997012615203857</v>
      </c>
      <c r="AH61" s="8">
        <f t="shared" si="18"/>
        <v>-2.353977229807569E-8</v>
      </c>
      <c r="AI61" s="8">
        <f t="shared" si="19"/>
        <v>-2.4859070134491941E-15</v>
      </c>
      <c r="AJ61" s="8">
        <f t="shared" si="20"/>
        <v>3.5941486490013105E-15</v>
      </c>
      <c r="AK61" s="8">
        <f t="shared" si="21"/>
        <v>2.384185791015625E-7</v>
      </c>
    </row>
    <row r="62" spans="2:39" x14ac:dyDescent="0.2">
      <c r="B62" t="s">
        <v>178</v>
      </c>
      <c r="C62" s="1">
        <v>2.5</v>
      </c>
      <c r="D62" t="s">
        <v>18</v>
      </c>
      <c r="AB62" s="8">
        <v>23</v>
      </c>
      <c r="AC62" s="8">
        <f t="shared" si="22"/>
        <v>0.44997000694274902</v>
      </c>
      <c r="AD62" s="8">
        <f t="shared" si="15"/>
        <v>1.0560454799524166E-7</v>
      </c>
      <c r="AE62" s="8">
        <f t="shared" si="23"/>
        <v>0.44997012615203857</v>
      </c>
      <c r="AF62" s="8">
        <f t="shared" si="16"/>
        <v>-2.353977229807569E-8</v>
      </c>
      <c r="AG62" s="8">
        <f t="shared" si="17"/>
        <v>0.4499700665473938</v>
      </c>
      <c r="AH62" s="8">
        <f t="shared" si="18"/>
        <v>4.1032387210204746E-8</v>
      </c>
      <c r="AI62" s="8">
        <f t="shared" si="19"/>
        <v>4.3332067044994069E-15</v>
      </c>
      <c r="AJ62" s="8">
        <f t="shared" si="20"/>
        <v>-9.6589305177469293E-16</v>
      </c>
      <c r="AK62" s="8">
        <f t="shared" si="21"/>
        <v>1.1920928955078125E-7</v>
      </c>
    </row>
    <row r="63" spans="2:39" x14ac:dyDescent="0.2">
      <c r="B63" t="s">
        <v>179</v>
      </c>
      <c r="C63" s="1">
        <f>0.12*2.92</f>
        <v>0.35039999999999999</v>
      </c>
      <c r="D63" t="s">
        <v>14</v>
      </c>
      <c r="AB63" s="8">
        <v>24</v>
      </c>
      <c r="AC63" s="8">
        <f t="shared" si="22"/>
        <v>0.4499700665473938</v>
      </c>
      <c r="AD63" s="8">
        <f t="shared" si="15"/>
        <v>4.1032387210204746E-8</v>
      </c>
      <c r="AE63" s="8">
        <f t="shared" si="23"/>
        <v>0.44997012615203857</v>
      </c>
      <c r="AF63" s="8">
        <f t="shared" si="16"/>
        <v>-2.353977229807569E-8</v>
      </c>
      <c r="AG63" s="8">
        <f t="shared" si="17"/>
        <v>0.44997009634971619</v>
      </c>
      <c r="AH63" s="8">
        <f t="shared" si="18"/>
        <v>8.7463072895310745E-9</v>
      </c>
      <c r="AI63" s="8">
        <f t="shared" si="19"/>
        <v>3.5888186736347538E-16</v>
      </c>
      <c r="AJ63" s="8">
        <f t="shared" si="20"/>
        <v>-2.0588608204456106E-16</v>
      </c>
      <c r="AK63" s="8">
        <f t="shared" si="21"/>
        <v>5.9604644775390625E-8</v>
      </c>
    </row>
    <row r="64" spans="2:39" x14ac:dyDescent="0.2">
      <c r="B64" t="s">
        <v>180</v>
      </c>
      <c r="C64" s="1">
        <v>35</v>
      </c>
      <c r="D64" t="s">
        <v>62</v>
      </c>
      <c r="AB64" s="8">
        <v>25</v>
      </c>
      <c r="AC64" s="8">
        <f t="shared" si="22"/>
        <v>0.44997009634971619</v>
      </c>
      <c r="AD64" s="8">
        <f t="shared" si="15"/>
        <v>8.7463072895310745E-9</v>
      </c>
      <c r="AE64" s="8">
        <f t="shared" si="23"/>
        <v>0.44997012615203857</v>
      </c>
      <c r="AF64" s="8">
        <f t="shared" si="16"/>
        <v>-2.353977229807569E-8</v>
      </c>
      <c r="AG64" s="8">
        <f t="shared" si="17"/>
        <v>0.44997011125087738</v>
      </c>
      <c r="AH64" s="8">
        <f t="shared" si="18"/>
        <v>-7.3967325042723076E-9</v>
      </c>
      <c r="AI64" s="8">
        <f t="shared" si="19"/>
        <v>-6.4694095420828326E-17</v>
      </c>
      <c r="AJ64" s="8">
        <f t="shared" si="20"/>
        <v>1.7411739890034528E-16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0.44997009634971619</v>
      </c>
      <c r="AD65" s="8">
        <f t="shared" si="15"/>
        <v>8.7463072895310745E-9</v>
      </c>
      <c r="AE65" s="8">
        <f t="shared" si="23"/>
        <v>0.44997011125087738</v>
      </c>
      <c r="AF65" s="8">
        <f t="shared" si="16"/>
        <v>-7.3967325042723076E-9</v>
      </c>
      <c r="AG65" s="8">
        <f t="shared" si="17"/>
        <v>0.44997010380029678</v>
      </c>
      <c r="AH65" s="8">
        <f t="shared" si="18"/>
        <v>6.7478739262938348E-10</v>
      </c>
      <c r="AI65" s="8">
        <f t="shared" si="19"/>
        <v>5.9018978910380439E-18</v>
      </c>
      <c r="AJ65" s="8">
        <f t="shared" si="20"/>
        <v>-4.9912218405349205E-18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0.44997010380029678</v>
      </c>
      <c r="AD66" s="8">
        <f t="shared" si="15"/>
        <v>6.7478739262938348E-10</v>
      </c>
      <c r="AE66" s="8">
        <f t="shared" si="23"/>
        <v>0.44997011125087738</v>
      </c>
      <c r="AF66" s="8">
        <f t="shared" si="16"/>
        <v>-7.3967325042723076E-9</v>
      </c>
      <c r="AG66" s="8">
        <f t="shared" si="17"/>
        <v>0.44997010752558708</v>
      </c>
      <c r="AH66" s="8">
        <f t="shared" si="18"/>
        <v>-3.360972555821462E-9</v>
      </c>
      <c r="AI66" s="8">
        <f t="shared" si="19"/>
        <v>-2.2679419076416794E-18</v>
      </c>
      <c r="AJ66" s="8">
        <f t="shared" si="20"/>
        <v>2.4860214949611781E-17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0.44997010380029678</v>
      </c>
      <c r="AD67" s="8">
        <f t="shared" si="15"/>
        <v>6.7478739262938348E-10</v>
      </c>
      <c r="AE67" s="8">
        <f t="shared" si="23"/>
        <v>0.44997010752558708</v>
      </c>
      <c r="AF67" s="8">
        <f t="shared" si="16"/>
        <v>-3.360972555821462E-9</v>
      </c>
      <c r="AG67" s="8">
        <f t="shared" si="17"/>
        <v>0.44997010566294193</v>
      </c>
      <c r="AH67" s="8">
        <f t="shared" si="18"/>
        <v>-1.3430925815960393E-9</v>
      </c>
      <c r="AI67" s="8">
        <f t="shared" si="19"/>
        <v>-9.0630194119505882E-19</v>
      </c>
      <c r="AJ67" s="8">
        <f t="shared" si="20"/>
        <v>4.5140973066716857E-18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0.44997010380029678</v>
      </c>
      <c r="AD68" s="8">
        <f t="shared" si="15"/>
        <v>6.7478739262938348E-10</v>
      </c>
      <c r="AE68" s="8">
        <f t="shared" si="23"/>
        <v>0.44997010566294193</v>
      </c>
      <c r="AF68" s="8">
        <f t="shared" si="16"/>
        <v>-1.3430925815960393E-9</v>
      </c>
      <c r="AG68" s="8">
        <f t="shared" si="17"/>
        <v>0.44997010473161936</v>
      </c>
      <c r="AH68" s="8">
        <f t="shared" si="18"/>
        <v>-3.341525944833279E-10</v>
      </c>
      <c r="AI68" s="8">
        <f t="shared" si="19"/>
        <v>-2.2548195797174854E-19</v>
      </c>
      <c r="AJ68" s="8">
        <f t="shared" si="20"/>
        <v>4.4879787077162731E-19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0.44997010380029678</v>
      </c>
      <c r="AD69" s="8">
        <f t="shared" si="15"/>
        <v>6.7478739262938348E-10</v>
      </c>
      <c r="AE69" s="8">
        <f t="shared" si="23"/>
        <v>0.44997010473161936</v>
      </c>
      <c r="AF69" s="8">
        <f t="shared" si="16"/>
        <v>-3.341525944833279E-10</v>
      </c>
      <c r="AG69" s="8">
        <f t="shared" si="17"/>
        <v>0.44997010426595807</v>
      </c>
      <c r="AH69" s="8">
        <f t="shared" si="18"/>
        <v>1.7031737131745217E-10</v>
      </c>
      <c r="AI69" s="8">
        <f t="shared" si="19"/>
        <v>1.1492801491079409E-19</v>
      </c>
      <c r="AJ69" s="8">
        <f t="shared" si="20"/>
        <v>-5.6911991511306978E-20</v>
      </c>
      <c r="AK69" s="8">
        <f t="shared" si="21"/>
        <v>9.3132257461547852E-10</v>
      </c>
    </row>
    <row r="72" spans="28:37" x14ac:dyDescent="0.2">
      <c r="AB72" s="6" t="s">
        <v>150</v>
      </c>
    </row>
    <row r="73" spans="28:37" x14ac:dyDescent="0.2"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28:37" x14ac:dyDescent="0.2">
      <c r="AB74" s="8">
        <v>0</v>
      </c>
      <c r="AC74" s="9">
        <v>0</v>
      </c>
      <c r="AD74" s="8">
        <f xml:space="preserve"> $W$19 * TAN($W$16/180*PI()) + $W$20 / (2 * SQRT($W$19^2 + AC74^2)) - AC74</f>
        <v>0.53271980277561104</v>
      </c>
      <c r="AE74" s="9">
        <v>1</v>
      </c>
      <c r="AF74" s="8">
        <f xml:space="preserve"> $W$19 * TAN($W$16/180*PI()) + $W$20 / (2 * SQRT($W$19^2 + AE74^2)) - AE74</f>
        <v>-0.58342905121181887</v>
      </c>
      <c r="AG74" s="8">
        <f xml:space="preserve"> (AC74 + AE74)/2</f>
        <v>0.5</v>
      </c>
      <c r="AH74" s="8">
        <f xml:space="preserve"> $W$19 * TAN($W$16/180*PI()) + $W$20 / (2 * SQRT($W$19^2 + AG74^2)) - AG74</f>
        <v>-7.9103184245693126E-2</v>
      </c>
      <c r="AI74" s="8">
        <f>AD74*AH74</f>
        <v>-4.2139832710288462E-2</v>
      </c>
      <c r="AJ74" s="8">
        <f>AF74*AH74</f>
        <v>4.615109573229844E-2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$W$19 * TAN($W$16/180*PI()) + $W$20 / (2 * SQRT($W$19^2 + AC75^2)) - AC75</f>
        <v>0.53271980277561104</v>
      </c>
      <c r="AE75" s="8">
        <f>IF(AJ74&gt;0, AG74, AE74)</f>
        <v>0.5</v>
      </c>
      <c r="AF75" s="8">
        <f t="shared" ref="AF75:AF104" si="25" xml:space="preserve"> $W$19 * TAN($W$16/180*PI()) + $W$20 / (2 * SQRT($W$19^2 + AE75^2)) - AE75</f>
        <v>-7.9103184245693126E-2</v>
      </c>
      <c r="AG75" s="8">
        <f t="shared" ref="AG75:AG104" si="26" xml:space="preserve"> (AC75 + AE75)/2</f>
        <v>0.25</v>
      </c>
      <c r="AH75" s="8">
        <f t="shared" ref="AH75:AH104" si="27" xml:space="preserve"> $W$19 * TAN($W$16/180*PI()) + $W$20 / (2 * SQRT($W$19^2 + AG75^2)) - AG75</f>
        <v>0.1794323684350575</v>
      </c>
      <c r="AI75" s="8">
        <f t="shared" ref="AI75:AI104" si="28">AD75*AH75</f>
        <v>9.5587175924284604E-2</v>
      </c>
      <c r="AJ75" s="8">
        <f t="shared" ref="AJ75:AJ104" si="29">AF75*AH75</f>
        <v>-1.4193671699959444E-2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0.25</v>
      </c>
      <c r="AD76" s="8">
        <f t="shared" si="24"/>
        <v>0.1794323684350575</v>
      </c>
      <c r="AE76" s="8">
        <f t="shared" ref="AE76:AE104" si="32">IF(AJ75&gt;0, AG75, AE75)</f>
        <v>0.5</v>
      </c>
      <c r="AF76" s="8">
        <f t="shared" si="25"/>
        <v>-7.9103184245693126E-2</v>
      </c>
      <c r="AG76" s="8">
        <f t="shared" si="26"/>
        <v>0.375</v>
      </c>
      <c r="AH76" s="8">
        <f t="shared" si="27"/>
        <v>4.8763157149251446E-2</v>
      </c>
      <c r="AI76" s="8">
        <f t="shared" si="28"/>
        <v>8.7496887796610929E-3</v>
      </c>
      <c r="AJ76" s="8">
        <f t="shared" si="29"/>
        <v>-3.8573210043789251E-3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0.375</v>
      </c>
      <c r="AD77" s="8">
        <f t="shared" si="24"/>
        <v>4.8763157149251446E-2</v>
      </c>
      <c r="AE77" s="8">
        <f t="shared" si="32"/>
        <v>0.5</v>
      </c>
      <c r="AF77" s="8">
        <f t="shared" si="25"/>
        <v>-7.9103184245693126E-2</v>
      </c>
      <c r="AG77" s="8">
        <f t="shared" si="26"/>
        <v>0.4375</v>
      </c>
      <c r="AH77" s="8">
        <f t="shared" si="27"/>
        <v>-1.5372650881238015E-2</v>
      </c>
      <c r="AI77" s="8">
        <f t="shared" si="28"/>
        <v>-7.4961899072238799E-4</v>
      </c>
      <c r="AJ77" s="8">
        <f t="shared" si="29"/>
        <v>1.2160256350032875E-3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0.375</v>
      </c>
      <c r="AD78" s="8">
        <f t="shared" si="24"/>
        <v>4.8763157149251446E-2</v>
      </c>
      <c r="AE78" s="8">
        <f t="shared" si="32"/>
        <v>0.4375</v>
      </c>
      <c r="AF78" s="8">
        <f t="shared" si="25"/>
        <v>-1.5372650881238015E-2</v>
      </c>
      <c r="AG78" s="8">
        <f t="shared" si="26"/>
        <v>0.40625</v>
      </c>
      <c r="AH78" s="8">
        <f t="shared" si="27"/>
        <v>1.6633078292032255E-2</v>
      </c>
      <c r="AI78" s="8">
        <f t="shared" si="28"/>
        <v>8.1108141063017164E-4</v>
      </c>
      <c r="AJ78" s="8">
        <f t="shared" si="29"/>
        <v>-2.5569450566371055E-4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0.40625</v>
      </c>
      <c r="AD79" s="8">
        <f t="shared" si="24"/>
        <v>1.6633078292032255E-2</v>
      </c>
      <c r="AE79" s="8">
        <f t="shared" si="32"/>
        <v>0.4375</v>
      </c>
      <c r="AF79" s="8">
        <f t="shared" si="25"/>
        <v>-1.5372650881238015E-2</v>
      </c>
      <c r="AG79" s="8">
        <f t="shared" si="26"/>
        <v>0.421875</v>
      </c>
      <c r="AH79" s="8">
        <f t="shared" si="27"/>
        <v>6.1637116302643014E-4</v>
      </c>
      <c r="AI79" s="8">
        <f t="shared" si="28"/>
        <v>1.0252149811569589E-5</v>
      </c>
      <c r="AJ79" s="8">
        <f t="shared" si="29"/>
        <v>-9.475258702467951E-6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0.421875</v>
      </c>
      <c r="AD80" s="8">
        <f t="shared" si="24"/>
        <v>6.1637116302643014E-4</v>
      </c>
      <c r="AE80" s="8">
        <f t="shared" si="32"/>
        <v>0.4375</v>
      </c>
      <c r="AF80" s="8">
        <f t="shared" si="25"/>
        <v>-1.5372650881238015E-2</v>
      </c>
      <c r="AG80" s="8">
        <f t="shared" si="26"/>
        <v>0.4296875</v>
      </c>
      <c r="AH80" s="8">
        <f t="shared" si="27"/>
        <v>-7.3814144171517326E-3</v>
      </c>
      <c r="AI80" s="8">
        <f t="shared" si="28"/>
        <v>-4.5496909890798727E-6</v>
      </c>
      <c r="AJ80" s="8">
        <f t="shared" si="29"/>
        <v>1.1347190684461057E-4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0.421875</v>
      </c>
      <c r="AD81" s="8">
        <f t="shared" si="24"/>
        <v>6.1637116302643014E-4</v>
      </c>
      <c r="AE81" s="8">
        <f t="shared" si="32"/>
        <v>0.4296875</v>
      </c>
      <c r="AF81" s="8">
        <f t="shared" si="25"/>
        <v>-7.3814144171517326E-3</v>
      </c>
      <c r="AG81" s="8">
        <f t="shared" si="26"/>
        <v>0.42578125</v>
      </c>
      <c r="AH81" s="8">
        <f t="shared" si="27"/>
        <v>-3.3833624784970207E-3</v>
      </c>
      <c r="AI81" s="8">
        <f t="shared" si="28"/>
        <v>-2.0854070658111938E-6</v>
      </c>
      <c r="AJ81" s="8">
        <f t="shared" si="29"/>
        <v>2.4974000577228127E-5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0.421875</v>
      </c>
      <c r="AD82" s="8">
        <f t="shared" si="24"/>
        <v>6.1637116302643014E-4</v>
      </c>
      <c r="AE82" s="8">
        <f t="shared" si="32"/>
        <v>0.42578125</v>
      </c>
      <c r="AF82" s="8">
        <f t="shared" si="25"/>
        <v>-3.3833624784970207E-3</v>
      </c>
      <c r="AG82" s="8">
        <f t="shared" si="26"/>
        <v>0.423828125</v>
      </c>
      <c r="AH82" s="8">
        <f t="shared" si="27"/>
        <v>-1.3837087350446753E-3</v>
      </c>
      <c r="AI82" s="8">
        <f t="shared" si="28"/>
        <v>-8.5287816230931695E-7</v>
      </c>
      <c r="AJ82" s="8">
        <f t="shared" si="29"/>
        <v>4.6815882153187295E-6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0.421875</v>
      </c>
      <c r="AD83" s="8">
        <f t="shared" si="24"/>
        <v>6.1637116302643014E-4</v>
      </c>
      <c r="AE83" s="8">
        <f t="shared" si="32"/>
        <v>0.423828125</v>
      </c>
      <c r="AF83" s="8">
        <f t="shared" si="25"/>
        <v>-1.3837087350446753E-3</v>
      </c>
      <c r="AG83" s="8">
        <f t="shared" si="26"/>
        <v>0.4228515625</v>
      </c>
      <c r="AH83" s="8">
        <f t="shared" si="27"/>
        <v>-3.8372241907663751E-4</v>
      </c>
      <c r="AI83" s="8">
        <f t="shared" si="28"/>
        <v>-2.3651543372558227E-7</v>
      </c>
      <c r="AJ83" s="8">
        <f t="shared" si="29"/>
        <v>5.3096006310881689E-7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0.421875</v>
      </c>
      <c r="AD84" s="8">
        <f t="shared" si="24"/>
        <v>6.1637116302643014E-4</v>
      </c>
      <c r="AE84" s="8">
        <f t="shared" si="32"/>
        <v>0.4228515625</v>
      </c>
      <c r="AF84" s="8">
        <f t="shared" si="25"/>
        <v>-3.8372241907663751E-4</v>
      </c>
      <c r="AG84" s="8">
        <f t="shared" si="26"/>
        <v>0.42236328125</v>
      </c>
      <c r="AH84" s="8">
        <f t="shared" si="27"/>
        <v>1.1631091787922543E-4</v>
      </c>
      <c r="AI84" s="8">
        <f t="shared" si="28"/>
        <v>7.1690695725889787E-8</v>
      </c>
      <c r="AJ84" s="8">
        <f t="shared" si="29"/>
        <v>-4.4631106773640512E-8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0.42236328125</v>
      </c>
      <c r="AD85" s="8">
        <f t="shared" si="24"/>
        <v>1.1631091787922543E-4</v>
      </c>
      <c r="AE85" s="8">
        <f t="shared" si="32"/>
        <v>0.4228515625</v>
      </c>
      <c r="AF85" s="8">
        <f t="shared" si="25"/>
        <v>-3.8372241907663751E-4</v>
      </c>
      <c r="AG85" s="8">
        <f t="shared" si="26"/>
        <v>0.422607421875</v>
      </c>
      <c r="AH85" s="8">
        <f t="shared" si="27"/>
        <v>-1.337091083777886E-4</v>
      </c>
      <c r="AI85" s="8">
        <f t="shared" si="28"/>
        <v>-1.5551829124233423E-8</v>
      </c>
      <c r="AJ85" s="8">
        <f t="shared" si="29"/>
        <v>5.1307182519305341E-8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0.42236328125</v>
      </c>
      <c r="AD86" s="8">
        <f t="shared" si="24"/>
        <v>1.1631091787922543E-4</v>
      </c>
      <c r="AE86" s="8">
        <f t="shared" si="32"/>
        <v>0.422607421875</v>
      </c>
      <c r="AF86" s="8">
        <f t="shared" si="25"/>
        <v>-1.337091083777886E-4</v>
      </c>
      <c r="AG86" s="8">
        <f t="shared" si="26"/>
        <v>0.4224853515625</v>
      </c>
      <c r="AH86" s="8">
        <f t="shared" si="27"/>
        <v>-8.6999354111383376E-6</v>
      </c>
      <c r="AI86" s="8">
        <f t="shared" si="28"/>
        <v>-1.0118974731594764E-9</v>
      </c>
      <c r="AJ86" s="8">
        <f t="shared" si="29"/>
        <v>1.1632606067676567E-9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0.42236328125</v>
      </c>
      <c r="AD87" s="8">
        <f t="shared" si="24"/>
        <v>1.1631091787922543E-4</v>
      </c>
      <c r="AE87" s="8">
        <f t="shared" si="32"/>
        <v>0.4224853515625</v>
      </c>
      <c r="AF87" s="8">
        <f t="shared" si="25"/>
        <v>-8.6999354111383376E-6</v>
      </c>
      <c r="AG87" s="8">
        <f t="shared" si="26"/>
        <v>0.42242431640625</v>
      </c>
      <c r="AH87" s="8">
        <f t="shared" si="27"/>
        <v>5.3805281103880276E-5</v>
      </c>
      <c r="AI87" s="8">
        <f t="shared" si="28"/>
        <v>6.2581416319420585E-9</v>
      </c>
      <c r="AJ87" s="8">
        <f t="shared" si="29"/>
        <v>-4.6810247038190051E-10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0.42242431640625</v>
      </c>
      <c r="AD88" s="8">
        <f t="shared" si="24"/>
        <v>5.3805281103880276E-5</v>
      </c>
      <c r="AE88" s="8">
        <f t="shared" si="32"/>
        <v>0.4224853515625</v>
      </c>
      <c r="AF88" s="8">
        <f t="shared" si="25"/>
        <v>-8.6999354111383376E-6</v>
      </c>
      <c r="AG88" s="8">
        <f t="shared" si="26"/>
        <v>0.422454833984375</v>
      </c>
      <c r="AH88" s="8">
        <f t="shared" si="27"/>
        <v>2.2552620325022588E-5</v>
      </c>
      <c r="AI88" s="8">
        <f t="shared" si="28"/>
        <v>1.2134500762169241E-9</v>
      </c>
      <c r="AJ88" s="8">
        <f t="shared" si="29"/>
        <v>-1.9620634017962221E-10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0.422454833984375</v>
      </c>
      <c r="AD89" s="8">
        <f t="shared" si="24"/>
        <v>2.2552620325022588E-5</v>
      </c>
      <c r="AE89" s="8">
        <f t="shared" si="32"/>
        <v>0.4224853515625</v>
      </c>
      <c r="AF89" s="8">
        <f t="shared" si="25"/>
        <v>-8.6999354111383376E-6</v>
      </c>
      <c r="AG89" s="8">
        <f t="shared" si="26"/>
        <v>0.4224700927734375</v>
      </c>
      <c r="AH89" s="8">
        <f t="shared" si="27"/>
        <v>6.9263293280275029E-6</v>
      </c>
      <c r="AI89" s="8">
        <f t="shared" si="28"/>
        <v>1.5620687558107311E-10</v>
      </c>
      <c r="AJ89" s="8">
        <f t="shared" si="29"/>
        <v>-6.0258617790112481E-11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0.4224700927734375</v>
      </c>
      <c r="AD90" s="8">
        <f t="shared" si="24"/>
        <v>6.9263293280275029E-6</v>
      </c>
      <c r="AE90" s="8">
        <f t="shared" si="32"/>
        <v>0.4224853515625</v>
      </c>
      <c r="AF90" s="8">
        <f t="shared" si="25"/>
        <v>-8.6999354111383376E-6</v>
      </c>
      <c r="AG90" s="8">
        <f t="shared" si="26"/>
        <v>0.42247772216796875</v>
      </c>
      <c r="AH90" s="8">
        <f t="shared" si="27"/>
        <v>-8.8680632359672273E-7</v>
      </c>
      <c r="AI90" s="8">
        <f t="shared" si="28"/>
        <v>-6.1423126474082289E-12</v>
      </c>
      <c r="AJ90" s="8">
        <f t="shared" si="29"/>
        <v>7.7151577374805309E-12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0.4224700927734375</v>
      </c>
      <c r="AD91" s="8">
        <f t="shared" si="24"/>
        <v>6.9263293280275029E-6</v>
      </c>
      <c r="AE91" s="8">
        <f t="shared" si="32"/>
        <v>0.42247772216796875</v>
      </c>
      <c r="AF91" s="8">
        <f t="shared" si="25"/>
        <v>-8.8680632359672273E-7</v>
      </c>
      <c r="AG91" s="8">
        <f t="shared" si="26"/>
        <v>0.42247390747070312</v>
      </c>
      <c r="AH91" s="8">
        <f t="shared" si="27"/>
        <v>3.0197606816773082E-6</v>
      </c>
      <c r="AI91" s="8">
        <f t="shared" si="28"/>
        <v>2.0915856973125865E-11</v>
      </c>
      <c r="AJ91" s="8">
        <f t="shared" si="29"/>
        <v>-2.6779428682601871E-12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0.42247390747070312</v>
      </c>
      <c r="AD92" s="8">
        <f t="shared" si="24"/>
        <v>3.0197606816773082E-6</v>
      </c>
      <c r="AE92" s="8">
        <f t="shared" si="32"/>
        <v>0.42247772216796875</v>
      </c>
      <c r="AF92" s="8">
        <f t="shared" si="25"/>
        <v>-8.8680632359672273E-7</v>
      </c>
      <c r="AG92" s="8">
        <f t="shared" si="26"/>
        <v>0.42247581481933594</v>
      </c>
      <c r="AH92" s="8">
        <f t="shared" si="27"/>
        <v>1.0664769738988333E-6</v>
      </c>
      <c r="AI92" s="8">
        <f t="shared" si="28"/>
        <v>3.2205052336938937E-12</v>
      </c>
      <c r="AJ92" s="8">
        <f t="shared" si="29"/>
        <v>-9.4575852442378243E-13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0.42247581481933594</v>
      </c>
      <c r="AD93" s="8">
        <f t="shared" si="24"/>
        <v>1.0664769738988333E-6</v>
      </c>
      <c r="AE93" s="8">
        <f t="shared" si="32"/>
        <v>0.42247772216796875</v>
      </c>
      <c r="AF93" s="8">
        <f t="shared" si="25"/>
        <v>-8.8680632359672273E-7</v>
      </c>
      <c r="AG93" s="8">
        <f t="shared" si="26"/>
        <v>0.42247676849365234</v>
      </c>
      <c r="AH93" s="8">
        <f t="shared" si="27"/>
        <v>8.9835273886507139E-8</v>
      </c>
      <c r="AI93" s="8">
        <f t="shared" si="28"/>
        <v>9.5807251043855018E-14</v>
      </c>
      <c r="AJ93" s="8">
        <f t="shared" si="29"/>
        <v>-7.9666488964598066E-14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0.42247676849365234</v>
      </c>
      <c r="AD94" s="8">
        <f t="shared" si="24"/>
        <v>8.9835273886507139E-8</v>
      </c>
      <c r="AE94" s="8">
        <f t="shared" si="32"/>
        <v>0.42247772216796875</v>
      </c>
      <c r="AF94" s="8">
        <f t="shared" si="25"/>
        <v>-8.8680632359672273E-7</v>
      </c>
      <c r="AG94" s="8">
        <f t="shared" si="26"/>
        <v>0.42247724533081055</v>
      </c>
      <c r="AH94" s="8">
        <f t="shared" si="27"/>
        <v>-3.9848553767818373E-7</v>
      </c>
      <c r="AI94" s="8">
        <f t="shared" si="28"/>
        <v>-3.5798057417131698E-14</v>
      </c>
      <c r="AJ94" s="8">
        <f t="shared" si="29"/>
        <v>3.5337949467485347E-13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0.42247676849365234</v>
      </c>
      <c r="AD95" s="8">
        <f t="shared" si="24"/>
        <v>8.9835273886507139E-8</v>
      </c>
      <c r="AE95" s="8">
        <f t="shared" si="32"/>
        <v>0.42247724533081055</v>
      </c>
      <c r="AF95" s="8">
        <f t="shared" si="25"/>
        <v>-3.9848553767818373E-7</v>
      </c>
      <c r="AG95" s="8">
        <f t="shared" si="26"/>
        <v>0.42247700691223145</v>
      </c>
      <c r="AH95" s="8">
        <f t="shared" si="27"/>
        <v>-1.5432513511548507E-7</v>
      </c>
      <c r="AI95" s="8">
        <f t="shared" si="28"/>
        <v>-1.3863840780671822E-14</v>
      </c>
      <c r="AJ95" s="8">
        <f t="shared" si="29"/>
        <v>6.1496334443752416E-14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0.42247676849365234</v>
      </c>
      <c r="AD96" s="8">
        <f t="shared" si="24"/>
        <v>8.9835273886507139E-8</v>
      </c>
      <c r="AE96" s="8">
        <f t="shared" si="32"/>
        <v>0.42247700691223145</v>
      </c>
      <c r="AF96" s="8">
        <f t="shared" si="25"/>
        <v>-1.5432513511548507E-7</v>
      </c>
      <c r="AG96" s="8">
        <f t="shared" si="26"/>
        <v>0.42247688770294189</v>
      </c>
      <c r="AH96" s="8">
        <f t="shared" si="27"/>
        <v>-3.2244931447156233E-8</v>
      </c>
      <c r="AI96" s="8">
        <f t="shared" si="28"/>
        <v>-2.8967322480069272E-15</v>
      </c>
      <c r="AJ96" s="8">
        <f t="shared" si="29"/>
        <v>4.9762034023719391E-15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0.42247676849365234</v>
      </c>
      <c r="AD97" s="8">
        <f t="shared" si="24"/>
        <v>8.9835273886507139E-8</v>
      </c>
      <c r="AE97" s="8">
        <f t="shared" si="32"/>
        <v>0.42247688770294189</v>
      </c>
      <c r="AF97" s="8">
        <f t="shared" si="25"/>
        <v>-3.2244931447156233E-8</v>
      </c>
      <c r="AG97" s="8">
        <f t="shared" si="26"/>
        <v>0.42247682809829712</v>
      </c>
      <c r="AH97" s="8">
        <f t="shared" si="27"/>
        <v>2.8795171025386423E-8</v>
      </c>
      <c r="AI97" s="8">
        <f t="shared" si="28"/>
        <v>2.586822075674404E-15</v>
      </c>
      <c r="AJ97" s="8">
        <f t="shared" si="29"/>
        <v>-9.2849831572272469E-16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0.42247682809829712</v>
      </c>
      <c r="AD98" s="8">
        <f t="shared" si="24"/>
        <v>2.8795171025386423E-8</v>
      </c>
      <c r="AE98" s="8">
        <f t="shared" si="32"/>
        <v>0.42247688770294189</v>
      </c>
      <c r="AF98" s="8">
        <f t="shared" si="25"/>
        <v>-3.2244931447156233E-8</v>
      </c>
      <c r="AG98" s="8">
        <f t="shared" si="26"/>
        <v>0.42247685790061951</v>
      </c>
      <c r="AH98" s="8">
        <f t="shared" si="27"/>
        <v>-1.7248802386404805E-9</v>
      </c>
      <c r="AI98" s="8">
        <f t="shared" si="28"/>
        <v>-4.9668221469961982E-17</v>
      </c>
      <c r="AJ98" s="8">
        <f t="shared" si="29"/>
        <v>5.5618645049516776E-17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0.42247682809829712</v>
      </c>
      <c r="AD99" s="8">
        <f t="shared" si="24"/>
        <v>2.8795171025386423E-8</v>
      </c>
      <c r="AE99" s="8">
        <f t="shared" si="32"/>
        <v>0.42247685790061951</v>
      </c>
      <c r="AF99" s="8">
        <f t="shared" si="25"/>
        <v>-1.7248802386404805E-9</v>
      </c>
      <c r="AG99" s="8">
        <f t="shared" si="26"/>
        <v>0.42247684299945831</v>
      </c>
      <c r="AH99" s="8">
        <f t="shared" si="27"/>
        <v>1.3535145393372972E-8</v>
      </c>
      <c r="AI99" s="8">
        <f t="shared" si="28"/>
        <v>3.8974682645564593E-16</v>
      </c>
      <c r="AJ99" s="8">
        <f t="shared" si="29"/>
        <v>-2.3346504816154771E-17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0.42247684299945831</v>
      </c>
      <c r="AD100" s="8">
        <f t="shared" si="24"/>
        <v>1.3535145393372972E-8</v>
      </c>
      <c r="AE100" s="8">
        <f t="shared" si="32"/>
        <v>0.42247685790061951</v>
      </c>
      <c r="AF100" s="8">
        <f t="shared" si="25"/>
        <v>-1.7248802386404805E-9</v>
      </c>
      <c r="AG100" s="8">
        <f t="shared" si="26"/>
        <v>0.42247685045003891</v>
      </c>
      <c r="AH100" s="8">
        <f t="shared" si="27"/>
        <v>5.9051325496106699E-9</v>
      </c>
      <c r="AI100" s="8">
        <f t="shared" si="28"/>
        <v>7.9926827626119646E-17</v>
      </c>
      <c r="AJ100" s="8">
        <f t="shared" si="29"/>
        <v>-1.0185646441376121E-17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0.42247685045003891</v>
      </c>
      <c r="AD101" s="8">
        <f t="shared" si="24"/>
        <v>5.9051325496106699E-9</v>
      </c>
      <c r="AE101" s="8">
        <f t="shared" si="32"/>
        <v>0.42247685790061951</v>
      </c>
      <c r="AF101" s="8">
        <f t="shared" si="25"/>
        <v>-1.7248802386404805E-9</v>
      </c>
      <c r="AG101" s="8">
        <f t="shared" si="26"/>
        <v>0.42247685417532921</v>
      </c>
      <c r="AH101" s="8">
        <f t="shared" si="27"/>
        <v>2.0901261277295191E-9</v>
      </c>
      <c r="AI101" s="8">
        <f t="shared" si="28"/>
        <v>1.2342471829647292E-17</v>
      </c>
      <c r="AJ101" s="8">
        <f t="shared" si="29"/>
        <v>-3.6052172539867963E-18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0.42247685417532921</v>
      </c>
      <c r="AD102" s="8">
        <f t="shared" si="24"/>
        <v>2.0901261277295191E-9</v>
      </c>
      <c r="AE102" s="8">
        <f t="shared" si="32"/>
        <v>0.42247685790061951</v>
      </c>
      <c r="AF102" s="8">
        <f t="shared" si="25"/>
        <v>-1.7248802386404805E-9</v>
      </c>
      <c r="AG102" s="8">
        <f t="shared" si="26"/>
        <v>0.42247685603797436</v>
      </c>
      <c r="AH102" s="8">
        <f t="shared" si="27"/>
        <v>1.8262297230009494E-10</v>
      </c>
      <c r="AI102" s="8">
        <f t="shared" si="28"/>
        <v>3.8170504592805267E-19</v>
      </c>
      <c r="AJ102" s="8">
        <f t="shared" si="29"/>
        <v>-3.1500275604222162E-19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0.42247685603797436</v>
      </c>
      <c r="AD103" s="8">
        <f t="shared" si="24"/>
        <v>1.8262297230009494E-10</v>
      </c>
      <c r="AE103" s="8">
        <f t="shared" si="32"/>
        <v>0.42247685790061951</v>
      </c>
      <c r="AF103" s="8">
        <f t="shared" si="25"/>
        <v>-1.7248802386404805E-9</v>
      </c>
      <c r="AG103" s="8">
        <f t="shared" si="26"/>
        <v>0.42247685696929693</v>
      </c>
      <c r="AH103" s="8">
        <f t="shared" si="27"/>
        <v>-7.7112866092576837E-10</v>
      </c>
      <c r="AI103" s="8">
        <f t="shared" si="28"/>
        <v>-1.408258080840559E-19</v>
      </c>
      <c r="AJ103" s="8">
        <f t="shared" si="29"/>
        <v>1.3301045886801535E-18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0.42247685603797436</v>
      </c>
      <c r="AD104" s="8">
        <f t="shared" si="24"/>
        <v>1.8262297230009494E-10</v>
      </c>
      <c r="AE104" s="8">
        <f t="shared" si="32"/>
        <v>0.42247685696929693</v>
      </c>
      <c r="AF104" s="8">
        <f t="shared" si="25"/>
        <v>-7.7112866092576837E-10</v>
      </c>
      <c r="AG104" s="8">
        <f t="shared" si="26"/>
        <v>0.42247685650363564</v>
      </c>
      <c r="AH104" s="8">
        <f t="shared" si="27"/>
        <v>-2.9425284431283671E-10</v>
      </c>
      <c r="AI104" s="8">
        <f t="shared" si="28"/>
        <v>-5.3737329036167329E-20</v>
      </c>
      <c r="AJ104" s="8">
        <f t="shared" si="29"/>
        <v>2.2690680180855637E-19</v>
      </c>
      <c r="AK104" s="8">
        <f t="shared" si="30"/>
        <v>9.3132257461547852E-10</v>
      </c>
    </row>
  </sheetData>
  <mergeCells count="24">
    <mergeCell ref="F21:H21"/>
    <mergeCell ref="B25:D25"/>
    <mergeCell ref="F26:H26"/>
    <mergeCell ref="B35:D35"/>
    <mergeCell ref="F10:H10"/>
    <mergeCell ref="B11:D11"/>
    <mergeCell ref="B16:D16"/>
    <mergeCell ref="R15:T15"/>
    <mergeCell ref="N15:P15"/>
    <mergeCell ref="V15:X15"/>
    <mergeCell ref="B1:D1"/>
    <mergeCell ref="B3:D3"/>
    <mergeCell ref="F3:H3"/>
    <mergeCell ref="N3:P3"/>
    <mergeCell ref="R3:T3"/>
    <mergeCell ref="V3:X3"/>
    <mergeCell ref="J10:L10"/>
    <mergeCell ref="J3:L3"/>
    <mergeCell ref="B38:D38"/>
    <mergeCell ref="B43:D43"/>
    <mergeCell ref="B48:D48"/>
    <mergeCell ref="B55:D55"/>
    <mergeCell ref="B60:D60"/>
    <mergeCell ref="B52:D52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2024-08-17T20:23:26Z</dcterms:modified>
</cp:coreProperties>
</file>