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168A9ECD-597D-7C44-9F5A-B89B17B74AC7}" xr6:coauthVersionLast="47" xr6:coauthVersionMax="47" xr10:uidLastSave="{00000000-0000-0000-0000-000000000000}"/>
  <bookViews>
    <workbookView xWindow="0" yWindow="740" windowWidth="30240" windowHeight="18900" activeTab="1" xr2:uid="{843CD013-835A-1741-B375-CD508AE79BD2}"/>
  </bookViews>
  <sheets>
    <sheet name="multirotor" sheetId="3" r:id="rId1"/>
    <sheet name="lift+crui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3" l="1"/>
  <c r="G11" i="3"/>
  <c r="G6" i="3"/>
  <c r="G20" i="3" l="1"/>
  <c r="G16" i="1"/>
  <c r="G11" i="1"/>
  <c r="G6" i="1"/>
  <c r="G32" i="1"/>
  <c r="G31" i="1"/>
  <c r="G31" i="3"/>
  <c r="G30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G20" i="1" l="1"/>
  <c r="AD6" i="3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B13" i="1"/>
  <c r="AD13" i="1"/>
  <c r="AD13" i="3" l="1"/>
  <c r="AF13" i="3" s="1"/>
  <c r="AB14" i="3" s="1"/>
  <c r="AF13" i="1"/>
  <c r="AJ13" i="1"/>
  <c r="AJ13" i="3" l="1"/>
  <c r="AD14" i="3"/>
  <c r="AJ14" i="3" s="1"/>
  <c r="AB14" i="1"/>
  <c r="AD14" i="1"/>
  <c r="AF14" i="3" l="1"/>
  <c r="AD15" i="3" s="1"/>
  <c r="AJ14" i="1"/>
  <c r="AF14" i="1"/>
  <c r="AB15" i="3" l="1"/>
  <c r="AJ15" i="3" s="1"/>
  <c r="AD15" i="1"/>
  <c r="AB15" i="1"/>
  <c r="AF15" i="3" l="1"/>
  <c r="AD16" i="3" s="1"/>
  <c r="AF15" i="1"/>
  <c r="AJ15" i="1"/>
  <c r="AB16" i="3" l="1"/>
  <c r="AF16" i="3" s="1"/>
  <c r="AD17" i="3" s="1"/>
  <c r="AD16" i="1"/>
  <c r="AB16" i="1"/>
  <c r="AJ16" i="3" l="1"/>
  <c r="AB17" i="3"/>
  <c r="AJ17" i="3" s="1"/>
  <c r="AF16" i="1"/>
  <c r="AB17" i="1" s="1"/>
  <c r="AJ16" i="1"/>
  <c r="AF17" i="3" l="1"/>
  <c r="AB18" i="3" s="1"/>
  <c r="AD17" i="1"/>
  <c r="AF17" i="1" s="1"/>
  <c r="AD18" i="1" s="1"/>
  <c r="AD18" i="3" l="1"/>
  <c r="AJ18" i="3" s="1"/>
  <c r="AJ17" i="1"/>
  <c r="AB18" i="1"/>
  <c r="AJ18" i="1" s="1"/>
  <c r="AF18" i="3" l="1"/>
  <c r="AB19" i="3" s="1"/>
  <c r="AF18" i="1"/>
  <c r="AD19" i="1" s="1"/>
  <c r="AD19" i="3" l="1"/>
  <c r="AF19" i="3" s="1"/>
  <c r="AB19" i="1"/>
  <c r="AF19" i="1" s="1"/>
  <c r="AB20" i="3" l="1"/>
  <c r="AD20" i="3"/>
  <c r="AJ19" i="3"/>
  <c r="AJ19" i="1"/>
  <c r="AB20" i="1"/>
  <c r="AD20" i="1"/>
  <c r="AJ20" i="3" l="1"/>
  <c r="AF20" i="3"/>
  <c r="AB21" i="3" s="1"/>
  <c r="AF20" i="1"/>
  <c r="AD21" i="1" s="1"/>
  <c r="AJ20" i="1"/>
  <c r="AD21" i="3" l="1"/>
  <c r="AJ21" i="3" s="1"/>
  <c r="AB21" i="1"/>
  <c r="AF21" i="1" s="1"/>
  <c r="AB22" i="1" s="1"/>
  <c r="AF21" i="3" l="1"/>
  <c r="AD22" i="3" s="1"/>
  <c r="AD22" i="1"/>
  <c r="AF22" i="1" s="1"/>
  <c r="AD23" i="1" s="1"/>
  <c r="AJ21" i="1"/>
  <c r="AB22" i="3" l="1"/>
  <c r="AJ22" i="3" s="1"/>
  <c r="AB23" i="1"/>
  <c r="AF23" i="1" s="1"/>
  <c r="AD24" i="1" s="1"/>
  <c r="AJ22" i="1"/>
  <c r="AF22" i="3" l="1"/>
  <c r="AD23" i="3" s="1"/>
  <c r="AJ23" i="1"/>
  <c r="AB24" i="1"/>
  <c r="AJ24" i="1" s="1"/>
  <c r="AB23" i="3" l="1"/>
  <c r="AJ23" i="3" s="1"/>
  <c r="AF24" i="1"/>
  <c r="AD25" i="1" s="1"/>
  <c r="AF23" i="3" l="1"/>
  <c r="AD24" i="3" s="1"/>
  <c r="AB25" i="1"/>
  <c r="AF25" i="1" s="1"/>
  <c r="AB26" i="1" s="1"/>
  <c r="AB24" i="3" l="1"/>
  <c r="AF24" i="3" s="1"/>
  <c r="AD25" i="3" s="1"/>
  <c r="AD26" i="1"/>
  <c r="AF26" i="1" s="1"/>
  <c r="AB27" i="1" s="1"/>
  <c r="AJ25" i="1"/>
  <c r="AJ24" i="3" l="1"/>
  <c r="AB25" i="3"/>
  <c r="AJ25" i="3" s="1"/>
  <c r="AD27" i="1"/>
  <c r="AF27" i="1" s="1"/>
  <c r="AD28" i="1" s="1"/>
  <c r="AJ26" i="1"/>
  <c r="AF25" i="3" l="1"/>
  <c r="AB26" i="3" s="1"/>
  <c r="AJ27" i="1"/>
  <c r="AB28" i="1"/>
  <c r="AJ28" i="1" s="1"/>
  <c r="AD26" i="3" l="1"/>
  <c r="AJ26" i="3" s="1"/>
  <c r="AF28" i="1"/>
  <c r="AB29" i="1" s="1"/>
  <c r="AF26" i="3" l="1"/>
  <c r="AB27" i="3" s="1"/>
  <c r="AD29" i="1"/>
  <c r="AF29" i="1" s="1"/>
  <c r="AD27" i="3" l="1"/>
  <c r="AF27" i="3" s="1"/>
  <c r="AB28" i="3" s="1"/>
  <c r="AJ29" i="1"/>
  <c r="AB30" i="1"/>
  <c r="AD30" i="1"/>
  <c r="AD28" i="3" l="1"/>
  <c r="AF28" i="3" s="1"/>
  <c r="AB29" i="3" s="1"/>
  <c r="AJ27" i="3"/>
  <c r="AJ30" i="1"/>
  <c r="AF30" i="1"/>
  <c r="AJ28" i="3" l="1"/>
  <c r="AD29" i="3"/>
  <c r="AJ29" i="3" s="1"/>
  <c r="AD31" i="1"/>
  <c r="AB31" i="1"/>
  <c r="AF29" i="3" l="1"/>
  <c r="AB30" i="3" s="1"/>
  <c r="AF31" i="1"/>
  <c r="AD32" i="1" s="1"/>
  <c r="AJ31" i="1"/>
  <c r="AD30" i="3" l="1"/>
  <c r="AF30" i="3" s="1"/>
  <c r="AB32" i="1"/>
  <c r="AF32" i="1" s="1"/>
  <c r="AB33" i="1" s="1"/>
  <c r="AJ30" i="3" l="1"/>
  <c r="AD31" i="3"/>
  <c r="AB31" i="3"/>
  <c r="AD33" i="1"/>
  <c r="AF33" i="1" s="1"/>
  <c r="AB34" i="1" s="1"/>
  <c r="AJ32" i="1"/>
  <c r="AF31" i="3" l="1"/>
  <c r="AD32" i="3" s="1"/>
  <c r="AJ31" i="3"/>
  <c r="AJ33" i="1"/>
  <c r="AD34" i="1"/>
  <c r="AF34" i="1" s="1"/>
  <c r="AB32" i="3" l="1"/>
  <c r="AF32" i="3" s="1"/>
  <c r="AB33" i="3" s="1"/>
  <c r="AJ34" i="1"/>
  <c r="AB35" i="1"/>
  <c r="AD35" i="1"/>
  <c r="AJ32" i="3" l="1"/>
  <c r="AD33" i="3"/>
  <c r="AJ33" i="3" s="1"/>
  <c r="AF35" i="1"/>
  <c r="AJ35" i="1"/>
  <c r="AF33" i="3" l="1"/>
  <c r="AB34" i="3" s="1"/>
  <c r="AB36" i="1"/>
  <c r="AD36" i="1"/>
  <c r="AD34" i="3" l="1"/>
  <c r="AF34" i="3" s="1"/>
  <c r="AF36" i="1"/>
  <c r="AJ36" i="1"/>
  <c r="AJ34" i="3" l="1"/>
  <c r="AB35" i="3"/>
  <c r="AD35" i="3"/>
  <c r="AB37" i="1"/>
  <c r="AD37" i="1"/>
  <c r="Y4" i="1"/>
  <c r="U4" i="1"/>
  <c r="K19" i="1"/>
  <c r="K17" i="1"/>
  <c r="K9" i="1"/>
  <c r="K5" i="1"/>
  <c r="AJ35" i="3" l="1"/>
  <c r="AF35" i="3"/>
  <c r="AD36" i="3" s="1"/>
  <c r="AF37" i="1"/>
  <c r="AJ37" i="1"/>
  <c r="K20" i="1"/>
  <c r="K23" i="1" s="1"/>
  <c r="AB36" i="3" l="1"/>
  <c r="AF36" i="3" s="1"/>
  <c r="AD38" i="1"/>
  <c r="AB38" i="1"/>
  <c r="AD37" i="3" l="1"/>
  <c r="AB37" i="3"/>
  <c r="AJ36" i="3"/>
  <c r="AF38" i="1"/>
  <c r="AB39" i="1" s="1"/>
  <c r="AJ38" i="1"/>
  <c r="AJ37" i="3" l="1"/>
  <c r="AF37" i="3"/>
  <c r="AD39" i="1"/>
  <c r="AF39" i="1" s="1"/>
  <c r="AB38" i="3" l="1"/>
  <c r="AD38" i="3"/>
  <c r="AJ39" i="1"/>
  <c r="AB40" i="1"/>
  <c r="AD40" i="1"/>
  <c r="AF38" i="3" l="1"/>
  <c r="AJ38" i="3"/>
  <c r="AJ40" i="1"/>
  <c r="AF40" i="1"/>
  <c r="AB39" i="3" l="1"/>
  <c r="AD39" i="3"/>
  <c r="AD41" i="1"/>
  <c r="AB41" i="1"/>
  <c r="AJ39" i="3" l="1"/>
  <c r="AF39" i="3"/>
  <c r="AD40" i="3" s="1"/>
  <c r="AF41" i="1"/>
  <c r="AB42" i="1" s="1"/>
  <c r="AJ41" i="1"/>
  <c r="AB40" i="3" l="1"/>
  <c r="AF40" i="3" s="1"/>
  <c r="AB41" i="3" s="1"/>
  <c r="AD42" i="1"/>
  <c r="AJ42" i="1" s="1"/>
  <c r="AD41" i="3" l="1"/>
  <c r="AF41" i="3" s="1"/>
  <c r="AJ40" i="3"/>
  <c r="AF42" i="1"/>
  <c r="AD43" i="1" s="1"/>
  <c r="AJ41" i="3" l="1"/>
  <c r="AB42" i="3"/>
  <c r="AD42" i="3"/>
  <c r="AB43" i="1"/>
  <c r="AJ43" i="1" s="1"/>
  <c r="AJ42" i="3" l="1"/>
  <c r="AF42" i="3"/>
  <c r="AF43" i="1"/>
  <c r="AB44" i="1" s="1"/>
  <c r="AB43" i="3" l="1"/>
  <c r="AD43" i="3"/>
  <c r="AD44" i="1"/>
  <c r="AJ44" i="1" s="1"/>
  <c r="AF43" i="3" l="1"/>
  <c r="AJ43" i="3"/>
  <c r="AF44" i="1"/>
  <c r="C17" i="1" l="1"/>
  <c r="G14" i="1" s="1"/>
  <c r="AD44" i="3"/>
  <c r="AB44" i="3"/>
  <c r="G36" i="1" l="1"/>
  <c r="G15" i="1"/>
  <c r="G4" i="1"/>
  <c r="G34" i="1"/>
  <c r="G35" i="1"/>
  <c r="G30" i="1"/>
  <c r="G33" i="1"/>
  <c r="G28" i="1"/>
  <c r="G29" i="1"/>
  <c r="K6" i="1"/>
  <c r="G23" i="1"/>
  <c r="AF44" i="3"/>
  <c r="C15" i="3" s="1"/>
  <c r="G14" i="3" s="1"/>
  <c r="AJ44" i="3"/>
  <c r="G5" i="1"/>
  <c r="K4" i="1"/>
  <c r="K10" i="1" s="1"/>
  <c r="G41" i="1"/>
  <c r="G15" i="3" l="1"/>
  <c r="G4" i="3"/>
  <c r="G26" i="3" s="1"/>
  <c r="G34" i="3"/>
  <c r="G35" i="3"/>
  <c r="G32" i="3"/>
  <c r="G33" i="3"/>
  <c r="G28" i="3"/>
  <c r="G29" i="3"/>
  <c r="G5" i="3"/>
  <c r="G23" i="3"/>
  <c r="G41" i="3"/>
  <c r="K5" i="3"/>
  <c r="K7" i="3" s="1"/>
  <c r="K8" i="3" s="1"/>
  <c r="K12" i="3" s="1"/>
  <c r="K7" i="1"/>
  <c r="K8" i="1" s="1"/>
  <c r="G45" i="1"/>
  <c r="G44" i="1"/>
  <c r="G27" i="3" l="1"/>
  <c r="G25" i="3"/>
  <c r="G44" i="3"/>
  <c r="K6" i="3"/>
  <c r="G45" i="3"/>
  <c r="K18" i="3"/>
  <c r="K13" i="3"/>
  <c r="K17" i="3" s="1"/>
  <c r="K11" i="1"/>
  <c r="G43" i="3" l="1"/>
  <c r="K19" i="3"/>
  <c r="K22" i="3" s="1"/>
  <c r="K12" i="1"/>
  <c r="K18" i="1" s="1"/>
  <c r="K21" i="1" s="1"/>
  <c r="T4" i="1" s="1"/>
  <c r="K13" i="1"/>
  <c r="K25" i="3" l="1"/>
  <c r="K27" i="3" s="1"/>
  <c r="K20" i="3"/>
  <c r="T4" i="3" s="1"/>
  <c r="V4" i="1"/>
  <c r="X4" i="1" s="1"/>
  <c r="S5" i="1" s="1"/>
  <c r="T5" i="1" s="1"/>
  <c r="R4" i="1"/>
  <c r="K26" i="1"/>
  <c r="K28" i="1" s="1"/>
  <c r="V4" i="3" l="1"/>
  <c r="X4" i="3" s="1"/>
  <c r="S5" i="3" s="1"/>
  <c r="R4" i="3"/>
  <c r="W4" i="1"/>
  <c r="Q5" i="1" s="1"/>
  <c r="U5" i="1" s="1"/>
  <c r="V5" i="1" s="1"/>
  <c r="X5" i="1" s="1"/>
  <c r="S6" i="1" s="1"/>
  <c r="T6" i="1" s="1"/>
  <c r="W4" i="3" l="1"/>
  <c r="Q5" i="3" s="1"/>
  <c r="R5" i="3" s="1"/>
  <c r="T5" i="3"/>
  <c r="R5" i="1"/>
  <c r="W5" i="1" s="1"/>
  <c r="Q6" i="1" s="1"/>
  <c r="Y5" i="1"/>
  <c r="Y5" i="3" l="1"/>
  <c r="U5" i="3"/>
  <c r="V5" i="3" s="1"/>
  <c r="W5" i="3" s="1"/>
  <c r="Q6" i="3" s="1"/>
  <c r="R6" i="3" s="1"/>
  <c r="R6" i="1"/>
  <c r="Y6" i="1"/>
  <c r="U6" i="1"/>
  <c r="V6" i="1" s="1"/>
  <c r="X5" i="3" l="1"/>
  <c r="S6" i="3" s="1"/>
  <c r="U6" i="3" s="1"/>
  <c r="V6" i="3" s="1"/>
  <c r="W6" i="3" s="1"/>
  <c r="Q7" i="3" s="1"/>
  <c r="R7" i="3" s="1"/>
  <c r="W6" i="1"/>
  <c r="Q7" i="1" s="1"/>
  <c r="R7" i="1" s="1"/>
  <c r="X6" i="1"/>
  <c r="S7" i="1" s="1"/>
  <c r="T7" i="1" s="1"/>
  <c r="T6" i="3" l="1"/>
  <c r="X6" i="3" s="1"/>
  <c r="S7" i="3" s="1"/>
  <c r="Y6" i="3"/>
  <c r="U7" i="1"/>
  <c r="V7" i="1" s="1"/>
  <c r="W7" i="1" s="1"/>
  <c r="Q8" i="1" s="1"/>
  <c r="R8" i="1" s="1"/>
  <c r="Y7" i="1"/>
  <c r="U7" i="3" l="1"/>
  <c r="V7" i="3" s="1"/>
  <c r="W7" i="3" s="1"/>
  <c r="Q8" i="3" s="1"/>
  <c r="R8" i="3" s="1"/>
  <c r="Y7" i="3"/>
  <c r="T7" i="3"/>
  <c r="X7" i="1"/>
  <c r="S8" i="1" s="1"/>
  <c r="T8" i="1" s="1"/>
  <c r="X7" i="3" l="1"/>
  <c r="S8" i="3" s="1"/>
  <c r="Y8" i="3" s="1"/>
  <c r="Y8" i="1"/>
  <c r="U8" i="1"/>
  <c r="V8" i="1" s="1"/>
  <c r="X8" i="1" s="1"/>
  <c r="S9" i="1" s="1"/>
  <c r="T9" i="1" s="1"/>
  <c r="U8" i="3" l="1"/>
  <c r="V8" i="3" s="1"/>
  <c r="W8" i="3" s="1"/>
  <c r="Q9" i="3" s="1"/>
  <c r="R9" i="3" s="1"/>
  <c r="T8" i="3"/>
  <c r="W8" i="1"/>
  <c r="Q9" i="1" s="1"/>
  <c r="R9" i="1" s="1"/>
  <c r="X8" i="3" l="1"/>
  <c r="S9" i="3" s="1"/>
  <c r="U9" i="3" s="1"/>
  <c r="V9" i="3" s="1"/>
  <c r="W9" i="3" s="1"/>
  <c r="Q10" i="3" s="1"/>
  <c r="R10" i="3" s="1"/>
  <c r="Y9" i="1"/>
  <c r="U9" i="1"/>
  <c r="V9" i="1" s="1"/>
  <c r="W9" i="1" s="1"/>
  <c r="Q10" i="1" s="1"/>
  <c r="R10" i="1" s="1"/>
  <c r="Y9" i="3" l="1"/>
  <c r="T9" i="3"/>
  <c r="X9" i="3" s="1"/>
  <c r="S10" i="3" s="1"/>
  <c r="T10" i="3" s="1"/>
  <c r="X9" i="1"/>
  <c r="S10" i="1" s="1"/>
  <c r="U10" i="1" s="1"/>
  <c r="V10" i="1" s="1"/>
  <c r="W10" i="1" s="1"/>
  <c r="Q11" i="1" s="1"/>
  <c r="R11" i="1" s="1"/>
  <c r="Y10" i="3" l="1"/>
  <c r="U10" i="3"/>
  <c r="V10" i="3" s="1"/>
  <c r="W10" i="3" s="1"/>
  <c r="Q11" i="3" s="1"/>
  <c r="R11" i="3" s="1"/>
  <c r="T10" i="1"/>
  <c r="X10" i="1" s="1"/>
  <c r="S11" i="1" s="1"/>
  <c r="U11" i="1" s="1"/>
  <c r="V11" i="1" s="1"/>
  <c r="W11" i="1" s="1"/>
  <c r="Q12" i="1" s="1"/>
  <c r="Y10" i="1"/>
  <c r="X10" i="3" l="1"/>
  <c r="S11" i="3" s="1"/>
  <c r="T11" i="3" s="1"/>
  <c r="T11" i="1"/>
  <c r="X11" i="1" s="1"/>
  <c r="S12" i="1" s="1"/>
  <c r="T12" i="1" s="1"/>
  <c r="Y11" i="1"/>
  <c r="R12" i="1"/>
  <c r="Y11" i="3" l="1"/>
  <c r="U11" i="3"/>
  <c r="V11" i="3" s="1"/>
  <c r="W11" i="3" s="1"/>
  <c r="Q12" i="3" s="1"/>
  <c r="R12" i="3" s="1"/>
  <c r="U12" i="1"/>
  <c r="V12" i="1" s="1"/>
  <c r="X12" i="1" s="1"/>
  <c r="S13" i="1" s="1"/>
  <c r="Y12" i="1"/>
  <c r="X11" i="3" l="1"/>
  <c r="S12" i="3" s="1"/>
  <c r="T12" i="3" s="1"/>
  <c r="T13" i="1"/>
  <c r="W12" i="1"/>
  <c r="Q13" i="1" s="1"/>
  <c r="Y13" i="1" s="1"/>
  <c r="U12" i="3" l="1"/>
  <c r="V12" i="3" s="1"/>
  <c r="W12" i="3" s="1"/>
  <c r="Q13" i="3" s="1"/>
  <c r="R13" i="3" s="1"/>
  <c r="Y12" i="3"/>
  <c r="R13" i="1"/>
  <c r="U13" i="1"/>
  <c r="V13" i="1" s="1"/>
  <c r="X13" i="1" s="1"/>
  <c r="S14" i="1" s="1"/>
  <c r="X12" i="3" l="1"/>
  <c r="S13" i="3" s="1"/>
  <c r="T13" i="3" s="1"/>
  <c r="T14" i="1"/>
  <c r="W13" i="1"/>
  <c r="Q14" i="1" s="1"/>
  <c r="U13" i="3" l="1"/>
  <c r="V13" i="3" s="1"/>
  <c r="X13" i="3" s="1"/>
  <c r="S14" i="3" s="1"/>
  <c r="T14" i="3" s="1"/>
  <c r="Y13" i="3"/>
  <c r="U14" i="1"/>
  <c r="V14" i="1" s="1"/>
  <c r="X14" i="1" s="1"/>
  <c r="S15" i="1" s="1"/>
  <c r="R14" i="1"/>
  <c r="Y14" i="1"/>
  <c r="W13" i="3" l="1"/>
  <c r="Q14" i="3" s="1"/>
  <c r="Y14" i="3" s="1"/>
  <c r="W14" i="1"/>
  <c r="Q15" i="1" s="1"/>
  <c r="Y15" i="1" s="1"/>
  <c r="T15" i="1"/>
  <c r="U14" i="3" l="1"/>
  <c r="V14" i="3" s="1"/>
  <c r="X14" i="3" s="1"/>
  <c r="S15" i="3" s="1"/>
  <c r="T15" i="3" s="1"/>
  <c r="R14" i="3"/>
  <c r="U15" i="1"/>
  <c r="V15" i="1" s="1"/>
  <c r="X15" i="1" s="1"/>
  <c r="S16" i="1" s="1"/>
  <c r="R15" i="1"/>
  <c r="W14" i="3" l="1"/>
  <c r="Q15" i="3" s="1"/>
  <c r="R15" i="3" s="1"/>
  <c r="T16" i="1"/>
  <c r="W15" i="1"/>
  <c r="Q16" i="1" s="1"/>
  <c r="Y15" i="3" l="1"/>
  <c r="U15" i="3"/>
  <c r="V15" i="3" s="1"/>
  <c r="W15" i="3" s="1"/>
  <c r="Q16" i="3" s="1"/>
  <c r="R16" i="3" s="1"/>
  <c r="R16" i="1"/>
  <c r="U16" i="1"/>
  <c r="V16" i="1" s="1"/>
  <c r="X16" i="1" s="1"/>
  <c r="S17" i="1" s="1"/>
  <c r="Y16" i="1"/>
  <c r="X15" i="3" l="1"/>
  <c r="S16" i="3" s="1"/>
  <c r="Y16" i="3" s="1"/>
  <c r="T17" i="1"/>
  <c r="W16" i="1"/>
  <c r="Q17" i="1" s="1"/>
  <c r="T16" i="3" l="1"/>
  <c r="U16" i="3"/>
  <c r="V16" i="3" s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9" i="1" s="1"/>
  <c r="G27" i="1" s="1"/>
  <c r="V34" i="1"/>
  <c r="G10" i="1" l="1"/>
  <c r="G19" i="1" s="1"/>
  <c r="G24" i="1" s="1"/>
  <c r="V29" i="3"/>
  <c r="X29" i="3" s="1"/>
  <c r="S30" i="3" s="1"/>
  <c r="W34" i="1"/>
  <c r="X34" i="1"/>
  <c r="G25" i="1" l="1"/>
  <c r="G42" i="1"/>
  <c r="G26" i="1"/>
  <c r="T30" i="3"/>
  <c r="W29" i="3"/>
  <c r="Q30" i="3" s="1"/>
  <c r="G43" i="1" l="1"/>
  <c r="G46" i="1" s="1"/>
  <c r="G37" i="1"/>
  <c r="AG4" i="1" s="1"/>
  <c r="R30" i="3"/>
  <c r="U30" i="3"/>
  <c r="Y30" i="3"/>
  <c r="G38" i="1" l="1"/>
  <c r="AC4" i="1"/>
  <c r="AE4" i="1"/>
  <c r="V30" i="3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9" i="3" s="1"/>
  <c r="Y34" i="3"/>
  <c r="G10" i="3" l="1"/>
  <c r="G19" i="3" s="1"/>
  <c r="V34" i="3"/>
  <c r="X34" i="3" s="1"/>
  <c r="W34" i="3" l="1"/>
  <c r="G24" i="3" l="1"/>
  <c r="G42" i="3" l="1"/>
  <c r="G46" i="3" s="1"/>
  <c r="G36" i="3"/>
  <c r="AG4" i="3" l="1"/>
  <c r="AE4" i="3"/>
  <c r="AC4" i="3"/>
  <c r="G37" i="3"/>
</calcChain>
</file>

<file path=xl/sharedStrings.xml><?xml version="1.0" encoding="utf-8"?>
<sst xmlns="http://schemas.openxmlformats.org/spreadsheetml/2006/main" count="342" uniqueCount="134">
  <si>
    <t>!!! Press F9 to recalculate !!!</t>
  </si>
  <si>
    <t>lift+cruise</t>
  </si>
  <si>
    <t>rotor_lift_solidity</t>
  </si>
  <si>
    <t>rotor_cruise_solidity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</si>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</sst>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multirotor!$F$41:$F$45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multirotor!$G$41:$G$45</c:f>
              <c:numCache>
                <c:formatCode>General</c:formatCode>
                <c:ptCount val="5"/>
                <c:pt idx="0">
                  <c:v>40.24</c:v>
                </c:pt>
                <c:pt idx="1">
                  <c:v>30.62</c:v>
                </c:pt>
                <c:pt idx="2">
                  <c:v>11.07</c:v>
                </c:pt>
                <c:pt idx="3">
                  <c:v>13.39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'lift+cruise'!$F$41:$F$45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'lift+cruise'!$G$41:$G$45</c:f>
              <c:numCache>
                <c:formatCode>General</c:formatCode>
                <c:ptCount val="5"/>
                <c:pt idx="0">
                  <c:v>37.5</c:v>
                </c:pt>
                <c:pt idx="1">
                  <c:v>17.23</c:v>
                </c:pt>
                <c:pt idx="2">
                  <c:v>14.18</c:v>
                </c:pt>
                <c:pt idx="3">
                  <c:v>26.41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workbookViewId="0">
      <selection activeCell="G27" sqref="G27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19.33203125" style="20" customWidth="1"/>
    <col min="7" max="7" width="13.1640625" style="20" customWidth="1"/>
    <col min="8" max="8" width="4.1640625" style="20" customWidth="1"/>
    <col min="9" max="9" width="6" style="20" customWidth="1"/>
    <col min="10" max="10" width="12" style="20" customWidth="1"/>
    <col min="11" max="11" width="10.83203125" style="20"/>
    <col min="12" max="12" width="6.33203125" style="20" customWidth="1"/>
    <col min="13" max="13" width="4" style="20" customWidth="1"/>
    <col min="14" max="15" width="3.83203125" style="20" customWidth="1"/>
    <col min="16" max="16" width="5.5" style="20" customWidth="1"/>
    <col min="17" max="18" width="6.1640625" style="20" customWidth="1"/>
    <col min="19" max="19" width="6.6640625" style="20" customWidth="1"/>
    <col min="20" max="20" width="7" style="20" customWidth="1"/>
    <col min="21" max="21" width="14.6640625" style="20" customWidth="1"/>
    <col min="22" max="22" width="7.83203125" style="20" customWidth="1"/>
    <col min="23" max="23" width="10" style="20" customWidth="1"/>
    <col min="24" max="24" width="9.5" style="20" customWidth="1"/>
    <col min="25" max="25" width="13.6640625" style="20" customWidth="1"/>
    <col min="26" max="26" width="10.83203125" style="20"/>
    <col min="27" max="27" width="5.1640625" style="20" customWidth="1"/>
    <col min="28" max="31" width="10.83203125" style="20"/>
    <col min="32" max="32" width="18.33203125" style="20" customWidth="1"/>
    <col min="33" max="16384" width="10.83203125" style="20"/>
  </cols>
  <sheetData>
    <row r="1" spans="2:36" x14ac:dyDescent="0.2">
      <c r="B1" s="42" t="s">
        <v>0</v>
      </c>
      <c r="C1" s="42"/>
      <c r="D1" s="42"/>
    </row>
    <row r="2" spans="2:36" x14ac:dyDescent="0.2">
      <c r="P2" s="32" t="s">
        <v>72</v>
      </c>
      <c r="AA2" s="32" t="s">
        <v>114</v>
      </c>
    </row>
    <row r="3" spans="2:36" x14ac:dyDescent="0.2">
      <c r="B3" s="38" t="s">
        <v>108</v>
      </c>
      <c r="C3" s="39"/>
      <c r="D3" s="39"/>
      <c r="F3" s="38" t="s">
        <v>120</v>
      </c>
      <c r="G3" s="39"/>
      <c r="H3" s="39"/>
      <c r="J3" s="37" t="s">
        <v>42</v>
      </c>
      <c r="K3" s="37"/>
      <c r="L3" s="37"/>
      <c r="P3" s="23" t="s">
        <v>73</v>
      </c>
      <c r="Q3" s="23" t="s">
        <v>74</v>
      </c>
      <c r="R3" s="23" t="s">
        <v>75</v>
      </c>
      <c r="S3" s="23" t="s">
        <v>76</v>
      </c>
      <c r="T3" s="23" t="s">
        <v>77</v>
      </c>
      <c r="U3" s="23" t="s">
        <v>78</v>
      </c>
      <c r="V3" s="23" t="s">
        <v>79</v>
      </c>
      <c r="W3" s="23" t="s">
        <v>80</v>
      </c>
      <c r="X3" s="23" t="s">
        <v>81</v>
      </c>
      <c r="Y3" s="23" t="s">
        <v>82</v>
      </c>
      <c r="AA3" s="23" t="s">
        <v>73</v>
      </c>
      <c r="AB3" s="23" t="s">
        <v>74</v>
      </c>
      <c r="AC3" s="23" t="s">
        <v>75</v>
      </c>
      <c r="AD3" s="23" t="s">
        <v>76</v>
      </c>
      <c r="AE3" s="23" t="s">
        <v>77</v>
      </c>
      <c r="AF3" s="23" t="s">
        <v>78</v>
      </c>
      <c r="AG3" s="23" t="s">
        <v>79</v>
      </c>
      <c r="AH3" s="23" t="s">
        <v>80</v>
      </c>
      <c r="AI3" s="23" t="s">
        <v>81</v>
      </c>
      <c r="AJ3" s="23" t="s">
        <v>82</v>
      </c>
    </row>
    <row r="4" spans="2:36" x14ac:dyDescent="0.2">
      <c r="B4" s="20" t="s">
        <v>62</v>
      </c>
      <c r="C4" s="33" t="s">
        <v>109</v>
      </c>
      <c r="F4" s="20" t="s">
        <v>122</v>
      </c>
      <c r="G4" s="20">
        <f xml:space="preserve"> ($C$15*$C$31)/$C$7 * ( ($C$24/2) + SQRT( ($C$24/2)^2 + ($C$15*$C$31)/(2*$C$30*$C$5*PI()*$C$16*$C$16 ) ) )</f>
        <v>192243.33346149538</v>
      </c>
      <c r="H4" s="20" t="s">
        <v>32</v>
      </c>
      <c r="J4" s="20" t="s">
        <v>44</v>
      </c>
      <c r="K4" s="20">
        <f xml:space="preserve"> 0.5 * $C$30 * $C$17^2</f>
        <v>551.25</v>
      </c>
      <c r="L4" s="20" t="s">
        <v>45</v>
      </c>
      <c r="P4" s="8">
        <v>0</v>
      </c>
      <c r="Q4" s="9">
        <v>0</v>
      </c>
      <c r="R4" s="8">
        <f xml:space="preserve"> $C$18 * TAN($K$17) + $K$20 / (2 * SQRT($C$18^2 + Q4^2)) - Q4</f>
        <v>0.11127816155015957</v>
      </c>
      <c r="S4" s="9">
        <v>1</v>
      </c>
      <c r="T4" s="8">
        <f xml:space="preserve"> $C$18 * TAN($K$17) + $K$20 / (2 * SQRT($C$18^2 + S4^2)) - S4</f>
        <v>-0.93342212099639377</v>
      </c>
      <c r="U4" s="8">
        <f xml:space="preserve"> (Q4 + S4)/2</f>
        <v>0.5</v>
      </c>
      <c r="V4" s="8">
        <f xml:space="preserve"> $C$18 * TAN($K$17) + $K$20 / (2 * SQRT($C$18^2 + U4^2)) - U4</f>
        <v>-0.41917453264718696</v>
      </c>
      <c r="W4" s="8">
        <f>R4*V4</f>
        <v>-4.6644971361626306E-2</v>
      </c>
      <c r="X4" s="8">
        <f>T4*V4</f>
        <v>0.39126678133120935</v>
      </c>
      <c r="Y4" s="8">
        <f>S4-Q4</f>
        <v>1</v>
      </c>
      <c r="AA4" s="8">
        <v>0</v>
      </c>
      <c r="AB4" s="8"/>
      <c r="AC4" s="8">
        <f>G36</f>
        <v>7.2191141953226179E-11</v>
      </c>
      <c r="AD4" s="8"/>
      <c r="AE4" s="8">
        <f>G36</f>
        <v>7.2191141953226179E-11</v>
      </c>
      <c r="AF4" s="8"/>
      <c r="AG4" s="8">
        <f>G36</f>
        <v>7.2191141953226179E-11</v>
      </c>
      <c r="AH4" s="8"/>
      <c r="AI4" s="8"/>
      <c r="AJ4" s="8"/>
    </row>
    <row r="5" spans="2:36" x14ac:dyDescent="0.2">
      <c r="B5" s="20" t="s">
        <v>60</v>
      </c>
      <c r="C5" s="33">
        <v>7</v>
      </c>
      <c r="F5" s="20" t="s">
        <v>33</v>
      </c>
      <c r="G5" s="20">
        <f xml:space="preserve"> $C$15 * $C$31 / $C$5</f>
        <v>1393.2378431061002</v>
      </c>
      <c r="H5" s="20" t="s">
        <v>34</v>
      </c>
      <c r="J5" s="20" t="s">
        <v>64</v>
      </c>
      <c r="K5" s="20">
        <f xml:space="preserve"> 0.0327 * ($C$15*2.20462)^0.8903 * 0.3048^2</f>
        <v>2.8633950383163613</v>
      </c>
      <c r="L5" s="20" t="s">
        <v>20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0.11127816155015957</v>
      </c>
      <c r="S5" s="8">
        <f>IF(X4&gt;0, U4, S4)</f>
        <v>0.5</v>
      </c>
      <c r="T5" s="8">
        <f t="shared" ref="T5:T34" si="1" xml:space="preserve"> $C$18 * TAN($K$17) + $K$20 / (2 * SQRT($C$18^2 + S5^2)) - S5</f>
        <v>-0.41917453264718696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-0.15325989156220568</v>
      </c>
      <c r="W5" s="8">
        <f t="shared" ref="W5:W34" si="4">R5*V5</f>
        <v>-1.705447897241906E-2</v>
      </c>
      <c r="X5" s="8">
        <f t="shared" ref="X5:X34" si="5">T5*V5</f>
        <v>6.4242643419146123E-2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/>
        <v>-200.45024950099992</v>
      </c>
      <c r="AD5" s="9">
        <v>2500</v>
      </c>
      <c r="AE5" s="8">
        <f t="dataTable" ref="AE5:AE44" dt2D="0" dtr="0" r1="C15" ca="1"/>
        <v>157.99601575760767</v>
      </c>
      <c r="AF5" s="8">
        <f>(AB5+AD5)/2</f>
        <v>1500</v>
      </c>
      <c r="AG5" s="8">
        <f t="dataTable" ref="AG5:AG44" dt2D="0" dtr="0" r1="C15" ca="1"/>
        <v>123.2312183149171</v>
      </c>
      <c r="AH5" s="8">
        <f>AC5*AG5</f>
        <v>-24701.728457537323</v>
      </c>
      <c r="AI5" s="8">
        <f>AE5*AG5</f>
        <v>19470.041510712832</v>
      </c>
      <c r="AJ5" s="8">
        <f>AD5-AB5</f>
        <v>2000</v>
      </c>
    </row>
    <row r="6" spans="2:36" x14ac:dyDescent="0.2">
      <c r="B6" s="20" t="s">
        <v>2</v>
      </c>
      <c r="C6" s="33">
        <v>0.13</v>
      </c>
      <c r="F6" s="20" t="s">
        <v>130</v>
      </c>
      <c r="G6" s="24">
        <f xml:space="preserve"> $C$25/$C$24</f>
        <v>120</v>
      </c>
      <c r="H6" s="20" t="s">
        <v>25</v>
      </c>
      <c r="J6" s="20" t="s">
        <v>65</v>
      </c>
      <c r="K6" s="20">
        <f xml:space="preserve"> K5 / ($C$5 * PI() * $C$16^2)</f>
        <v>0.13020670696367315</v>
      </c>
      <c r="P6" s="8">
        <v>2</v>
      </c>
      <c r="Q6" s="8">
        <f t="shared" ref="Q6:Q34" si="7">IF(W5&gt;0, U5, Q5)</f>
        <v>0</v>
      </c>
      <c r="R6" s="8">
        <f t="shared" si="0"/>
        <v>0.11127816155015957</v>
      </c>
      <c r="S6" s="8">
        <f t="shared" ref="S6:S34" si="8">IF(X5&gt;0, U5, S5)</f>
        <v>0.25</v>
      </c>
      <c r="T6" s="8">
        <f t="shared" si="1"/>
        <v>-0.15325989156220568</v>
      </c>
      <c r="U6" s="8">
        <f t="shared" si="2"/>
        <v>0.125</v>
      </c>
      <c r="V6" s="8">
        <f t="shared" si="3"/>
        <v>-1.8546749796022791E-2</v>
      </c>
      <c r="W6" s="8">
        <f t="shared" si="4"/>
        <v>-2.063848220032213E-3</v>
      </c>
      <c r="X6" s="8">
        <f t="shared" si="5"/>
        <v>2.8424728625698133E-3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-200.45024950099992</v>
      </c>
      <c r="AD6" s="8">
        <f>IF(AI5&gt;0, AF5, AD5)</f>
        <v>1500</v>
      </c>
      <c r="AE6" s="8">
        <v>123.2312183149171</v>
      </c>
      <c r="AF6" s="8">
        <f t="shared" ref="AF6:AF44" si="9">(AB6+AD6)/2</f>
        <v>1000</v>
      </c>
      <c r="AG6" s="8">
        <v>1.8785244192182518</v>
      </c>
      <c r="AH6" s="8">
        <f t="shared" ref="AH6:AH44" si="10">AC6*AG6</f>
        <v>-376.55068852601954</v>
      </c>
      <c r="AI6" s="8">
        <f t="shared" ref="AI6:AI44" si="11">AE6*AG6</f>
        <v>231.49285281458722</v>
      </c>
      <c r="AJ6" s="8">
        <f t="shared" ref="AJ6:AJ44" si="12">AD6-AB6</f>
        <v>1000</v>
      </c>
    </row>
    <row r="7" spans="2:36" x14ac:dyDescent="0.2">
      <c r="B7" s="20" t="s">
        <v>4</v>
      </c>
      <c r="C7" s="33">
        <v>0.75</v>
      </c>
      <c r="J7" s="20" t="s">
        <v>66</v>
      </c>
      <c r="K7" s="20">
        <f xml:space="preserve"> K4 * K5</f>
        <v>1578.4465148718941</v>
      </c>
      <c r="L7" s="20" t="s">
        <v>34</v>
      </c>
      <c r="P7" s="8">
        <v>3</v>
      </c>
      <c r="Q7" s="8">
        <f t="shared" si="7"/>
        <v>0</v>
      </c>
      <c r="R7" s="8">
        <f t="shared" si="0"/>
        <v>0.11127816155015957</v>
      </c>
      <c r="S7" s="8">
        <f t="shared" si="8"/>
        <v>0.125</v>
      </c>
      <c r="T7" s="8">
        <f t="shared" si="1"/>
        <v>-1.8546749796022791E-2</v>
      </c>
      <c r="U7" s="8">
        <f t="shared" si="2"/>
        <v>6.25E-2</v>
      </c>
      <c r="V7" s="8">
        <f t="shared" si="3"/>
        <v>4.7459732603259308E-2</v>
      </c>
      <c r="W7" s="8">
        <f t="shared" si="4"/>
        <v>5.2812317917528646E-3</v>
      </c>
      <c r="X7" s="8">
        <f t="shared" si="5"/>
        <v>-8.8022378597879579E-4</v>
      </c>
      <c r="Y7" s="8">
        <f t="shared" si="6"/>
        <v>0.125</v>
      </c>
      <c r="AA7" s="8">
        <v>3</v>
      </c>
      <c r="AB7" s="8">
        <f t="shared" ref="AB7:AB44" si="13">IF(AH6&gt;0, AF6, AB6)</f>
        <v>500</v>
      </c>
      <c r="AC7" s="8">
        <v>-200.45024950099992</v>
      </c>
      <c r="AD7" s="8">
        <f t="shared" ref="AD7:AD44" si="14">IF(AI6&gt;0, AF6, AD6)</f>
        <v>1000</v>
      </c>
      <c r="AE7" s="8">
        <v>1.8785244192182518</v>
      </c>
      <c r="AF7" s="8">
        <f t="shared" si="9"/>
        <v>750</v>
      </c>
      <c r="AG7" s="8">
        <v>-88.554887051654532</v>
      </c>
      <c r="AH7" s="8">
        <f t="shared" si="10"/>
        <v>17750.849204037018</v>
      </c>
      <c r="AI7" s="8">
        <f t="shared" si="11"/>
        <v>-166.35251776764721</v>
      </c>
      <c r="AJ7" s="8">
        <f t="shared" si="12"/>
        <v>500</v>
      </c>
    </row>
    <row r="8" spans="2:36" x14ac:dyDescent="0.2">
      <c r="F8" s="38" t="s">
        <v>35</v>
      </c>
      <c r="G8" s="39"/>
      <c r="H8" s="39"/>
      <c r="J8" s="20" t="s">
        <v>69</v>
      </c>
      <c r="K8" s="20">
        <f xml:space="preserve"> K7</f>
        <v>1578.4465148718941</v>
      </c>
      <c r="L8" s="20" t="s">
        <v>34</v>
      </c>
      <c r="P8" s="8">
        <v>4</v>
      </c>
      <c r="Q8" s="8">
        <f t="shared" si="7"/>
        <v>6.25E-2</v>
      </c>
      <c r="R8" s="8">
        <f t="shared" si="0"/>
        <v>4.7459732603259308E-2</v>
      </c>
      <c r="S8" s="8">
        <f t="shared" si="8"/>
        <v>0.125</v>
      </c>
      <c r="T8" s="8">
        <f t="shared" si="1"/>
        <v>-1.8546749796022791E-2</v>
      </c>
      <c r="U8" s="8">
        <f t="shared" si="2"/>
        <v>9.375E-2</v>
      </c>
      <c r="V8" s="8">
        <f t="shared" si="3"/>
        <v>1.4672970634215257E-2</v>
      </c>
      <c r="W8" s="8">
        <f t="shared" si="4"/>
        <v>6.9637526279533221E-4</v>
      </c>
      <c r="X8" s="8">
        <f t="shared" si="5"/>
        <v>-2.7213591511718023E-4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-88.554887051654532</v>
      </c>
      <c r="AD8" s="8">
        <f t="shared" si="14"/>
        <v>1000</v>
      </c>
      <c r="AE8" s="8">
        <v>1.8785244192182518</v>
      </c>
      <c r="AF8" s="8">
        <f t="shared" si="9"/>
        <v>875</v>
      </c>
      <c r="AG8" s="8">
        <v>-40.733867350912988</v>
      </c>
      <c r="AH8" s="8">
        <f t="shared" si="10"/>
        <v>3607.1830224371779</v>
      </c>
      <c r="AI8" s="8">
        <f t="shared" si="11"/>
        <v>-76.519564507887125</v>
      </c>
      <c r="AJ8" s="8">
        <f t="shared" si="12"/>
        <v>250</v>
      </c>
    </row>
    <row r="9" spans="2:36" x14ac:dyDescent="0.2">
      <c r="B9" s="38" t="s">
        <v>7</v>
      </c>
      <c r="C9" s="39"/>
      <c r="D9" s="39"/>
      <c r="F9" s="25" t="s">
        <v>36</v>
      </c>
      <c r="G9" s="20">
        <f xml:space="preserve"> K22 + K18 * (K24 * K27 + $C$17 * SIN(K17))</f>
        <v>18321.40327368856</v>
      </c>
      <c r="H9" s="20" t="s">
        <v>32</v>
      </c>
      <c r="P9" s="8">
        <v>5</v>
      </c>
      <c r="Q9" s="8">
        <f t="shared" si="7"/>
        <v>9.375E-2</v>
      </c>
      <c r="R9" s="8">
        <f t="shared" si="0"/>
        <v>1.4672970634215257E-2</v>
      </c>
      <c r="S9" s="8">
        <f t="shared" si="8"/>
        <v>0.125</v>
      </c>
      <c r="T9" s="8">
        <f t="shared" si="1"/>
        <v>-1.8546749796022791E-2</v>
      </c>
      <c r="U9" s="8">
        <f t="shared" si="2"/>
        <v>0.109375</v>
      </c>
      <c r="V9" s="8">
        <f t="shared" si="3"/>
        <v>-1.8911697807072192E-3</v>
      </c>
      <c r="W9" s="8">
        <f t="shared" si="4"/>
        <v>-2.7749078656632336E-5</v>
      </c>
      <c r="X9" s="8">
        <f t="shared" si="5"/>
        <v>3.507505274457608E-5</v>
      </c>
      <c r="Y9" s="8">
        <f t="shared" si="6"/>
        <v>3.125E-2</v>
      </c>
      <c r="AA9" s="8">
        <v>5</v>
      </c>
      <c r="AB9" s="8">
        <f t="shared" si="13"/>
        <v>875</v>
      </c>
      <c r="AC9" s="8">
        <v>-40.733867350912988</v>
      </c>
      <c r="AD9" s="8">
        <f t="shared" si="14"/>
        <v>1000</v>
      </c>
      <c r="AE9" s="8">
        <v>1.8785244192182518</v>
      </c>
      <c r="AF9" s="8">
        <f t="shared" si="9"/>
        <v>937.5</v>
      </c>
      <c r="AG9" s="8">
        <v>-18.786053924933753</v>
      </c>
      <c r="AH9" s="8">
        <f t="shared" si="10"/>
        <v>765.22862862534976</v>
      </c>
      <c r="AI9" s="8">
        <f t="shared" si="11"/>
        <v>-35.290061038738941</v>
      </c>
      <c r="AJ9" s="8">
        <f t="shared" si="12"/>
        <v>125</v>
      </c>
    </row>
    <row r="10" spans="2:36" x14ac:dyDescent="0.2">
      <c r="B10" s="20" t="s">
        <v>8</v>
      </c>
      <c r="C10" s="33">
        <v>250</v>
      </c>
      <c r="D10" s="20" t="s">
        <v>9</v>
      </c>
      <c r="F10" s="25" t="s">
        <v>37</v>
      </c>
      <c r="G10" s="20">
        <f>$C$5 * G9</f>
        <v>128249.82291581992</v>
      </c>
      <c r="H10" s="20" t="s">
        <v>32</v>
      </c>
      <c r="P10" s="8">
        <v>6</v>
      </c>
      <c r="Q10" s="8">
        <f t="shared" si="7"/>
        <v>9.375E-2</v>
      </c>
      <c r="R10" s="8">
        <f t="shared" si="0"/>
        <v>1.4672970634215257E-2</v>
      </c>
      <c r="S10" s="8">
        <f t="shared" si="8"/>
        <v>0.109375</v>
      </c>
      <c r="T10" s="8">
        <f t="shared" si="1"/>
        <v>-1.8911697807072192E-3</v>
      </c>
      <c r="U10" s="8">
        <f t="shared" si="2"/>
        <v>0.1015625</v>
      </c>
      <c r="V10" s="8">
        <f t="shared" si="3"/>
        <v>6.4033982692015823E-3</v>
      </c>
      <c r="W10" s="8">
        <f t="shared" si="4"/>
        <v>9.3956874763179623E-5</v>
      </c>
      <c r="X10" s="8">
        <f t="shared" si="5"/>
        <v>-1.2109913300546944E-5</v>
      </c>
      <c r="Y10" s="8">
        <f t="shared" si="6"/>
        <v>1.5625E-2</v>
      </c>
      <c r="AA10" s="8">
        <v>6</v>
      </c>
      <c r="AB10" s="8">
        <f t="shared" si="13"/>
        <v>937.5</v>
      </c>
      <c r="AC10" s="8">
        <v>-18.786053924933753</v>
      </c>
      <c r="AD10" s="8">
        <f t="shared" si="14"/>
        <v>1000</v>
      </c>
      <c r="AE10" s="8">
        <v>1.8785244192182518</v>
      </c>
      <c r="AF10" s="8">
        <f t="shared" si="9"/>
        <v>968.75</v>
      </c>
      <c r="AG10" s="8">
        <v>-8.294543663860054</v>
      </c>
      <c r="AH10" s="8">
        <f t="shared" si="10"/>
        <v>155.82174455199257</v>
      </c>
      <c r="AI10" s="8">
        <f t="shared" si="11"/>
        <v>-15.581502818833139</v>
      </c>
      <c r="AJ10" s="8">
        <f t="shared" si="12"/>
        <v>62.5</v>
      </c>
    </row>
    <row r="11" spans="2:36" x14ac:dyDescent="0.2">
      <c r="B11" s="20" t="s">
        <v>10</v>
      </c>
      <c r="C11" s="33">
        <v>0.85</v>
      </c>
      <c r="F11" s="25" t="s">
        <v>131</v>
      </c>
      <c r="G11" s="20">
        <f xml:space="preserve"> $C$22/$C$17</f>
        <v>1000</v>
      </c>
      <c r="H11" s="20" t="s">
        <v>25</v>
      </c>
      <c r="J11" s="38" t="s">
        <v>111</v>
      </c>
      <c r="K11" s="40"/>
      <c r="L11" s="40"/>
      <c r="P11" s="8">
        <v>7</v>
      </c>
      <c r="Q11" s="8">
        <f t="shared" si="7"/>
        <v>0.1015625</v>
      </c>
      <c r="R11" s="8">
        <f t="shared" si="0"/>
        <v>6.4033982692015823E-3</v>
      </c>
      <c r="S11" s="8">
        <f t="shared" si="8"/>
        <v>0.109375</v>
      </c>
      <c r="T11" s="8">
        <f t="shared" si="1"/>
        <v>-1.8911697807072192E-3</v>
      </c>
      <c r="U11" s="8">
        <f t="shared" si="2"/>
        <v>0.10546875</v>
      </c>
      <c r="V11" s="8">
        <f t="shared" si="3"/>
        <v>2.2591053763092173E-3</v>
      </c>
      <c r="W11" s="8">
        <f t="shared" si="4"/>
        <v>1.446595145660243E-5</v>
      </c>
      <c r="X11" s="8">
        <f t="shared" si="5"/>
        <v>-4.2723518191092026E-6</v>
      </c>
      <c r="Y11" s="8">
        <f t="shared" si="6"/>
        <v>7.8125E-3</v>
      </c>
      <c r="AA11" s="8">
        <v>7</v>
      </c>
      <c r="AB11" s="8">
        <f t="shared" si="13"/>
        <v>968.75</v>
      </c>
      <c r="AC11" s="8">
        <v>-8.294543663860054</v>
      </c>
      <c r="AD11" s="8">
        <f t="shared" si="14"/>
        <v>1000</v>
      </c>
      <c r="AE11" s="8">
        <v>1.8785244192182518</v>
      </c>
      <c r="AF11" s="8">
        <f t="shared" si="9"/>
        <v>984.375</v>
      </c>
      <c r="AG11" s="8">
        <v>-3.1683518312479464</v>
      </c>
      <c r="AH11" s="8">
        <f t="shared" si="10"/>
        <v>26.280032606757054</v>
      </c>
      <c r="AI11" s="8">
        <f t="shared" si="11"/>
        <v>-5.9518262836741327</v>
      </c>
      <c r="AJ11" s="8">
        <f t="shared" si="12"/>
        <v>31.25</v>
      </c>
    </row>
    <row r="12" spans="2:36" x14ac:dyDescent="0.2">
      <c r="B12" s="20" t="s">
        <v>11</v>
      </c>
      <c r="C12" s="33">
        <v>0.8</v>
      </c>
      <c r="J12" s="20" t="s">
        <v>112</v>
      </c>
      <c r="K12" s="20">
        <f xml:space="preserve"> SQRT( ($C$15*$C$31)^2 + K8^2)</f>
        <v>9879.573173269946</v>
      </c>
      <c r="L12" s="20" t="s">
        <v>34</v>
      </c>
      <c r="P12" s="8">
        <v>8</v>
      </c>
      <c r="Q12" s="8">
        <f t="shared" si="7"/>
        <v>0.10546875</v>
      </c>
      <c r="R12" s="8">
        <f t="shared" si="0"/>
        <v>2.2591053763092173E-3</v>
      </c>
      <c r="S12" s="8">
        <f t="shared" si="8"/>
        <v>0.109375</v>
      </c>
      <c r="T12" s="8">
        <f t="shared" si="1"/>
        <v>-1.8911697807072192E-3</v>
      </c>
      <c r="U12" s="8">
        <f t="shared" si="2"/>
        <v>0.107421875</v>
      </c>
      <c r="V12" s="8">
        <f t="shared" si="3"/>
        <v>1.846988688715967E-4</v>
      </c>
      <c r="W12" s="8">
        <f t="shared" si="4"/>
        <v>4.1725420766605522E-7</v>
      </c>
      <c r="X12" s="8">
        <f t="shared" si="5"/>
        <v>-3.4929691934076896E-7</v>
      </c>
      <c r="Y12" s="8">
        <f t="shared" si="6"/>
        <v>3.90625E-3</v>
      </c>
      <c r="AA12" s="8">
        <v>8</v>
      </c>
      <c r="AB12" s="8">
        <f t="shared" si="13"/>
        <v>984.375</v>
      </c>
      <c r="AC12" s="8">
        <v>-3.1683518312479464</v>
      </c>
      <c r="AD12" s="8">
        <f t="shared" si="14"/>
        <v>1000</v>
      </c>
      <c r="AE12" s="8">
        <v>1.8785244192182518</v>
      </c>
      <c r="AF12" s="8">
        <f t="shared" si="9"/>
        <v>992.1875</v>
      </c>
      <c r="AG12" s="8">
        <v>-0.63501774339545136</v>
      </c>
      <c r="AH12" s="8">
        <f t="shared" si="10"/>
        <v>2.0119596301619169</v>
      </c>
      <c r="AI12" s="8">
        <f t="shared" si="11"/>
        <v>-1.1928963376052251</v>
      </c>
      <c r="AJ12" s="8">
        <f t="shared" si="12"/>
        <v>15.625</v>
      </c>
    </row>
    <row r="13" spans="2:36" x14ac:dyDescent="0.2">
      <c r="F13" s="38" t="s">
        <v>121</v>
      </c>
      <c r="G13" s="39"/>
      <c r="H13" s="39"/>
      <c r="J13" s="20" t="s">
        <v>113</v>
      </c>
      <c r="K13" s="20">
        <f>$C$15*$C$31/K12</f>
        <v>0.98715447830574232</v>
      </c>
      <c r="P13" s="8">
        <v>9</v>
      </c>
      <c r="Q13" s="8">
        <f t="shared" si="7"/>
        <v>0.107421875</v>
      </c>
      <c r="R13" s="8">
        <f t="shared" si="0"/>
        <v>1.846988688715967E-4</v>
      </c>
      <c r="S13" s="8">
        <f t="shared" si="8"/>
        <v>0.109375</v>
      </c>
      <c r="T13" s="8">
        <f t="shared" si="1"/>
        <v>-1.8911697807072192E-3</v>
      </c>
      <c r="U13" s="8">
        <f t="shared" si="2"/>
        <v>0.1083984375</v>
      </c>
      <c r="V13" s="8">
        <f t="shared" si="3"/>
        <v>-8.5305477828906406E-4</v>
      </c>
      <c r="W13" s="8">
        <f t="shared" si="4"/>
        <v>-1.5755825263550084E-7</v>
      </c>
      <c r="X13" s="8">
        <f t="shared" si="5"/>
        <v>1.6132714179881747E-6</v>
      </c>
      <c r="Y13" s="8">
        <f t="shared" si="6"/>
        <v>1.953125E-3</v>
      </c>
      <c r="AA13" s="8">
        <v>9</v>
      </c>
      <c r="AB13" s="8">
        <f t="shared" si="13"/>
        <v>992.1875</v>
      </c>
      <c r="AC13" s="8">
        <v>-0.63501774339545136</v>
      </c>
      <c r="AD13" s="8">
        <f t="shared" si="14"/>
        <v>1000</v>
      </c>
      <c r="AE13" s="8">
        <v>1.8785244192182518</v>
      </c>
      <c r="AF13" s="8">
        <f t="shared" si="9"/>
        <v>996.09375</v>
      </c>
      <c r="AG13" s="8">
        <v>0.62422607187147605</v>
      </c>
      <c r="AH13" s="8">
        <f t="shared" si="10"/>
        <v>-0.39639463152843157</v>
      </c>
      <c r="AI13" s="8">
        <f t="shared" si="11"/>
        <v>1.1726239191232553</v>
      </c>
      <c r="AJ13" s="8">
        <f t="shared" si="12"/>
        <v>7.8125</v>
      </c>
    </row>
    <row r="14" spans="2:36" x14ac:dyDescent="0.2">
      <c r="B14" s="37" t="s">
        <v>12</v>
      </c>
      <c r="C14" s="37"/>
      <c r="D14" s="37"/>
      <c r="F14" s="20" t="s">
        <v>125</v>
      </c>
      <c r="G14" s="20">
        <f xml:space="preserve"> IF( $C$26&gt;=2*SQRT(($C$15*$C$31)/(2*$C$30*$C$5*PI()*$C$16*$C$16)), ($C$15*$C$31)/$C$7 * ( ($C$26/2) - SQRT( ($C$26/2)^2 - ($C$15*$C$31)/(2*$C$30*$C$5*PI()*$C$16*$C$16 ) ) ), 1/$C$7 * SQRT(($C$15*$C$31)^3/(2*$C$30*$C$5*PI()*$C$16*$C$16)) )</f>
        <v>174951.10564858653</v>
      </c>
      <c r="H14" s="20" t="s">
        <v>32</v>
      </c>
      <c r="P14" s="8">
        <v>10</v>
      </c>
      <c r="Q14" s="8">
        <f t="shared" si="7"/>
        <v>0.107421875</v>
      </c>
      <c r="R14" s="8">
        <f t="shared" si="0"/>
        <v>1.846988688715967E-4</v>
      </c>
      <c r="S14" s="8">
        <f t="shared" si="8"/>
        <v>0.1083984375</v>
      </c>
      <c r="T14" s="8">
        <f t="shared" si="1"/>
        <v>-8.5305477828906406E-4</v>
      </c>
      <c r="U14" s="8">
        <f t="shared" si="2"/>
        <v>0.10791015625</v>
      </c>
      <c r="V14" s="8">
        <f t="shared" si="3"/>
        <v>-3.3413252401551241E-4</v>
      </c>
      <c r="W14" s="8">
        <f t="shared" si="4"/>
        <v>-6.1713899238876761E-8</v>
      </c>
      <c r="X14" s="8">
        <f t="shared" si="5"/>
        <v>2.8503334619321829E-7</v>
      </c>
      <c r="Y14" s="8">
        <f t="shared" si="6"/>
        <v>9.765625E-4</v>
      </c>
      <c r="AA14" s="8">
        <v>10</v>
      </c>
      <c r="AB14" s="8">
        <f t="shared" si="13"/>
        <v>992.1875</v>
      </c>
      <c r="AC14" s="8">
        <v>-0.63501774339545136</v>
      </c>
      <c r="AD14" s="8">
        <f t="shared" si="14"/>
        <v>996.09375</v>
      </c>
      <c r="AE14" s="8">
        <v>0.62422607187147605</v>
      </c>
      <c r="AF14" s="8">
        <f t="shared" si="9"/>
        <v>994.140625</v>
      </c>
      <c r="AG14" s="8">
        <v>-4.7781787244502993E-3</v>
      </c>
      <c r="AH14" s="8">
        <f t="shared" si="10"/>
        <v>3.0342282711405852E-3</v>
      </c>
      <c r="AI14" s="8">
        <f t="shared" si="11"/>
        <v>-2.9826637358634704E-3</v>
      </c>
      <c r="AJ14" s="8">
        <f t="shared" si="12"/>
        <v>3.90625</v>
      </c>
    </row>
    <row r="15" spans="2:36" x14ac:dyDescent="0.2">
      <c r="B15" s="26" t="s">
        <v>63</v>
      </c>
      <c r="C15" s="26">
        <f>AF44</f>
        <v>994.15544360272179</v>
      </c>
      <c r="D15" s="26" t="s">
        <v>13</v>
      </c>
      <c r="F15" s="20" t="s">
        <v>33</v>
      </c>
      <c r="G15" s="20">
        <f xml:space="preserve"> $C$15 * $C$31 / $C$5</f>
        <v>1393.2378431061002</v>
      </c>
      <c r="H15" s="20" t="s">
        <v>34</v>
      </c>
      <c r="P15" s="8">
        <v>11</v>
      </c>
      <c r="Q15" s="8">
        <f t="shared" si="7"/>
        <v>0.107421875</v>
      </c>
      <c r="R15" s="8">
        <f t="shared" si="0"/>
        <v>1.846988688715967E-4</v>
      </c>
      <c r="S15" s="8">
        <f t="shared" si="8"/>
        <v>0.10791015625</v>
      </c>
      <c r="T15" s="8">
        <f t="shared" si="1"/>
        <v>-3.3413252401551241E-4</v>
      </c>
      <c r="U15" s="8">
        <f t="shared" si="2"/>
        <v>0.107666015625</v>
      </c>
      <c r="V15" s="8">
        <f t="shared" si="3"/>
        <v>-7.4705437238559158E-5</v>
      </c>
      <c r="W15" s="8">
        <f t="shared" si="4"/>
        <v>-1.3798009756519935E-8</v>
      </c>
      <c r="X15" s="8">
        <f t="shared" si="5"/>
        <v>2.4961516302202225E-8</v>
      </c>
      <c r="Y15" s="8">
        <f t="shared" si="6"/>
        <v>4.8828125E-4</v>
      </c>
      <c r="AA15" s="8">
        <v>11</v>
      </c>
      <c r="AB15" s="8">
        <f t="shared" si="13"/>
        <v>994.140625</v>
      </c>
      <c r="AC15" s="8">
        <v>-4.7781787244502993E-3</v>
      </c>
      <c r="AD15" s="8">
        <f t="shared" si="14"/>
        <v>996.09375</v>
      </c>
      <c r="AE15" s="8">
        <v>0.62422607187147605</v>
      </c>
      <c r="AF15" s="8">
        <f t="shared" si="9"/>
        <v>995.1171875</v>
      </c>
      <c r="AG15" s="8">
        <v>0.3098790503379405</v>
      </c>
      <c r="AH15" s="8">
        <f t="shared" si="10"/>
        <v>-1.4806574854776106E-3</v>
      </c>
      <c r="AI15" s="8">
        <f t="shared" si="11"/>
        <v>0.19343458234771599</v>
      </c>
      <c r="AJ15" s="8">
        <f t="shared" si="12"/>
        <v>1.953125</v>
      </c>
    </row>
    <row r="16" spans="2:36" x14ac:dyDescent="0.2">
      <c r="B16" s="20" t="s">
        <v>14</v>
      </c>
      <c r="C16" s="33">
        <v>1</v>
      </c>
      <c r="D16" s="20" t="s">
        <v>15</v>
      </c>
      <c r="F16" s="20" t="s">
        <v>132</v>
      </c>
      <c r="G16" s="24">
        <f xml:space="preserve"> $C$27/$C$26</f>
        <v>200</v>
      </c>
      <c r="H16" s="20" t="s">
        <v>25</v>
      </c>
      <c r="J16" s="38" t="s">
        <v>47</v>
      </c>
      <c r="K16" s="40"/>
      <c r="L16" s="40"/>
      <c r="P16" s="8">
        <v>12</v>
      </c>
      <c r="Q16" s="8">
        <f t="shared" si="7"/>
        <v>0.107421875</v>
      </c>
      <c r="R16" s="8">
        <f t="shared" si="0"/>
        <v>1.846988688715967E-4</v>
      </c>
      <c r="S16" s="8">
        <f t="shared" si="8"/>
        <v>0.107666015625</v>
      </c>
      <c r="T16" s="8">
        <f t="shared" si="1"/>
        <v>-7.4705437238559158E-5</v>
      </c>
      <c r="U16" s="8">
        <f t="shared" si="2"/>
        <v>0.1075439453125</v>
      </c>
      <c r="V16" s="8">
        <f t="shared" si="3"/>
        <v>5.4999567482283407E-5</v>
      </c>
      <c r="W16" s="8">
        <f t="shared" si="4"/>
        <v>1.0158357902404797E-8</v>
      </c>
      <c r="X16" s="8">
        <f t="shared" si="5"/>
        <v>-4.1087667366956219E-9</v>
      </c>
      <c r="Y16" s="8">
        <f t="shared" si="6"/>
        <v>2.44140625E-4</v>
      </c>
      <c r="AA16" s="8">
        <v>12</v>
      </c>
      <c r="AB16" s="8">
        <f t="shared" si="13"/>
        <v>994.140625</v>
      </c>
      <c r="AC16" s="8">
        <v>-4.7781787244502993E-3</v>
      </c>
      <c r="AD16" s="8">
        <f t="shared" si="14"/>
        <v>995.1171875</v>
      </c>
      <c r="AE16" s="8">
        <v>0.3098790503379405</v>
      </c>
      <c r="AF16" s="8">
        <f t="shared" si="9"/>
        <v>994.62890625</v>
      </c>
      <c r="AG16" s="8">
        <v>0.15258850146915393</v>
      </c>
      <c r="AH16" s="8">
        <f t="shared" si="10"/>
        <v>-7.2909513131566453E-4</v>
      </c>
      <c r="AI16" s="8">
        <f t="shared" si="11"/>
        <v>4.7283979927750859E-2</v>
      </c>
      <c r="AJ16" s="8">
        <f t="shared" si="12"/>
        <v>0.9765625</v>
      </c>
    </row>
    <row r="17" spans="2:36" x14ac:dyDescent="0.2">
      <c r="B17" s="20" t="s">
        <v>17</v>
      </c>
      <c r="C17" s="33">
        <v>30</v>
      </c>
      <c r="D17" s="20" t="s">
        <v>18</v>
      </c>
      <c r="J17" s="20" t="s">
        <v>48</v>
      </c>
      <c r="K17" s="20">
        <f xml:space="preserve"> ACOS(K13)</f>
        <v>0.16045633379628454</v>
      </c>
      <c r="L17" s="20" t="s">
        <v>49</v>
      </c>
      <c r="P17" s="8">
        <v>13</v>
      </c>
      <c r="Q17" s="8">
        <f t="shared" si="7"/>
        <v>0.1075439453125</v>
      </c>
      <c r="R17" s="8">
        <f t="shared" si="0"/>
        <v>5.4999567482283407E-5</v>
      </c>
      <c r="S17" s="8">
        <f t="shared" si="8"/>
        <v>0.107666015625</v>
      </c>
      <c r="T17" s="8">
        <f t="shared" si="1"/>
        <v>-7.4705437238559158E-5</v>
      </c>
      <c r="U17" s="8">
        <f t="shared" si="2"/>
        <v>0.10760498046875</v>
      </c>
      <c r="V17" s="8">
        <f t="shared" si="3"/>
        <v>-9.8522224719899132E-6</v>
      </c>
      <c r="W17" s="8">
        <f t="shared" si="4"/>
        <v>-5.4186797469867825E-10</v>
      </c>
      <c r="X17" s="8">
        <f t="shared" si="5"/>
        <v>7.3601458754156463E-10</v>
      </c>
      <c r="Y17" s="8">
        <f t="shared" si="6"/>
        <v>1.220703125E-4</v>
      </c>
      <c r="AA17" s="8">
        <v>13</v>
      </c>
      <c r="AB17" s="8">
        <f t="shared" si="13"/>
        <v>994.140625</v>
      </c>
      <c r="AC17" s="8">
        <v>-4.7781787244502993E-3</v>
      </c>
      <c r="AD17" s="8">
        <f t="shared" si="14"/>
        <v>994.62890625</v>
      </c>
      <c r="AE17" s="8">
        <v>0.15258850146915393</v>
      </c>
      <c r="AF17" s="8">
        <f t="shared" si="9"/>
        <v>994.384765625</v>
      </c>
      <c r="AG17" s="8">
        <v>7.3914915862928865E-2</v>
      </c>
      <c r="AH17" s="8">
        <f t="shared" si="10"/>
        <v>-3.5317867839578063E-4</v>
      </c>
      <c r="AI17" s="8">
        <f t="shared" si="11"/>
        <v>1.127856624774291E-2</v>
      </c>
      <c r="AJ17" s="8">
        <f t="shared" si="12"/>
        <v>0.48828125</v>
      </c>
    </row>
    <row r="18" spans="2:36" x14ac:dyDescent="0.2">
      <c r="B18" s="20" t="s">
        <v>110</v>
      </c>
      <c r="C18" s="33">
        <v>0.3</v>
      </c>
      <c r="F18" s="37" t="s">
        <v>38</v>
      </c>
      <c r="G18" s="37"/>
      <c r="H18" s="37"/>
      <c r="J18" s="20" t="s">
        <v>33</v>
      </c>
      <c r="K18" s="20">
        <f xml:space="preserve"> K12 / $C$5</f>
        <v>1411.3675961814208</v>
      </c>
      <c r="L18" s="20" t="s">
        <v>34</v>
      </c>
      <c r="P18" s="8">
        <v>14</v>
      </c>
      <c r="Q18" s="8">
        <f t="shared" si="7"/>
        <v>0.1075439453125</v>
      </c>
      <c r="R18" s="8">
        <f t="shared" si="0"/>
        <v>5.4999567482283407E-5</v>
      </c>
      <c r="S18" s="8">
        <f t="shared" si="8"/>
        <v>0.10760498046875</v>
      </c>
      <c r="T18" s="8">
        <f t="shared" si="1"/>
        <v>-9.8522224719899132E-6</v>
      </c>
      <c r="U18" s="8">
        <f t="shared" si="2"/>
        <v>0.107574462890625</v>
      </c>
      <c r="V18" s="8">
        <f t="shared" si="3"/>
        <v>2.2573850670476459E-5</v>
      </c>
      <c r="W18" s="8">
        <f t="shared" si="4"/>
        <v>1.2415520232858586E-9</v>
      </c>
      <c r="X18" s="8">
        <f t="shared" si="5"/>
        <v>-2.2240259885501272E-10</v>
      </c>
      <c r="Y18" s="8">
        <f t="shared" si="6"/>
        <v>6.103515625E-5</v>
      </c>
      <c r="AA18" s="8">
        <v>14</v>
      </c>
      <c r="AB18" s="8">
        <f t="shared" si="13"/>
        <v>994.140625</v>
      </c>
      <c r="AC18" s="8">
        <v>-4.7781787244502993E-3</v>
      </c>
      <c r="AD18" s="8">
        <f t="shared" si="14"/>
        <v>994.384765625</v>
      </c>
      <c r="AE18" s="8">
        <v>7.3914915862928865E-2</v>
      </c>
      <c r="AF18" s="8">
        <f t="shared" si="9"/>
        <v>994.2626953125</v>
      </c>
      <c r="AG18" s="8">
        <v>3.4571757496792088E-2</v>
      </c>
      <c r="AH18" s="8">
        <f t="shared" si="10"/>
        <v>-1.651900361380271E-4</v>
      </c>
      <c r="AI18" s="8">
        <f t="shared" si="11"/>
        <v>2.5553685466089674E-3</v>
      </c>
      <c r="AJ18" s="8">
        <f t="shared" si="12"/>
        <v>0.244140625</v>
      </c>
    </row>
    <row r="19" spans="2:36" x14ac:dyDescent="0.2">
      <c r="F19" s="20" t="s">
        <v>39</v>
      </c>
      <c r="G19" s="20">
        <f xml:space="preserve"> (G4*G6 + G10*G11 + G14*G16)/3600</f>
        <v>51752.567794699076</v>
      </c>
      <c r="H19" s="20" t="s">
        <v>40</v>
      </c>
      <c r="J19" s="20" t="s">
        <v>50</v>
      </c>
      <c r="K19" s="20">
        <f xml:space="preserve"> $C$17 * COS(K17) / ($C$18 * $C$16)</f>
        <v>98.715447830574234</v>
      </c>
      <c r="L19" s="20" t="s">
        <v>51</v>
      </c>
      <c r="P19" s="8">
        <v>15</v>
      </c>
      <c r="Q19" s="8">
        <f t="shared" si="7"/>
        <v>0.107574462890625</v>
      </c>
      <c r="R19" s="8">
        <f t="shared" si="0"/>
        <v>2.2573850670476459E-5</v>
      </c>
      <c r="S19" s="8">
        <f t="shared" si="8"/>
        <v>0.10760498046875</v>
      </c>
      <c r="T19" s="8">
        <f t="shared" si="1"/>
        <v>-9.8522224719899132E-6</v>
      </c>
      <c r="U19" s="8">
        <f t="shared" si="2"/>
        <v>0.1075897216796875</v>
      </c>
      <c r="V19" s="8">
        <f t="shared" si="3"/>
        <v>6.3608586325925032E-6</v>
      </c>
      <c r="W19" s="8">
        <f t="shared" si="4"/>
        <v>1.4358907290815425E-10</v>
      </c>
      <c r="X19" s="8">
        <f t="shared" si="5"/>
        <v>-6.2668594361178893E-11</v>
      </c>
      <c r="Y19" s="8">
        <f t="shared" si="6"/>
        <v>3.0517578125E-5</v>
      </c>
      <c r="AA19" s="8">
        <v>15</v>
      </c>
      <c r="AB19" s="8">
        <f t="shared" si="13"/>
        <v>994.140625</v>
      </c>
      <c r="AC19" s="8">
        <v>-4.7781787244502993E-3</v>
      </c>
      <c r="AD19" s="8">
        <f t="shared" si="14"/>
        <v>994.2626953125</v>
      </c>
      <c r="AE19" s="8">
        <v>3.4571757496792088E-2</v>
      </c>
      <c r="AF19" s="8">
        <f t="shared" si="9"/>
        <v>994.20166015625</v>
      </c>
      <c r="AG19" s="8">
        <v>1.4896448817921737E-2</v>
      </c>
      <c r="AH19" s="8">
        <f t="shared" si="10"/>
        <v>-7.1177894811656452E-5</v>
      </c>
      <c r="AI19" s="8">
        <f t="shared" si="11"/>
        <v>5.149964160965655E-4</v>
      </c>
      <c r="AJ19" s="8">
        <f t="shared" si="12"/>
        <v>0.1220703125</v>
      </c>
    </row>
    <row r="20" spans="2:36" x14ac:dyDescent="0.2">
      <c r="B20" s="37" t="s">
        <v>22</v>
      </c>
      <c r="C20" s="37"/>
      <c r="D20" s="37"/>
      <c r="F20" s="20" t="s">
        <v>41</v>
      </c>
      <c r="G20" s="20">
        <f xml:space="preserve"> G6 + G11 + G16</f>
        <v>1320</v>
      </c>
      <c r="H20" s="20" t="s">
        <v>25</v>
      </c>
      <c r="J20" s="20" t="s">
        <v>53</v>
      </c>
      <c r="K20" s="20">
        <f xml:space="preserve"> K18 / ($C$30 * PI() * $C$16^2 * K19^2 * $C$16^2)</f>
        <v>3.7634308500222431E-2</v>
      </c>
      <c r="P20" s="8">
        <v>16</v>
      </c>
      <c r="Q20" s="8">
        <f t="shared" si="7"/>
        <v>0.1075897216796875</v>
      </c>
      <c r="R20" s="8">
        <f t="shared" si="0"/>
        <v>6.3608586325925032E-6</v>
      </c>
      <c r="S20" s="8">
        <f t="shared" si="8"/>
        <v>0.10760498046875</v>
      </c>
      <c r="T20" s="8">
        <f t="shared" si="1"/>
        <v>-9.8522224719899132E-6</v>
      </c>
      <c r="U20" s="8">
        <f t="shared" si="2"/>
        <v>0.10759735107421875</v>
      </c>
      <c r="V20" s="8">
        <f t="shared" si="3"/>
        <v>-1.7456707873397814E-6</v>
      </c>
      <c r="W20" s="8">
        <f t="shared" si="4"/>
        <v>-1.1103965097314801E-11</v>
      </c>
      <c r="X20" s="8">
        <f t="shared" si="5"/>
        <v>1.719873695972532E-11</v>
      </c>
      <c r="Y20" s="8">
        <f t="shared" si="6"/>
        <v>1.52587890625E-5</v>
      </c>
      <c r="AA20" s="8">
        <v>16</v>
      </c>
      <c r="AB20" s="8">
        <f t="shared" si="13"/>
        <v>994.140625</v>
      </c>
      <c r="AC20" s="8">
        <v>-4.7781787244502993E-3</v>
      </c>
      <c r="AD20" s="8">
        <f t="shared" si="14"/>
        <v>994.20166015625</v>
      </c>
      <c r="AE20" s="8">
        <v>1.4896448817921737E-2</v>
      </c>
      <c r="AF20" s="8">
        <f t="shared" si="9"/>
        <v>994.171142578125</v>
      </c>
      <c r="AG20" s="8">
        <v>5.059287472363394E-3</v>
      </c>
      <c r="AH20" s="8">
        <f t="shared" si="10"/>
        <v>-2.4174179761324701E-5</v>
      </c>
      <c r="AI20" s="8">
        <f t="shared" si="11"/>
        <v>7.5365416887213939E-5</v>
      </c>
      <c r="AJ20" s="8">
        <f t="shared" si="12"/>
        <v>6.103515625E-2</v>
      </c>
    </row>
    <row r="21" spans="2:36" x14ac:dyDescent="0.2">
      <c r="B21" s="20" t="s">
        <v>102</v>
      </c>
      <c r="C21" s="33">
        <v>400</v>
      </c>
      <c r="D21" s="20" t="s">
        <v>13</v>
      </c>
      <c r="J21" s="20" t="s">
        <v>5</v>
      </c>
      <c r="K21" s="33">
        <v>1.2E-2</v>
      </c>
      <c r="P21" s="8">
        <v>17</v>
      </c>
      <c r="Q21" s="8">
        <f t="shared" si="7"/>
        <v>0.1075897216796875</v>
      </c>
      <c r="R21" s="8">
        <f t="shared" si="0"/>
        <v>6.3608586325925032E-6</v>
      </c>
      <c r="S21" s="8">
        <f t="shared" si="8"/>
        <v>0.10759735107421875</v>
      </c>
      <c r="T21" s="8">
        <f t="shared" si="1"/>
        <v>-1.7456707873397814E-6</v>
      </c>
      <c r="U21" s="8">
        <f t="shared" si="2"/>
        <v>0.10759353637695312</v>
      </c>
      <c r="V21" s="8">
        <f t="shared" si="3"/>
        <v>2.3075967058305835E-6</v>
      </c>
      <c r="W21" s="8">
        <f t="shared" si="4"/>
        <v>1.4678296426824492E-11</v>
      </c>
      <c r="X21" s="8">
        <f t="shared" si="5"/>
        <v>-4.0283041583299605E-12</v>
      </c>
      <c r="Y21" s="8">
        <f t="shared" si="6"/>
        <v>7.62939453125E-6</v>
      </c>
      <c r="AA21" s="8">
        <v>17</v>
      </c>
      <c r="AB21" s="8">
        <f t="shared" si="13"/>
        <v>994.140625</v>
      </c>
      <c r="AC21" s="8">
        <v>-4.7781787244502993E-3</v>
      </c>
      <c r="AD21" s="8">
        <f t="shared" si="14"/>
        <v>994.171142578125</v>
      </c>
      <c r="AE21" s="8">
        <v>5.059287472363394E-3</v>
      </c>
      <c r="AF21" s="8">
        <f t="shared" si="9"/>
        <v>994.1558837890625</v>
      </c>
      <c r="AG21" s="8">
        <v>1.4154264056287502E-4</v>
      </c>
      <c r="AH21" s="8">
        <f t="shared" si="10"/>
        <v>-6.763160337400454E-7</v>
      </c>
      <c r="AI21" s="8">
        <f t="shared" si="11"/>
        <v>7.1610490820498836E-7</v>
      </c>
      <c r="AJ21" s="8">
        <f t="shared" si="12"/>
        <v>3.0517578125E-2</v>
      </c>
    </row>
    <row r="22" spans="2:36" x14ac:dyDescent="0.2">
      <c r="B22" s="20" t="s">
        <v>23</v>
      </c>
      <c r="C22" s="33">
        <v>30000</v>
      </c>
      <c r="D22" s="20" t="s">
        <v>15</v>
      </c>
      <c r="F22" s="38" t="s">
        <v>83</v>
      </c>
      <c r="G22" s="38"/>
      <c r="H22" s="38"/>
      <c r="J22" s="20" t="s">
        <v>54</v>
      </c>
      <c r="K22" s="20">
        <f xml:space="preserve"> ($C$6 * K21 / 8) * (1 + 4.65 *$C$18^ 2) * ( PI() * $C$30 * K19^3 *$C$16^ 5)</f>
        <v>1024.0125354892409</v>
      </c>
      <c r="L22" s="20" t="s">
        <v>32</v>
      </c>
      <c r="P22" s="8">
        <v>18</v>
      </c>
      <c r="Q22" s="8">
        <f t="shared" si="7"/>
        <v>0.10759353637695312</v>
      </c>
      <c r="R22" s="8">
        <f t="shared" si="0"/>
        <v>2.3075967058305835E-6</v>
      </c>
      <c r="S22" s="8">
        <f t="shared" si="8"/>
        <v>0.10759735107421875</v>
      </c>
      <c r="T22" s="8">
        <f t="shared" si="1"/>
        <v>-1.7456707873397814E-6</v>
      </c>
      <c r="U22" s="8">
        <f t="shared" si="2"/>
        <v>0.10759544372558594</v>
      </c>
      <c r="V22" s="8">
        <f t="shared" si="3"/>
        <v>2.8096365503604837E-7</v>
      </c>
      <c r="W22" s="8">
        <f t="shared" si="4"/>
        <v>6.4835080481930563E-13</v>
      </c>
      <c r="X22" s="8">
        <f t="shared" si="5"/>
        <v>-4.9047004490064131E-13</v>
      </c>
      <c r="Y22" s="8">
        <f t="shared" si="6"/>
        <v>3.814697265625E-6</v>
      </c>
      <c r="AA22" s="8">
        <v>18</v>
      </c>
      <c r="AB22" s="8">
        <f t="shared" si="13"/>
        <v>994.140625</v>
      </c>
      <c r="AC22" s="8">
        <v>-4.7781787244502993E-3</v>
      </c>
      <c r="AD22" s="8">
        <f t="shared" si="14"/>
        <v>994.1558837890625</v>
      </c>
      <c r="AE22" s="8">
        <v>1.4154264056287502E-4</v>
      </c>
      <c r="AF22" s="8">
        <f t="shared" si="9"/>
        <v>994.14825439453125</v>
      </c>
      <c r="AG22" s="8">
        <v>-2.3192586717186714E-3</v>
      </c>
      <c r="AH22" s="8">
        <f t="shared" si="10"/>
        <v>1.1081832441703017E-5</v>
      </c>
      <c r="AI22" s="8">
        <f t="shared" si="11"/>
        <v>-3.2827399654340684E-7</v>
      </c>
      <c r="AJ22" s="8">
        <f t="shared" si="12"/>
        <v>1.52587890625E-2</v>
      </c>
    </row>
    <row r="23" spans="2:36" x14ac:dyDescent="0.2">
      <c r="B23" s="20" t="s">
        <v>24</v>
      </c>
      <c r="C23" s="33">
        <v>240</v>
      </c>
      <c r="D23" s="20" t="s">
        <v>25</v>
      </c>
      <c r="F23" s="26" t="s">
        <v>119</v>
      </c>
      <c r="G23" s="20">
        <f>C15</f>
        <v>994.15544360272179</v>
      </c>
      <c r="H23" s="20" t="s">
        <v>13</v>
      </c>
      <c r="J23" s="20" t="s">
        <v>55</v>
      </c>
      <c r="K23" s="34">
        <f>U34</f>
        <v>0.10759570775553584</v>
      </c>
      <c r="P23" s="8">
        <v>19</v>
      </c>
      <c r="Q23" s="8">
        <f t="shared" si="7"/>
        <v>0.10759544372558594</v>
      </c>
      <c r="R23" s="8">
        <f t="shared" si="0"/>
        <v>2.8096365503604837E-7</v>
      </c>
      <c r="S23" s="8">
        <f t="shared" si="8"/>
        <v>0.10759735107421875</v>
      </c>
      <c r="T23" s="8">
        <f t="shared" si="1"/>
        <v>-1.7456707873397814E-6</v>
      </c>
      <c r="U23" s="8">
        <f t="shared" si="2"/>
        <v>0.10759639739990234</v>
      </c>
      <c r="V23" s="8">
        <f t="shared" si="3"/>
        <v>-7.3235339220767415E-7</v>
      </c>
      <c r="W23" s="8">
        <f t="shared" si="4"/>
        <v>-2.0576468585271679E-13</v>
      </c>
      <c r="X23" s="8">
        <f t="shared" si="5"/>
        <v>1.2784479227861303E-12</v>
      </c>
      <c r="Y23" s="8">
        <f t="shared" si="6"/>
        <v>1.9073486328125E-6</v>
      </c>
      <c r="AA23" s="8">
        <v>19</v>
      </c>
      <c r="AB23" s="8">
        <f t="shared" si="13"/>
        <v>994.14825439453125</v>
      </c>
      <c r="AC23" s="8">
        <v>-2.3192586717186714E-3</v>
      </c>
      <c r="AD23" s="8">
        <f t="shared" si="14"/>
        <v>994.1558837890625</v>
      </c>
      <c r="AE23" s="8">
        <v>1.4154264056287502E-4</v>
      </c>
      <c r="AF23" s="8">
        <f t="shared" si="9"/>
        <v>994.15206909179688</v>
      </c>
      <c r="AG23" s="8">
        <v>-1.0888556366808189E-3</v>
      </c>
      <c r="AH23" s="8">
        <f t="shared" si="10"/>
        <v>2.5253378776217441E-6</v>
      </c>
      <c r="AI23" s="8">
        <f t="shared" si="11"/>
        <v>-1.5411950200757359E-7</v>
      </c>
      <c r="AJ23" s="8">
        <f t="shared" si="12"/>
        <v>7.62939453125E-3</v>
      </c>
    </row>
    <row r="24" spans="2:36" x14ac:dyDescent="0.2">
      <c r="B24" s="20" t="s">
        <v>126</v>
      </c>
      <c r="C24" s="33">
        <v>2.54</v>
      </c>
      <c r="D24" s="20" t="s">
        <v>18</v>
      </c>
      <c r="F24" s="27" t="s">
        <v>84</v>
      </c>
      <c r="G24" s="20">
        <f xml:space="preserve"> G19 / ($C$10 * $C$11 * $C$12)</f>
        <v>304.42686938058279</v>
      </c>
      <c r="H24" s="20" t="s">
        <v>13</v>
      </c>
      <c r="J24" s="20" t="s">
        <v>56</v>
      </c>
      <c r="K24" s="20">
        <f xml:space="preserve"> K19 * $C$16 * K23 - $C$17 * SIN(K17)</f>
        <v>5.8282976202040606</v>
      </c>
      <c r="L24" s="20" t="s">
        <v>18</v>
      </c>
      <c r="P24" s="8">
        <v>20</v>
      </c>
      <c r="Q24" s="8">
        <f t="shared" si="7"/>
        <v>0.10759544372558594</v>
      </c>
      <c r="R24" s="8">
        <f t="shared" si="0"/>
        <v>2.8096365503604837E-7</v>
      </c>
      <c r="S24" s="8">
        <f t="shared" si="8"/>
        <v>0.10759639739990234</v>
      </c>
      <c r="T24" s="8">
        <f t="shared" si="1"/>
        <v>-7.3235339220767415E-7</v>
      </c>
      <c r="U24" s="8">
        <f t="shared" si="2"/>
        <v>0.10759592056274414</v>
      </c>
      <c r="V24" s="8">
        <f t="shared" si="3"/>
        <v>-2.2569482510670369E-7</v>
      </c>
      <c r="W24" s="8">
        <f t="shared" si="4"/>
        <v>-6.3412042984701169E-14</v>
      </c>
      <c r="X24" s="8">
        <f t="shared" si="5"/>
        <v>1.6528837077061219E-13</v>
      </c>
      <c r="Y24" s="8">
        <f t="shared" si="6"/>
        <v>9.5367431640625E-7</v>
      </c>
      <c r="AA24" s="8">
        <v>20</v>
      </c>
      <c r="AB24" s="8">
        <f t="shared" si="13"/>
        <v>994.15206909179688</v>
      </c>
      <c r="AC24" s="8">
        <v>-1.0888556366808189E-3</v>
      </c>
      <c r="AD24" s="8">
        <f t="shared" si="14"/>
        <v>994.1558837890625</v>
      </c>
      <c r="AE24" s="8">
        <v>1.4154264056287502E-4</v>
      </c>
      <c r="AF24" s="8">
        <f t="shared" si="9"/>
        <v>994.15397644042969</v>
      </c>
      <c r="AG24" s="8">
        <v>-4.7365590353365405E-4</v>
      </c>
      <c r="AH24" s="8">
        <f t="shared" si="10"/>
        <v>5.1574290040976539E-7</v>
      </c>
      <c r="AI24" s="8">
        <f t="shared" si="11"/>
        <v>-6.7042507304347804E-8</v>
      </c>
      <c r="AJ24" s="8">
        <f t="shared" si="12"/>
        <v>3.814697265625E-3</v>
      </c>
    </row>
    <row r="25" spans="2:36" x14ac:dyDescent="0.2">
      <c r="B25" s="20" t="s">
        <v>129</v>
      </c>
      <c r="C25" s="33">
        <v>304.8</v>
      </c>
      <c r="D25" s="20" t="s">
        <v>15</v>
      </c>
      <c r="F25" s="28" t="s">
        <v>85</v>
      </c>
      <c r="G25" s="20">
        <f xml:space="preserve"> $C$32 * ($C$5 * 0.144 * (2*$C$16*3.28084 * (G4*0.00134102/$C$5) * 4^0.5)^0.782 * 0.453592)</f>
        <v>45.950108197655645</v>
      </c>
      <c r="H25" s="20" t="s">
        <v>13</v>
      </c>
      <c r="J25" s="20" t="s">
        <v>57</v>
      </c>
      <c r="K25" s="20">
        <f xml:space="preserve"> 1/$C$7 - K22 * SQRT( (2*$C$30*PI()*$C$16^2) / K18^3 )</f>
        <v>1.2797532927314186</v>
      </c>
      <c r="P25" s="8">
        <v>21</v>
      </c>
      <c r="Q25" s="8">
        <f t="shared" si="7"/>
        <v>0.10759544372558594</v>
      </c>
      <c r="R25" s="8">
        <f t="shared" si="0"/>
        <v>2.8096365503604837E-7</v>
      </c>
      <c r="S25" s="8">
        <f t="shared" si="8"/>
        <v>0.10759592056274414</v>
      </c>
      <c r="T25" s="8">
        <f t="shared" si="1"/>
        <v>-2.2569482510670369E-7</v>
      </c>
      <c r="U25" s="8">
        <f t="shared" si="2"/>
        <v>0.10759568214416504</v>
      </c>
      <c r="V25" s="8">
        <f t="shared" si="3"/>
        <v>2.7634425830980192E-8</v>
      </c>
      <c r="W25" s="8">
        <f t="shared" si="4"/>
        <v>7.764269286294783E-15</v>
      </c>
      <c r="X25" s="8">
        <f t="shared" si="5"/>
        <v>-6.2369469048472492E-15</v>
      </c>
      <c r="Y25" s="8">
        <f t="shared" si="6"/>
        <v>4.76837158203125E-7</v>
      </c>
      <c r="AA25" s="8">
        <v>21</v>
      </c>
      <c r="AB25" s="8">
        <f t="shared" si="13"/>
        <v>994.15397644042969</v>
      </c>
      <c r="AC25" s="8">
        <v>-4.7365590353365405E-4</v>
      </c>
      <c r="AD25" s="8">
        <f t="shared" si="14"/>
        <v>994.1558837890625</v>
      </c>
      <c r="AE25" s="8">
        <v>1.4154264056287502E-4</v>
      </c>
      <c r="AF25" s="8">
        <f t="shared" si="9"/>
        <v>994.15493011474609</v>
      </c>
      <c r="AG25" s="8">
        <v>-1.6700664173185942E-4</v>
      </c>
      <c r="AH25" s="8">
        <f t="shared" si="10"/>
        <v>7.9103681785625122E-8</v>
      </c>
      <c r="AI25" s="8">
        <f t="shared" si="11"/>
        <v>-2.3638561062265422E-8</v>
      </c>
      <c r="AJ25" s="8">
        <f t="shared" si="12"/>
        <v>1.9073486328125E-3</v>
      </c>
    </row>
    <row r="26" spans="2:36" x14ac:dyDescent="0.2">
      <c r="B26" s="20" t="s">
        <v>127</v>
      </c>
      <c r="C26" s="33">
        <v>1.524</v>
      </c>
      <c r="D26" s="20" t="s">
        <v>18</v>
      </c>
      <c r="F26" s="29" t="s">
        <v>86</v>
      </c>
      <c r="G26" s="20">
        <f xml:space="preserve"> 0.2138 * (G4/1000)</f>
        <v>41.101624694067709</v>
      </c>
      <c r="H26" s="20" t="s">
        <v>13</v>
      </c>
      <c r="J26" s="20" t="s">
        <v>58</v>
      </c>
      <c r="K26" s="33">
        <v>1.1499999999999999</v>
      </c>
      <c r="P26" s="8">
        <v>22</v>
      </c>
      <c r="Q26" s="8">
        <f t="shared" si="7"/>
        <v>0.10759568214416504</v>
      </c>
      <c r="R26" s="8">
        <f t="shared" si="0"/>
        <v>2.7634425830980192E-8</v>
      </c>
      <c r="S26" s="8">
        <f t="shared" si="8"/>
        <v>0.10759592056274414</v>
      </c>
      <c r="T26" s="8">
        <f t="shared" si="1"/>
        <v>-2.2569482510670369E-7</v>
      </c>
      <c r="U26" s="8">
        <f t="shared" si="2"/>
        <v>0.10759580135345459</v>
      </c>
      <c r="V26" s="8">
        <f t="shared" si="3"/>
        <v>-9.9030196931693126E-8</v>
      </c>
      <c r="W26" s="8">
        <f t="shared" si="4"/>
        <v>-2.7366426321362359E-15</v>
      </c>
      <c r="X26" s="8">
        <f t="shared" si="5"/>
        <v>2.2350602976780904E-14</v>
      </c>
      <c r="Y26" s="8">
        <f t="shared" si="6"/>
        <v>2.384185791015625E-7</v>
      </c>
      <c r="AA26" s="8">
        <v>22</v>
      </c>
      <c r="AB26" s="8">
        <f t="shared" si="13"/>
        <v>994.15493011474609</v>
      </c>
      <c r="AC26" s="8">
        <v>-1.6700664173185942E-4</v>
      </c>
      <c r="AD26" s="8">
        <f t="shared" si="14"/>
        <v>994.1558837890625</v>
      </c>
      <c r="AE26" s="8">
        <v>1.4154264056287502E-4</v>
      </c>
      <c r="AF26" s="8">
        <f t="shared" si="9"/>
        <v>994.1554069519043</v>
      </c>
      <c r="AG26" s="8">
        <v>-1.1781804232668946E-5</v>
      </c>
      <c r="AH26" s="8">
        <f t="shared" si="10"/>
        <v>1.9676395584402477E-9</v>
      </c>
      <c r="AI26" s="8">
        <f t="shared" si="11"/>
        <v>-1.6676276816868202E-9</v>
      </c>
      <c r="AJ26" s="8">
        <f t="shared" si="12"/>
        <v>9.5367431640625E-4</v>
      </c>
    </row>
    <row r="27" spans="2:36" x14ac:dyDescent="0.2">
      <c r="B27" s="20" t="s">
        <v>133</v>
      </c>
      <c r="C27" s="33">
        <v>304.8</v>
      </c>
      <c r="D27" s="20" t="s">
        <v>15</v>
      </c>
      <c r="F27" s="29" t="s">
        <v>117</v>
      </c>
      <c r="G27" s="20">
        <f xml:space="preserve"> 2.20462 * (49.9/398 * (G4/$C$5/1000 - 2) + 0.1) * 0.453592 * $C$5</f>
        <v>23.047547608909916</v>
      </c>
      <c r="H27" s="20" t="s">
        <v>13</v>
      </c>
      <c r="J27" s="20" t="s">
        <v>59</v>
      </c>
      <c r="K27" s="20">
        <f xml:space="preserve"> 1/$C$35 * LN( EXP($C$35 * K25) + EXP($C$35 * K26) )</f>
        <v>1.280426197517371</v>
      </c>
      <c r="P27" s="8">
        <v>23</v>
      </c>
      <c r="Q27" s="8">
        <f t="shared" si="7"/>
        <v>0.10759568214416504</v>
      </c>
      <c r="R27" s="8">
        <f t="shared" si="0"/>
        <v>2.7634425830980192E-8</v>
      </c>
      <c r="S27" s="8">
        <f t="shared" si="8"/>
        <v>0.10759580135345459</v>
      </c>
      <c r="T27" s="8">
        <f t="shared" si="1"/>
        <v>-9.9030196931693126E-8</v>
      </c>
      <c r="U27" s="8">
        <f t="shared" si="2"/>
        <v>0.10759574174880981</v>
      </c>
      <c r="V27" s="8">
        <f t="shared" si="3"/>
        <v>-3.5697884870344865E-8</v>
      </c>
      <c r="W27" s="8">
        <f t="shared" si="4"/>
        <v>-9.8649055177241513E-16</v>
      </c>
      <c r="X27" s="8">
        <f t="shared" si="5"/>
        <v>3.5351685687551606E-15</v>
      </c>
      <c r="Y27" s="8">
        <f t="shared" si="6"/>
        <v>1.1920928955078125E-7</v>
      </c>
      <c r="AA27" s="8">
        <v>23</v>
      </c>
      <c r="AB27" s="8">
        <f t="shared" si="13"/>
        <v>994.1554069519043</v>
      </c>
      <c r="AC27" s="8">
        <v>-1.1781804232668946E-5</v>
      </c>
      <c r="AD27" s="8">
        <f t="shared" si="14"/>
        <v>994.1558837890625</v>
      </c>
      <c r="AE27" s="8">
        <v>1.4154264056287502E-4</v>
      </c>
      <c r="AF27" s="8">
        <f t="shared" si="9"/>
        <v>994.1556453704834</v>
      </c>
      <c r="AG27" s="8">
        <v>6.488042754426715E-5</v>
      </c>
      <c r="AH27" s="8">
        <f t="shared" si="10"/>
        <v>-7.6440849585841761E-10</v>
      </c>
      <c r="AI27" s="8">
        <f t="shared" si="11"/>
        <v>9.1833470354638617E-9</v>
      </c>
      <c r="AJ27" s="8">
        <f t="shared" si="12"/>
        <v>4.76837158203125E-4</v>
      </c>
    </row>
    <row r="28" spans="2:36" x14ac:dyDescent="0.2">
      <c r="F28" s="30" t="s">
        <v>94</v>
      </c>
      <c r="G28" s="20">
        <f xml:space="preserve"> $C$32 * (14.86 * ($C$15*2.20462)^0.144 * (6.7/(PI()*1.8))^0.778 * (6.7*3.28084)^0.383 * 4^0.455 * 0.453592)</f>
        <v>114.31295905483481</v>
      </c>
      <c r="H28" s="20" t="s">
        <v>13</v>
      </c>
      <c r="P28" s="8">
        <v>24</v>
      </c>
      <c r="Q28" s="8">
        <f t="shared" si="7"/>
        <v>0.10759568214416504</v>
      </c>
      <c r="R28" s="8">
        <f t="shared" si="0"/>
        <v>2.7634425830980192E-8</v>
      </c>
      <c r="S28" s="8">
        <f t="shared" si="8"/>
        <v>0.10759574174880981</v>
      </c>
      <c r="T28" s="8">
        <f t="shared" si="1"/>
        <v>-3.5697884870344865E-8</v>
      </c>
      <c r="U28" s="8">
        <f t="shared" si="2"/>
        <v>0.10759571194648743</v>
      </c>
      <c r="V28" s="8">
        <f t="shared" si="3"/>
        <v>-4.0317293392710951E-9</v>
      </c>
      <c r="W28" s="8">
        <f t="shared" si="4"/>
        <v>-1.1141452539667384E-16</v>
      </c>
      <c r="X28" s="8">
        <f t="shared" si="5"/>
        <v>1.4392420978169114E-16</v>
      </c>
      <c r="Y28" s="8">
        <f t="shared" si="6"/>
        <v>5.9604644775390625E-8</v>
      </c>
      <c r="AA28" s="8">
        <v>24</v>
      </c>
      <c r="AB28" s="8">
        <f t="shared" si="13"/>
        <v>994.1554069519043</v>
      </c>
      <c r="AC28" s="8">
        <v>-1.1781804232668946E-5</v>
      </c>
      <c r="AD28" s="8">
        <f t="shared" si="14"/>
        <v>994.1556453704834</v>
      </c>
      <c r="AE28" s="8">
        <v>6.488042754426715E-5</v>
      </c>
      <c r="AF28" s="8">
        <f t="shared" si="9"/>
        <v>994.15552616119385</v>
      </c>
      <c r="AG28" s="8">
        <v>2.559915424171777E-5</v>
      </c>
      <c r="AH28" s="8">
        <f t="shared" si="10"/>
        <v>-3.0160422379781564E-10</v>
      </c>
      <c r="AI28" s="8">
        <f t="shared" si="11"/>
        <v>1.6608840719742889E-9</v>
      </c>
      <c r="AJ28" s="8">
        <f t="shared" si="12"/>
        <v>2.384185791015625E-4</v>
      </c>
    </row>
    <row r="29" spans="2:36" x14ac:dyDescent="0.2">
      <c r="B29" s="37" t="s">
        <v>107</v>
      </c>
      <c r="C29" s="41"/>
      <c r="D29" s="41"/>
      <c r="F29" s="30" t="s">
        <v>95</v>
      </c>
      <c r="G29" s="20">
        <f xml:space="preserve"> $C$32 * (0.054 * (0.7*3.28084)^0.501 * ($C$15*2.20462*5.7)^0.684 * 0.453592)</f>
        <v>18.84383014762896</v>
      </c>
      <c r="H29" s="20" t="s">
        <v>13</v>
      </c>
      <c r="P29" s="8">
        <v>25</v>
      </c>
      <c r="Q29" s="8">
        <f t="shared" si="7"/>
        <v>0.10759568214416504</v>
      </c>
      <c r="R29" s="8">
        <f t="shared" si="0"/>
        <v>2.7634425830980192E-8</v>
      </c>
      <c r="S29" s="8">
        <f t="shared" si="8"/>
        <v>0.10759571194648743</v>
      </c>
      <c r="T29" s="8">
        <f t="shared" si="1"/>
        <v>-4.0317293392710951E-9</v>
      </c>
      <c r="U29" s="8">
        <f t="shared" si="2"/>
        <v>0.10759569704532623</v>
      </c>
      <c r="V29" s="8">
        <f t="shared" si="3"/>
        <v>1.1801348287487912E-8</v>
      </c>
      <c r="W29" s="8">
        <f t="shared" si="4"/>
        <v>3.2612348395614979E-16</v>
      </c>
      <c r="X29" s="8">
        <f t="shared" si="5"/>
        <v>-4.7579842133621705E-17</v>
      </c>
      <c r="Y29" s="8">
        <f t="shared" si="6"/>
        <v>2.9802322387695312E-8</v>
      </c>
      <c r="AA29" s="8">
        <v>25</v>
      </c>
      <c r="AB29" s="8">
        <f t="shared" si="13"/>
        <v>994.1554069519043</v>
      </c>
      <c r="AC29" s="8">
        <v>-1.1781804232668946E-5</v>
      </c>
      <c r="AD29" s="8">
        <f t="shared" si="14"/>
        <v>994.15552616119385</v>
      </c>
      <c r="AE29" s="8">
        <v>2.559915424171777E-5</v>
      </c>
      <c r="AF29" s="8">
        <f t="shared" si="9"/>
        <v>994.15546655654907</v>
      </c>
      <c r="AG29" s="8">
        <v>5.9585161125141894E-6</v>
      </c>
      <c r="AH29" s="8">
        <f t="shared" si="10"/>
        <v>-7.0202070354845794E-11</v>
      </c>
      <c r="AI29" s="8">
        <f t="shared" si="11"/>
        <v>1.5253297301601129E-10</v>
      </c>
      <c r="AJ29" s="8">
        <f t="shared" si="12"/>
        <v>1.1920928955078125E-4</v>
      </c>
    </row>
    <row r="30" spans="2:36" x14ac:dyDescent="0.2">
      <c r="B30" s="20" t="s">
        <v>26</v>
      </c>
      <c r="C30" s="33">
        <v>1.2250000000000001</v>
      </c>
      <c r="D30" s="20" t="s">
        <v>27</v>
      </c>
      <c r="F30" s="30" t="s">
        <v>96</v>
      </c>
      <c r="G30" s="20">
        <f xml:space="preserve"> $C$32 * 0</f>
        <v>0</v>
      </c>
      <c r="H30" s="20" t="s">
        <v>13</v>
      </c>
      <c r="P30" s="8">
        <v>26</v>
      </c>
      <c r="Q30" s="8">
        <f t="shared" si="7"/>
        <v>0.10759569704532623</v>
      </c>
      <c r="R30" s="8">
        <f t="shared" si="0"/>
        <v>1.1801348287487912E-8</v>
      </c>
      <c r="S30" s="8">
        <f t="shared" si="8"/>
        <v>0.10759571194648743</v>
      </c>
      <c r="T30" s="8">
        <f t="shared" si="1"/>
        <v>-4.0317293392710951E-9</v>
      </c>
      <c r="U30" s="8">
        <f t="shared" si="2"/>
        <v>0.10759570449590683</v>
      </c>
      <c r="V30" s="8">
        <f t="shared" si="3"/>
        <v>3.8848094879861961E-9</v>
      </c>
      <c r="W30" s="8">
        <f t="shared" si="4"/>
        <v>4.5845989798262687E-17</v>
      </c>
      <c r="X30" s="8">
        <f t="shared" si="5"/>
        <v>-1.5662500390192668E-17</v>
      </c>
      <c r="Y30" s="8">
        <f t="shared" si="6"/>
        <v>1.4901161193847656E-8</v>
      </c>
      <c r="AA30" s="8">
        <v>26</v>
      </c>
      <c r="AB30" s="8">
        <f t="shared" si="13"/>
        <v>994.1554069519043</v>
      </c>
      <c r="AC30" s="8">
        <v>-1.1781804232668946E-5</v>
      </c>
      <c r="AD30" s="8">
        <f t="shared" si="14"/>
        <v>994.15546655654907</v>
      </c>
      <c r="AE30" s="8">
        <v>5.9585161125141894E-6</v>
      </c>
      <c r="AF30" s="8">
        <f t="shared" si="9"/>
        <v>994.15543675422668</v>
      </c>
      <c r="AG30" s="8">
        <v>-2.9116438327037031E-6</v>
      </c>
      <c r="AH30" s="8">
        <f t="shared" si="10"/>
        <v>3.4304417632172923E-11</v>
      </c>
      <c r="AI30" s="8">
        <f t="shared" si="11"/>
        <v>-1.7349076691067584E-11</v>
      </c>
      <c r="AJ30" s="8">
        <f t="shared" si="12"/>
        <v>5.9604644775390625E-5</v>
      </c>
    </row>
    <row r="31" spans="2:36" x14ac:dyDescent="0.2">
      <c r="B31" s="20" t="s">
        <v>28</v>
      </c>
      <c r="C31" s="33">
        <v>9.81</v>
      </c>
      <c r="D31" s="20" t="s">
        <v>29</v>
      </c>
      <c r="F31" s="30" t="s">
        <v>97</v>
      </c>
      <c r="G31" s="20">
        <f xml:space="preserve"> $C$32 * 0</f>
        <v>0</v>
      </c>
      <c r="H31" s="20" t="s">
        <v>13</v>
      </c>
      <c r="P31" s="8">
        <v>27</v>
      </c>
      <c r="Q31" s="8">
        <f t="shared" si="7"/>
        <v>0.10759570449590683</v>
      </c>
      <c r="R31" s="8">
        <f t="shared" si="0"/>
        <v>3.8848094879861961E-9</v>
      </c>
      <c r="S31" s="8">
        <f t="shared" si="8"/>
        <v>0.10759571194648743</v>
      </c>
      <c r="T31" s="8">
        <f t="shared" si="1"/>
        <v>-4.0317293392710951E-9</v>
      </c>
      <c r="U31" s="8">
        <f t="shared" si="2"/>
        <v>0.10759570822119713</v>
      </c>
      <c r="V31" s="8">
        <f t="shared" si="3"/>
        <v>-7.3459932581343423E-11</v>
      </c>
      <c r="W31" s="8">
        <f t="shared" si="4"/>
        <v>-2.8537784307882923E-19</v>
      </c>
      <c r="X31" s="8">
        <f t="shared" si="5"/>
        <v>2.9617056544907891E-19</v>
      </c>
      <c r="Y31" s="8">
        <f t="shared" si="6"/>
        <v>7.4505805969238281E-9</v>
      </c>
      <c r="AA31" s="8">
        <v>27</v>
      </c>
      <c r="AB31" s="8">
        <f t="shared" si="13"/>
        <v>994.15543675422668</v>
      </c>
      <c r="AC31" s="8">
        <v>-2.9116438327037031E-6</v>
      </c>
      <c r="AD31" s="8">
        <f t="shared" si="14"/>
        <v>994.15546655654907</v>
      </c>
      <c r="AE31" s="8">
        <v>5.9585161125141894E-6</v>
      </c>
      <c r="AF31" s="8">
        <f t="shared" si="9"/>
        <v>994.15545165538788</v>
      </c>
      <c r="AG31" s="8">
        <v>1.5234363672789186E-6</v>
      </c>
      <c r="AH31" s="8">
        <f t="shared" si="10"/>
        <v>-4.4357041033041969E-12</v>
      </c>
      <c r="AI31" s="8">
        <f t="shared" si="11"/>
        <v>9.0774201408215211E-12</v>
      </c>
      <c r="AJ31" s="8">
        <f t="shared" si="12"/>
        <v>2.9802322387695312E-5</v>
      </c>
    </row>
    <row r="32" spans="2:36" x14ac:dyDescent="0.2">
      <c r="B32" s="20" t="s">
        <v>115</v>
      </c>
      <c r="C32" s="33">
        <v>0.8</v>
      </c>
      <c r="F32" s="31" t="s">
        <v>98</v>
      </c>
      <c r="G32" s="20">
        <f xml:space="preserve"> $C$32 * (0.0268 * $C$15)</f>
        <v>21.314692710842358</v>
      </c>
      <c r="H32" s="20" t="s">
        <v>13</v>
      </c>
      <c r="P32" s="8">
        <v>28</v>
      </c>
      <c r="Q32" s="8">
        <f t="shared" si="7"/>
        <v>0.10759570449590683</v>
      </c>
      <c r="R32" s="8">
        <f t="shared" si="0"/>
        <v>3.8848094879861961E-9</v>
      </c>
      <c r="S32" s="8">
        <f t="shared" si="8"/>
        <v>0.10759570822119713</v>
      </c>
      <c r="T32" s="8">
        <f t="shared" si="1"/>
        <v>-7.3459932581343423E-11</v>
      </c>
      <c r="U32" s="8">
        <f t="shared" si="2"/>
        <v>0.10759570635855198</v>
      </c>
      <c r="V32" s="8">
        <f t="shared" si="3"/>
        <v>1.9056747846413202E-9</v>
      </c>
      <c r="W32" s="8">
        <f t="shared" si="4"/>
        <v>7.4031834843906509E-18</v>
      </c>
      <c r="X32" s="8">
        <f t="shared" si="5"/>
        <v>-1.3999074120171753E-19</v>
      </c>
      <c r="Y32" s="8">
        <f t="shared" si="6"/>
        <v>3.7252902984619141E-9</v>
      </c>
      <c r="AA32" s="8">
        <v>28</v>
      </c>
      <c r="AB32" s="8">
        <f t="shared" si="13"/>
        <v>994.15543675422668</v>
      </c>
      <c r="AC32" s="8">
        <v>-2.9116438327037031E-6</v>
      </c>
      <c r="AD32" s="8">
        <f t="shared" si="14"/>
        <v>994.15545165538788</v>
      </c>
      <c r="AE32" s="8">
        <v>1.5234363672789186E-6</v>
      </c>
      <c r="AF32" s="8">
        <f t="shared" si="9"/>
        <v>994.15544420480728</v>
      </c>
      <c r="AG32" s="8">
        <v>2.5605584141885629E-7</v>
      </c>
      <c r="AH32" s="8">
        <f t="shared" si="10"/>
        <v>-7.4554341149497033E-13</v>
      </c>
      <c r="AI32" s="8">
        <f t="shared" si="11"/>
        <v>3.9008478087168929E-13</v>
      </c>
      <c r="AJ32" s="8">
        <f t="shared" si="12"/>
        <v>1.4901161193847656E-5</v>
      </c>
    </row>
    <row r="33" spans="2:36" x14ac:dyDescent="0.2">
      <c r="F33" s="31" t="s">
        <v>99</v>
      </c>
      <c r="G33" s="20">
        <f xml:space="preserve"> $C$32 * (11.5 * ($C$15*2.20462/1000)^0.4 * 0.453592)</f>
        <v>5.7117399838242342</v>
      </c>
      <c r="H33" s="20" t="s">
        <v>13</v>
      </c>
      <c r="P33" s="8">
        <v>29</v>
      </c>
      <c r="Q33" s="8">
        <f t="shared" si="7"/>
        <v>0.10759570635855198</v>
      </c>
      <c r="R33" s="8">
        <f t="shared" si="0"/>
        <v>1.9056747846413202E-9</v>
      </c>
      <c r="S33" s="8">
        <f t="shared" si="8"/>
        <v>0.10759570822119713</v>
      </c>
      <c r="T33" s="8">
        <f t="shared" si="1"/>
        <v>-7.3459932581343423E-11</v>
      </c>
      <c r="U33" s="8">
        <f t="shared" si="2"/>
        <v>0.10759570728987455</v>
      </c>
      <c r="V33" s="8">
        <f t="shared" si="3"/>
        <v>9.161074121522006E-10</v>
      </c>
      <c r="W33" s="8">
        <f t="shared" si="4"/>
        <v>1.7458027953614621E-18</v>
      </c>
      <c r="X33" s="8">
        <f t="shared" si="5"/>
        <v>-6.7297188733969649E-20</v>
      </c>
      <c r="Y33" s="8">
        <f t="shared" si="6"/>
        <v>1.862645149230957E-9</v>
      </c>
      <c r="AA33" s="8">
        <v>29</v>
      </c>
      <c r="AB33" s="8">
        <f t="shared" si="13"/>
        <v>994.15543675422668</v>
      </c>
      <c r="AC33" s="8">
        <v>-2.9116438327037031E-6</v>
      </c>
      <c r="AD33" s="8">
        <f t="shared" si="14"/>
        <v>994.15544420480728</v>
      </c>
      <c r="AE33" s="8">
        <v>2.5605584141885629E-7</v>
      </c>
      <c r="AF33" s="8">
        <f t="shared" si="9"/>
        <v>994.15544047951698</v>
      </c>
      <c r="AG33" s="8">
        <v>-1.3277940524858423E-6</v>
      </c>
      <c r="AH33" s="8">
        <f t="shared" si="10"/>
        <v>3.8660633640210596E-12</v>
      </c>
      <c r="AI33" s="8">
        <f t="shared" si="11"/>
        <v>-3.3998942334021537E-13</v>
      </c>
      <c r="AJ33" s="8">
        <f t="shared" si="12"/>
        <v>7.4505805969238281E-6</v>
      </c>
    </row>
    <row r="34" spans="2:36" x14ac:dyDescent="0.2">
      <c r="B34" s="37" t="s">
        <v>30</v>
      </c>
      <c r="C34" s="37"/>
      <c r="D34" s="37"/>
      <c r="F34" s="31" t="s">
        <v>100</v>
      </c>
      <c r="G34" s="20">
        <f xml:space="preserve"> $C$32 * (8 * ($C$15/1000))</f>
        <v>6.3625948390574196</v>
      </c>
      <c r="H34" s="20" t="s">
        <v>13</v>
      </c>
      <c r="P34" s="8">
        <v>30</v>
      </c>
      <c r="Q34" s="8">
        <f t="shared" si="7"/>
        <v>0.10759570728987455</v>
      </c>
      <c r="R34" s="8">
        <f t="shared" si="0"/>
        <v>9.161074121522006E-10</v>
      </c>
      <c r="S34" s="8">
        <f t="shared" si="8"/>
        <v>0.10759570822119713</v>
      </c>
      <c r="T34" s="8">
        <f t="shared" si="1"/>
        <v>-7.3459932581343423E-11</v>
      </c>
      <c r="U34" s="8">
        <f t="shared" si="2"/>
        <v>0.10759570775553584</v>
      </c>
      <c r="V34" s="8">
        <f t="shared" si="3"/>
        <v>4.2132375366321639E-10</v>
      </c>
      <c r="W34" s="8">
        <f t="shared" si="4"/>
        <v>3.8597781364666042E-19</v>
      </c>
      <c r="X34" s="8">
        <f t="shared" si="5"/>
        <v>-3.0950414539018421E-20</v>
      </c>
      <c r="Y34" s="8">
        <f t="shared" si="6"/>
        <v>9.3132257461547852E-10</v>
      </c>
      <c r="AA34" s="8">
        <v>30</v>
      </c>
      <c r="AB34" s="8">
        <f t="shared" si="13"/>
        <v>994.15544047951698</v>
      </c>
      <c r="AC34" s="8">
        <v>-1.3277940524858423E-6</v>
      </c>
      <c r="AD34" s="8">
        <f t="shared" si="14"/>
        <v>994.15544420480728</v>
      </c>
      <c r="AE34" s="8">
        <v>2.5605584141885629E-7</v>
      </c>
      <c r="AF34" s="8">
        <f t="shared" si="9"/>
        <v>994.15544234216213</v>
      </c>
      <c r="AG34" s="8">
        <v>-5.358689350032364E-7</v>
      </c>
      <c r="AH34" s="8">
        <f t="shared" si="10"/>
        <v>7.1152358480921967E-13</v>
      </c>
      <c r="AI34" s="8">
        <f t="shared" si="11"/>
        <v>-1.3721237104248011E-13</v>
      </c>
      <c r="AJ34" s="8">
        <f t="shared" si="12"/>
        <v>3.7252902984619141E-6</v>
      </c>
    </row>
    <row r="35" spans="2:36" x14ac:dyDescent="0.2">
      <c r="B35" s="20" t="s">
        <v>31</v>
      </c>
      <c r="C35" s="33">
        <v>30</v>
      </c>
      <c r="F35" s="31" t="s">
        <v>101</v>
      </c>
      <c r="G35" s="20">
        <f xml:space="preserve"> $C$32 * (13 * ($C$15*2.20462/1000)^1.3 * 0.453592)</f>
        <v>13.083476985245737</v>
      </c>
      <c r="H35" s="20" t="s">
        <v>13</v>
      </c>
      <c r="AA35" s="8">
        <v>31</v>
      </c>
      <c r="AB35" s="8">
        <f t="shared" si="13"/>
        <v>994.15544234216213</v>
      </c>
      <c r="AC35" s="20">
        <v>-5.358689350032364E-7</v>
      </c>
      <c r="AD35" s="8">
        <f t="shared" si="14"/>
        <v>994.15544420480728</v>
      </c>
      <c r="AE35" s="20">
        <v>2.5605584141885629E-7</v>
      </c>
      <c r="AF35" s="8">
        <f t="shared" si="9"/>
        <v>994.15544327348471</v>
      </c>
      <c r="AG35" s="20">
        <v>-1.3990643310535233E-7</v>
      </c>
      <c r="AH35" s="8">
        <f t="shared" si="10"/>
        <v>7.4971511308266692E-14</v>
      </c>
      <c r="AI35" s="8">
        <f t="shared" si="11"/>
        <v>-3.5823859448701923E-14</v>
      </c>
      <c r="AJ35" s="8">
        <f t="shared" si="12"/>
        <v>1.862645149230957E-6</v>
      </c>
    </row>
    <row r="36" spans="2:36" x14ac:dyDescent="0.2">
      <c r="F36" s="26" t="s">
        <v>88</v>
      </c>
      <c r="G36" s="26">
        <f>$C$15 - $C$21 - SUM(G24:G35)</f>
        <v>7.2191141953226179E-11</v>
      </c>
      <c r="H36" s="26" t="s">
        <v>13</v>
      </c>
      <c r="AA36" s="8">
        <v>32</v>
      </c>
      <c r="AB36" s="8">
        <f t="shared" si="13"/>
        <v>994.15544327348471</v>
      </c>
      <c r="AC36" s="20">
        <v>-1.3990643310535233E-7</v>
      </c>
      <c r="AD36" s="8">
        <f t="shared" si="14"/>
        <v>994.15544420480728</v>
      </c>
      <c r="AE36" s="20">
        <v>2.5605584141885629E-7</v>
      </c>
      <c r="AF36" s="8">
        <f t="shared" si="9"/>
        <v>994.15544373914599</v>
      </c>
      <c r="AG36" s="20">
        <v>5.8074533626495395E-8</v>
      </c>
      <c r="AH36" s="8">
        <f t="shared" si="10"/>
        <v>-8.1250008539398127E-15</v>
      </c>
      <c r="AI36" s="8">
        <f t="shared" si="11"/>
        <v>1.4870323572739942E-14</v>
      </c>
      <c r="AJ36" s="8">
        <f t="shared" si="12"/>
        <v>9.3132257461547852E-7</v>
      </c>
    </row>
    <row r="37" spans="2:36" x14ac:dyDescent="0.2">
      <c r="F37" s="20" t="s">
        <v>89</v>
      </c>
      <c r="G37" s="10" t="str">
        <f>IF(ABS(G36)&lt;0.00001, "TRUE", "FALSE")</f>
        <v>TRUE</v>
      </c>
      <c r="AA37" s="8">
        <v>33</v>
      </c>
      <c r="AB37" s="8">
        <f t="shared" si="13"/>
        <v>994.15544327348471</v>
      </c>
      <c r="AC37" s="20">
        <v>-1.3990643310535233E-7</v>
      </c>
      <c r="AD37" s="8">
        <f t="shared" si="14"/>
        <v>994.15544373914599</v>
      </c>
      <c r="AE37" s="20">
        <v>5.8074533626495395E-8</v>
      </c>
      <c r="AF37" s="8">
        <f t="shared" si="9"/>
        <v>994.15544350631535</v>
      </c>
      <c r="AG37" s="20">
        <v>-4.0916120269685052E-8</v>
      </c>
      <c r="AH37" s="8">
        <f t="shared" si="10"/>
        <v>5.7244284434412425E-15</v>
      </c>
      <c r="AI37" s="8">
        <f t="shared" si="11"/>
        <v>-2.3761846024675544E-15</v>
      </c>
      <c r="AJ37" s="8">
        <f t="shared" si="12"/>
        <v>4.6566128730773926E-7</v>
      </c>
    </row>
    <row r="38" spans="2:36" x14ac:dyDescent="0.2">
      <c r="AA38" s="8">
        <v>34</v>
      </c>
      <c r="AB38" s="8">
        <f t="shared" si="13"/>
        <v>994.15544350631535</v>
      </c>
      <c r="AC38" s="20">
        <v>-4.0916120269685052E-8</v>
      </c>
      <c r="AD38" s="8">
        <f t="shared" si="14"/>
        <v>994.15544373914599</v>
      </c>
      <c r="AE38" s="20">
        <v>5.8074533626495395E-8</v>
      </c>
      <c r="AF38" s="8">
        <f t="shared" si="9"/>
        <v>994.15544362273067</v>
      </c>
      <c r="AG38" s="20">
        <v>8.5792635218240321E-9</v>
      </c>
      <c r="AH38" s="8">
        <f t="shared" si="10"/>
        <v>-3.5103017808427385E-16</v>
      </c>
      <c r="AI38" s="8">
        <f t="shared" si="11"/>
        <v>4.9823672788873506E-16</v>
      </c>
      <c r="AJ38" s="8">
        <f t="shared" si="12"/>
        <v>2.3283064365386963E-7</v>
      </c>
    </row>
    <row r="39" spans="2:36" x14ac:dyDescent="0.2">
      <c r="AA39" s="8">
        <v>35</v>
      </c>
      <c r="AB39" s="8">
        <f t="shared" si="13"/>
        <v>994.15544350631535</v>
      </c>
      <c r="AC39" s="20">
        <v>-4.0916120269685052E-8</v>
      </c>
      <c r="AD39" s="8">
        <f t="shared" si="14"/>
        <v>994.15544362273067</v>
      </c>
      <c r="AE39" s="20">
        <v>8.5792635218240321E-9</v>
      </c>
      <c r="AF39" s="8">
        <f t="shared" si="9"/>
        <v>994.15544356452301</v>
      </c>
      <c r="AG39" s="20">
        <v>-1.6168314687092789E-8</v>
      </c>
      <c r="AH39" s="8">
        <f t="shared" si="10"/>
        <v>6.6154470829520378E-16</v>
      </c>
      <c r="AI39" s="8">
        <f t="shared" si="11"/>
        <v>-1.387122324043469E-16</v>
      </c>
      <c r="AJ39" s="8">
        <f t="shared" si="12"/>
        <v>1.1641532182693481E-7</v>
      </c>
    </row>
    <row r="40" spans="2:36" x14ac:dyDescent="0.2">
      <c r="F40" s="37" t="s">
        <v>90</v>
      </c>
      <c r="G40" s="37"/>
      <c r="H40" s="37"/>
      <c r="AA40" s="8">
        <v>36</v>
      </c>
      <c r="AB40" s="8">
        <f t="shared" si="13"/>
        <v>994.15544356452301</v>
      </c>
      <c r="AC40" s="20">
        <v>-1.6168314687092789E-8</v>
      </c>
      <c r="AD40" s="8">
        <f t="shared" si="14"/>
        <v>994.15544362273067</v>
      </c>
      <c r="AE40" s="20">
        <v>8.5792635218240321E-9</v>
      </c>
      <c r="AF40" s="8">
        <f t="shared" si="9"/>
        <v>994.15544359362684</v>
      </c>
      <c r="AG40" s="20">
        <v>-3.7945255826343782E-9</v>
      </c>
      <c r="AH40" s="8">
        <f t="shared" si="10"/>
        <v>6.1351083708256738E-17</v>
      </c>
      <c r="AI40" s="8">
        <f t="shared" si="11"/>
        <v>-3.2554234913723203E-17</v>
      </c>
      <c r="AJ40" s="8">
        <f t="shared" si="12"/>
        <v>5.8207660913467407E-8</v>
      </c>
    </row>
    <row r="41" spans="2:36" x14ac:dyDescent="0.2">
      <c r="F41" s="20" t="s">
        <v>91</v>
      </c>
      <c r="G41" s="20">
        <f>ROUND($C$21/$C$15 * 100, 2)</f>
        <v>40.24</v>
      </c>
      <c r="H41" s="20" t="s">
        <v>92</v>
      </c>
      <c r="AA41" s="8">
        <v>37</v>
      </c>
      <c r="AB41" s="8">
        <f t="shared" si="13"/>
        <v>994.15544359362684</v>
      </c>
      <c r="AC41" s="20">
        <v>-3.7945255826343782E-9</v>
      </c>
      <c r="AD41" s="8">
        <f t="shared" si="14"/>
        <v>994.15544362273067</v>
      </c>
      <c r="AE41" s="20">
        <v>8.5792635218240321E-9</v>
      </c>
      <c r="AF41" s="8">
        <f t="shared" si="9"/>
        <v>994.15544360817876</v>
      </c>
      <c r="AG41" s="20">
        <v>2.3924258130136877E-9</v>
      </c>
      <c r="AH41" s="8">
        <f t="shared" si="10"/>
        <v>-9.0781209520352894E-18</v>
      </c>
      <c r="AI41" s="8">
        <f t="shared" si="11"/>
        <v>2.0525251506258534E-17</v>
      </c>
      <c r="AJ41" s="8">
        <f t="shared" si="12"/>
        <v>2.9103830456733704E-8</v>
      </c>
    </row>
    <row r="42" spans="2:36" x14ac:dyDescent="0.2">
      <c r="F42" s="27" t="s">
        <v>84</v>
      </c>
      <c r="G42" s="20">
        <f>ROUND(G24/$C$15 * 100, 2)</f>
        <v>30.62</v>
      </c>
      <c r="H42" s="20" t="s">
        <v>92</v>
      </c>
      <c r="AA42" s="8">
        <v>38</v>
      </c>
      <c r="AB42" s="8">
        <f t="shared" si="13"/>
        <v>994.15544359362684</v>
      </c>
      <c r="AC42" s="20">
        <v>-3.7945255826343782E-9</v>
      </c>
      <c r="AD42" s="8">
        <f t="shared" si="14"/>
        <v>994.15544360817876</v>
      </c>
      <c r="AE42" s="20">
        <v>2.3924258130136877E-9</v>
      </c>
      <c r="AF42" s="8">
        <f t="shared" si="9"/>
        <v>994.1554436009028</v>
      </c>
      <c r="AG42" s="20">
        <v>-7.0110672822920606E-10</v>
      </c>
      <c r="AH42" s="8">
        <f t="shared" si="10"/>
        <v>2.6603674164228108E-18</v>
      </c>
      <c r="AI42" s="8">
        <f t="shared" si="11"/>
        <v>-1.6773458342931249E-18</v>
      </c>
      <c r="AJ42" s="8">
        <f t="shared" si="12"/>
        <v>1.4551915228366852E-8</v>
      </c>
    </row>
    <row r="43" spans="2:36" x14ac:dyDescent="0.2">
      <c r="F43" s="35" t="s">
        <v>104</v>
      </c>
      <c r="G43" s="20">
        <f>ROUND(SUM(G25:G27)/$C$15 * 100, 2)</f>
        <v>11.07</v>
      </c>
      <c r="H43" s="20" t="s">
        <v>92</v>
      </c>
      <c r="AA43" s="8">
        <v>39</v>
      </c>
      <c r="AB43" s="8">
        <f t="shared" si="13"/>
        <v>994.1554436009028</v>
      </c>
      <c r="AC43" s="20">
        <v>-7.0110672822920606E-10</v>
      </c>
      <c r="AD43" s="8">
        <f t="shared" si="14"/>
        <v>994.15544360817876</v>
      </c>
      <c r="AE43" s="20">
        <v>2.3924258130136877E-9</v>
      </c>
      <c r="AF43" s="8">
        <f t="shared" si="9"/>
        <v>994.15544360454078</v>
      </c>
      <c r="AG43" s="20">
        <v>8.4571638581110165E-10</v>
      </c>
      <c r="AH43" s="8">
        <f t="shared" si="10"/>
        <v>-5.9293744826585042E-19</v>
      </c>
      <c r="AI43" s="8">
        <f t="shared" si="11"/>
        <v>2.0233137119031225E-18</v>
      </c>
      <c r="AJ43" s="8">
        <f t="shared" si="12"/>
        <v>7.2759576141834259E-9</v>
      </c>
    </row>
    <row r="44" spans="2:36" x14ac:dyDescent="0.2">
      <c r="F44" s="36" t="s">
        <v>105</v>
      </c>
      <c r="G44" s="20">
        <f>ROUND(SUM(G28:G31)/$C$15 * 100, 2)</f>
        <v>13.39</v>
      </c>
      <c r="H44" s="20" t="s">
        <v>92</v>
      </c>
      <c r="AA44" s="8">
        <v>40</v>
      </c>
      <c r="AB44" s="8">
        <f t="shared" si="13"/>
        <v>994.1554436009028</v>
      </c>
      <c r="AC44" s="20">
        <v>-7.0110672822920606E-10</v>
      </c>
      <c r="AD44" s="8">
        <f t="shared" si="14"/>
        <v>994.15544360454078</v>
      </c>
      <c r="AE44" s="20">
        <v>8.4571638581110165E-10</v>
      </c>
      <c r="AF44" s="11">
        <f t="shared" si="9"/>
        <v>994.15544360272179</v>
      </c>
      <c r="AG44" s="20">
        <v>7.2191141953226179E-11</v>
      </c>
      <c r="AH44" s="8">
        <f t="shared" si="10"/>
        <v>-5.0613695341956582E-20</v>
      </c>
      <c r="AI44" s="8">
        <f t="shared" si="11"/>
        <v>6.1053231660258637E-20</v>
      </c>
      <c r="AJ44" s="8">
        <f t="shared" si="12"/>
        <v>3.637978807091713E-9</v>
      </c>
    </row>
    <row r="45" spans="2:36" x14ac:dyDescent="0.2">
      <c r="F45" s="31" t="s">
        <v>106</v>
      </c>
      <c r="G45" s="20">
        <f>ROUND(SUM(G32:G35)/$C$15*100, 2)</f>
        <v>4.67</v>
      </c>
      <c r="H45" s="20" t="s">
        <v>92</v>
      </c>
    </row>
    <row r="46" spans="2:36" x14ac:dyDescent="0.2">
      <c r="F46" s="26" t="s">
        <v>93</v>
      </c>
      <c r="G46" s="26">
        <f>SUM(G41:G45)</f>
        <v>99.990000000000009</v>
      </c>
      <c r="H46" s="26" t="s">
        <v>92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6">
    <mergeCell ref="B1:D1"/>
    <mergeCell ref="B3:D3"/>
    <mergeCell ref="F3:H3"/>
    <mergeCell ref="J3:L3"/>
    <mergeCell ref="F8:H8"/>
    <mergeCell ref="B9:D9"/>
    <mergeCell ref="F22:H22"/>
    <mergeCell ref="B14:D14"/>
    <mergeCell ref="B20:D20"/>
    <mergeCell ref="B29:D29"/>
    <mergeCell ref="B34:D34"/>
    <mergeCell ref="F40:H40"/>
    <mergeCell ref="F18:H18"/>
    <mergeCell ref="F13:H13"/>
    <mergeCell ref="J11:L11"/>
    <mergeCell ref="J16:L16"/>
  </mergeCells>
  <conditionalFormatting sqref="G37">
    <cfRule type="containsText" dxfId="11" priority="1" operator="containsText" text="FALSE">
      <formula>NOT(ISERROR(SEARCH("FALSE",G37)))</formula>
    </cfRule>
    <cfRule type="containsText" dxfId="10" priority="2" operator="containsText" text="TRUE">
      <formula>NOT(ISERROR(SEARCH("TRUE",G37)))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NOT(ISERROR(SEARCH("YES",G37)))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57"/>
  <sheetViews>
    <sheetView tabSelected="1" workbookViewId="0">
      <selection activeCell="C32" sqref="C32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9.332031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42" t="s">
        <v>0</v>
      </c>
      <c r="C1" s="42"/>
      <c r="D1" s="42"/>
    </row>
    <row r="2" spans="2:36" x14ac:dyDescent="0.2">
      <c r="P2" s="6" t="s">
        <v>72</v>
      </c>
      <c r="AA2" s="6" t="s">
        <v>103</v>
      </c>
    </row>
    <row r="3" spans="2:36" x14ac:dyDescent="0.2">
      <c r="B3" s="37" t="s">
        <v>108</v>
      </c>
      <c r="C3" s="41"/>
      <c r="D3" s="41"/>
      <c r="F3" s="43" t="s">
        <v>120</v>
      </c>
      <c r="G3" s="44"/>
      <c r="H3" s="44"/>
      <c r="J3" s="45" t="s">
        <v>42</v>
      </c>
      <c r="K3" s="45"/>
      <c r="L3" s="45"/>
      <c r="P3" s="7" t="s">
        <v>73</v>
      </c>
      <c r="Q3" s="7" t="s">
        <v>74</v>
      </c>
      <c r="R3" s="7" t="s">
        <v>75</v>
      </c>
      <c r="S3" s="7" t="s">
        <v>76</v>
      </c>
      <c r="T3" s="7" t="s">
        <v>77</v>
      </c>
      <c r="U3" s="7" t="s">
        <v>78</v>
      </c>
      <c r="V3" s="7" t="s">
        <v>79</v>
      </c>
      <c r="W3" s="7" t="s">
        <v>80</v>
      </c>
      <c r="X3" s="7" t="s">
        <v>81</v>
      </c>
      <c r="Y3" s="7" t="s">
        <v>82</v>
      </c>
      <c r="AA3" s="7" t="s">
        <v>73</v>
      </c>
      <c r="AB3" s="7" t="s">
        <v>74</v>
      </c>
      <c r="AC3" s="7" t="s">
        <v>75</v>
      </c>
      <c r="AD3" s="7" t="s">
        <v>76</v>
      </c>
      <c r="AE3" s="7" t="s">
        <v>77</v>
      </c>
      <c r="AF3" s="7" t="s">
        <v>78</v>
      </c>
      <c r="AG3" s="7" t="s">
        <v>79</v>
      </c>
      <c r="AH3" s="7" t="s">
        <v>80</v>
      </c>
      <c r="AI3" s="7" t="s">
        <v>81</v>
      </c>
      <c r="AJ3" s="7" t="s">
        <v>82</v>
      </c>
    </row>
    <row r="4" spans="2:36" x14ac:dyDescent="0.2">
      <c r="B4" t="s">
        <v>62</v>
      </c>
      <c r="C4" s="1" t="s">
        <v>1</v>
      </c>
      <c r="F4" t="s">
        <v>122</v>
      </c>
      <c r="G4">
        <f xml:space="preserve"> ($C$17*$C$35)/$C$9 * ( ($C$28/2) + SQRT( ($C$28/2)^2 + ($C$17*$C$35)/(2*$C$34*$C$5*PI()*$C$18*$C$18 ) ) )</f>
        <v>228523.9020427049</v>
      </c>
      <c r="H4" t="s">
        <v>32</v>
      </c>
      <c r="J4" t="s">
        <v>43</v>
      </c>
      <c r="K4">
        <f xml:space="preserve"> $C$17 * $C$35</f>
        <v>10465.351476876367</v>
      </c>
      <c r="L4" t="s">
        <v>34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0.94435754537042871</v>
      </c>
      <c r="S4" s="9">
        <v>1</v>
      </c>
      <c r="T4" s="8">
        <f t="shared" ref="T4:T34" si="1" xml:space="preserve"> $K$20 * TAN($K$17) + $K$21 / (2 * SQRT($K$20^2 + S4^2)) - S4</f>
        <v>-0.66550631939962357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-0.14815132379485579</v>
      </c>
      <c r="W4" s="8">
        <f>R4*V4</f>
        <v>-0.13990782048228961</v>
      </c>
      <c r="X4" s="8">
        <f>T4*V4</f>
        <v>9.8595642212896351E-2</v>
      </c>
      <c r="Y4" s="8">
        <f>S4-Q4</f>
        <v>1</v>
      </c>
      <c r="AA4" s="8">
        <v>0</v>
      </c>
      <c r="AB4" s="8"/>
      <c r="AC4" s="8">
        <f>G37</f>
        <v>-7.0440364652313292E-10</v>
      </c>
      <c r="AD4" s="8"/>
      <c r="AE4" s="8">
        <f>G37</f>
        <v>-7.0440364652313292E-10</v>
      </c>
      <c r="AF4" s="8"/>
      <c r="AG4" s="8">
        <f>G37</f>
        <v>-7.0440364652313292E-10</v>
      </c>
      <c r="AH4" s="8"/>
      <c r="AI4" s="8"/>
      <c r="AJ4" s="8"/>
    </row>
    <row r="5" spans="2:36" x14ac:dyDescent="0.2">
      <c r="B5" t="s">
        <v>60</v>
      </c>
      <c r="C5" s="1">
        <v>6</v>
      </c>
      <c r="F5" t="s">
        <v>33</v>
      </c>
      <c r="G5">
        <f xml:space="preserve"> $C$17 * $C$35 / $C$5</f>
        <v>1744.2252461460612</v>
      </c>
      <c r="H5" t="s">
        <v>34</v>
      </c>
      <c r="J5" t="s">
        <v>44</v>
      </c>
      <c r="K5">
        <f xml:space="preserve"> 0.5 * $C$34 * $C$20^2</f>
        <v>551.25</v>
      </c>
      <c r="L5" t="s">
        <v>45</v>
      </c>
      <c r="P5" s="8">
        <v>1</v>
      </c>
      <c r="Q5" s="8">
        <f>IF(W4&gt;0, U4, Q4)</f>
        <v>0</v>
      </c>
      <c r="R5" s="8">
        <f t="shared" si="0"/>
        <v>0.94435754537042871</v>
      </c>
      <c r="S5" s="8">
        <f>IF(X4&gt;0, U4, S4)</f>
        <v>0.5</v>
      </c>
      <c r="T5" s="8">
        <f t="shared" si="1"/>
        <v>-0.14815132379485579</v>
      </c>
      <c r="U5" s="8">
        <f t="shared" ref="U5:U34" si="3" xml:space="preserve"> (Q5 + S5)/2</f>
        <v>0.25</v>
      </c>
      <c r="V5" s="8">
        <f t="shared" si="2"/>
        <v>0.13628096532892248</v>
      </c>
      <c r="W5" s="8">
        <f t="shared" ref="W5:W34" si="4">R5*V5</f>
        <v>0.12869795789873373</v>
      </c>
      <c r="X5" s="8">
        <f t="shared" ref="X5:X34" si="5">T5*V5</f>
        <v>-2.019020542152071E-2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7" ca="1"/>
        <v>-254.70568443322958</v>
      </c>
      <c r="AD5" s="9">
        <v>2500</v>
      </c>
      <c r="AE5" s="8">
        <f t="dataTable" ref="AE5:AE44" dt2D="0" dtr="0" r1="C17"/>
        <v>139.75883999846519</v>
      </c>
      <c r="AF5" s="8">
        <f>(AB5+AD5)/2</f>
        <v>1500</v>
      </c>
      <c r="AG5" s="8">
        <f t="dataTable" ref="AG5:AG44" dt2D="0" dtr="0" r1="C17" ca="1"/>
        <v>129.69534572508007</v>
      </c>
      <c r="AH5" s="8">
        <f>AC5*AG5</f>
        <v>-33034.141800710859</v>
      </c>
      <c r="AI5" s="8">
        <f>AE5*AG5</f>
        <v>18126.071071737093</v>
      </c>
      <c r="AJ5" s="8">
        <f>AD5-AB5</f>
        <v>2000</v>
      </c>
    </row>
    <row r="6" spans="2:36" x14ac:dyDescent="0.2">
      <c r="B6" t="s">
        <v>61</v>
      </c>
      <c r="C6" s="1">
        <v>1</v>
      </c>
      <c r="F6" t="s">
        <v>130</v>
      </c>
      <c r="G6">
        <f xml:space="preserve"> $C$29/$C$28</f>
        <v>120</v>
      </c>
      <c r="H6" t="s">
        <v>25</v>
      </c>
      <c r="J6" t="s">
        <v>64</v>
      </c>
      <c r="K6">
        <f xml:space="preserve"> 1.6 * ($C$17*2.20462/1000)^(2/3) * 0.3048^2</f>
        <v>0.26288286392564242</v>
      </c>
      <c r="L6" t="s">
        <v>20</v>
      </c>
      <c r="P6" s="8">
        <v>2</v>
      </c>
      <c r="Q6" s="8">
        <f t="shared" ref="Q6:Q34" si="7">IF(W5&gt;0, U5, Q5)</f>
        <v>0.25</v>
      </c>
      <c r="R6" s="8">
        <f t="shared" si="0"/>
        <v>0.13628096532892248</v>
      </c>
      <c r="S6" s="8">
        <f t="shared" ref="S6:S34" si="8">IF(X5&gt;0, U5, S5)</f>
        <v>0.5</v>
      </c>
      <c r="T6" s="8">
        <f t="shared" si="1"/>
        <v>-0.14815132379485579</v>
      </c>
      <c r="U6" s="8">
        <f t="shared" si="3"/>
        <v>0.375</v>
      </c>
      <c r="V6" s="8">
        <f t="shared" si="2"/>
        <v>-1.1623174757357857E-2</v>
      </c>
      <c r="W6" s="8">
        <f t="shared" si="4"/>
        <v>-1.5840174761194931E-3</v>
      </c>
      <c r="X6" s="8">
        <f t="shared" si="5"/>
        <v>1.7219887270015183E-3</v>
      </c>
      <c r="Y6" s="8">
        <f t="shared" si="6"/>
        <v>0.25</v>
      </c>
      <c r="AA6" s="8">
        <v>2</v>
      </c>
      <c r="AB6" s="8">
        <f>IF(AH5&gt;0,AF5,AB5)</f>
        <v>500</v>
      </c>
      <c r="AC6" s="8">
        <v>-254.70568443322958</v>
      </c>
      <c r="AD6" s="8">
        <f>IF(AI5&gt;0,AF5,AD5)</f>
        <v>1500</v>
      </c>
      <c r="AE6" s="8">
        <v>129.69534572508007</v>
      </c>
      <c r="AF6" s="8">
        <f t="shared" ref="AF6:AF44" si="9">(AB6+AD6)/2</f>
        <v>1000</v>
      </c>
      <c r="AG6" s="8">
        <v>-25.482261366925513</v>
      </c>
      <c r="AH6" s="8">
        <f t="shared" ref="AH6:AH44" si="10">AC6*AG6</f>
        <v>6490.4768223692072</v>
      </c>
      <c r="AI6" s="8">
        <f t="shared" ref="AI6:AI44" si="11">AE6*AG6</f>
        <v>-3304.930697840256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J7" t="s">
        <v>65</v>
      </c>
      <c r="K7">
        <f xml:space="preserve"> K6 / $C$21</f>
        <v>3.2860357990705302E-2</v>
      </c>
      <c r="P7" s="8">
        <v>3</v>
      </c>
      <c r="Q7" s="8">
        <f t="shared" si="7"/>
        <v>0.25</v>
      </c>
      <c r="R7" s="8">
        <f t="shared" si="0"/>
        <v>0.13628096532892248</v>
      </c>
      <c r="S7" s="8">
        <f t="shared" si="8"/>
        <v>0.375</v>
      </c>
      <c r="T7" s="8">
        <f t="shared" si="1"/>
        <v>-1.1623174757357857E-2</v>
      </c>
      <c r="U7" s="8">
        <f t="shared" si="3"/>
        <v>0.3125</v>
      </c>
      <c r="V7" s="8">
        <f t="shared" si="2"/>
        <v>6.0066082548849042E-2</v>
      </c>
      <c r="W7" s="8">
        <f t="shared" si="4"/>
        <v>8.1858637132838918E-3</v>
      </c>
      <c r="X7" s="8">
        <f t="shared" si="5"/>
        <v>-6.9815857445515547E-4</v>
      </c>
      <c r="Y7" s="8">
        <f t="shared" si="6"/>
        <v>0.125</v>
      </c>
      <c r="AA7" s="8">
        <v>3</v>
      </c>
      <c r="AB7" s="8">
        <f t="shared" ref="AB7:AB44" si="13">IF(AH6&gt;0,AF6,AB6)</f>
        <v>1000</v>
      </c>
      <c r="AC7" s="8">
        <v>-25.482261366925513</v>
      </c>
      <c r="AD7" s="8">
        <f t="shared" ref="AD7:AD44" si="14">IF(AI6&gt;0,AF6,AD6)</f>
        <v>1500</v>
      </c>
      <c r="AE7" s="8">
        <v>129.69534572508007</v>
      </c>
      <c r="AF7" s="8">
        <f t="shared" si="9"/>
        <v>1250</v>
      </c>
      <c r="AG7" s="8">
        <v>62.659016344708675</v>
      </c>
      <c r="AH7" s="8">
        <f t="shared" si="10"/>
        <v>-1596.6934314903242</v>
      </c>
      <c r="AI7" s="8">
        <f t="shared" si="11"/>
        <v>8126.5827876204348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3" t="s">
        <v>128</v>
      </c>
      <c r="G8" s="44"/>
      <c r="H8" s="44"/>
      <c r="J8" t="s">
        <v>66</v>
      </c>
      <c r="K8">
        <f xml:space="preserve"> K5 * $C$21 * K7</f>
        <v>144.9141787390104</v>
      </c>
      <c r="L8" t="s">
        <v>34</v>
      </c>
      <c r="P8" s="8">
        <v>4</v>
      </c>
      <c r="Q8" s="8">
        <f t="shared" si="7"/>
        <v>0.3125</v>
      </c>
      <c r="R8" s="8">
        <f t="shared" si="0"/>
        <v>6.0066082548849042E-2</v>
      </c>
      <c r="S8" s="8">
        <f t="shared" si="8"/>
        <v>0.375</v>
      </c>
      <c r="T8" s="8">
        <f t="shared" si="1"/>
        <v>-1.1623174757357857E-2</v>
      </c>
      <c r="U8" s="8">
        <f t="shared" si="3"/>
        <v>0.34375</v>
      </c>
      <c r="V8" s="8">
        <f t="shared" si="2"/>
        <v>2.3807837158047407E-2</v>
      </c>
      <c r="W8" s="8">
        <f t="shared" si="4"/>
        <v>1.4300435120448312E-3</v>
      </c>
      <c r="X8" s="8">
        <f t="shared" si="5"/>
        <v>-2.7672265188270306E-4</v>
      </c>
      <c r="Y8" s="8">
        <f t="shared" si="6"/>
        <v>6.25E-2</v>
      </c>
      <c r="AA8" s="8">
        <v>4</v>
      </c>
      <c r="AB8" s="8">
        <f t="shared" si="13"/>
        <v>1000</v>
      </c>
      <c r="AC8" s="8">
        <v>-25.482261366925513</v>
      </c>
      <c r="AD8" s="8">
        <f t="shared" si="14"/>
        <v>1250</v>
      </c>
      <c r="AE8" s="8">
        <v>62.659016344708675</v>
      </c>
      <c r="AF8" s="8">
        <f t="shared" si="9"/>
        <v>1125</v>
      </c>
      <c r="AG8" s="8">
        <v>21.075626681058111</v>
      </c>
      <c r="AH8" s="8">
        <f t="shared" si="10"/>
        <v>-537.05462755847168</v>
      </c>
      <c r="AI8" s="8">
        <f t="shared" si="11"/>
        <v>1320.5780366833985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124</v>
      </c>
      <c r="G9">
        <f xml:space="preserve"> K23 + K18 * (K28 * K25 + $C$20 * SIN(K17))</f>
        <v>43075.597942931177</v>
      </c>
      <c r="H9" t="s">
        <v>32</v>
      </c>
      <c r="J9" t="s">
        <v>67</v>
      </c>
      <c r="K9">
        <f xml:space="preserve"> 1.78 * (1 - 0.045 * $C$22^0.68) - 0.64</f>
        <v>0.75661729604956662</v>
      </c>
      <c r="P9" s="8">
        <v>5</v>
      </c>
      <c r="Q9" s="8">
        <f t="shared" si="7"/>
        <v>0.34375</v>
      </c>
      <c r="R9" s="8">
        <f t="shared" si="0"/>
        <v>2.3807837158047407E-2</v>
      </c>
      <c r="S9" s="8">
        <f t="shared" si="8"/>
        <v>0.375</v>
      </c>
      <c r="T9" s="8">
        <f t="shared" si="1"/>
        <v>-1.1623174757357857E-2</v>
      </c>
      <c r="U9" s="8">
        <f t="shared" si="3"/>
        <v>0.359375</v>
      </c>
      <c r="V9" s="8">
        <f t="shared" si="2"/>
        <v>6.0022483113619796E-3</v>
      </c>
      <c r="W9" s="8">
        <f t="shared" si="4"/>
        <v>1.4290055037907104E-4</v>
      </c>
      <c r="X9" s="8">
        <f t="shared" si="5"/>
        <v>-6.9765181060016379E-5</v>
      </c>
      <c r="Y9" s="8">
        <f t="shared" si="6"/>
        <v>3.125E-2</v>
      </c>
      <c r="AA9" s="8">
        <v>5</v>
      </c>
      <c r="AB9" s="8">
        <f t="shared" si="13"/>
        <v>1000</v>
      </c>
      <c r="AC9" s="8">
        <v>-25.482261366925513</v>
      </c>
      <c r="AD9" s="8">
        <f t="shared" si="14"/>
        <v>1125</v>
      </c>
      <c r="AE9" s="8">
        <v>21.075626681058111</v>
      </c>
      <c r="AF9" s="8">
        <f t="shared" si="9"/>
        <v>1062.5</v>
      </c>
      <c r="AG9" s="8">
        <v>-1.6008324167196406</v>
      </c>
      <c r="AH9" s="8">
        <f t="shared" si="10"/>
        <v>40.792830047496899</v>
      </c>
      <c r="AI9" s="8">
        <f t="shared" si="11"/>
        <v>-33.738546393719197</v>
      </c>
      <c r="AJ9" s="8">
        <f t="shared" si="12"/>
        <v>125</v>
      </c>
    </row>
    <row r="10" spans="2:36" x14ac:dyDescent="0.2">
      <c r="F10" s="4" t="s">
        <v>123</v>
      </c>
      <c r="G10">
        <f xml:space="preserve"> $C$6 * G9</f>
        <v>43075.597942931177</v>
      </c>
      <c r="H10" t="s">
        <v>32</v>
      </c>
      <c r="J10" t="s">
        <v>46</v>
      </c>
      <c r="K10">
        <f xml:space="preserve"> K4 / (K5 * $C$21)</f>
        <v>2.3730955729878382</v>
      </c>
      <c r="P10" s="8">
        <v>6</v>
      </c>
      <c r="Q10" s="8">
        <f t="shared" si="7"/>
        <v>0.359375</v>
      </c>
      <c r="R10" s="8">
        <f t="shared" si="0"/>
        <v>6.0022483113619796E-3</v>
      </c>
      <c r="S10" s="8">
        <f t="shared" si="8"/>
        <v>0.375</v>
      </c>
      <c r="T10" s="8">
        <f t="shared" si="1"/>
        <v>-1.1623174757357857E-2</v>
      </c>
      <c r="U10" s="8">
        <f t="shared" si="3"/>
        <v>0.3671875</v>
      </c>
      <c r="V10" s="8">
        <f t="shared" si="2"/>
        <v>-2.8315630771734712E-3</v>
      </c>
      <c r="W10" s="8">
        <f t="shared" si="4"/>
        <v>-1.6995744698479399E-5</v>
      </c>
      <c r="X10" s="8">
        <f t="shared" si="5"/>
        <v>3.2911752482469229E-5</v>
      </c>
      <c r="Y10" s="8">
        <f t="shared" si="6"/>
        <v>1.5625E-2</v>
      </c>
      <c r="AA10" s="8">
        <v>6</v>
      </c>
      <c r="AB10" s="8">
        <f t="shared" si="13"/>
        <v>1062.5</v>
      </c>
      <c r="AC10" s="8">
        <v>-1.6008324167196406</v>
      </c>
      <c r="AD10" s="8">
        <f t="shared" si="14"/>
        <v>1125</v>
      </c>
      <c r="AE10" s="8">
        <v>21.075626681058111</v>
      </c>
      <c r="AF10" s="8">
        <f t="shared" si="9"/>
        <v>1093.75</v>
      </c>
      <c r="AG10" s="8">
        <v>9.8904643707475088</v>
      </c>
      <c r="AH10" s="8">
        <f t="shared" si="10"/>
        <v>-15.832975981103234</v>
      </c>
      <c r="AI10" s="8">
        <f t="shared" si="11"/>
        <v>208.44773478018081</v>
      </c>
      <c r="AJ10" s="8">
        <f t="shared" si="12"/>
        <v>62.5</v>
      </c>
    </row>
    <row r="11" spans="2:36" x14ac:dyDescent="0.2">
      <c r="B11" s="38" t="s">
        <v>7</v>
      </c>
      <c r="C11" s="39"/>
      <c r="D11" s="39"/>
      <c r="F11" s="4" t="s">
        <v>131</v>
      </c>
      <c r="G11">
        <f xml:space="preserve"> $C$27/$C$20</f>
        <v>1000</v>
      </c>
      <c r="H11" t="s">
        <v>25</v>
      </c>
      <c r="J11" t="s">
        <v>68</v>
      </c>
      <c r="K11">
        <f xml:space="preserve"> K7 + K10^2 / ( PI() * K9 * $C$22 )</f>
        <v>0.26978177458183372</v>
      </c>
      <c r="P11" s="8">
        <v>7</v>
      </c>
      <c r="Q11" s="8">
        <f t="shared" si="7"/>
        <v>0.359375</v>
      </c>
      <c r="R11" s="8">
        <f t="shared" si="0"/>
        <v>6.0022483113619796E-3</v>
      </c>
      <c r="S11" s="8">
        <f t="shared" si="8"/>
        <v>0.3671875</v>
      </c>
      <c r="T11" s="8">
        <f t="shared" si="1"/>
        <v>-2.8315630771734712E-3</v>
      </c>
      <c r="U11" s="8">
        <f t="shared" si="3"/>
        <v>0.36328125</v>
      </c>
      <c r="V11" s="8">
        <f t="shared" si="2"/>
        <v>1.5798994541391109E-3</v>
      </c>
      <c r="W11" s="8">
        <f t="shared" si="4"/>
        <v>9.4829488307281914E-6</v>
      </c>
      <c r="X11" s="8">
        <f t="shared" si="5"/>
        <v>-4.4735849599868281E-6</v>
      </c>
      <c r="Y11" s="8">
        <f t="shared" si="6"/>
        <v>7.8125E-3</v>
      </c>
      <c r="AA11" s="8">
        <v>7</v>
      </c>
      <c r="AB11" s="8">
        <f t="shared" si="13"/>
        <v>1062.5</v>
      </c>
      <c r="AC11" s="8">
        <v>-1.6008324167196406</v>
      </c>
      <c r="AD11" s="8">
        <f t="shared" si="14"/>
        <v>1093.75</v>
      </c>
      <c r="AE11" s="8">
        <v>9.8904643707475088</v>
      </c>
      <c r="AF11" s="8">
        <f t="shared" si="9"/>
        <v>1078.125</v>
      </c>
      <c r="AG11" s="8">
        <v>4.182779295589512</v>
      </c>
      <c r="AH11" s="8">
        <f t="shared" si="10"/>
        <v>-6.6959286883634341</v>
      </c>
      <c r="AI11" s="8">
        <f t="shared" si="11"/>
        <v>41.369629593728433</v>
      </c>
      <c r="AJ11" s="8">
        <f t="shared" si="12"/>
        <v>31.25</v>
      </c>
    </row>
    <row r="12" spans="2:36" x14ac:dyDescent="0.2">
      <c r="B12" t="s">
        <v>8</v>
      </c>
      <c r="C12" s="1">
        <v>250</v>
      </c>
      <c r="D12" t="s">
        <v>9</v>
      </c>
      <c r="J12" t="s">
        <v>69</v>
      </c>
      <c r="K12">
        <f xml:space="preserve"> K5 * K11 * $C$21</f>
        <v>1189.7376259058867</v>
      </c>
      <c r="L12" t="s">
        <v>34</v>
      </c>
      <c r="P12" s="8">
        <v>8</v>
      </c>
      <c r="Q12" s="8">
        <f t="shared" si="7"/>
        <v>0.36328125</v>
      </c>
      <c r="R12" s="8">
        <f t="shared" si="0"/>
        <v>1.5798994541391109E-3</v>
      </c>
      <c r="S12" s="8">
        <f t="shared" si="8"/>
        <v>0.3671875</v>
      </c>
      <c r="T12" s="8">
        <f t="shared" si="1"/>
        <v>-2.8315630771734712E-3</v>
      </c>
      <c r="U12" s="8">
        <f t="shared" si="3"/>
        <v>0.365234375</v>
      </c>
      <c r="V12" s="8">
        <f t="shared" si="2"/>
        <v>-6.2717102324721941E-4</v>
      </c>
      <c r="W12" s="8">
        <f t="shared" si="4"/>
        <v>-9.9086715728014968E-7</v>
      </c>
      <c r="X12" s="8">
        <f t="shared" si="5"/>
        <v>1.7758743124999311E-6</v>
      </c>
      <c r="Y12" s="8">
        <f t="shared" si="6"/>
        <v>3.90625E-3</v>
      </c>
      <c r="AA12" s="8">
        <v>8</v>
      </c>
      <c r="AB12" s="8">
        <f t="shared" si="13"/>
        <v>1062.5</v>
      </c>
      <c r="AC12" s="8">
        <v>-1.6008324167196406</v>
      </c>
      <c r="AD12" s="8">
        <f t="shared" si="14"/>
        <v>1078.125</v>
      </c>
      <c r="AE12" s="8">
        <v>4.182779295589512</v>
      </c>
      <c r="AF12" s="8">
        <f t="shared" si="9"/>
        <v>1070.3125</v>
      </c>
      <c r="AG12" s="8">
        <v>1.3004261834397539</v>
      </c>
      <c r="AH12" s="8">
        <f t="shared" si="10"/>
        <v>-2.0817643900013598</v>
      </c>
      <c r="AI12" s="8">
        <f t="shared" si="11"/>
        <v>5.4393957155342916</v>
      </c>
      <c r="AJ12" s="8">
        <f t="shared" si="12"/>
        <v>15.625</v>
      </c>
    </row>
    <row r="13" spans="2:36" x14ac:dyDescent="0.2">
      <c r="B13" t="s">
        <v>10</v>
      </c>
      <c r="C13" s="1">
        <v>0.85</v>
      </c>
      <c r="F13" s="21" t="s">
        <v>121</v>
      </c>
      <c r="G13" s="22"/>
      <c r="H13" s="22"/>
      <c r="J13" t="s">
        <v>116</v>
      </c>
      <c r="K13">
        <f>K10/K11</f>
        <v>8.7963524469589398</v>
      </c>
      <c r="P13" s="8">
        <v>9</v>
      </c>
      <c r="Q13" s="8">
        <f t="shared" si="7"/>
        <v>0.36328125</v>
      </c>
      <c r="R13" s="8">
        <f t="shared" si="0"/>
        <v>1.5798994541391109E-3</v>
      </c>
      <c r="S13" s="8">
        <f t="shared" si="8"/>
        <v>0.365234375</v>
      </c>
      <c r="T13" s="8">
        <f t="shared" si="1"/>
        <v>-6.2717102324721941E-4</v>
      </c>
      <c r="U13" s="8">
        <f t="shared" si="3"/>
        <v>0.3642578125</v>
      </c>
      <c r="V13" s="8">
        <f t="shared" si="2"/>
        <v>4.7602675077096368E-4</v>
      </c>
      <c r="W13" s="8">
        <f t="shared" si="4"/>
        <v>7.5207440369866017E-7</v>
      </c>
      <c r="X13" s="8">
        <f t="shared" si="5"/>
        <v>-2.9855018437407438E-7</v>
      </c>
      <c r="Y13" s="8">
        <f t="shared" si="6"/>
        <v>1.953125E-3</v>
      </c>
      <c r="AA13" s="8">
        <v>9</v>
      </c>
      <c r="AB13" s="8">
        <f t="shared" si="13"/>
        <v>1062.5</v>
      </c>
      <c r="AC13" s="8">
        <v>-1.6008324167196406</v>
      </c>
      <c r="AD13" s="8">
        <f t="shared" si="14"/>
        <v>1070.3125</v>
      </c>
      <c r="AE13" s="8">
        <v>1.3004261834397539</v>
      </c>
      <c r="AF13" s="8">
        <f t="shared" si="9"/>
        <v>1066.40625</v>
      </c>
      <c r="AG13" s="8">
        <v>-0.1478449265270001</v>
      </c>
      <c r="AH13" s="8">
        <f t="shared" si="10"/>
        <v>0.23667495103195527</v>
      </c>
      <c r="AI13" s="8">
        <f t="shared" si="11"/>
        <v>-0.19226141354443757</v>
      </c>
      <c r="AJ13" s="8">
        <f t="shared" si="12"/>
        <v>7.8125</v>
      </c>
    </row>
    <row r="14" spans="2:36" x14ac:dyDescent="0.2">
      <c r="B14" t="s">
        <v>11</v>
      </c>
      <c r="C14" s="1">
        <v>0.8</v>
      </c>
      <c r="F14" t="s">
        <v>125</v>
      </c>
      <c r="G14">
        <f xml:space="preserve"> IF( $C$30&gt;=2*SQRT(($C$17*$C$35)/(2*$C$34*$C$5*PI()*$C$18*$C$18)), ($C$17*$C$35)/$C$9 * ( ($C$30/2) - SQRT( ($C$30/2)^2 - ($C$17*$C$35)/(2*$C$34*$C$5*PI()*$C$18*$C$18 ) ) ), 1/$C$9 * SQRT(($C$17*$C$35)^3/(2*$C$34*$C$5*PI()*$C$18*$C$18)) )</f>
        <v>210056.37226239257</v>
      </c>
      <c r="H14" t="s">
        <v>32</v>
      </c>
      <c r="P14" s="8">
        <v>10</v>
      </c>
      <c r="Q14" s="8">
        <f t="shared" si="7"/>
        <v>0.3642578125</v>
      </c>
      <c r="R14" s="8">
        <f t="shared" si="0"/>
        <v>4.7602675077096368E-4</v>
      </c>
      <c r="S14" s="8">
        <f t="shared" si="8"/>
        <v>0.365234375</v>
      </c>
      <c r="T14" s="8">
        <f t="shared" si="1"/>
        <v>-6.2717102324721941E-4</v>
      </c>
      <c r="U14" s="8">
        <f t="shared" si="3"/>
        <v>0.36474609375</v>
      </c>
      <c r="V14" s="8">
        <f t="shared" si="2"/>
        <v>-7.5656167494164706E-5</v>
      </c>
      <c r="W14" s="8">
        <f t="shared" si="4"/>
        <v>-3.6014359588031024E-8</v>
      </c>
      <c r="X14" s="8">
        <f t="shared" si="5"/>
        <v>4.7449355982278295E-8</v>
      </c>
      <c r="Y14" s="8">
        <f t="shared" si="6"/>
        <v>9.765625E-4</v>
      </c>
      <c r="AA14" s="8">
        <v>10</v>
      </c>
      <c r="AB14" s="8">
        <f t="shared" si="13"/>
        <v>1066.40625</v>
      </c>
      <c r="AC14" s="8">
        <v>-0.1478449265270001</v>
      </c>
      <c r="AD14" s="8">
        <f t="shared" si="14"/>
        <v>1070.3125</v>
      </c>
      <c r="AE14" s="8">
        <v>1.3004261834397539</v>
      </c>
      <c r="AF14" s="8">
        <f t="shared" si="9"/>
        <v>1068.359375</v>
      </c>
      <c r="AG14" s="8">
        <v>0.57688071010068143</v>
      </c>
      <c r="AH14" s="8">
        <f t="shared" si="10"/>
        <v>-8.5288886199678893E-2</v>
      </c>
      <c r="AI14" s="8">
        <f t="shared" si="11"/>
        <v>0.7501907801362443</v>
      </c>
      <c r="AJ14" s="8">
        <f t="shared" si="12"/>
        <v>3.90625</v>
      </c>
    </row>
    <row r="15" spans="2:36" x14ac:dyDescent="0.2">
      <c r="F15" t="s">
        <v>33</v>
      </c>
      <c r="G15">
        <f xml:space="preserve"> $C$17 * $C$35 / $C$5</f>
        <v>1744.2252461460612</v>
      </c>
      <c r="H15" t="s">
        <v>34</v>
      </c>
      <c r="P15" s="8">
        <v>11</v>
      </c>
      <c r="Q15" s="8">
        <f t="shared" si="7"/>
        <v>0.3642578125</v>
      </c>
      <c r="R15" s="8">
        <f t="shared" si="0"/>
        <v>4.7602675077096368E-4</v>
      </c>
      <c r="S15" s="8">
        <f t="shared" si="8"/>
        <v>0.36474609375</v>
      </c>
      <c r="T15" s="8">
        <f t="shared" si="1"/>
        <v>-7.5656167494164706E-5</v>
      </c>
      <c r="U15" s="8">
        <f t="shared" si="3"/>
        <v>0.364501953125</v>
      </c>
      <c r="V15" s="8">
        <f t="shared" si="2"/>
        <v>2.0016424209845507E-4</v>
      </c>
      <c r="W15" s="8">
        <f t="shared" si="4"/>
        <v>9.5283533786660113E-8</v>
      </c>
      <c r="X15" s="8">
        <f t="shared" si="5"/>
        <v>-1.514365942654325E-8</v>
      </c>
      <c r="Y15" s="8">
        <f t="shared" si="6"/>
        <v>4.8828125E-4</v>
      </c>
      <c r="AA15" s="8">
        <v>11</v>
      </c>
      <c r="AB15" s="8">
        <f t="shared" si="13"/>
        <v>1066.40625</v>
      </c>
      <c r="AC15" s="8">
        <v>-0.1478449265270001</v>
      </c>
      <c r="AD15" s="8">
        <f t="shared" si="14"/>
        <v>1068.359375</v>
      </c>
      <c r="AE15" s="8">
        <v>0.57688071010068143</v>
      </c>
      <c r="AF15" s="8">
        <f t="shared" si="9"/>
        <v>1067.3828125</v>
      </c>
      <c r="AG15" s="8">
        <v>0.21466544043607882</v>
      </c>
      <c r="AH15" s="8">
        <f t="shared" si="10"/>
        <v>-3.1737196269158191E-2</v>
      </c>
      <c r="AI15" s="8">
        <f t="shared" si="11"/>
        <v>0.12383635171284069</v>
      </c>
      <c r="AJ15" s="8">
        <f t="shared" si="12"/>
        <v>1.953125</v>
      </c>
    </row>
    <row r="16" spans="2:36" x14ac:dyDescent="0.2">
      <c r="B16" s="37" t="s">
        <v>12</v>
      </c>
      <c r="C16" s="37"/>
      <c r="D16" s="37"/>
      <c r="F16" t="s">
        <v>132</v>
      </c>
      <c r="G16">
        <f xml:space="preserve"> $C$31/$C$30</f>
        <v>200</v>
      </c>
      <c r="H16" t="s">
        <v>25</v>
      </c>
      <c r="J16" s="43" t="s">
        <v>47</v>
      </c>
      <c r="K16" s="46"/>
      <c r="L16" s="46"/>
      <c r="P16" s="8">
        <v>12</v>
      </c>
      <c r="Q16" s="8">
        <f t="shared" si="7"/>
        <v>0.364501953125</v>
      </c>
      <c r="R16" s="8">
        <f t="shared" si="0"/>
        <v>2.0016424209845507E-4</v>
      </c>
      <c r="S16" s="8">
        <f t="shared" si="8"/>
        <v>0.36474609375</v>
      </c>
      <c r="T16" s="8">
        <f t="shared" si="1"/>
        <v>-7.5656167494164706E-5</v>
      </c>
      <c r="U16" s="8">
        <f t="shared" si="3"/>
        <v>0.3646240234375</v>
      </c>
      <c r="V16" s="8">
        <f t="shared" si="2"/>
        <v>6.2248780141493931E-5</v>
      </c>
      <c r="W16" s="8">
        <f t="shared" si="4"/>
        <v>1.2459979898575493E-8</v>
      </c>
      <c r="X16" s="8">
        <f t="shared" si="5"/>
        <v>-4.7095041366922989E-9</v>
      </c>
      <c r="Y16" s="8">
        <f t="shared" si="6"/>
        <v>2.44140625E-4</v>
      </c>
      <c r="AA16" s="8">
        <v>12</v>
      </c>
      <c r="AB16" s="8">
        <f t="shared" si="13"/>
        <v>1066.40625</v>
      </c>
      <c r="AC16" s="8">
        <v>-0.1478449265270001</v>
      </c>
      <c r="AD16" s="8">
        <f t="shared" si="14"/>
        <v>1067.3828125</v>
      </c>
      <c r="AE16" s="8">
        <v>0.21466544043607882</v>
      </c>
      <c r="AF16" s="8">
        <f t="shared" si="9"/>
        <v>1066.89453125</v>
      </c>
      <c r="AG16" s="8">
        <v>3.3447278496964827E-2</v>
      </c>
      <c r="AH16" s="8">
        <f t="shared" si="10"/>
        <v>-4.9450104319118749E-3</v>
      </c>
      <c r="AI16" s="8">
        <f t="shared" si="11"/>
        <v>7.1799747699391432E-3</v>
      </c>
      <c r="AJ16" s="8">
        <f t="shared" si="12"/>
        <v>0.9765625</v>
      </c>
    </row>
    <row r="17" spans="2:36" x14ac:dyDescent="0.2">
      <c r="B17" s="3" t="s">
        <v>63</v>
      </c>
      <c r="C17" s="3">
        <f>AF44</f>
        <v>1066.8044318936154</v>
      </c>
      <c r="D17" s="3" t="s">
        <v>13</v>
      </c>
      <c r="J17" t="s">
        <v>48</v>
      </c>
      <c r="K17">
        <f xml:space="preserve"> (90 - $C$36) / 180 * PI()</f>
        <v>1.48352986419518</v>
      </c>
      <c r="L17" t="s">
        <v>49</v>
      </c>
      <c r="P17" s="8">
        <v>13</v>
      </c>
      <c r="Q17" s="8">
        <f t="shared" si="7"/>
        <v>0.3646240234375</v>
      </c>
      <c r="R17" s="8">
        <f t="shared" si="0"/>
        <v>6.2248780141493931E-5</v>
      </c>
      <c r="S17" s="8">
        <f t="shared" si="8"/>
        <v>0.36474609375</v>
      </c>
      <c r="T17" s="8">
        <f t="shared" si="1"/>
        <v>-7.5656167494164706E-5</v>
      </c>
      <c r="U17" s="8">
        <f t="shared" si="3"/>
        <v>0.36468505859375</v>
      </c>
      <c r="V17" s="8">
        <f t="shared" si="2"/>
        <v>-6.7050073142005395E-6</v>
      </c>
      <c r="W17" s="8">
        <f t="shared" si="4"/>
        <v>-4.173785261487781E-10</v>
      </c>
      <c r="X17" s="8">
        <f t="shared" si="5"/>
        <v>5.0727515641275547E-10</v>
      </c>
      <c r="Y17" s="8">
        <f t="shared" si="6"/>
        <v>1.220703125E-4</v>
      </c>
      <c r="AA17" s="8">
        <v>13</v>
      </c>
      <c r="AB17" s="8">
        <f t="shared" si="13"/>
        <v>1066.40625</v>
      </c>
      <c r="AC17" s="8">
        <v>-0.1478449265270001</v>
      </c>
      <c r="AD17" s="8">
        <f t="shared" si="14"/>
        <v>1066.89453125</v>
      </c>
      <c r="AE17" s="8">
        <v>3.3447278496964827E-2</v>
      </c>
      <c r="AF17" s="8">
        <f t="shared" si="9"/>
        <v>1066.650390625</v>
      </c>
      <c r="AG17" s="8">
        <v>-5.7189678248619202E-2</v>
      </c>
      <c r="AH17" s="8">
        <f t="shared" si="10"/>
        <v>8.4552037787698816E-3</v>
      </c>
      <c r="AI17" s="8">
        <f t="shared" si="11"/>
        <v>-1.9128390955333782E-3</v>
      </c>
      <c r="AJ17" s="8">
        <f t="shared" si="12"/>
        <v>0.48828125</v>
      </c>
    </row>
    <row r="18" spans="2:36" x14ac:dyDescent="0.2">
      <c r="B18" t="s">
        <v>14</v>
      </c>
      <c r="C18" s="1">
        <v>1</v>
      </c>
      <c r="D18" t="s">
        <v>15</v>
      </c>
      <c r="F18" s="21" t="s">
        <v>38</v>
      </c>
      <c r="G18" s="22"/>
      <c r="H18" s="22"/>
      <c r="J18" t="s">
        <v>33</v>
      </c>
      <c r="K18">
        <f xml:space="preserve"> K12 / $C$6</f>
        <v>1189.7376259058867</v>
      </c>
      <c r="L18" t="s">
        <v>34</v>
      </c>
      <c r="P18" s="8">
        <v>14</v>
      </c>
      <c r="Q18" s="8">
        <f t="shared" si="7"/>
        <v>0.3646240234375</v>
      </c>
      <c r="R18" s="8">
        <f t="shared" si="0"/>
        <v>6.2248780141493931E-5</v>
      </c>
      <c r="S18" s="8">
        <f t="shared" si="8"/>
        <v>0.36468505859375</v>
      </c>
      <c r="T18" s="8">
        <f t="shared" si="1"/>
        <v>-6.7050073142005395E-6</v>
      </c>
      <c r="U18" s="8">
        <f t="shared" si="3"/>
        <v>0.364654541015625</v>
      </c>
      <c r="V18" s="8">
        <f t="shared" si="2"/>
        <v>2.7771557922662282E-5</v>
      </c>
      <c r="W18" s="8">
        <f t="shared" si="4"/>
        <v>1.7287456033145682E-9</v>
      </c>
      <c r="X18" s="8">
        <f t="shared" si="5"/>
        <v>-1.8620849899819454E-10</v>
      </c>
      <c r="Y18" s="8">
        <f t="shared" si="6"/>
        <v>6.103515625E-5</v>
      </c>
      <c r="AA18" s="8">
        <v>14</v>
      </c>
      <c r="AB18" s="8">
        <f t="shared" si="13"/>
        <v>1066.650390625</v>
      </c>
      <c r="AC18" s="8">
        <v>-5.7189678248619202E-2</v>
      </c>
      <c r="AD18" s="8">
        <f t="shared" si="14"/>
        <v>1066.89453125</v>
      </c>
      <c r="AE18" s="8">
        <v>3.3447278496964827E-2</v>
      </c>
      <c r="AF18" s="8">
        <f t="shared" si="9"/>
        <v>1066.7724609375</v>
      </c>
      <c r="AG18" s="8">
        <v>-1.1868841065734159E-2</v>
      </c>
      <c r="AH18" s="8">
        <f t="shared" si="10"/>
        <v>6.7877520173333517E-4</v>
      </c>
      <c r="AI18" s="8">
        <f t="shared" si="11"/>
        <v>-3.9698043256182323E-4</v>
      </c>
      <c r="AJ18" s="8">
        <f t="shared" si="12"/>
        <v>0.244140625</v>
      </c>
    </row>
    <row r="19" spans="2:36" x14ac:dyDescent="0.2">
      <c r="B19" t="s">
        <v>16</v>
      </c>
      <c r="C19" s="1">
        <v>1</v>
      </c>
      <c r="D19" t="s">
        <v>15</v>
      </c>
      <c r="F19" t="s">
        <v>39</v>
      </c>
      <c r="G19">
        <f xml:space="preserve"> (G4*G6 + G10*G11 + G14*G16)/3600</f>
        <v>31252.70573348174</v>
      </c>
      <c r="H19" t="s">
        <v>40</v>
      </c>
      <c r="J19" t="s">
        <v>50</v>
      </c>
      <c r="K19">
        <f xml:space="preserve"> PI() * $C$20 / ($C$19 * $C$23)</f>
        <v>94.247779607693786</v>
      </c>
      <c r="L19" t="s">
        <v>51</v>
      </c>
      <c r="P19" s="8">
        <v>15</v>
      </c>
      <c r="Q19" s="8">
        <f t="shared" si="7"/>
        <v>0.364654541015625</v>
      </c>
      <c r="R19" s="8">
        <f t="shared" si="0"/>
        <v>2.7771557922662282E-5</v>
      </c>
      <c r="S19" s="8">
        <f t="shared" si="8"/>
        <v>0.36468505859375</v>
      </c>
      <c r="T19" s="8">
        <f t="shared" si="1"/>
        <v>-6.7050073142005395E-6</v>
      </c>
      <c r="U19" s="8">
        <f t="shared" si="3"/>
        <v>0.3646697998046875</v>
      </c>
      <c r="V19" s="8">
        <f t="shared" si="2"/>
        <v>1.0533193191664125E-5</v>
      </c>
      <c r="W19" s="8">
        <f t="shared" si="4"/>
        <v>2.9252318483289226E-10</v>
      </c>
      <c r="X19" s="8">
        <f t="shared" si="5"/>
        <v>-7.062513739199528E-11</v>
      </c>
      <c r="Y19" s="8">
        <f t="shared" si="6"/>
        <v>3.0517578125E-5</v>
      </c>
      <c r="AA19" s="8">
        <v>15</v>
      </c>
      <c r="AB19" s="8">
        <f t="shared" si="13"/>
        <v>1066.7724609375</v>
      </c>
      <c r="AC19" s="8">
        <v>-1.1868841065734159E-2</v>
      </c>
      <c r="AD19" s="8">
        <f t="shared" si="14"/>
        <v>1066.89453125</v>
      </c>
      <c r="AE19" s="8">
        <v>3.3447278496964827E-2</v>
      </c>
      <c r="AF19" s="8">
        <f t="shared" si="9"/>
        <v>1066.83349609375</v>
      </c>
      <c r="AG19" s="8">
        <v>1.0789627866643059E-2</v>
      </c>
      <c r="AH19" s="8">
        <f t="shared" si="10"/>
        <v>-1.2806037830760279E-4</v>
      </c>
      <c r="AI19" s="8">
        <f t="shared" si="11"/>
        <v>3.6088368813422288E-4</v>
      </c>
      <c r="AJ19" s="8">
        <f t="shared" si="12"/>
        <v>0.1220703125</v>
      </c>
    </row>
    <row r="20" spans="2:36" x14ac:dyDescent="0.2">
      <c r="B20" t="s">
        <v>17</v>
      </c>
      <c r="C20" s="1">
        <v>30</v>
      </c>
      <c r="D20" t="s">
        <v>18</v>
      </c>
      <c r="F20" t="s">
        <v>41</v>
      </c>
      <c r="G20">
        <f xml:space="preserve"> G6 + G11 + G16</f>
        <v>1320</v>
      </c>
      <c r="H20" t="s">
        <v>25</v>
      </c>
      <c r="J20" t="s">
        <v>52</v>
      </c>
      <c r="K20">
        <f xml:space="preserve"> $C$20 * COS(K17) / (K19 * $C$19)</f>
        <v>2.7742534554270875E-2</v>
      </c>
      <c r="P20" s="8">
        <v>16</v>
      </c>
      <c r="Q20" s="8">
        <f t="shared" si="7"/>
        <v>0.3646697998046875</v>
      </c>
      <c r="R20" s="8">
        <f t="shared" si="0"/>
        <v>1.0533193191664125E-5</v>
      </c>
      <c r="S20" s="8">
        <f t="shared" si="8"/>
        <v>0.36468505859375</v>
      </c>
      <c r="T20" s="8">
        <f t="shared" si="1"/>
        <v>-6.7050073142005395E-6</v>
      </c>
      <c r="U20" s="8">
        <f t="shared" si="3"/>
        <v>0.36467742919921875</v>
      </c>
      <c r="V20" s="8">
        <f t="shared" si="2"/>
        <v>1.9140724119015573E-6</v>
      </c>
      <c r="W20" s="8">
        <f t="shared" si="4"/>
        <v>2.0161294497393614E-11</v>
      </c>
      <c r="X20" s="8">
        <f t="shared" si="5"/>
        <v>-1.2833869521709409E-11</v>
      </c>
      <c r="Y20" s="8">
        <f t="shared" si="6"/>
        <v>1.52587890625E-5</v>
      </c>
      <c r="AA20" s="8">
        <v>16</v>
      </c>
      <c r="AB20" s="8">
        <f t="shared" si="13"/>
        <v>1066.7724609375</v>
      </c>
      <c r="AC20" s="8">
        <v>-1.1868841065734159E-2</v>
      </c>
      <c r="AD20" s="8">
        <f t="shared" si="14"/>
        <v>1066.83349609375</v>
      </c>
      <c r="AE20" s="8">
        <v>1.0789627866643059E-2</v>
      </c>
      <c r="AF20" s="8">
        <f t="shared" si="9"/>
        <v>1066.802978515625</v>
      </c>
      <c r="AG20" s="8">
        <v>-5.3961264723056956E-4</v>
      </c>
      <c r="AH20" s="8">
        <f t="shared" si="10"/>
        <v>6.4045767470397039E-6</v>
      </c>
      <c r="AI20" s="8">
        <f t="shared" si="11"/>
        <v>-5.8222196557519837E-6</v>
      </c>
      <c r="AJ20" s="8">
        <f t="shared" si="12"/>
        <v>6.103515625E-2</v>
      </c>
    </row>
    <row r="21" spans="2:36" x14ac:dyDescent="0.2">
      <c r="B21" t="s">
        <v>19</v>
      </c>
      <c r="C21" s="1">
        <v>8</v>
      </c>
      <c r="D21" t="s">
        <v>20</v>
      </c>
      <c r="J21" t="s">
        <v>53</v>
      </c>
      <c r="K21">
        <f xml:space="preserve"> K18 / ( $C$34 * PI() * $C$19^2 * K19^2 * $C$19^2)</f>
        <v>3.4803504769502704E-2</v>
      </c>
      <c r="P21" s="8">
        <v>17</v>
      </c>
      <c r="Q21" s="8">
        <f t="shared" si="7"/>
        <v>0.36467742919921875</v>
      </c>
      <c r="R21" s="8">
        <f t="shared" si="0"/>
        <v>1.9140724119015573E-6</v>
      </c>
      <c r="S21" s="8">
        <f t="shared" si="8"/>
        <v>0.36468505859375</v>
      </c>
      <c r="T21" s="8">
        <f t="shared" si="1"/>
        <v>-6.7050073142005395E-6</v>
      </c>
      <c r="U21" s="8">
        <f t="shared" si="3"/>
        <v>0.36468124389648438</v>
      </c>
      <c r="V21" s="8">
        <f t="shared" si="2"/>
        <v>-2.3954725827390888E-6</v>
      </c>
      <c r="W21" s="8">
        <f t="shared" si="4"/>
        <v>-4.5851079840874608E-12</v>
      </c>
      <c r="X21" s="8">
        <f t="shared" si="5"/>
        <v>1.6061661188232448E-11</v>
      </c>
      <c r="Y21" s="8">
        <f t="shared" si="6"/>
        <v>7.62939453125E-6</v>
      </c>
      <c r="AA21" s="8">
        <v>17</v>
      </c>
      <c r="AB21" s="8">
        <f t="shared" si="13"/>
        <v>1066.802978515625</v>
      </c>
      <c r="AC21" s="8">
        <v>-5.3961264723056956E-4</v>
      </c>
      <c r="AD21" s="8">
        <f t="shared" si="14"/>
        <v>1066.83349609375</v>
      </c>
      <c r="AE21" s="8">
        <v>1.0789627866643059E-2</v>
      </c>
      <c r="AF21" s="8">
        <f t="shared" si="9"/>
        <v>1066.8182373046875</v>
      </c>
      <c r="AG21" s="8">
        <v>5.1251866657366918E-3</v>
      </c>
      <c r="AH21" s="8">
        <f t="shared" si="10"/>
        <v>-2.7656155442489924E-6</v>
      </c>
      <c r="AI21" s="8">
        <f t="shared" si="11"/>
        <v>5.5298856870380035E-5</v>
      </c>
      <c r="AJ21" s="8">
        <f t="shared" si="12"/>
        <v>3.0517578125E-2</v>
      </c>
    </row>
    <row r="22" spans="2:36" x14ac:dyDescent="0.2">
      <c r="B22" t="s">
        <v>6</v>
      </c>
      <c r="C22" s="1">
        <v>10</v>
      </c>
      <c r="F22" s="21" t="s">
        <v>83</v>
      </c>
      <c r="G22" s="21"/>
      <c r="H22" s="21"/>
      <c r="J22" t="s">
        <v>5</v>
      </c>
      <c r="K22" s="1">
        <v>1.2E-2</v>
      </c>
      <c r="P22" s="8">
        <v>18</v>
      </c>
      <c r="Q22" s="8">
        <f t="shared" si="7"/>
        <v>0.36467742919921875</v>
      </c>
      <c r="R22" s="8">
        <f t="shared" si="0"/>
        <v>1.9140724119015573E-6</v>
      </c>
      <c r="S22" s="8">
        <f t="shared" si="8"/>
        <v>0.36468124389648438</v>
      </c>
      <c r="T22" s="8">
        <f t="shared" si="1"/>
        <v>-2.3954725827390888E-6</v>
      </c>
      <c r="U22" s="8">
        <f t="shared" si="3"/>
        <v>0.36467933654785156</v>
      </c>
      <c r="V22" s="8">
        <f t="shared" si="2"/>
        <v>-2.4070136833698186E-7</v>
      </c>
      <c r="W22" s="8">
        <f t="shared" si="4"/>
        <v>-4.6071984864077201E-13</v>
      </c>
      <c r="X22" s="8">
        <f t="shared" si="5"/>
        <v>5.7659352847902269E-13</v>
      </c>
      <c r="Y22" s="8">
        <f t="shared" si="6"/>
        <v>3.814697265625E-6</v>
      </c>
      <c r="AA22" s="8">
        <v>18</v>
      </c>
      <c r="AB22" s="8">
        <f t="shared" si="13"/>
        <v>1066.802978515625</v>
      </c>
      <c r="AC22" s="8">
        <v>-5.3961264723056956E-4</v>
      </c>
      <c r="AD22" s="8">
        <f t="shared" si="14"/>
        <v>1066.8182373046875</v>
      </c>
      <c r="AE22" s="8">
        <v>5.1251866657366918E-3</v>
      </c>
      <c r="AF22" s="8">
        <f t="shared" si="9"/>
        <v>1066.8106079101562</v>
      </c>
      <c r="AG22" s="8">
        <v>2.2927956583771447E-3</v>
      </c>
      <c r="AH22" s="8">
        <f t="shared" si="10"/>
        <v>-1.2372215347756477E-6</v>
      </c>
      <c r="AI22" s="8">
        <f t="shared" si="11"/>
        <v>1.1751005735573522E-5</v>
      </c>
      <c r="AJ22" s="8">
        <f t="shared" si="12"/>
        <v>1.52587890625E-2</v>
      </c>
    </row>
    <row r="23" spans="2:36" x14ac:dyDescent="0.2">
      <c r="B23" t="s">
        <v>21</v>
      </c>
      <c r="C23" s="1">
        <v>1</v>
      </c>
      <c r="F23" s="3" t="s">
        <v>119</v>
      </c>
      <c r="G23" s="5">
        <f>C17</f>
        <v>1066.8044318936154</v>
      </c>
      <c r="H23" t="s">
        <v>13</v>
      </c>
      <c r="J23" t="s">
        <v>54</v>
      </c>
      <c r="K23">
        <f xml:space="preserve"> ($C$8 * $K$22 / 8) * (1 + 4.65 * K20^2) * ( PI() * $C$34 * K19^3 * C19^5)</f>
        <v>630.50053776545394</v>
      </c>
      <c r="L23" t="s">
        <v>32</v>
      </c>
      <c r="P23" s="8">
        <v>19</v>
      </c>
      <c r="Q23" s="8">
        <f t="shared" si="7"/>
        <v>0.36467742919921875</v>
      </c>
      <c r="R23" s="8">
        <f t="shared" si="0"/>
        <v>1.9140724119015573E-6</v>
      </c>
      <c r="S23" s="8">
        <f t="shared" si="8"/>
        <v>0.36467933654785156</v>
      </c>
      <c r="T23" s="8">
        <f t="shared" si="1"/>
        <v>-2.4070136833698186E-7</v>
      </c>
      <c r="U23" s="8">
        <f t="shared" si="3"/>
        <v>0.36467838287353516</v>
      </c>
      <c r="V23" s="8">
        <f t="shared" si="2"/>
        <v>8.3668520101110033E-7</v>
      </c>
      <c r="W23" s="8">
        <f t="shared" si="4"/>
        <v>1.6014760607016561E-12</v>
      </c>
      <c r="X23" s="8">
        <f t="shared" si="5"/>
        <v>-2.0139127275067457E-13</v>
      </c>
      <c r="Y23" s="8">
        <f t="shared" si="6"/>
        <v>1.9073486328125E-6</v>
      </c>
      <c r="AA23" s="8">
        <v>19</v>
      </c>
      <c r="AB23" s="8">
        <f t="shared" si="13"/>
        <v>1066.802978515625</v>
      </c>
      <c r="AC23" s="8">
        <v>-5.3961264723056956E-4</v>
      </c>
      <c r="AD23" s="8">
        <f t="shared" si="14"/>
        <v>1066.8106079101562</v>
      </c>
      <c r="AE23" s="8">
        <v>2.2927956583771447E-3</v>
      </c>
      <c r="AF23" s="8">
        <f t="shared" si="9"/>
        <v>1066.8067932128906</v>
      </c>
      <c r="AG23" s="8">
        <v>8.7659366772641079E-4</v>
      </c>
      <c r="AH23" s="8">
        <f t="shared" si="10"/>
        <v>-4.730210295874028E-7</v>
      </c>
      <c r="AI23" s="8">
        <f t="shared" si="11"/>
        <v>2.009850155524012E-6</v>
      </c>
      <c r="AJ23" s="8">
        <f t="shared" si="12"/>
        <v>7.62939453125E-3</v>
      </c>
    </row>
    <row r="24" spans="2:36" x14ac:dyDescent="0.2">
      <c r="F24" s="16" t="s">
        <v>84</v>
      </c>
      <c r="G24">
        <f xml:space="preserve"> G19 / ($C$12 * $C$13 * $C$14)</f>
        <v>183.83944549106906</v>
      </c>
      <c r="H24" t="s">
        <v>13</v>
      </c>
      <c r="J24" t="s">
        <v>55</v>
      </c>
      <c r="K24" s="5">
        <f>U34</f>
        <v>0.36467912374064326</v>
      </c>
      <c r="P24" s="8">
        <v>20</v>
      </c>
      <c r="Q24" s="8">
        <f t="shared" si="7"/>
        <v>0.36467838287353516</v>
      </c>
      <c r="R24" s="8">
        <f t="shared" si="0"/>
        <v>8.3668520101110033E-7</v>
      </c>
      <c r="S24" s="8">
        <f t="shared" si="8"/>
        <v>0.36467933654785156</v>
      </c>
      <c r="T24" s="8">
        <f t="shared" si="1"/>
        <v>-2.4070136833698186E-7</v>
      </c>
      <c r="U24" s="8">
        <f t="shared" si="3"/>
        <v>0.36467885971069336</v>
      </c>
      <c r="V24" s="8">
        <f t="shared" si="2"/>
        <v>2.9799183615120128E-7</v>
      </c>
      <c r="W24" s="8">
        <f t="shared" si="4"/>
        <v>2.493253593298347E-13</v>
      </c>
      <c r="X24" s="8">
        <f t="shared" si="5"/>
        <v>-7.1727042714843844E-14</v>
      </c>
      <c r="Y24" s="8">
        <f t="shared" si="6"/>
        <v>9.5367431640625E-7</v>
      </c>
      <c r="AA24" s="8">
        <v>20</v>
      </c>
      <c r="AB24" s="8">
        <f t="shared" si="13"/>
        <v>1066.802978515625</v>
      </c>
      <c r="AC24" s="8">
        <v>-5.3961264723056956E-4</v>
      </c>
      <c r="AD24" s="8">
        <f t="shared" si="14"/>
        <v>1066.8067932128906</v>
      </c>
      <c r="AE24" s="8">
        <v>8.7659366772641079E-4</v>
      </c>
      <c r="AF24" s="8">
        <f t="shared" si="9"/>
        <v>1066.8048858642578</v>
      </c>
      <c r="AG24" s="8">
        <v>1.6863550422385742E-4</v>
      </c>
      <c r="AH24" s="8">
        <f t="shared" si="10"/>
        <v>-9.0997850851297603E-8</v>
      </c>
      <c r="AI24" s="8">
        <f t="shared" si="11"/>
        <v>1.4782481515648381E-7</v>
      </c>
      <c r="AJ24" s="8">
        <f t="shared" si="12"/>
        <v>3.814697265625E-3</v>
      </c>
    </row>
    <row r="25" spans="2:36" x14ac:dyDescent="0.2">
      <c r="B25" s="45" t="s">
        <v>22</v>
      </c>
      <c r="C25" s="45"/>
      <c r="D25" s="45"/>
      <c r="F25" s="12" t="s">
        <v>85</v>
      </c>
      <c r="G25">
        <f xml:space="preserve"> $C$37 * ($C$5 * 0.144 * (2*$C$18*3.28084 * (G4*0.00134102/$C$5) * 4^0.5)^0.782 * 0.453592 + C6 * $C$6 * 0.144 * (2*$C$19*3.28084 * (G10*0.00134102/$C$6) * 4^0.5)^0.782 * 0.453592)</f>
        <v>60.197018584963409</v>
      </c>
      <c r="H25" t="s">
        <v>13</v>
      </c>
      <c r="J25" t="s">
        <v>56</v>
      </c>
      <c r="K25">
        <f xml:space="preserve"> K19 * $C$19 * K24 - $C$20 * SIN(K17)</f>
        <v>4.4843567390826706</v>
      </c>
      <c r="L25" t="s">
        <v>18</v>
      </c>
      <c r="P25" s="8">
        <v>21</v>
      </c>
      <c r="Q25" s="8">
        <f t="shared" si="7"/>
        <v>0.36467885971069336</v>
      </c>
      <c r="R25" s="8">
        <f t="shared" si="0"/>
        <v>2.9799183615120128E-7</v>
      </c>
      <c r="S25" s="8">
        <f t="shared" si="8"/>
        <v>0.36467933654785156</v>
      </c>
      <c r="T25" s="8">
        <f t="shared" si="1"/>
        <v>-2.4070136833698186E-7</v>
      </c>
      <c r="U25" s="8">
        <f t="shared" si="3"/>
        <v>0.36467909812927246</v>
      </c>
      <c r="V25" s="8">
        <f t="shared" si="2"/>
        <v>2.8645213867584118E-8</v>
      </c>
      <c r="W25" s="8">
        <f t="shared" si="4"/>
        <v>8.5360398773452454E-15</v>
      </c>
      <c r="X25" s="8">
        <f t="shared" si="5"/>
        <v>-6.8949421742329854E-15</v>
      </c>
      <c r="Y25" s="8">
        <f t="shared" si="6"/>
        <v>4.76837158203125E-7</v>
      </c>
      <c r="AA25" s="8">
        <v>21</v>
      </c>
      <c r="AB25" s="8">
        <f t="shared" si="13"/>
        <v>1066.802978515625</v>
      </c>
      <c r="AC25" s="8">
        <v>-5.3961264723056956E-4</v>
      </c>
      <c r="AD25" s="8">
        <f t="shared" si="14"/>
        <v>1066.8048858642578</v>
      </c>
      <c r="AE25" s="8">
        <v>1.6863550422385742E-4</v>
      </c>
      <c r="AF25" s="8">
        <f t="shared" si="9"/>
        <v>1066.8039321899414</v>
      </c>
      <c r="AG25" s="8">
        <v>-1.8548843650023628E-4</v>
      </c>
      <c r="AH25" s="8">
        <f t="shared" si="10"/>
        <v>1.0009190625055191E-7</v>
      </c>
      <c r="AI25" s="8">
        <f t="shared" si="11"/>
        <v>-3.1279936016912302E-8</v>
      </c>
      <c r="AJ25" s="8">
        <f t="shared" si="12"/>
        <v>1.9073486328125E-3</v>
      </c>
    </row>
    <row r="26" spans="2:36" x14ac:dyDescent="0.2">
      <c r="B26" t="s">
        <v>102</v>
      </c>
      <c r="C26" s="1">
        <v>400</v>
      </c>
      <c r="D26" t="s">
        <v>13</v>
      </c>
      <c r="F26" s="13" t="s">
        <v>86</v>
      </c>
      <c r="G26">
        <f xml:space="preserve"> 0.2138 * (G4/1000) + 0.2138 * (G10/1000)</f>
        <v>58.067973096928988</v>
      </c>
      <c r="H26" t="s">
        <v>13</v>
      </c>
      <c r="J26" t="s">
        <v>57</v>
      </c>
      <c r="K26">
        <f xml:space="preserve"> 1/$C$9 - K23 * SQRT( (2*$C$34*PI()*$C$19^2) / K18^3 )</f>
        <v>1.2907081122002468</v>
      </c>
      <c r="P26" s="8">
        <v>22</v>
      </c>
      <c r="Q26" s="8">
        <f t="shared" si="7"/>
        <v>0.36467909812927246</v>
      </c>
      <c r="R26" s="8">
        <f t="shared" si="0"/>
        <v>2.8645213867584118E-8</v>
      </c>
      <c r="S26" s="8">
        <f t="shared" si="8"/>
        <v>0.36467933654785156</v>
      </c>
      <c r="T26" s="8">
        <f t="shared" si="1"/>
        <v>-2.4070136833698186E-7</v>
      </c>
      <c r="U26" s="8">
        <f t="shared" si="3"/>
        <v>0.36467921733856201</v>
      </c>
      <c r="V26" s="8">
        <f t="shared" si="2"/>
        <v>-1.0602808225845806E-7</v>
      </c>
      <c r="W26" s="8">
        <f t="shared" si="4"/>
        <v>-3.0371970922633325E-15</v>
      </c>
      <c r="X26" s="8">
        <f t="shared" si="5"/>
        <v>2.5521104481756924E-14</v>
      </c>
      <c r="Y26" s="8">
        <f t="shared" si="6"/>
        <v>2.384185791015625E-7</v>
      </c>
      <c r="AA26" s="8">
        <v>22</v>
      </c>
      <c r="AB26" s="8">
        <f t="shared" si="13"/>
        <v>1066.8039321899414</v>
      </c>
      <c r="AC26" s="8">
        <v>-1.8548843650023628E-4</v>
      </c>
      <c r="AD26" s="8">
        <f t="shared" si="14"/>
        <v>1066.8048858642578</v>
      </c>
      <c r="AE26" s="8">
        <v>1.6863550422385742E-4</v>
      </c>
      <c r="AF26" s="8">
        <f t="shared" si="9"/>
        <v>1066.8044090270996</v>
      </c>
      <c r="AG26" s="8">
        <v>-8.4264323731986224E-6</v>
      </c>
      <c r="AH26" s="8">
        <f t="shared" si="10"/>
        <v>1.5630057661795879E-9</v>
      </c>
      <c r="AI26" s="8">
        <f t="shared" si="11"/>
        <v>-1.4209956720625853E-9</v>
      </c>
      <c r="AJ26" s="8">
        <f t="shared" si="12"/>
        <v>9.5367431640625E-4</v>
      </c>
    </row>
    <row r="27" spans="2:36" x14ac:dyDescent="0.2">
      <c r="B27" t="s">
        <v>23</v>
      </c>
      <c r="C27" s="1">
        <v>30000</v>
      </c>
      <c r="D27" t="s">
        <v>15</v>
      </c>
      <c r="F27" s="13" t="s">
        <v>117</v>
      </c>
      <c r="G27">
        <f>2.20462 * (49.9/398 * (G4/$C$5/1000 -2) + 0.1) * $C$5 * 0.453592 + 2.20462 * (49.9/398 * (G9/1000 -2) + 0.1) * 0.453592 * $C$6</f>
        <v>32.996956579181848</v>
      </c>
      <c r="H27" t="s">
        <v>13</v>
      </c>
      <c r="J27" t="s">
        <v>58</v>
      </c>
      <c r="K27" s="1">
        <v>1.1499999999999999</v>
      </c>
      <c r="P27" s="8">
        <v>23</v>
      </c>
      <c r="Q27" s="8">
        <f t="shared" si="7"/>
        <v>0.36467909812927246</v>
      </c>
      <c r="R27" s="8">
        <f t="shared" si="0"/>
        <v>2.8645213867584118E-8</v>
      </c>
      <c r="S27" s="8">
        <f t="shared" si="8"/>
        <v>0.36467921733856201</v>
      </c>
      <c r="T27" s="8">
        <f t="shared" si="1"/>
        <v>-1.0602808225845806E-7</v>
      </c>
      <c r="U27" s="8">
        <f t="shared" si="3"/>
        <v>0.36467915773391724</v>
      </c>
      <c r="V27" s="8">
        <f t="shared" si="2"/>
        <v>-3.8691435444437872E-8</v>
      </c>
      <c r="W27" s="8">
        <f t="shared" si="4"/>
        <v>-1.1083244431497475E-15</v>
      </c>
      <c r="X27" s="8">
        <f t="shared" si="5"/>
        <v>4.1023787000006781E-15</v>
      </c>
      <c r="Y27" s="8">
        <f t="shared" si="6"/>
        <v>1.1920928955078125E-7</v>
      </c>
      <c r="AA27" s="8">
        <v>23</v>
      </c>
      <c r="AB27" s="8">
        <f t="shared" si="13"/>
        <v>1066.8044090270996</v>
      </c>
      <c r="AC27" s="8">
        <v>-8.4264323731986224E-6</v>
      </c>
      <c r="AD27" s="8">
        <f t="shared" si="14"/>
        <v>1066.8048858642578</v>
      </c>
      <c r="AE27" s="8">
        <v>1.6863550422385742E-4</v>
      </c>
      <c r="AF27" s="8">
        <f t="shared" si="9"/>
        <v>1066.8046474456787</v>
      </c>
      <c r="AG27" s="8">
        <v>7.9960091170505621E-5</v>
      </c>
      <c r="AH27" s="8">
        <f t="shared" si="10"/>
        <v>-6.7377830080306189E-10</v>
      </c>
      <c r="AI27" s="8">
        <f t="shared" si="11"/>
        <v>1.3484110292323826E-8</v>
      </c>
      <c r="AJ27" s="8">
        <f t="shared" si="12"/>
        <v>4.76837158203125E-4</v>
      </c>
    </row>
    <row r="28" spans="2:36" x14ac:dyDescent="0.2">
      <c r="B28" t="s">
        <v>126</v>
      </c>
      <c r="C28" s="1">
        <v>2.54</v>
      </c>
      <c r="D28" t="s">
        <v>18</v>
      </c>
      <c r="F28" s="14" t="s">
        <v>94</v>
      </c>
      <c r="G28">
        <f xml:space="preserve"> $C$37 * (14.86 * ($C$17*2.20462)^0.144 * (6.7/(PI()*1.8))^0.778 * (6.7*3.28084)^0.383 * 4^0.455 * 0.453592)</f>
        <v>115.47986332582191</v>
      </c>
      <c r="H28" t="s">
        <v>13</v>
      </c>
      <c r="J28" t="s">
        <v>59</v>
      </c>
      <c r="K28">
        <f xml:space="preserve"> 1/$C$40 * LN( EXP($C$40 * K26) + EXP($C$40 * K27) )</f>
        <v>1.2911939010808382</v>
      </c>
      <c r="P28" s="8">
        <v>24</v>
      </c>
      <c r="Q28" s="8">
        <f t="shared" si="7"/>
        <v>0.36467909812927246</v>
      </c>
      <c r="R28" s="8">
        <f t="shared" si="0"/>
        <v>2.8645213867584118E-8</v>
      </c>
      <c r="S28" s="8">
        <f t="shared" si="8"/>
        <v>0.36467915773391724</v>
      </c>
      <c r="T28" s="8">
        <f t="shared" si="1"/>
        <v>-3.8691435444437872E-8</v>
      </c>
      <c r="U28" s="8">
        <f t="shared" si="3"/>
        <v>0.36467912793159485</v>
      </c>
      <c r="V28" s="8">
        <f t="shared" si="2"/>
        <v>-5.0231110937382084E-9</v>
      </c>
      <c r="W28" s="8">
        <f t="shared" si="4"/>
        <v>-1.4388809156076535E-16</v>
      </c>
      <c r="X28" s="8">
        <f t="shared" si="5"/>
        <v>1.9435137861361161E-16</v>
      </c>
      <c r="Y28" s="8">
        <f t="shared" si="6"/>
        <v>5.9604644775390625E-8</v>
      </c>
      <c r="AA28" s="8">
        <v>24</v>
      </c>
      <c r="AB28" s="8">
        <f t="shared" si="13"/>
        <v>1066.8044090270996</v>
      </c>
      <c r="AC28" s="8">
        <v>-8.4264323731986224E-6</v>
      </c>
      <c r="AD28" s="8">
        <f t="shared" si="14"/>
        <v>1066.8046474456787</v>
      </c>
      <c r="AE28" s="8">
        <v>7.9960091170505621E-5</v>
      </c>
      <c r="AF28" s="8">
        <f t="shared" si="9"/>
        <v>1066.8045282363892</v>
      </c>
      <c r="AG28" s="8">
        <v>3.591128461266635E-5</v>
      </c>
      <c r="AH28" s="8">
        <f t="shared" si="10"/>
        <v>-3.0260401122332128E-10</v>
      </c>
      <c r="AI28" s="8">
        <f t="shared" si="11"/>
        <v>2.871469591678777E-9</v>
      </c>
      <c r="AJ28" s="8">
        <f t="shared" si="12"/>
        <v>2.384185791015625E-4</v>
      </c>
    </row>
    <row r="29" spans="2:36" x14ac:dyDescent="0.2">
      <c r="B29" t="s">
        <v>129</v>
      </c>
      <c r="C29" s="1">
        <v>304.8</v>
      </c>
      <c r="D29" t="s">
        <v>15</v>
      </c>
      <c r="F29" s="14" t="s">
        <v>95</v>
      </c>
      <c r="G29">
        <f xml:space="preserve"> $C$37 * (0.054 * (0.7*3.28084)^0.501 * ($C$17*2.20462*5.7)^0.684 * 0.453592)</f>
        <v>19.775180405418567</v>
      </c>
      <c r="H29" t="s">
        <v>13</v>
      </c>
      <c r="P29" s="8">
        <v>25</v>
      </c>
      <c r="Q29" s="8">
        <f t="shared" si="7"/>
        <v>0.36467909812927246</v>
      </c>
      <c r="R29" s="8">
        <f t="shared" si="0"/>
        <v>2.8645213867584118E-8</v>
      </c>
      <c r="S29" s="8">
        <f t="shared" si="8"/>
        <v>0.36467912793159485</v>
      </c>
      <c r="T29" s="8">
        <f t="shared" si="1"/>
        <v>-5.0231110937382084E-9</v>
      </c>
      <c r="U29" s="8">
        <f t="shared" si="3"/>
        <v>0.36467911303043365</v>
      </c>
      <c r="V29" s="8">
        <f t="shared" si="2"/>
        <v>1.1811051303656228E-8</v>
      </c>
      <c r="W29" s="8">
        <f t="shared" si="4"/>
        <v>3.3833009059424088E-16</v>
      </c>
      <c r="X29" s="8">
        <f t="shared" si="5"/>
        <v>-5.9328222832106725E-17</v>
      </c>
      <c r="Y29" s="8">
        <f t="shared" si="6"/>
        <v>2.9802322387695312E-8</v>
      </c>
      <c r="AA29" s="8">
        <v>25</v>
      </c>
      <c r="AB29" s="8">
        <f t="shared" si="13"/>
        <v>1066.8044090270996</v>
      </c>
      <c r="AC29" s="8">
        <v>-8.4264323731986224E-6</v>
      </c>
      <c r="AD29" s="8">
        <f t="shared" si="14"/>
        <v>1066.8045282363892</v>
      </c>
      <c r="AE29" s="8">
        <v>3.591128461266635E-5</v>
      </c>
      <c r="AF29" s="8">
        <f t="shared" si="9"/>
        <v>1066.8044686317444</v>
      </c>
      <c r="AG29" s="8">
        <v>1.3597973406831443E-5</v>
      </c>
      <c r="AH29" s="8">
        <f t="shared" si="10"/>
        <v>-1.1458240332521843E-10</v>
      </c>
      <c r="AI29" s="8">
        <f t="shared" si="11"/>
        <v>4.8832069316819222E-10</v>
      </c>
      <c r="AJ29" s="8">
        <f t="shared" si="12"/>
        <v>1.1920928955078125E-4</v>
      </c>
    </row>
    <row r="30" spans="2:36" x14ac:dyDescent="0.2">
      <c r="B30" t="s">
        <v>127</v>
      </c>
      <c r="C30" s="1">
        <v>1.524</v>
      </c>
      <c r="D30" t="s">
        <v>18</v>
      </c>
      <c r="F30" s="14" t="s">
        <v>87</v>
      </c>
      <c r="G30">
        <f xml:space="preserve"> $C$37 * (0.04674 * ($C$17*2.20462)^0.397 * ($C$21*3.28084^2)^0.36 * 3^0.397 * $C$22^1.712 * 0.453592)</f>
        <v>146.53319454490611</v>
      </c>
      <c r="H30" t="s">
        <v>13</v>
      </c>
      <c r="P30" s="8">
        <v>26</v>
      </c>
      <c r="Q30" s="8">
        <f t="shared" si="7"/>
        <v>0.36467911303043365</v>
      </c>
      <c r="R30" s="8">
        <f t="shared" si="0"/>
        <v>1.1811051303656228E-8</v>
      </c>
      <c r="S30" s="8">
        <f t="shared" si="8"/>
        <v>0.36467912793159485</v>
      </c>
      <c r="T30" s="8">
        <f t="shared" si="1"/>
        <v>-5.0231110937382084E-9</v>
      </c>
      <c r="U30" s="8">
        <f t="shared" si="3"/>
        <v>0.36467912048101425</v>
      </c>
      <c r="V30" s="8">
        <f t="shared" si="2"/>
        <v>3.3939701049590099E-9</v>
      </c>
      <c r="W30" s="8">
        <f t="shared" si="4"/>
        <v>4.0086355032746379E-17</v>
      </c>
      <c r="X30" s="8">
        <f t="shared" si="5"/>
        <v>-1.7048288886035434E-17</v>
      </c>
      <c r="Y30" s="8">
        <f t="shared" si="6"/>
        <v>1.4901161193847656E-8</v>
      </c>
      <c r="AA30" s="8">
        <v>26</v>
      </c>
      <c r="AB30" s="8">
        <f t="shared" si="13"/>
        <v>1066.8044090270996</v>
      </c>
      <c r="AC30" s="8">
        <v>-8.4264323731986224E-6</v>
      </c>
      <c r="AD30" s="8">
        <f t="shared" si="14"/>
        <v>1066.8044686317444</v>
      </c>
      <c r="AE30" s="8">
        <v>1.3597973406831443E-5</v>
      </c>
      <c r="AF30" s="8">
        <f t="shared" si="9"/>
        <v>1066.804438829422</v>
      </c>
      <c r="AG30" s="8">
        <v>2.7302238549964386E-6</v>
      </c>
      <c r="AH30" s="8">
        <f t="shared" si="10"/>
        <v>-2.3006046677821132E-11</v>
      </c>
      <c r="AI30" s="8">
        <f t="shared" si="11"/>
        <v>3.7125511374938397E-11</v>
      </c>
      <c r="AJ30" s="8">
        <f t="shared" si="12"/>
        <v>5.9604644775390625E-5</v>
      </c>
    </row>
    <row r="31" spans="2:36" x14ac:dyDescent="0.2">
      <c r="B31" t="s">
        <v>133</v>
      </c>
      <c r="C31" s="1">
        <v>304.8</v>
      </c>
      <c r="D31" t="s">
        <v>15</v>
      </c>
      <c r="F31" s="14" t="s">
        <v>96</v>
      </c>
      <c r="G31">
        <f xml:space="preserve"> $C$37 * 0</f>
        <v>0</v>
      </c>
      <c r="H31" t="s">
        <v>13</v>
      </c>
      <c r="P31" s="8">
        <v>27</v>
      </c>
      <c r="Q31" s="8">
        <f t="shared" si="7"/>
        <v>0.36467912048101425</v>
      </c>
      <c r="R31" s="8">
        <f t="shared" si="0"/>
        <v>3.3939701049590099E-9</v>
      </c>
      <c r="S31" s="8">
        <f t="shared" si="8"/>
        <v>0.36467912793159485</v>
      </c>
      <c r="T31" s="8">
        <f t="shared" si="1"/>
        <v>-5.0231110937382084E-9</v>
      </c>
      <c r="U31" s="8">
        <f t="shared" si="3"/>
        <v>0.36467912420630455</v>
      </c>
      <c r="V31" s="8">
        <f t="shared" si="2"/>
        <v>-8.1457052214517489E-10</v>
      </c>
      <c r="W31" s="8">
        <f t="shared" si="4"/>
        <v>-2.7646280005415747E-18</v>
      </c>
      <c r="X31" s="8">
        <f t="shared" si="5"/>
        <v>4.091678226419553E-18</v>
      </c>
      <c r="Y31" s="8">
        <f t="shared" si="6"/>
        <v>7.4505805969238281E-9</v>
      </c>
      <c r="AA31" s="8">
        <v>27</v>
      </c>
      <c r="AB31" s="8">
        <f t="shared" si="13"/>
        <v>1066.8044090270996</v>
      </c>
      <c r="AC31" s="8">
        <v>-8.4264323731986224E-6</v>
      </c>
      <c r="AD31" s="8">
        <f t="shared" si="14"/>
        <v>1066.804438829422</v>
      </c>
      <c r="AE31" s="8">
        <v>2.7302238549964386E-6</v>
      </c>
      <c r="AF31" s="8">
        <f t="shared" si="9"/>
        <v>1066.8044239282608</v>
      </c>
      <c r="AG31" s="8">
        <v>-2.8481041454142542E-6</v>
      </c>
      <c r="AH31" s="8">
        <f t="shared" si="10"/>
        <v>2.3999356973159868E-11</v>
      </c>
      <c r="AI31" s="8">
        <f t="shared" si="11"/>
        <v>-7.7759618793242423E-12</v>
      </c>
      <c r="AJ31" s="8">
        <f t="shared" si="12"/>
        <v>2.9802322387695312E-5</v>
      </c>
    </row>
    <row r="32" spans="2:36" x14ac:dyDescent="0.2">
      <c r="F32" s="14" t="s">
        <v>97</v>
      </c>
      <c r="G32">
        <f xml:space="preserve"> $C$37 * 0</f>
        <v>0</v>
      </c>
      <c r="H32" t="s">
        <v>13</v>
      </c>
      <c r="P32" s="8">
        <v>28</v>
      </c>
      <c r="Q32" s="8">
        <f t="shared" si="7"/>
        <v>0.36467912048101425</v>
      </c>
      <c r="R32" s="8">
        <f t="shared" si="0"/>
        <v>3.3939701049590099E-9</v>
      </c>
      <c r="S32" s="8">
        <f t="shared" si="8"/>
        <v>0.36467912420630455</v>
      </c>
      <c r="T32" s="8">
        <f t="shared" si="1"/>
        <v>-8.1457052214517489E-10</v>
      </c>
      <c r="U32" s="8">
        <f t="shared" si="3"/>
        <v>0.3646791223436594</v>
      </c>
      <c r="V32" s="8">
        <f t="shared" si="2"/>
        <v>1.2896997914069175E-9</v>
      </c>
      <c r="W32" s="8">
        <f t="shared" si="4"/>
        <v>4.3772025364069489E-18</v>
      </c>
      <c r="X32" s="8">
        <f t="shared" si="5"/>
        <v>-1.0505514324968559E-18</v>
      </c>
      <c r="Y32" s="8">
        <f t="shared" si="6"/>
        <v>3.7252902984619141E-9</v>
      </c>
      <c r="AA32" s="8">
        <v>28</v>
      </c>
      <c r="AB32" s="8">
        <f t="shared" si="13"/>
        <v>1066.8044239282608</v>
      </c>
      <c r="AC32" s="8">
        <v>-2.8481041454142542E-6</v>
      </c>
      <c r="AD32" s="8">
        <f t="shared" si="14"/>
        <v>1066.804438829422</v>
      </c>
      <c r="AE32" s="8">
        <v>2.7302238549964386E-6</v>
      </c>
      <c r="AF32" s="8">
        <f t="shared" si="9"/>
        <v>1066.8044313788414</v>
      </c>
      <c r="AG32" s="8">
        <v>-2.0339336970209843E-7</v>
      </c>
      <c r="AH32" s="8">
        <f t="shared" si="10"/>
        <v>5.7928549939832049E-13</v>
      </c>
      <c r="AI32" s="8">
        <f t="shared" si="11"/>
        <v>-5.55309429908779E-13</v>
      </c>
      <c r="AJ32" s="8">
        <f t="shared" si="12"/>
        <v>1.4901161193847656E-5</v>
      </c>
    </row>
    <row r="33" spans="2:36" x14ac:dyDescent="0.2">
      <c r="B33" s="19" t="s">
        <v>107</v>
      </c>
      <c r="C33" s="19"/>
      <c r="D33" s="19"/>
      <c r="F33" s="15" t="s">
        <v>98</v>
      </c>
      <c r="G33">
        <f xml:space="preserve"> $C$37 * (0.0268 * $C$17)</f>
        <v>22.872287019799117</v>
      </c>
      <c r="H33" t="s">
        <v>13</v>
      </c>
      <c r="P33" s="8">
        <v>29</v>
      </c>
      <c r="Q33" s="8">
        <f t="shared" si="7"/>
        <v>0.3646791223436594</v>
      </c>
      <c r="R33" s="8">
        <f t="shared" si="0"/>
        <v>1.2896997914069175E-9</v>
      </c>
      <c r="S33" s="8">
        <f t="shared" si="8"/>
        <v>0.36467912420630455</v>
      </c>
      <c r="T33" s="8">
        <f t="shared" si="1"/>
        <v>-8.1457052214517489E-10</v>
      </c>
      <c r="U33" s="8">
        <f t="shared" si="3"/>
        <v>0.36467912327498198</v>
      </c>
      <c r="V33" s="8">
        <f t="shared" si="2"/>
        <v>2.375646346308713E-10</v>
      </c>
      <c r="W33" s="8">
        <f t="shared" si="4"/>
        <v>3.0638705972909528E-19</v>
      </c>
      <c r="X33" s="8">
        <f t="shared" si="5"/>
        <v>-1.9351314847449653E-19</v>
      </c>
      <c r="Y33" s="8">
        <f t="shared" si="6"/>
        <v>1.862645149230957E-9</v>
      </c>
      <c r="AA33" s="8">
        <v>29</v>
      </c>
      <c r="AB33" s="8">
        <f t="shared" si="13"/>
        <v>1066.8044313788414</v>
      </c>
      <c r="AC33" s="8">
        <v>-2.0339336970209843E-7</v>
      </c>
      <c r="AD33" s="8">
        <f t="shared" si="14"/>
        <v>1066.804438829422</v>
      </c>
      <c r="AE33" s="8">
        <v>2.7302238549964386E-6</v>
      </c>
      <c r="AF33" s="8">
        <f t="shared" si="9"/>
        <v>1066.8044351041317</v>
      </c>
      <c r="AG33" s="8">
        <v>1.2634152426471701E-6</v>
      </c>
      <c r="AH33" s="8">
        <f t="shared" si="10"/>
        <v>-2.5697028353500226E-13</v>
      </c>
      <c r="AI33" s="8">
        <f t="shared" si="11"/>
        <v>3.4494064342414176E-12</v>
      </c>
      <c r="AJ33" s="8">
        <f t="shared" si="12"/>
        <v>7.4505805969238281E-6</v>
      </c>
    </row>
    <row r="34" spans="2:36" x14ac:dyDescent="0.2">
      <c r="B34" t="s">
        <v>26</v>
      </c>
      <c r="C34" s="1">
        <v>1.2250000000000001</v>
      </c>
      <c r="D34" t="s">
        <v>27</v>
      </c>
      <c r="F34" s="15" t="s">
        <v>99</v>
      </c>
      <c r="G34">
        <f xml:space="preserve"> $C$37 * (11.5 * ($C$17*2.20462/1000)^0.4 * 0.453592)</f>
        <v>5.8751726750980913</v>
      </c>
      <c r="H34" t="s">
        <v>13</v>
      </c>
      <c r="P34" s="8">
        <v>30</v>
      </c>
      <c r="Q34" s="8">
        <f t="shared" si="7"/>
        <v>0.36467912327498198</v>
      </c>
      <c r="R34" s="8">
        <f t="shared" si="0"/>
        <v>2.375646346308713E-10</v>
      </c>
      <c r="S34" s="8">
        <f t="shared" si="8"/>
        <v>0.36467912420630455</v>
      </c>
      <c r="T34" s="8">
        <f t="shared" si="1"/>
        <v>-8.1457052214517489E-10</v>
      </c>
      <c r="U34" s="8">
        <f t="shared" si="3"/>
        <v>0.36467912374064326</v>
      </c>
      <c r="V34" s="8">
        <f t="shared" si="2"/>
        <v>-2.885029437571518E-10</v>
      </c>
      <c r="W34" s="8">
        <f t="shared" si="4"/>
        <v>-6.8538096423598578E-20</v>
      </c>
      <c r="X34" s="8">
        <f t="shared" si="5"/>
        <v>2.3500599353668316E-19</v>
      </c>
      <c r="Y34" s="8">
        <f t="shared" si="6"/>
        <v>9.3132257461547852E-10</v>
      </c>
      <c r="AA34" s="8">
        <v>30</v>
      </c>
      <c r="AB34" s="8">
        <f t="shared" si="13"/>
        <v>1066.8044313788414</v>
      </c>
      <c r="AC34" s="8">
        <v>-2.0339336970209843E-7</v>
      </c>
      <c r="AD34" s="8">
        <f t="shared" si="14"/>
        <v>1066.8044351041317</v>
      </c>
      <c r="AE34" s="8">
        <v>1.2634152426471701E-6</v>
      </c>
      <c r="AF34" s="8">
        <f t="shared" si="9"/>
        <v>1066.8044332414865</v>
      </c>
      <c r="AG34" s="8">
        <v>5.3001110700279241E-7</v>
      </c>
      <c r="AH34" s="8">
        <f t="shared" si="10"/>
        <v>-1.0780074503283741E-13</v>
      </c>
      <c r="AI34" s="8">
        <f t="shared" si="11"/>
        <v>6.6962411135962821E-13</v>
      </c>
      <c r="AJ34" s="8">
        <f t="shared" si="12"/>
        <v>3.7252902984619141E-6</v>
      </c>
    </row>
    <row r="35" spans="2:36" x14ac:dyDescent="0.2">
      <c r="B35" t="s">
        <v>28</v>
      </c>
      <c r="C35" s="1">
        <v>9.81</v>
      </c>
      <c r="D35" t="s">
        <v>29</v>
      </c>
      <c r="F35" s="15" t="s">
        <v>100</v>
      </c>
      <c r="G35">
        <f xml:space="preserve"> $C$37 * (8 * ($C$17/1000))</f>
        <v>6.8275483641191386</v>
      </c>
      <c r="H35" t="s">
        <v>13</v>
      </c>
      <c r="AA35" s="8">
        <v>31</v>
      </c>
      <c r="AB35" s="8">
        <f t="shared" si="13"/>
        <v>1066.8044313788414</v>
      </c>
      <c r="AC35">
        <v>-2.0339336970209843E-7</v>
      </c>
      <c r="AD35" s="8">
        <f t="shared" si="14"/>
        <v>1066.8044332414865</v>
      </c>
      <c r="AE35">
        <v>5.3001110700279241E-7</v>
      </c>
      <c r="AF35" s="8">
        <f t="shared" si="9"/>
        <v>1066.804432310164</v>
      </c>
      <c r="AG35">
        <v>1.6330886865034699E-7</v>
      </c>
      <c r="AH35" s="8">
        <f t="shared" si="10"/>
        <v>-3.3215941097031458E-14</v>
      </c>
      <c r="AI35" s="8">
        <f t="shared" si="11"/>
        <v>8.6555514256744032E-14</v>
      </c>
      <c r="AJ35" s="8">
        <f t="shared" si="12"/>
        <v>1.862645149230957E-6</v>
      </c>
    </row>
    <row r="36" spans="2:36" x14ac:dyDescent="0.2">
      <c r="B36" t="s">
        <v>70</v>
      </c>
      <c r="C36" s="1">
        <v>5</v>
      </c>
      <c r="D36" t="s">
        <v>71</v>
      </c>
      <c r="F36" s="15" t="s">
        <v>101</v>
      </c>
      <c r="G36">
        <f xml:space="preserve"> $C$37 * (13 * ($C$17*2.20462/1000)^1.3 * 0.453592)</f>
        <v>14.339791807013539</v>
      </c>
      <c r="H36" t="s">
        <v>13</v>
      </c>
      <c r="AA36" s="8">
        <v>32</v>
      </c>
      <c r="AB36" s="8">
        <f t="shared" si="13"/>
        <v>1066.8044313788414</v>
      </c>
      <c r="AC36">
        <v>-2.0339336970209843E-7</v>
      </c>
      <c r="AD36" s="8">
        <f t="shared" si="14"/>
        <v>1066.804432310164</v>
      </c>
      <c r="AE36">
        <v>1.6330886865034699E-7</v>
      </c>
      <c r="AF36" s="8">
        <f t="shared" si="9"/>
        <v>1066.8044318445027</v>
      </c>
      <c r="AG36">
        <v>-2.0042307369294576E-8</v>
      </c>
      <c r="AH36" s="8">
        <f t="shared" si="10"/>
        <v>4.0764724324460235E-15</v>
      </c>
      <c r="AI36" s="8">
        <f t="shared" si="11"/>
        <v>-3.2730865416220096E-15</v>
      </c>
      <c r="AJ36" s="8">
        <f t="shared" si="12"/>
        <v>9.3132257461547852E-7</v>
      </c>
    </row>
    <row r="37" spans="2:36" x14ac:dyDescent="0.2">
      <c r="B37" t="s">
        <v>115</v>
      </c>
      <c r="C37" s="1">
        <v>0.8</v>
      </c>
      <c r="F37" s="3" t="s">
        <v>88</v>
      </c>
      <c r="G37" s="3">
        <f>$C$17 - $C$26 - SUM(G24:G36)</f>
        <v>-7.0440364652313292E-10</v>
      </c>
      <c r="H37" s="3" t="s">
        <v>13</v>
      </c>
      <c r="AA37" s="8">
        <v>33</v>
      </c>
      <c r="AB37" s="8">
        <f t="shared" si="13"/>
        <v>1066.8044318445027</v>
      </c>
      <c r="AC37">
        <v>-2.0042307369294576E-8</v>
      </c>
      <c r="AD37" s="8">
        <f t="shared" si="14"/>
        <v>1066.804432310164</v>
      </c>
      <c r="AE37">
        <v>1.6330886865034699E-7</v>
      </c>
      <c r="AF37" s="8">
        <f t="shared" si="9"/>
        <v>1066.8044320773333</v>
      </c>
      <c r="AG37">
        <v>7.1633280640526209E-8</v>
      </c>
      <c r="AH37" s="8">
        <f t="shared" si="10"/>
        <v>-1.4356962284683649E-15</v>
      </c>
      <c r="AI37" s="8">
        <f t="shared" si="11"/>
        <v>1.1698350019117139E-14</v>
      </c>
      <c r="AJ37" s="8">
        <f t="shared" si="12"/>
        <v>4.6566128730773926E-7</v>
      </c>
    </row>
    <row r="38" spans="2:36" x14ac:dyDescent="0.2">
      <c r="F38" t="s">
        <v>89</v>
      </c>
      <c r="G38" s="10" t="str">
        <f>IF(ABS(G37)&lt;0.00001, "TRUE", "FALSE")</f>
        <v>TRUE</v>
      </c>
      <c r="AA38" s="8">
        <v>34</v>
      </c>
      <c r="AB38" s="8">
        <f t="shared" si="13"/>
        <v>1066.8044318445027</v>
      </c>
      <c r="AC38">
        <v>-2.0042307369294576E-8</v>
      </c>
      <c r="AD38" s="8">
        <f t="shared" si="14"/>
        <v>1066.8044320773333</v>
      </c>
      <c r="AE38">
        <v>7.1633280640526209E-8</v>
      </c>
      <c r="AF38" s="8">
        <f t="shared" si="9"/>
        <v>1066.804431960918</v>
      </c>
      <c r="AG38">
        <v>2.5795429792196956E-8</v>
      </c>
      <c r="AH38" s="8">
        <f t="shared" si="10"/>
        <v>-5.169999326182699E-16</v>
      </c>
      <c r="AI38" s="8">
        <f t="shared" si="11"/>
        <v>1.8478112615474352E-15</v>
      </c>
      <c r="AJ38" s="8">
        <f t="shared" si="12"/>
        <v>2.3283064365386963E-7</v>
      </c>
    </row>
    <row r="39" spans="2:36" x14ac:dyDescent="0.2">
      <c r="B39" s="37" t="s">
        <v>30</v>
      </c>
      <c r="C39" s="37"/>
      <c r="D39" s="37"/>
      <c r="AA39" s="8">
        <v>35</v>
      </c>
      <c r="AB39" s="8">
        <f t="shared" si="13"/>
        <v>1066.8044318445027</v>
      </c>
      <c r="AC39">
        <v>-2.0042307369294576E-8</v>
      </c>
      <c r="AD39" s="8">
        <f t="shared" si="14"/>
        <v>1066.804431960918</v>
      </c>
      <c r="AE39">
        <v>2.5795429792196956E-8</v>
      </c>
      <c r="AF39" s="8">
        <f t="shared" si="9"/>
        <v>1066.8044319027103</v>
      </c>
      <c r="AG39">
        <v>2.8766180548700504E-9</v>
      </c>
      <c r="AH39" s="8">
        <f t="shared" si="10"/>
        <v>-5.7654063239767841E-17</v>
      </c>
      <c r="AI39" s="8">
        <f t="shared" si="11"/>
        <v>7.4203599073366555E-17</v>
      </c>
      <c r="AJ39" s="8">
        <f t="shared" si="12"/>
        <v>1.1641532182693481E-7</v>
      </c>
    </row>
    <row r="40" spans="2:36" x14ac:dyDescent="0.2">
      <c r="B40" t="s">
        <v>31</v>
      </c>
      <c r="C40" s="1">
        <v>30</v>
      </c>
      <c r="F40" s="2" t="s">
        <v>90</v>
      </c>
      <c r="G40" s="2"/>
      <c r="H40" s="2"/>
      <c r="AA40" s="8">
        <v>36</v>
      </c>
      <c r="AB40" s="8">
        <f t="shared" si="13"/>
        <v>1066.8044318445027</v>
      </c>
      <c r="AC40">
        <v>-2.0042307369294576E-8</v>
      </c>
      <c r="AD40" s="8">
        <f t="shared" si="14"/>
        <v>1066.8044319027103</v>
      </c>
      <c r="AE40">
        <v>2.8766180548700504E-9</v>
      </c>
      <c r="AF40" s="8">
        <f t="shared" si="9"/>
        <v>1066.8044318736065</v>
      </c>
      <c r="AG40">
        <v>-8.5829015006311238E-9</v>
      </c>
      <c r="AH40" s="8">
        <f t="shared" si="10"/>
        <v>1.7202114999602865E-16</v>
      </c>
      <c r="AI40" s="8">
        <f t="shared" si="11"/>
        <v>-2.468972941988674E-17</v>
      </c>
      <c r="AJ40" s="8">
        <f t="shared" si="12"/>
        <v>5.8207660913467407E-8</v>
      </c>
    </row>
    <row r="41" spans="2:36" x14ac:dyDescent="0.2">
      <c r="F41" t="s">
        <v>91</v>
      </c>
      <c r="G41">
        <f>ROUND($C$26/$C$17 * 100, 2)</f>
        <v>37.5</v>
      </c>
      <c r="H41" t="s">
        <v>92</v>
      </c>
      <c r="AA41" s="8">
        <v>37</v>
      </c>
      <c r="AB41" s="8">
        <f t="shared" si="13"/>
        <v>1066.8044318736065</v>
      </c>
      <c r="AC41">
        <v>-8.5829015006311238E-9</v>
      </c>
      <c r="AD41" s="8">
        <f t="shared" si="14"/>
        <v>1066.8044319027103</v>
      </c>
      <c r="AE41">
        <v>2.8766180548700504E-9</v>
      </c>
      <c r="AF41" s="8">
        <f t="shared" si="9"/>
        <v>1066.8044318881584</v>
      </c>
      <c r="AG41">
        <v>-2.8531985662993975E-9</v>
      </c>
      <c r="AH41" s="8">
        <f t="shared" si="10"/>
        <v>2.448872225628967E-17</v>
      </c>
      <c r="AI41" s="8">
        <f t="shared" si="11"/>
        <v>-8.2075625099461894E-18</v>
      </c>
      <c r="AJ41" s="8">
        <f t="shared" si="12"/>
        <v>2.9103830456733704E-8</v>
      </c>
    </row>
    <row r="42" spans="2:36" x14ac:dyDescent="0.2">
      <c r="F42" s="16" t="s">
        <v>84</v>
      </c>
      <c r="G42">
        <f>ROUND(G24/$C$17 * 100, 2)</f>
        <v>17.23</v>
      </c>
      <c r="H42" t="s">
        <v>92</v>
      </c>
      <c r="AA42" s="8">
        <v>38</v>
      </c>
      <c r="AB42" s="8">
        <f t="shared" si="13"/>
        <v>1066.8044318881584</v>
      </c>
      <c r="AC42">
        <v>-2.8531985662993975E-9</v>
      </c>
      <c r="AD42" s="8">
        <f t="shared" si="14"/>
        <v>1066.8044319027103</v>
      </c>
      <c r="AE42">
        <v>2.8766180548700504E-9</v>
      </c>
      <c r="AF42" s="8">
        <f t="shared" si="9"/>
        <v>1066.8044318954344</v>
      </c>
      <c r="AG42">
        <v>1.1709744285326451E-11</v>
      </c>
      <c r="AH42" s="8">
        <f t="shared" si="10"/>
        <v>-3.3410225606625993E-20</v>
      </c>
      <c r="AI42" s="8">
        <f t="shared" si="11"/>
        <v>3.3684461829081464E-20</v>
      </c>
      <c r="AJ42" s="8">
        <f t="shared" si="12"/>
        <v>1.4551915228366852E-8</v>
      </c>
    </row>
    <row r="43" spans="2:36" x14ac:dyDescent="0.2">
      <c r="F43" s="18" t="s">
        <v>118</v>
      </c>
      <c r="G43">
        <f>ROUND(SUM(G25:G27)/$C$17 * 100, 2)</f>
        <v>14.18</v>
      </c>
      <c r="H43" t="s">
        <v>92</v>
      </c>
      <c r="AA43" s="8">
        <v>39</v>
      </c>
      <c r="AB43" s="8">
        <f t="shared" si="13"/>
        <v>1066.8044318881584</v>
      </c>
      <c r="AC43">
        <v>-2.8531985662993975E-9</v>
      </c>
      <c r="AD43" s="8">
        <f t="shared" si="14"/>
        <v>1066.8044318954344</v>
      </c>
      <c r="AE43">
        <v>1.1709744285326451E-11</v>
      </c>
      <c r="AF43" s="8">
        <f t="shared" si="9"/>
        <v>1066.8044318917964</v>
      </c>
      <c r="AG43">
        <v>-1.4208580978447571E-9</v>
      </c>
      <c r="AH43" s="8">
        <f t="shared" si="10"/>
        <v>4.0539902876855501E-18</v>
      </c>
      <c r="AI43" s="8">
        <f t="shared" si="11"/>
        <v>-1.6637884991497456E-20</v>
      </c>
      <c r="AJ43" s="8">
        <f t="shared" si="12"/>
        <v>7.2759576141834259E-9</v>
      </c>
    </row>
    <row r="44" spans="2:36" x14ac:dyDescent="0.2">
      <c r="F44" s="17" t="s">
        <v>105</v>
      </c>
      <c r="G44">
        <f>ROUND(SUM(G28:G32)/$C$17 * 100, 2)</f>
        <v>26.41</v>
      </c>
      <c r="H44" t="s">
        <v>92</v>
      </c>
      <c r="AA44" s="8">
        <v>40</v>
      </c>
      <c r="AB44" s="8">
        <f t="shared" si="13"/>
        <v>1066.8044318917964</v>
      </c>
      <c r="AC44">
        <v>-1.4208580978447571E-9</v>
      </c>
      <c r="AD44" s="8">
        <f t="shared" si="14"/>
        <v>1066.8044318954344</v>
      </c>
      <c r="AE44">
        <v>1.1709744285326451E-11</v>
      </c>
      <c r="AF44" s="11">
        <f t="shared" si="9"/>
        <v>1066.8044318936154</v>
      </c>
      <c r="AG44">
        <v>-7.0440364652313292E-10</v>
      </c>
      <c r="AH44" s="8">
        <f t="shared" si="10"/>
        <v>1.0008576253137693E-18</v>
      </c>
      <c r="AI44" s="8">
        <f t="shared" si="11"/>
        <v>-8.2483865744373692E-21</v>
      </c>
      <c r="AJ44" s="8">
        <f t="shared" si="12"/>
        <v>3.637978807091713E-9</v>
      </c>
    </row>
    <row r="45" spans="2:36" x14ac:dyDescent="0.2">
      <c r="F45" s="15" t="s">
        <v>106</v>
      </c>
      <c r="G45">
        <f>ROUND(SUM(G33:G36)/$C$17*100, 2)</f>
        <v>4.68</v>
      </c>
      <c r="H45" t="s">
        <v>92</v>
      </c>
    </row>
    <row r="46" spans="2:36" x14ac:dyDescent="0.2">
      <c r="F46" s="3" t="s">
        <v>93</v>
      </c>
      <c r="G46" s="3">
        <f>SUM(G41:G45)</f>
        <v>100</v>
      </c>
      <c r="H46" s="3" t="s">
        <v>92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0">
    <mergeCell ref="J3:L3"/>
    <mergeCell ref="J16:L16"/>
    <mergeCell ref="B1:D1"/>
    <mergeCell ref="B3:D3"/>
    <mergeCell ref="B11:D11"/>
    <mergeCell ref="B39:D39"/>
    <mergeCell ref="F3:H3"/>
    <mergeCell ref="F8:H8"/>
    <mergeCell ref="B16:D16"/>
    <mergeCell ref="B25:D25"/>
  </mergeCells>
  <conditionalFormatting sqref="G38">
    <cfRule type="containsText" dxfId="5" priority="1" operator="containsText" text="FALSE">
      <formula>NOT(ISERROR(SEARCH("FALSE",G38)))</formula>
    </cfRule>
    <cfRule type="containsText" dxfId="4" priority="2" operator="containsText" text="TRUE">
      <formula>NOT(ISERROR(SEARCH("TRUE",G38)))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2024-08-05T09:44:31Z</dcterms:modified>
</cp:coreProperties>
</file>