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95B6DD2F-18D0-8948-AF82-3C0A04A86229}" xr6:coauthVersionLast="47" xr6:coauthVersionMax="47" xr10:uidLastSave="{00000000-0000-0000-0000-000000000000}"/>
  <bookViews>
    <workbookView xWindow="0" yWindow="740" windowWidth="15080" windowHeight="18900" activeTab="2" xr2:uid="{843CD013-835A-1741-B375-CD508AE79BD2}"/>
  </bookViews>
  <sheets>
    <sheet name="multirotor" sheetId="3" r:id="rId1"/>
    <sheet name="lift+cruise" sheetId="1" r:id="rId2"/>
    <sheet name="lift+cruise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4" l="1"/>
  <c r="W18" i="4"/>
  <c r="S18" i="4"/>
  <c r="G33" i="1"/>
  <c r="G23" i="1"/>
  <c r="G13" i="1"/>
  <c r="O6" i="1" s="1"/>
  <c r="G24" i="4"/>
  <c r="K5" i="4" s="1"/>
  <c r="S19" i="4"/>
  <c r="W19" i="4"/>
  <c r="W22" i="4" s="1"/>
  <c r="O19" i="4"/>
  <c r="O22" i="4" s="1"/>
  <c r="W5" i="4"/>
  <c r="S5" i="4"/>
  <c r="O5" i="4"/>
  <c r="G27" i="4"/>
  <c r="G30" i="4" s="1"/>
  <c r="G11" i="4"/>
  <c r="G14" i="4" s="1"/>
  <c r="G28" i="1"/>
  <c r="G35" i="4"/>
  <c r="O9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W16" i="4"/>
  <c r="O16" i="4"/>
  <c r="AU19" i="4"/>
  <c r="AT19" i="4"/>
  <c r="AU18" i="4"/>
  <c r="AT18" i="4"/>
  <c r="G19" i="4"/>
  <c r="AU17" i="4"/>
  <c r="AT17" i="4"/>
  <c r="S16" i="4"/>
  <c r="AU16" i="4"/>
  <c r="AT16" i="4"/>
  <c r="AU15" i="4"/>
  <c r="AT15" i="4"/>
  <c r="AU14" i="4"/>
  <c r="AT14" i="4"/>
  <c r="AU13" i="4"/>
  <c r="AT13" i="4"/>
  <c r="W9" i="4"/>
  <c r="K17" i="4"/>
  <c r="AU12" i="4"/>
  <c r="AT12" i="4"/>
  <c r="K16" i="4"/>
  <c r="AU11" i="4"/>
  <c r="AT11" i="4"/>
  <c r="AU10" i="4"/>
  <c r="AT10" i="4"/>
  <c r="AU9" i="4"/>
  <c r="AT9" i="4"/>
  <c r="S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W6" i="1"/>
  <c r="AK74" i="1"/>
  <c r="AG74" i="1"/>
  <c r="W20" i="1"/>
  <c r="W13" i="1"/>
  <c r="AK39" i="1"/>
  <c r="AG39" i="1"/>
  <c r="S19" i="1"/>
  <c r="O20" i="1"/>
  <c r="O13" i="1"/>
  <c r="S9" i="1"/>
  <c r="G18" i="1"/>
  <c r="G16" i="3"/>
  <c r="G11" i="3"/>
  <c r="G6" i="3"/>
  <c r="S22" i="4" l="1"/>
  <c r="G15" i="4"/>
  <c r="G32" i="4"/>
  <c r="G31" i="4"/>
  <c r="G16" i="4"/>
  <c r="AN6" i="4"/>
  <c r="AP6" i="4"/>
  <c r="G14" i="1"/>
  <c r="W22" i="1"/>
  <c r="W23" i="1" s="1"/>
  <c r="W26" i="1" s="1"/>
  <c r="G29" i="1"/>
  <c r="O22" i="1"/>
  <c r="O23" i="1" s="1"/>
  <c r="O26" i="1" s="1"/>
  <c r="G20" i="3"/>
  <c r="G40" i="1"/>
  <c r="G8" i="1"/>
  <c r="K13" i="1"/>
  <c r="K12" i="1"/>
  <c r="G31" i="3"/>
  <c r="G30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K4" i="3"/>
  <c r="Y4" i="3"/>
  <c r="U4" i="3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R5" i="1"/>
  <c r="AV5" i="1"/>
  <c r="AU5" i="1"/>
  <c r="AT5" i="1"/>
  <c r="AR6" i="4" l="1"/>
  <c r="AN7" i="4" s="1"/>
  <c r="AV6" i="4"/>
  <c r="G44" i="1"/>
  <c r="AD6" i="3"/>
  <c r="AB6" i="3"/>
  <c r="AN6" i="1"/>
  <c r="AP6" i="1"/>
  <c r="AP7" i="4" l="1"/>
  <c r="AV7" i="4" s="1"/>
  <c r="AJ6" i="3"/>
  <c r="AF6" i="3"/>
  <c r="AD7" i="3" s="1"/>
  <c r="AV6" i="1"/>
  <c r="AR6" i="1"/>
  <c r="AP7" i="1" s="1"/>
  <c r="AR7" i="4" l="1"/>
  <c r="AP8" i="4" s="1"/>
  <c r="AB7" i="3"/>
  <c r="AN7" i="1"/>
  <c r="AR7" i="1" s="1"/>
  <c r="AN8" i="4" l="1"/>
  <c r="AR8" i="4" s="1"/>
  <c r="AN9" i="4" s="1"/>
  <c r="AF7" i="3"/>
  <c r="AJ7" i="3"/>
  <c r="AP8" i="1"/>
  <c r="AN8" i="1"/>
  <c r="AV7" i="1"/>
  <c r="AV8" i="4" l="1"/>
  <c r="AP9" i="4"/>
  <c r="AR9" i="4" s="1"/>
  <c r="AN10" i="4" s="1"/>
  <c r="AD8" i="3"/>
  <c r="AB8" i="3"/>
  <c r="AR8" i="1"/>
  <c r="AV8" i="1"/>
  <c r="AP10" i="4" l="1"/>
  <c r="AV10" i="4" s="1"/>
  <c r="AV9" i="4"/>
  <c r="AJ8" i="3"/>
  <c r="AF8" i="3"/>
  <c r="AP9" i="1"/>
  <c r="AN9" i="1"/>
  <c r="AR10" i="4" l="1"/>
  <c r="AN11" i="4" s="1"/>
  <c r="AB9" i="3"/>
  <c r="AD9" i="3"/>
  <c r="AR9" i="1"/>
  <c r="AV9" i="1"/>
  <c r="AP11" i="4" l="1"/>
  <c r="AR11" i="4" s="1"/>
  <c r="AP12" i="4" s="1"/>
  <c r="AJ9" i="3"/>
  <c r="AF9" i="3"/>
  <c r="AN10" i="1"/>
  <c r="AP10" i="1"/>
  <c r="AN12" i="4" l="1"/>
  <c r="AR12" i="4" s="1"/>
  <c r="AV11" i="4"/>
  <c r="AB10" i="3"/>
  <c r="AD10" i="3"/>
  <c r="AV10" i="1"/>
  <c r="AR10" i="1"/>
  <c r="AP13" i="4" l="1"/>
  <c r="AN13" i="4"/>
  <c r="AV12" i="4"/>
  <c r="AJ10" i="3"/>
  <c r="AF10" i="3"/>
  <c r="AN11" i="1"/>
  <c r="AP11" i="1"/>
  <c r="AV13" i="4" l="1"/>
  <c r="AR13" i="4"/>
  <c r="AP14" i="4" s="1"/>
  <c r="AD11" i="3"/>
  <c r="AB11" i="3"/>
  <c r="AV11" i="1"/>
  <c r="AR11" i="1"/>
  <c r="AN14" i="4" l="1"/>
  <c r="AR14" i="4" s="1"/>
  <c r="AJ11" i="3"/>
  <c r="AF11" i="3"/>
  <c r="AN12" i="1"/>
  <c r="AP12" i="1"/>
  <c r="AN15" i="4" l="1"/>
  <c r="AP15" i="4"/>
  <c r="AV14" i="4"/>
  <c r="AB12" i="3"/>
  <c r="AD12" i="3"/>
  <c r="AV12" i="1"/>
  <c r="AR12" i="1"/>
  <c r="AR15" i="4" l="1"/>
  <c r="AN16" i="4" s="1"/>
  <c r="AV15" i="4"/>
  <c r="AF12" i="3"/>
  <c r="AB13" i="3" s="1"/>
  <c r="AJ12" i="3"/>
  <c r="AN13" i="1"/>
  <c r="AP13" i="1"/>
  <c r="AP16" i="4" l="1"/>
  <c r="AV16" i="4" s="1"/>
  <c r="AD13" i="3"/>
  <c r="AF13" i="3" s="1"/>
  <c r="AB14" i="3" s="1"/>
  <c r="AR13" i="1"/>
  <c r="AV13" i="1"/>
  <c r="AR16" i="4" l="1"/>
  <c r="AN17" i="4" s="1"/>
  <c r="AJ13" i="3"/>
  <c r="AD14" i="3"/>
  <c r="AJ14" i="3" s="1"/>
  <c r="AN14" i="1"/>
  <c r="AP14" i="1"/>
  <c r="AP17" i="4" l="1"/>
  <c r="AV17" i="4" s="1"/>
  <c r="AF14" i="3"/>
  <c r="AD15" i="3" s="1"/>
  <c r="AV14" i="1"/>
  <c r="AR14" i="1"/>
  <c r="AR17" i="4" l="1"/>
  <c r="AB15" i="3"/>
  <c r="AJ15" i="3" s="1"/>
  <c r="AP15" i="1"/>
  <c r="AN15" i="1"/>
  <c r="AP18" i="4" l="1"/>
  <c r="AN18" i="4"/>
  <c r="AF15" i="3"/>
  <c r="AD16" i="3" s="1"/>
  <c r="AR15" i="1"/>
  <c r="AV15" i="1"/>
  <c r="AR18" i="4" l="1"/>
  <c r="AN19" i="4" s="1"/>
  <c r="AV18" i="4"/>
  <c r="AB16" i="3"/>
  <c r="AF16" i="3" s="1"/>
  <c r="AD17" i="3" s="1"/>
  <c r="AP16" i="1"/>
  <c r="AN16" i="1"/>
  <c r="AP19" i="4" l="1"/>
  <c r="AV19" i="4" s="1"/>
  <c r="AJ16" i="3"/>
  <c r="AB17" i="3"/>
  <c r="AJ17" i="3" s="1"/>
  <c r="AR16" i="1"/>
  <c r="AN17" i="1" s="1"/>
  <c r="AV16" i="1"/>
  <c r="AR19" i="4" l="1"/>
  <c r="AN20" i="4" s="1"/>
  <c r="AF17" i="3"/>
  <c r="AB18" i="3" s="1"/>
  <c r="AP17" i="1"/>
  <c r="AR17" i="1" s="1"/>
  <c r="AP18" i="1" s="1"/>
  <c r="AP20" i="4" l="1"/>
  <c r="AD18" i="3"/>
  <c r="AJ18" i="3" s="1"/>
  <c r="AV17" i="1"/>
  <c r="AN18" i="1"/>
  <c r="AV18" i="1" s="1"/>
  <c r="AV20" i="4" l="1"/>
  <c r="AR20" i="4"/>
  <c r="AF18" i="3"/>
  <c r="AB19" i="3" s="1"/>
  <c r="AR18" i="1"/>
  <c r="AP19" i="1" s="1"/>
  <c r="AP21" i="4" l="1"/>
  <c r="AN21" i="4"/>
  <c r="AD19" i="3"/>
  <c r="AF19" i="3" s="1"/>
  <c r="AN19" i="1"/>
  <c r="AR19" i="1" s="1"/>
  <c r="AV21" i="4" l="1"/>
  <c r="AR21" i="4"/>
  <c r="AB20" i="3"/>
  <c r="AD20" i="3"/>
  <c r="AJ19" i="3"/>
  <c r="AV19" i="1"/>
  <c r="AN20" i="1"/>
  <c r="AP20" i="1"/>
  <c r="AP22" i="4" l="1"/>
  <c r="AN22" i="4"/>
  <c r="AJ20" i="3"/>
  <c r="AF20" i="3"/>
  <c r="AB21" i="3" s="1"/>
  <c r="AR20" i="1"/>
  <c r="AP21" i="1" s="1"/>
  <c r="AV20" i="1"/>
  <c r="AV22" i="4" l="1"/>
  <c r="AR22" i="4"/>
  <c r="AD21" i="3"/>
  <c r="AJ21" i="3" s="1"/>
  <c r="AN21" i="1"/>
  <c r="AR21" i="1" s="1"/>
  <c r="AN22" i="1" s="1"/>
  <c r="AP23" i="4" l="1"/>
  <c r="AN23" i="4"/>
  <c r="AF21" i="3"/>
  <c r="AD22" i="3" s="1"/>
  <c r="AP22" i="1"/>
  <c r="AR22" i="1" s="1"/>
  <c r="AP23" i="1" s="1"/>
  <c r="AV21" i="1"/>
  <c r="AR23" i="4" l="1"/>
  <c r="AN24" i="4" s="1"/>
  <c r="AV23" i="4"/>
  <c r="AB22" i="3"/>
  <c r="AJ22" i="3" s="1"/>
  <c r="AN23" i="1"/>
  <c r="AR23" i="1" s="1"/>
  <c r="AP24" i="1" s="1"/>
  <c r="AV22" i="1"/>
  <c r="AP24" i="4" l="1"/>
  <c r="AV24" i="4" s="1"/>
  <c r="AF22" i="3"/>
  <c r="AD23" i="3" s="1"/>
  <c r="AV23" i="1"/>
  <c r="AN24" i="1"/>
  <c r="AV24" i="1" s="1"/>
  <c r="AR24" i="4" l="1"/>
  <c r="AP25" i="4" s="1"/>
  <c r="AB23" i="3"/>
  <c r="AJ23" i="3" s="1"/>
  <c r="AR24" i="1"/>
  <c r="AP25" i="1" s="1"/>
  <c r="AN25" i="4" l="1"/>
  <c r="AR25" i="4" s="1"/>
  <c r="AN26" i="4" s="1"/>
  <c r="AF23" i="3"/>
  <c r="AD24" i="3" s="1"/>
  <c r="AN25" i="1"/>
  <c r="AR25" i="1" s="1"/>
  <c r="AN26" i="1" s="1"/>
  <c r="AV25" i="4" l="1"/>
  <c r="AP26" i="4"/>
  <c r="AV26" i="4" s="1"/>
  <c r="AB24" i="3"/>
  <c r="AF24" i="3" s="1"/>
  <c r="AD25" i="3" s="1"/>
  <c r="AP26" i="1"/>
  <c r="AR26" i="1" s="1"/>
  <c r="AN27" i="1" s="1"/>
  <c r="AV25" i="1"/>
  <c r="AR26" i="4" l="1"/>
  <c r="AN27" i="4" s="1"/>
  <c r="AJ24" i="3"/>
  <c r="AB25" i="3"/>
  <c r="AJ25" i="3" s="1"/>
  <c r="AP27" i="1"/>
  <c r="AR27" i="1" s="1"/>
  <c r="AP28" i="1" s="1"/>
  <c r="AV26" i="1"/>
  <c r="AP27" i="4" l="1"/>
  <c r="AR27" i="4" s="1"/>
  <c r="AP28" i="4" s="1"/>
  <c r="AF25" i="3"/>
  <c r="AB26" i="3" s="1"/>
  <c r="AV27" i="1"/>
  <c r="AN28" i="1"/>
  <c r="AV28" i="1" s="1"/>
  <c r="AV27" i="4" l="1"/>
  <c r="AN28" i="4"/>
  <c r="AR28" i="4" s="1"/>
  <c r="AD26" i="3"/>
  <c r="AJ26" i="3" s="1"/>
  <c r="AR28" i="1"/>
  <c r="AN29" i="1" s="1"/>
  <c r="AN29" i="4" l="1"/>
  <c r="AP29" i="4"/>
  <c r="AV28" i="4"/>
  <c r="AF26" i="3"/>
  <c r="AB27" i="3" s="1"/>
  <c r="AP29" i="1"/>
  <c r="AR29" i="1" s="1"/>
  <c r="AR29" i="4" l="1"/>
  <c r="AV29" i="4"/>
  <c r="AD27" i="3"/>
  <c r="AF27" i="3" s="1"/>
  <c r="AB28" i="3" s="1"/>
  <c r="AV29" i="1"/>
  <c r="AN30" i="1"/>
  <c r="AP30" i="1"/>
  <c r="AN30" i="4" l="1"/>
  <c r="AP30" i="4"/>
  <c r="AD28" i="3"/>
  <c r="AF28" i="3" s="1"/>
  <c r="AB29" i="3" s="1"/>
  <c r="AJ27" i="3"/>
  <c r="AV30" i="1"/>
  <c r="AR30" i="1"/>
  <c r="AR30" i="4" l="1"/>
  <c r="AP31" i="4" s="1"/>
  <c r="AV30" i="4"/>
  <c r="AJ28" i="3"/>
  <c r="AD29" i="3"/>
  <c r="AJ29" i="3" s="1"/>
  <c r="AP31" i="1"/>
  <c r="AN31" i="1"/>
  <c r="AN31" i="4" l="1"/>
  <c r="AR31" i="4" s="1"/>
  <c r="AF29" i="3"/>
  <c r="AB30" i="3" s="1"/>
  <c r="AR31" i="1"/>
  <c r="AP32" i="1" s="1"/>
  <c r="AV31" i="1"/>
  <c r="AP32" i="4" l="1"/>
  <c r="AN32" i="4"/>
  <c r="AV31" i="4"/>
  <c r="AD30" i="3"/>
  <c r="AF30" i="3" s="1"/>
  <c r="AN32" i="1"/>
  <c r="AR32" i="1" s="1"/>
  <c r="AN33" i="1" s="1"/>
  <c r="AR32" i="4" l="1"/>
  <c r="AN33" i="4" s="1"/>
  <c r="AV32" i="4"/>
  <c r="AJ30" i="3"/>
  <c r="AD31" i="3"/>
  <c r="AB31" i="3"/>
  <c r="AP33" i="1"/>
  <c r="AR33" i="1" s="1"/>
  <c r="AN34" i="1" s="1"/>
  <c r="AV32" i="1"/>
  <c r="AP33" i="4" l="1"/>
  <c r="AV33" i="4" s="1"/>
  <c r="AF31" i="3"/>
  <c r="AD32" i="3" s="1"/>
  <c r="AJ31" i="3"/>
  <c r="AV33" i="1"/>
  <c r="AP34" i="1"/>
  <c r="AR34" i="1" s="1"/>
  <c r="AR33" i="4" l="1"/>
  <c r="AP34" i="4" s="1"/>
  <c r="AB32" i="3"/>
  <c r="AF32" i="3" s="1"/>
  <c r="AB33" i="3" s="1"/>
  <c r="AV34" i="1"/>
  <c r="AN35" i="1"/>
  <c r="AP35" i="1"/>
  <c r="AN34" i="4" l="1"/>
  <c r="AR34" i="4" s="1"/>
  <c r="AJ32" i="3"/>
  <c r="AD33" i="3"/>
  <c r="AJ33" i="3" s="1"/>
  <c r="AR35" i="1"/>
  <c r="AV35" i="1"/>
  <c r="AV34" i="4" l="1"/>
  <c r="AN35" i="4"/>
  <c r="AP35" i="4"/>
  <c r="AF33" i="3"/>
  <c r="AB34" i="3" s="1"/>
  <c r="AN36" i="1"/>
  <c r="AP36" i="1"/>
  <c r="AR35" i="4" l="1"/>
  <c r="AN36" i="4" s="1"/>
  <c r="AV35" i="4"/>
  <c r="AD34" i="3"/>
  <c r="AF34" i="3" s="1"/>
  <c r="AR36" i="1"/>
  <c r="AV36" i="1"/>
  <c r="AP36" i="4" l="1"/>
  <c r="AV36" i="4" s="1"/>
  <c r="AJ34" i="3"/>
  <c r="AB35" i="3"/>
  <c r="AD35" i="3"/>
  <c r="AN37" i="1"/>
  <c r="AP37" i="1"/>
  <c r="AK4" i="1"/>
  <c r="AG4" i="1"/>
  <c r="S17" i="1"/>
  <c r="S20" i="1" s="1"/>
  <c r="S23" i="1" s="1"/>
  <c r="S5" i="1"/>
  <c r="AR36" i="4" l="1"/>
  <c r="AP37" i="4" s="1"/>
  <c r="AJ35" i="3"/>
  <c r="AF35" i="3"/>
  <c r="AD36" i="3" s="1"/>
  <c r="AR37" i="1"/>
  <c r="AV37" i="1"/>
  <c r="AN37" i="4" l="1"/>
  <c r="AV37" i="4" s="1"/>
  <c r="AB36" i="3"/>
  <c r="AF36" i="3" s="1"/>
  <c r="AP38" i="1"/>
  <c r="AN38" i="1"/>
  <c r="AR37" i="4" l="1"/>
  <c r="AN38" i="4" s="1"/>
  <c r="AD37" i="3"/>
  <c r="AB37" i="3"/>
  <c r="AJ36" i="3"/>
  <c r="AR38" i="1"/>
  <c r="AN39" i="1" s="1"/>
  <c r="AV38" i="1"/>
  <c r="AP38" i="4" l="1"/>
  <c r="AV38" i="4" s="1"/>
  <c r="AJ37" i="3"/>
  <c r="AF37" i="3"/>
  <c r="AP39" i="1"/>
  <c r="AR39" i="1" s="1"/>
  <c r="AR38" i="4" l="1"/>
  <c r="AN39" i="4" s="1"/>
  <c r="AB38" i="3"/>
  <c r="AD38" i="3"/>
  <c r="AV39" i="1"/>
  <c r="AN40" i="1"/>
  <c r="AP40" i="1"/>
  <c r="AP39" i="4" l="1"/>
  <c r="AV39" i="4"/>
  <c r="AR39" i="4"/>
  <c r="AN40" i="4" s="1"/>
  <c r="AF38" i="3"/>
  <c r="AJ38" i="3"/>
  <c r="AV40" i="1"/>
  <c r="AR40" i="1"/>
  <c r="AP40" i="4" l="1"/>
  <c r="AV40" i="4" s="1"/>
  <c r="AB39" i="3"/>
  <c r="AD39" i="3"/>
  <c r="AP41" i="1"/>
  <c r="AN41" i="1"/>
  <c r="AR40" i="4" l="1"/>
  <c r="AN41" i="4" s="1"/>
  <c r="AJ39" i="3"/>
  <c r="AF39" i="3"/>
  <c r="AD40" i="3" s="1"/>
  <c r="AR41" i="1"/>
  <c r="AN42" i="1" s="1"/>
  <c r="AV41" i="1"/>
  <c r="AP41" i="4" l="1"/>
  <c r="AB40" i="3"/>
  <c r="AF40" i="3" s="1"/>
  <c r="AB41" i="3" s="1"/>
  <c r="AP42" i="1"/>
  <c r="AV42" i="1" s="1"/>
  <c r="AR41" i="4" l="1"/>
  <c r="AV41" i="4"/>
  <c r="AD41" i="3"/>
  <c r="AF41" i="3" s="1"/>
  <c r="AJ40" i="3"/>
  <c r="AR42" i="1"/>
  <c r="AP43" i="1" s="1"/>
  <c r="AP42" i="4" l="1"/>
  <c r="AN42" i="4"/>
  <c r="AJ41" i="3"/>
  <c r="AB42" i="3"/>
  <c r="AD42" i="3"/>
  <c r="AN43" i="1"/>
  <c r="AV43" i="1" s="1"/>
  <c r="AR42" i="4" l="1"/>
  <c r="AP43" i="4" s="1"/>
  <c r="AV42" i="4"/>
  <c r="AJ42" i="3"/>
  <c r="AF42" i="3"/>
  <c r="AR43" i="1"/>
  <c r="AN44" i="1" s="1"/>
  <c r="AN43" i="4" l="1"/>
  <c r="AR43" i="4" s="1"/>
  <c r="AP44" i="4" s="1"/>
  <c r="AB43" i="3"/>
  <c r="AD43" i="3"/>
  <c r="AP44" i="1"/>
  <c r="AV44" i="1" s="1"/>
  <c r="AV43" i="4" l="1"/>
  <c r="AN44" i="4"/>
  <c r="AV44" i="4" s="1"/>
  <c r="AF43" i="3"/>
  <c r="AJ43" i="3"/>
  <c r="AR44" i="1"/>
  <c r="AR44" i="4" l="1"/>
  <c r="C17" i="4" s="1"/>
  <c r="W4" i="4" s="1"/>
  <c r="C17" i="1"/>
  <c r="AD44" i="3"/>
  <c r="AB44" i="3"/>
  <c r="O4" i="4" l="1"/>
  <c r="O10" i="4" s="1"/>
  <c r="W10" i="4"/>
  <c r="K15" i="4"/>
  <c r="K18" i="4"/>
  <c r="K13" i="4"/>
  <c r="K14" i="4"/>
  <c r="W6" i="4"/>
  <c r="W7" i="4" s="1"/>
  <c r="W8" i="4" s="1"/>
  <c r="K20" i="4"/>
  <c r="G6" i="4"/>
  <c r="G41" i="4"/>
  <c r="G7" i="4"/>
  <c r="K8" i="4"/>
  <c r="O6" i="4"/>
  <c r="G40" i="4"/>
  <c r="K21" i="4"/>
  <c r="K26" i="4"/>
  <c r="K19" i="4"/>
  <c r="S4" i="4"/>
  <c r="S10" i="4" s="1"/>
  <c r="S6" i="4"/>
  <c r="S7" i="4" s="1"/>
  <c r="S8" i="4" s="1"/>
  <c r="W5" i="1"/>
  <c r="W10" i="1"/>
  <c r="W11" i="1" s="1"/>
  <c r="W7" i="1"/>
  <c r="G6" i="1"/>
  <c r="S4" i="1"/>
  <c r="S10" i="1" s="1"/>
  <c r="O7" i="1"/>
  <c r="S6" i="1"/>
  <c r="S7" i="1" s="1"/>
  <c r="O10" i="1"/>
  <c r="G38" i="1"/>
  <c r="O5" i="1"/>
  <c r="K17" i="1"/>
  <c r="G39" i="1"/>
  <c r="K15" i="1"/>
  <c r="K16" i="1"/>
  <c r="K11" i="1"/>
  <c r="K14" i="1"/>
  <c r="K9" i="1"/>
  <c r="K10" i="1"/>
  <c r="K4" i="1"/>
  <c r="AF44" i="3"/>
  <c r="C15" i="3" s="1"/>
  <c r="G14" i="3" s="1"/>
  <c r="AJ44" i="3"/>
  <c r="G7" i="1"/>
  <c r="K22" i="1"/>
  <c r="O7" i="4" l="1"/>
  <c r="K30" i="4"/>
  <c r="K29" i="4"/>
  <c r="W11" i="4"/>
  <c r="S11" i="4"/>
  <c r="W8" i="1"/>
  <c r="W14" i="1" s="1"/>
  <c r="W15" i="1" s="1"/>
  <c r="W16" i="1" s="1"/>
  <c r="W21" i="1" s="1"/>
  <c r="W12" i="1"/>
  <c r="O8" i="1"/>
  <c r="O14" i="1" s="1"/>
  <c r="S11" i="1"/>
  <c r="S12" i="1" s="1"/>
  <c r="S18" i="1" s="1"/>
  <c r="O11" i="1"/>
  <c r="S8" i="1"/>
  <c r="G15" i="3"/>
  <c r="G4" i="3"/>
  <c r="G26" i="3" s="1"/>
  <c r="G34" i="3"/>
  <c r="G35" i="3"/>
  <c r="G32" i="3"/>
  <c r="G33" i="3"/>
  <c r="G28" i="3"/>
  <c r="G29" i="3"/>
  <c r="G5" i="3"/>
  <c r="G23" i="3"/>
  <c r="G41" i="3"/>
  <c r="K5" i="3"/>
  <c r="K7" i="3" s="1"/>
  <c r="K8" i="3" s="1"/>
  <c r="K12" i="3" s="1"/>
  <c r="K26" i="1"/>
  <c r="K25" i="1"/>
  <c r="W12" i="4" l="1"/>
  <c r="W17" i="4" s="1"/>
  <c r="S12" i="4"/>
  <c r="S17" i="4" s="1"/>
  <c r="O8" i="4"/>
  <c r="O11" i="4"/>
  <c r="O12" i="4" s="1"/>
  <c r="O17" i="4" s="1"/>
  <c r="O20" i="4" s="1"/>
  <c r="S13" i="4"/>
  <c r="W9" i="1"/>
  <c r="G30" i="1" s="1"/>
  <c r="W24" i="1"/>
  <c r="AH74" i="1" s="1"/>
  <c r="W29" i="1"/>
  <c r="W31" i="1" s="1"/>
  <c r="W17" i="1"/>
  <c r="O9" i="1"/>
  <c r="G15" i="1" s="1"/>
  <c r="O15" i="1"/>
  <c r="O12" i="1"/>
  <c r="G27" i="3"/>
  <c r="G25" i="3"/>
  <c r="G44" i="3"/>
  <c r="K6" i="3"/>
  <c r="G45" i="3"/>
  <c r="K18" i="3"/>
  <c r="K13" i="3"/>
  <c r="K17" i="3" s="1"/>
  <c r="W25" i="4" l="1"/>
  <c r="W27" i="4" s="1"/>
  <c r="S20" i="4"/>
  <c r="S25" i="4"/>
  <c r="S27" i="4" s="1"/>
  <c r="AF39" i="4"/>
  <c r="O25" i="4"/>
  <c r="O13" i="4"/>
  <c r="W13" i="4"/>
  <c r="W20" i="4"/>
  <c r="AD74" i="1"/>
  <c r="AF74" i="1"/>
  <c r="O16" i="1"/>
  <c r="G43" i="3"/>
  <c r="K19" i="3"/>
  <c r="K22" i="3" s="1"/>
  <c r="S21" i="1"/>
  <c r="S13" i="1"/>
  <c r="AD4" i="4" l="1"/>
  <c r="AF74" i="4"/>
  <c r="AD74" i="4"/>
  <c r="AH74" i="4"/>
  <c r="AF4" i="4"/>
  <c r="AH4" i="4"/>
  <c r="O27" i="4"/>
  <c r="AD39" i="4"/>
  <c r="AH39" i="4"/>
  <c r="AJ39" i="4" s="1"/>
  <c r="AE40" i="4" s="1"/>
  <c r="AF40" i="4" s="1"/>
  <c r="AF4" i="1"/>
  <c r="O17" i="1"/>
  <c r="O21" i="1"/>
  <c r="K25" i="3"/>
  <c r="K27" i="3" s="1"/>
  <c r="K20" i="3"/>
  <c r="T4" i="3" s="1"/>
  <c r="AH4" i="1"/>
  <c r="AD4" i="1"/>
  <c r="S26" i="1"/>
  <c r="AJ74" i="4" l="1"/>
  <c r="AE75" i="4" s="1"/>
  <c r="AF75" i="4" s="1"/>
  <c r="AI4" i="4"/>
  <c r="AC5" i="4" s="1"/>
  <c r="AD5" i="4" s="1"/>
  <c r="AI74" i="4"/>
  <c r="AC75" i="4" s="1"/>
  <c r="AJ4" i="4"/>
  <c r="AE5" i="4" s="1"/>
  <c r="AI39" i="4"/>
  <c r="AC40" i="4" s="1"/>
  <c r="AD40" i="4" s="1"/>
  <c r="S28" i="1"/>
  <c r="O24" i="1"/>
  <c r="O29" i="1"/>
  <c r="O31" i="1" s="1"/>
  <c r="AJ4" i="1"/>
  <c r="AE5" i="1" s="1"/>
  <c r="AF5" i="1" s="1"/>
  <c r="V4" i="3"/>
  <c r="X4" i="3" s="1"/>
  <c r="S5" i="3" s="1"/>
  <c r="R4" i="3"/>
  <c r="AI4" i="1"/>
  <c r="AC5" i="1" s="1"/>
  <c r="AK75" i="4" l="1"/>
  <c r="AG75" i="4"/>
  <c r="AH75" i="4" s="1"/>
  <c r="AJ75" i="4" s="1"/>
  <c r="AE76" i="4" s="1"/>
  <c r="AF76" i="4" s="1"/>
  <c r="AD75" i="4"/>
  <c r="AF5" i="4"/>
  <c r="AG5" i="4"/>
  <c r="AH5" i="4" s="1"/>
  <c r="AK5" i="4"/>
  <c r="AG40" i="4"/>
  <c r="AH40" i="4" s="1"/>
  <c r="AI40" i="4" s="1"/>
  <c r="AC41" i="4" s="1"/>
  <c r="AD41" i="4" s="1"/>
  <c r="AK40" i="4"/>
  <c r="AD39" i="1"/>
  <c r="AF39" i="1"/>
  <c r="AH39" i="1"/>
  <c r="AG5" i="1"/>
  <c r="AH5" i="1" s="1"/>
  <c r="AJ5" i="1" s="1"/>
  <c r="AE6" i="1" s="1"/>
  <c r="AF6" i="1" s="1"/>
  <c r="W4" i="3"/>
  <c r="Q5" i="3" s="1"/>
  <c r="R5" i="3" s="1"/>
  <c r="T5" i="3"/>
  <c r="AD5" i="1"/>
  <c r="AK5" i="1"/>
  <c r="AI75" i="4" l="1"/>
  <c r="AC76" i="4" s="1"/>
  <c r="AJ40" i="4"/>
  <c r="AE41" i="4" s="1"/>
  <c r="AF41" i="4" s="1"/>
  <c r="AJ5" i="4"/>
  <c r="AE6" i="4" s="1"/>
  <c r="AF6" i="4" s="1"/>
  <c r="AI5" i="4"/>
  <c r="AC6" i="4" s="1"/>
  <c r="AI74" i="1"/>
  <c r="AC75" i="1" s="1"/>
  <c r="AD75" i="1" s="1"/>
  <c r="AJ74" i="1"/>
  <c r="AE75" i="1" s="1"/>
  <c r="AF75" i="1" s="1"/>
  <c r="AJ39" i="1"/>
  <c r="AE40" i="1" s="1"/>
  <c r="AI39" i="1"/>
  <c r="AC40" i="1" s="1"/>
  <c r="AD40" i="1" s="1"/>
  <c r="AI5" i="1"/>
  <c r="AC6" i="1" s="1"/>
  <c r="AD6" i="1" s="1"/>
  <c r="Y5" i="3"/>
  <c r="U5" i="3"/>
  <c r="V5" i="3" s="1"/>
  <c r="W5" i="3" s="1"/>
  <c r="Q6" i="3" s="1"/>
  <c r="R6" i="3" s="1"/>
  <c r="AG76" i="4" l="1"/>
  <c r="AH76" i="4" s="1"/>
  <c r="AJ76" i="4" s="1"/>
  <c r="AE77" i="4" s="1"/>
  <c r="AF77" i="4" s="1"/>
  <c r="AD76" i="4"/>
  <c r="AK76" i="4"/>
  <c r="AK41" i="4"/>
  <c r="AG41" i="4"/>
  <c r="AH41" i="4" s="1"/>
  <c r="AI41" i="4" s="1"/>
  <c r="AD6" i="4"/>
  <c r="AG6" i="4"/>
  <c r="AH6" i="4" s="1"/>
  <c r="AK6" i="4"/>
  <c r="AK75" i="1"/>
  <c r="AG75" i="1"/>
  <c r="AK40" i="1"/>
  <c r="AF40" i="1"/>
  <c r="AG40" i="1"/>
  <c r="AH40" i="1" s="1"/>
  <c r="AI40" i="1" s="1"/>
  <c r="AC41" i="1" s="1"/>
  <c r="AD41" i="1" s="1"/>
  <c r="AG6" i="1"/>
  <c r="AH6" i="1" s="1"/>
  <c r="AJ6" i="1" s="1"/>
  <c r="AE7" i="1" s="1"/>
  <c r="AF7" i="1" s="1"/>
  <c r="AK6" i="1"/>
  <c r="X5" i="3"/>
  <c r="S6" i="3" s="1"/>
  <c r="U6" i="3" s="1"/>
  <c r="V6" i="3" s="1"/>
  <c r="W6" i="3" s="1"/>
  <c r="Q7" i="3" s="1"/>
  <c r="R7" i="3" s="1"/>
  <c r="AC42" i="4" l="1"/>
  <c r="AD42" i="4" s="1"/>
  <c r="AJ41" i="4"/>
  <c r="AE42" i="4" s="1"/>
  <c r="AI6" i="4"/>
  <c r="AC7" i="4" s="1"/>
  <c r="AD7" i="4" s="1"/>
  <c r="AI76" i="4"/>
  <c r="AC77" i="4" s="1"/>
  <c r="AJ6" i="4"/>
  <c r="AE7" i="4" s="1"/>
  <c r="AH75" i="1"/>
  <c r="AI75" i="1" s="1"/>
  <c r="AC76" i="1" s="1"/>
  <c r="AD76" i="1" s="1"/>
  <c r="AJ40" i="1"/>
  <c r="AE41" i="1" s="1"/>
  <c r="AF41" i="1" s="1"/>
  <c r="AI6" i="1"/>
  <c r="AC7" i="1" s="1"/>
  <c r="AD7" i="1" s="1"/>
  <c r="T6" i="3"/>
  <c r="X6" i="3" s="1"/>
  <c r="S7" i="3" s="1"/>
  <c r="Y6" i="3"/>
  <c r="AK77" i="4" l="1"/>
  <c r="AD77" i="4"/>
  <c r="AK42" i="4"/>
  <c r="AF42" i="4"/>
  <c r="AG42" i="4"/>
  <c r="AH42" i="4" s="1"/>
  <c r="AI42" i="4" s="1"/>
  <c r="AC43" i="4" s="1"/>
  <c r="AD43" i="4" s="1"/>
  <c r="AG77" i="4"/>
  <c r="AH77" i="4" s="1"/>
  <c r="AJ77" i="4" s="1"/>
  <c r="AE78" i="4" s="1"/>
  <c r="AF78" i="4" s="1"/>
  <c r="AG7" i="4"/>
  <c r="AK7" i="4"/>
  <c r="AF7" i="4"/>
  <c r="AJ75" i="1"/>
  <c r="AE76" i="1" s="1"/>
  <c r="AG76" i="1" s="1"/>
  <c r="AH76" i="1" s="1"/>
  <c r="AI76" i="1" s="1"/>
  <c r="AC77" i="1" s="1"/>
  <c r="AD77" i="1" s="1"/>
  <c r="AG41" i="1"/>
  <c r="AH41" i="1" s="1"/>
  <c r="AJ41" i="1" s="1"/>
  <c r="AE42" i="1" s="1"/>
  <c r="AF42" i="1" s="1"/>
  <c r="AK41" i="1"/>
  <c r="AK7" i="1"/>
  <c r="AG7" i="1"/>
  <c r="AH7" i="1" s="1"/>
  <c r="AI7" i="1" s="1"/>
  <c r="AC8" i="1" s="1"/>
  <c r="AD8" i="1" s="1"/>
  <c r="U7" i="3"/>
  <c r="V7" i="3" s="1"/>
  <c r="W7" i="3" s="1"/>
  <c r="Q8" i="3" s="1"/>
  <c r="R8" i="3" s="1"/>
  <c r="Y7" i="3"/>
  <c r="T7" i="3"/>
  <c r="AH7" i="4" l="1"/>
  <c r="AI7" i="4" s="1"/>
  <c r="AC8" i="4" s="1"/>
  <c r="AD8" i="4" s="1"/>
  <c r="AJ42" i="4"/>
  <c r="AE43" i="4" s="1"/>
  <c r="AF43" i="4" s="1"/>
  <c r="AI77" i="4"/>
  <c r="AC78" i="4" s="1"/>
  <c r="AD78" i="4" s="1"/>
  <c r="AF76" i="1"/>
  <c r="AJ76" i="1" s="1"/>
  <c r="AE77" i="1" s="1"/>
  <c r="AF77" i="1" s="1"/>
  <c r="AK76" i="1"/>
  <c r="AI41" i="1"/>
  <c r="AC42" i="1" s="1"/>
  <c r="AG42" i="1" s="1"/>
  <c r="AH42" i="1" s="1"/>
  <c r="AJ42" i="1" s="1"/>
  <c r="AE43" i="1" s="1"/>
  <c r="AF43" i="1" s="1"/>
  <c r="AJ7" i="1"/>
  <c r="AE8" i="1" s="1"/>
  <c r="AF8" i="1" s="1"/>
  <c r="X7" i="3"/>
  <c r="S8" i="3" s="1"/>
  <c r="Y8" i="3" s="1"/>
  <c r="AJ7" i="4" l="1"/>
  <c r="AE8" i="4" s="1"/>
  <c r="AF8" i="4" s="1"/>
  <c r="AG43" i="4"/>
  <c r="AH43" i="4" s="1"/>
  <c r="AI43" i="4" s="1"/>
  <c r="AC44" i="4" s="1"/>
  <c r="AD44" i="4" s="1"/>
  <c r="AK43" i="4"/>
  <c r="AG78" i="4"/>
  <c r="AH78" i="4" s="1"/>
  <c r="AJ78" i="4" s="1"/>
  <c r="AE79" i="4" s="1"/>
  <c r="AF79" i="4" s="1"/>
  <c r="AK78" i="4"/>
  <c r="AK77" i="1"/>
  <c r="AG77" i="1"/>
  <c r="AH77" i="1" s="1"/>
  <c r="AJ77" i="1" s="1"/>
  <c r="AE78" i="1" s="1"/>
  <c r="AF78" i="1" s="1"/>
  <c r="AK42" i="1"/>
  <c r="AD42" i="1"/>
  <c r="AI42" i="1" s="1"/>
  <c r="AC43" i="1" s="1"/>
  <c r="AG43" i="1" s="1"/>
  <c r="AH43" i="1" s="1"/>
  <c r="AJ43" i="1" s="1"/>
  <c r="AE44" i="1" s="1"/>
  <c r="AF44" i="1" s="1"/>
  <c r="AG8" i="1"/>
  <c r="AH8" i="1" s="1"/>
  <c r="AJ8" i="1" s="1"/>
  <c r="AE9" i="1" s="1"/>
  <c r="AF9" i="1" s="1"/>
  <c r="AK8" i="1"/>
  <c r="U8" i="3"/>
  <c r="V8" i="3" s="1"/>
  <c r="W8" i="3" s="1"/>
  <c r="Q9" i="3" s="1"/>
  <c r="R9" i="3" s="1"/>
  <c r="T8" i="3"/>
  <c r="AG8" i="4" l="1"/>
  <c r="AH8" i="4" s="1"/>
  <c r="AI8" i="4" s="1"/>
  <c r="AC9" i="4" s="1"/>
  <c r="AD9" i="4" s="1"/>
  <c r="AK8" i="4"/>
  <c r="AJ43" i="4"/>
  <c r="AE44" i="4" s="1"/>
  <c r="AK44" i="4" s="1"/>
  <c r="AI78" i="4"/>
  <c r="AC79" i="4" s="1"/>
  <c r="AG79" i="4" s="1"/>
  <c r="AH79" i="4" s="1"/>
  <c r="AJ79" i="4" s="1"/>
  <c r="AE80" i="4" s="1"/>
  <c r="AF80" i="4" s="1"/>
  <c r="AI77" i="1"/>
  <c r="AC78" i="1" s="1"/>
  <c r="AD78" i="1" s="1"/>
  <c r="AD43" i="1"/>
  <c r="AI43" i="1" s="1"/>
  <c r="AC44" i="1" s="1"/>
  <c r="AG44" i="1" s="1"/>
  <c r="AH44" i="1" s="1"/>
  <c r="AJ44" i="1" s="1"/>
  <c r="AE45" i="1" s="1"/>
  <c r="AF45" i="1" s="1"/>
  <c r="AK43" i="1"/>
  <c r="AI8" i="1"/>
  <c r="AC9" i="1" s="1"/>
  <c r="AD9" i="1" s="1"/>
  <c r="X8" i="3"/>
  <c r="S9" i="3" s="1"/>
  <c r="U9" i="3" s="1"/>
  <c r="V9" i="3" s="1"/>
  <c r="W9" i="3" s="1"/>
  <c r="Q10" i="3" s="1"/>
  <c r="R10" i="3" s="1"/>
  <c r="AJ8" i="4" l="1"/>
  <c r="AE9" i="4" s="1"/>
  <c r="AK9" i="4" s="1"/>
  <c r="AF44" i="4"/>
  <c r="AG44" i="4"/>
  <c r="AH44" i="4" s="1"/>
  <c r="AI44" i="4" s="1"/>
  <c r="AC45" i="4" s="1"/>
  <c r="AD45" i="4" s="1"/>
  <c r="AF9" i="4"/>
  <c r="AG9" i="4"/>
  <c r="AH9" i="4" s="1"/>
  <c r="AI9" i="4" s="1"/>
  <c r="AC10" i="4" s="1"/>
  <c r="AD10" i="4" s="1"/>
  <c r="AK79" i="4"/>
  <c r="AD79" i="4"/>
  <c r="AI79" i="4" s="1"/>
  <c r="AC80" i="4" s="1"/>
  <c r="AD80" i="4" s="1"/>
  <c r="AK78" i="1"/>
  <c r="AG78" i="1"/>
  <c r="AH78" i="1" s="1"/>
  <c r="AJ78" i="1" s="1"/>
  <c r="AE79" i="1" s="1"/>
  <c r="AF79" i="1" s="1"/>
  <c r="AD44" i="1"/>
  <c r="AI44" i="1" s="1"/>
  <c r="AC45" i="1" s="1"/>
  <c r="AG45" i="1" s="1"/>
  <c r="AH45" i="1" s="1"/>
  <c r="AJ45" i="1" s="1"/>
  <c r="AE46" i="1" s="1"/>
  <c r="AF46" i="1" s="1"/>
  <c r="AK44" i="1"/>
  <c r="AK9" i="1"/>
  <c r="AG9" i="1"/>
  <c r="AH9" i="1" s="1"/>
  <c r="AI9" i="1" s="1"/>
  <c r="AC10" i="1" s="1"/>
  <c r="AD10" i="1" s="1"/>
  <c r="Y9" i="3"/>
  <c r="T9" i="3"/>
  <c r="X9" i="3" s="1"/>
  <c r="S10" i="3" s="1"/>
  <c r="T10" i="3" s="1"/>
  <c r="AJ44" i="4" l="1"/>
  <c r="AE45" i="4" s="1"/>
  <c r="AG45" i="4" s="1"/>
  <c r="AH45" i="4" s="1"/>
  <c r="AI45" i="4" s="1"/>
  <c r="AC46" i="4" s="1"/>
  <c r="AD46" i="4" s="1"/>
  <c r="AJ9" i="4"/>
  <c r="AE10" i="4" s="1"/>
  <c r="AK10" i="4" s="1"/>
  <c r="AK80" i="4"/>
  <c r="AG80" i="4"/>
  <c r="AH80" i="4" s="1"/>
  <c r="AJ80" i="4" s="1"/>
  <c r="AE81" i="4" s="1"/>
  <c r="AF81" i="4" s="1"/>
  <c r="AI78" i="1"/>
  <c r="AC79" i="1" s="1"/>
  <c r="AD79" i="1" s="1"/>
  <c r="AJ9" i="1"/>
  <c r="AE10" i="1" s="1"/>
  <c r="AG10" i="1" s="1"/>
  <c r="AH10" i="1" s="1"/>
  <c r="AI10" i="1" s="1"/>
  <c r="AC11" i="1" s="1"/>
  <c r="AD11" i="1" s="1"/>
  <c r="AK45" i="1"/>
  <c r="AD45" i="1"/>
  <c r="AI45" i="1" s="1"/>
  <c r="AC46" i="1" s="1"/>
  <c r="AG46" i="1" s="1"/>
  <c r="AH46" i="1" s="1"/>
  <c r="AJ46" i="1" s="1"/>
  <c r="AE47" i="1" s="1"/>
  <c r="AF47" i="1" s="1"/>
  <c r="Y10" i="3"/>
  <c r="U10" i="3"/>
  <c r="V10" i="3" s="1"/>
  <c r="W10" i="3" s="1"/>
  <c r="Q11" i="3" s="1"/>
  <c r="R11" i="3" s="1"/>
  <c r="AF45" i="4" l="1"/>
  <c r="AJ45" i="4" s="1"/>
  <c r="AE46" i="4" s="1"/>
  <c r="AK46" i="4" s="1"/>
  <c r="AK45" i="4"/>
  <c r="AG10" i="4"/>
  <c r="AH10" i="4" s="1"/>
  <c r="AI10" i="4" s="1"/>
  <c r="AC11" i="4" s="1"/>
  <c r="AD11" i="4" s="1"/>
  <c r="AF10" i="4"/>
  <c r="AI80" i="4"/>
  <c r="AC81" i="4" s="1"/>
  <c r="AK79" i="1"/>
  <c r="AG79" i="1"/>
  <c r="AK10" i="1"/>
  <c r="AF10" i="1"/>
  <c r="AJ10" i="1" s="1"/>
  <c r="AE11" i="1" s="1"/>
  <c r="AG11" i="1" s="1"/>
  <c r="AH11" i="1" s="1"/>
  <c r="AI11" i="1" s="1"/>
  <c r="AC12" i="1" s="1"/>
  <c r="AD12" i="1" s="1"/>
  <c r="AD46" i="1"/>
  <c r="AI46" i="1" s="1"/>
  <c r="AC47" i="1" s="1"/>
  <c r="AD47" i="1" s="1"/>
  <c r="AK46" i="1"/>
  <c r="X10" i="3"/>
  <c r="S11" i="3" s="1"/>
  <c r="T11" i="3" s="1"/>
  <c r="AF46" i="4" l="1"/>
  <c r="AG46" i="4"/>
  <c r="AH46" i="4" s="1"/>
  <c r="AI46" i="4" s="1"/>
  <c r="AC47" i="4" s="1"/>
  <c r="AD47" i="4" s="1"/>
  <c r="AJ10" i="4"/>
  <c r="AE11" i="4" s="1"/>
  <c r="AK11" i="4" s="1"/>
  <c r="AK81" i="4"/>
  <c r="AG81" i="4"/>
  <c r="AH81" i="4" s="1"/>
  <c r="AJ81" i="4" s="1"/>
  <c r="AE82" i="4" s="1"/>
  <c r="AF82" i="4" s="1"/>
  <c r="AD81" i="4"/>
  <c r="AH79" i="1"/>
  <c r="AI79" i="1" s="1"/>
  <c r="AC80" i="1" s="1"/>
  <c r="AD80" i="1" s="1"/>
  <c r="AF11" i="1"/>
  <c r="AJ11" i="1" s="1"/>
  <c r="AE12" i="1" s="1"/>
  <c r="AF12" i="1" s="1"/>
  <c r="AK11" i="1"/>
  <c r="AK47" i="1"/>
  <c r="AG47" i="1"/>
  <c r="AH47" i="1" s="1"/>
  <c r="AJ47" i="1" s="1"/>
  <c r="AE48" i="1" s="1"/>
  <c r="AF48" i="1" s="1"/>
  <c r="Y11" i="3"/>
  <c r="U11" i="3"/>
  <c r="V11" i="3" s="1"/>
  <c r="W11" i="3" s="1"/>
  <c r="Q12" i="3" s="1"/>
  <c r="R12" i="3" s="1"/>
  <c r="AJ46" i="4" l="1"/>
  <c r="AE47" i="4" s="1"/>
  <c r="AF47" i="4" s="1"/>
  <c r="AF11" i="4"/>
  <c r="AG11" i="4"/>
  <c r="AH11" i="4" s="1"/>
  <c r="AI11" i="4" s="1"/>
  <c r="AC12" i="4" s="1"/>
  <c r="AD12" i="4" s="1"/>
  <c r="AI81" i="4"/>
  <c r="AC82" i="4" s="1"/>
  <c r="AD82" i="4" s="1"/>
  <c r="AJ79" i="1"/>
  <c r="AE80" i="1" s="1"/>
  <c r="AK12" i="1"/>
  <c r="AG12" i="1"/>
  <c r="AH12" i="1" s="1"/>
  <c r="AJ12" i="1" s="1"/>
  <c r="AE13" i="1" s="1"/>
  <c r="AF13" i="1" s="1"/>
  <c r="AI47" i="1"/>
  <c r="AC48" i="1" s="1"/>
  <c r="AK48" i="1" s="1"/>
  <c r="X11" i="3"/>
  <c r="S12" i="3" s="1"/>
  <c r="T12" i="3" s="1"/>
  <c r="AK47" i="4" l="1"/>
  <c r="AG47" i="4"/>
  <c r="AH47" i="4" s="1"/>
  <c r="AJ47" i="4" s="1"/>
  <c r="AE48" i="4" s="1"/>
  <c r="AF48" i="4" s="1"/>
  <c r="AJ11" i="4"/>
  <c r="AE12" i="4" s="1"/>
  <c r="AK12" i="4" s="1"/>
  <c r="AG82" i="4"/>
  <c r="AH82" i="4" s="1"/>
  <c r="AI82" i="4" s="1"/>
  <c r="AC83" i="4" s="1"/>
  <c r="AD83" i="4" s="1"/>
  <c r="AK82" i="4"/>
  <c r="AF80" i="1"/>
  <c r="AK80" i="1"/>
  <c r="AG80" i="1"/>
  <c r="AI12" i="1"/>
  <c r="AC13" i="1" s="1"/>
  <c r="AK13" i="1" s="1"/>
  <c r="AD48" i="1"/>
  <c r="AG48" i="1"/>
  <c r="AH48" i="1" s="1"/>
  <c r="AJ48" i="1" s="1"/>
  <c r="AE49" i="1" s="1"/>
  <c r="AF49" i="1" s="1"/>
  <c r="U12" i="3"/>
  <c r="V12" i="3" s="1"/>
  <c r="W12" i="3" s="1"/>
  <c r="Q13" i="3" s="1"/>
  <c r="R13" i="3" s="1"/>
  <c r="Y12" i="3"/>
  <c r="AI47" i="4" l="1"/>
  <c r="AC48" i="4" s="1"/>
  <c r="AD48" i="4" s="1"/>
  <c r="AF12" i="4"/>
  <c r="AG12" i="4"/>
  <c r="AH12" i="4" s="1"/>
  <c r="AI12" i="4" s="1"/>
  <c r="AC13" i="4" s="1"/>
  <c r="AD13" i="4" s="1"/>
  <c r="AJ82" i="4"/>
  <c r="AE83" i="4" s="1"/>
  <c r="AH80" i="1"/>
  <c r="AI80" i="1" s="1"/>
  <c r="AC81" i="1" s="1"/>
  <c r="AG13" i="1"/>
  <c r="AH13" i="1" s="1"/>
  <c r="AJ13" i="1" s="1"/>
  <c r="AE14" i="1" s="1"/>
  <c r="AF14" i="1" s="1"/>
  <c r="AD13" i="1"/>
  <c r="AI48" i="1"/>
  <c r="AC49" i="1" s="1"/>
  <c r="AK49" i="1" s="1"/>
  <c r="X12" i="3"/>
  <c r="S13" i="3" s="1"/>
  <c r="T13" i="3" s="1"/>
  <c r="AG48" i="4" l="1"/>
  <c r="AH48" i="4" s="1"/>
  <c r="AI48" i="4" s="1"/>
  <c r="AC49" i="4" s="1"/>
  <c r="AD49" i="4" s="1"/>
  <c r="AK48" i="4"/>
  <c r="AJ12" i="4"/>
  <c r="AE13" i="4" s="1"/>
  <c r="AG13" i="4" s="1"/>
  <c r="AH13" i="4" s="1"/>
  <c r="AI13" i="4" s="1"/>
  <c r="AC14" i="4" s="1"/>
  <c r="AD14" i="4" s="1"/>
  <c r="AG83" i="4"/>
  <c r="AH83" i="4" s="1"/>
  <c r="AI83" i="4" s="1"/>
  <c r="AC84" i="4" s="1"/>
  <c r="AF83" i="4"/>
  <c r="AK83" i="4"/>
  <c r="AD81" i="1"/>
  <c r="AJ80" i="1"/>
  <c r="AE81" i="1" s="1"/>
  <c r="AI13" i="1"/>
  <c r="AC14" i="1" s="1"/>
  <c r="AG14" i="1" s="1"/>
  <c r="AH14" i="1" s="1"/>
  <c r="AJ14" i="1" s="1"/>
  <c r="AE15" i="1" s="1"/>
  <c r="AD49" i="1"/>
  <c r="AG49" i="1"/>
  <c r="AH49" i="1" s="1"/>
  <c r="AJ49" i="1" s="1"/>
  <c r="AE50" i="1" s="1"/>
  <c r="AF50" i="1" s="1"/>
  <c r="U13" i="3"/>
  <c r="V13" i="3" s="1"/>
  <c r="X13" i="3" s="1"/>
  <c r="S14" i="3" s="1"/>
  <c r="T14" i="3" s="1"/>
  <c r="Y13" i="3"/>
  <c r="AJ48" i="4" l="1"/>
  <c r="AE49" i="4" s="1"/>
  <c r="AF49" i="4" s="1"/>
  <c r="AF13" i="4"/>
  <c r="AJ13" i="4" s="1"/>
  <c r="AE14" i="4" s="1"/>
  <c r="AK13" i="4"/>
  <c r="AJ83" i="4"/>
  <c r="AE84" i="4" s="1"/>
  <c r="AG84" i="4" s="1"/>
  <c r="AH84" i="4" s="1"/>
  <c r="AD84" i="4"/>
  <c r="AF81" i="1"/>
  <c r="AK81" i="1"/>
  <c r="AG81" i="1"/>
  <c r="AD14" i="1"/>
  <c r="AI14" i="1" s="1"/>
  <c r="AC15" i="1" s="1"/>
  <c r="AK15" i="1" s="1"/>
  <c r="AK14" i="1"/>
  <c r="AI49" i="1"/>
  <c r="AC50" i="1" s="1"/>
  <c r="AG50" i="1" s="1"/>
  <c r="AH50" i="1" s="1"/>
  <c r="AJ50" i="1" s="1"/>
  <c r="AE51" i="1" s="1"/>
  <c r="W13" i="3"/>
  <c r="Q14" i="3" s="1"/>
  <c r="Y14" i="3" s="1"/>
  <c r="AF15" i="1"/>
  <c r="AG49" i="4" l="1"/>
  <c r="AH49" i="4" s="1"/>
  <c r="AI49" i="4" s="1"/>
  <c r="AC50" i="4" s="1"/>
  <c r="AD50" i="4" s="1"/>
  <c r="AK49" i="4"/>
  <c r="AK14" i="4"/>
  <c r="AF14" i="4"/>
  <c r="AG14" i="4"/>
  <c r="AH14" i="4" s="1"/>
  <c r="AI14" i="4" s="1"/>
  <c r="AC15" i="4" s="1"/>
  <c r="AD15" i="4" s="1"/>
  <c r="AI84" i="4"/>
  <c r="AC85" i="4" s="1"/>
  <c r="AD85" i="4" s="1"/>
  <c r="AF84" i="4"/>
  <c r="AJ84" i="4" s="1"/>
  <c r="AE85" i="4" s="1"/>
  <c r="AK84" i="4"/>
  <c r="AH81" i="1"/>
  <c r="AI81" i="1" s="1"/>
  <c r="AC82" i="1" s="1"/>
  <c r="AD50" i="1"/>
  <c r="AI50" i="1" s="1"/>
  <c r="AC51" i="1" s="1"/>
  <c r="AD51" i="1" s="1"/>
  <c r="AK50" i="1"/>
  <c r="AF51" i="1"/>
  <c r="U14" i="3"/>
  <c r="V14" i="3" s="1"/>
  <c r="X14" i="3" s="1"/>
  <c r="S15" i="3" s="1"/>
  <c r="T15" i="3" s="1"/>
  <c r="R14" i="3"/>
  <c r="AG15" i="1"/>
  <c r="AH15" i="1" s="1"/>
  <c r="AJ15" i="1" s="1"/>
  <c r="AE16" i="1" s="1"/>
  <c r="AD15" i="1"/>
  <c r="AJ49" i="4" l="1"/>
  <c r="AE50" i="4" s="1"/>
  <c r="AK50" i="4" s="1"/>
  <c r="AJ14" i="4"/>
  <c r="AE15" i="4" s="1"/>
  <c r="AF15" i="4" s="1"/>
  <c r="AK85" i="4"/>
  <c r="AF85" i="4"/>
  <c r="AG85" i="4"/>
  <c r="AH85" i="4" s="1"/>
  <c r="AI85" i="4" s="1"/>
  <c r="AC86" i="4" s="1"/>
  <c r="AD86" i="4" s="1"/>
  <c r="AD82" i="1"/>
  <c r="AJ81" i="1"/>
  <c r="AE82" i="1" s="1"/>
  <c r="AG82" i="1" s="1"/>
  <c r="AK51" i="1"/>
  <c r="AG51" i="1"/>
  <c r="AH51" i="1" s="1"/>
  <c r="AJ51" i="1" s="1"/>
  <c r="AE52" i="1" s="1"/>
  <c r="AF52" i="1" s="1"/>
  <c r="W14" i="3"/>
  <c r="Q15" i="3" s="1"/>
  <c r="R15" i="3" s="1"/>
  <c r="AF16" i="1"/>
  <c r="AI15" i="1"/>
  <c r="AC16" i="1" s="1"/>
  <c r="AG50" i="4" l="1"/>
  <c r="AH50" i="4" s="1"/>
  <c r="AI50" i="4" s="1"/>
  <c r="AC51" i="4" s="1"/>
  <c r="AD51" i="4" s="1"/>
  <c r="AF50" i="4"/>
  <c r="AK15" i="4"/>
  <c r="AG15" i="4"/>
  <c r="AH15" i="4" s="1"/>
  <c r="AI15" i="4" s="1"/>
  <c r="AC16" i="4" s="1"/>
  <c r="AD16" i="4" s="1"/>
  <c r="AJ85" i="4"/>
  <c r="AE86" i="4" s="1"/>
  <c r="AH82" i="1"/>
  <c r="AI82" i="1" s="1"/>
  <c r="AC83" i="1" s="1"/>
  <c r="AF82" i="1"/>
  <c r="AK82" i="1"/>
  <c r="AI51" i="1"/>
  <c r="AC52" i="1" s="1"/>
  <c r="AG52" i="1" s="1"/>
  <c r="AH52" i="1" s="1"/>
  <c r="AJ52" i="1" s="1"/>
  <c r="AE53" i="1" s="1"/>
  <c r="Y15" i="3"/>
  <c r="U15" i="3"/>
  <c r="V15" i="3" s="1"/>
  <c r="W15" i="3" s="1"/>
  <c r="Q16" i="3" s="1"/>
  <c r="R16" i="3" s="1"/>
  <c r="AD16" i="1"/>
  <c r="AG16" i="1"/>
  <c r="AH16" i="1" s="1"/>
  <c r="AJ16" i="1" s="1"/>
  <c r="AE17" i="1" s="1"/>
  <c r="AK16" i="1"/>
  <c r="AJ50" i="4" l="1"/>
  <c r="AE51" i="4" s="1"/>
  <c r="AF51" i="4" s="1"/>
  <c r="AJ15" i="4"/>
  <c r="AE16" i="4" s="1"/>
  <c r="AF86" i="4"/>
  <c r="AK86" i="4"/>
  <c r="AG86" i="4"/>
  <c r="AH86" i="4" s="1"/>
  <c r="AI86" i="4" s="1"/>
  <c r="AC87" i="4" s="1"/>
  <c r="AD87" i="4" s="1"/>
  <c r="AJ82" i="1"/>
  <c r="AE83" i="1" s="1"/>
  <c r="AG83" i="1" s="1"/>
  <c r="AD83" i="1"/>
  <c r="AD52" i="1"/>
  <c r="AI52" i="1" s="1"/>
  <c r="AC53" i="1" s="1"/>
  <c r="AG53" i="1" s="1"/>
  <c r="AH53" i="1" s="1"/>
  <c r="AK52" i="1"/>
  <c r="AF53" i="1"/>
  <c r="X15" i="3"/>
  <c r="S16" i="3" s="1"/>
  <c r="Y16" i="3" s="1"/>
  <c r="AF17" i="1"/>
  <c r="AI16" i="1"/>
  <c r="AC17" i="1" s="1"/>
  <c r="AG51" i="4" l="1"/>
  <c r="AH51" i="4" s="1"/>
  <c r="AI51" i="4" s="1"/>
  <c r="AC52" i="4" s="1"/>
  <c r="AD52" i="4" s="1"/>
  <c r="AK51" i="4"/>
  <c r="AF16" i="4"/>
  <c r="AG16" i="4"/>
  <c r="AH16" i="4" s="1"/>
  <c r="AI16" i="4" s="1"/>
  <c r="AC17" i="4" s="1"/>
  <c r="AD17" i="4" s="1"/>
  <c r="AK16" i="4"/>
  <c r="AJ86" i="4"/>
  <c r="AE87" i="4" s="1"/>
  <c r="AF83" i="1"/>
  <c r="AK83" i="1"/>
  <c r="AH83" i="1"/>
  <c r="AI83" i="1" s="1"/>
  <c r="AC84" i="1" s="1"/>
  <c r="AK53" i="1"/>
  <c r="AD53" i="1"/>
  <c r="AI53" i="1" s="1"/>
  <c r="AC54" i="1" s="1"/>
  <c r="AJ53" i="1"/>
  <c r="AE54" i="1" s="1"/>
  <c r="AF54" i="1" s="1"/>
  <c r="T16" i="3"/>
  <c r="U16" i="3"/>
  <c r="V16" i="3" s="1"/>
  <c r="W16" i="3" s="1"/>
  <c r="Q17" i="3" s="1"/>
  <c r="AD17" i="1"/>
  <c r="AG17" i="1"/>
  <c r="AH17" i="1" s="1"/>
  <c r="AK17" i="1"/>
  <c r="AJ51" i="4" l="1"/>
  <c r="AE52" i="4" s="1"/>
  <c r="AK52" i="4" s="1"/>
  <c r="AJ16" i="4"/>
  <c r="AE17" i="4" s="1"/>
  <c r="AG87" i="4"/>
  <c r="AH87" i="4" s="1"/>
  <c r="AI87" i="4" s="1"/>
  <c r="AC88" i="4" s="1"/>
  <c r="AF87" i="4"/>
  <c r="AK87" i="4"/>
  <c r="AD84" i="1"/>
  <c r="AJ83" i="1"/>
  <c r="AE84" i="1" s="1"/>
  <c r="AK54" i="1"/>
  <c r="AD54" i="1"/>
  <c r="AG54" i="1"/>
  <c r="AH54" i="1" s="1"/>
  <c r="AJ54" i="1" s="1"/>
  <c r="AE55" i="1" s="1"/>
  <c r="R17" i="3"/>
  <c r="X16" i="3"/>
  <c r="S17" i="3" s="1"/>
  <c r="AI17" i="1"/>
  <c r="AC18" i="1" s="1"/>
  <c r="AD18" i="1" s="1"/>
  <c r="AJ17" i="1"/>
  <c r="AE18" i="1" s="1"/>
  <c r="AF52" i="4" l="1"/>
  <c r="AG52" i="4"/>
  <c r="AH52" i="4" s="1"/>
  <c r="AI52" i="4" s="1"/>
  <c r="AC53" i="4" s="1"/>
  <c r="AD53" i="4" s="1"/>
  <c r="AK17" i="4"/>
  <c r="AF17" i="4"/>
  <c r="AG17" i="4"/>
  <c r="AH17" i="4" s="1"/>
  <c r="AI17" i="4" s="1"/>
  <c r="AC18" i="4" s="1"/>
  <c r="AD18" i="4" s="1"/>
  <c r="AJ87" i="4"/>
  <c r="AE88" i="4" s="1"/>
  <c r="AG88" i="4" s="1"/>
  <c r="AH88" i="4" s="1"/>
  <c r="AD88" i="4"/>
  <c r="AF84" i="1"/>
  <c r="AK84" i="1"/>
  <c r="AG84" i="1"/>
  <c r="AF55" i="1"/>
  <c r="AI54" i="1"/>
  <c r="AC55" i="1" s="1"/>
  <c r="T17" i="3"/>
  <c r="Y17" i="3"/>
  <c r="U17" i="3"/>
  <c r="AF18" i="1"/>
  <c r="AK18" i="1"/>
  <c r="AG18" i="1"/>
  <c r="AH18" i="1" s="1"/>
  <c r="AI18" i="1" s="1"/>
  <c r="AC19" i="1" s="1"/>
  <c r="AJ52" i="4" l="1"/>
  <c r="AE53" i="4" s="1"/>
  <c r="AG53" i="4" s="1"/>
  <c r="AH53" i="4" s="1"/>
  <c r="AI53" i="4" s="1"/>
  <c r="AC54" i="4" s="1"/>
  <c r="AD54" i="4" s="1"/>
  <c r="AJ17" i="4"/>
  <c r="AE18" i="4" s="1"/>
  <c r="AI88" i="4"/>
  <c r="AC89" i="4" s="1"/>
  <c r="AD89" i="4" s="1"/>
  <c r="AK88" i="4"/>
  <c r="AF88" i="4"/>
  <c r="AJ88" i="4" s="1"/>
  <c r="AE89" i="4" s="1"/>
  <c r="AH84" i="1"/>
  <c r="AI84" i="1" s="1"/>
  <c r="AC85" i="1" s="1"/>
  <c r="AG55" i="1"/>
  <c r="AH55" i="1" s="1"/>
  <c r="AJ55" i="1" s="1"/>
  <c r="AE56" i="1" s="1"/>
  <c r="AD55" i="1"/>
  <c r="AK55" i="1"/>
  <c r="V17" i="3"/>
  <c r="W17" i="3" s="1"/>
  <c r="Q18" i="3" s="1"/>
  <c r="AJ18" i="1"/>
  <c r="AE19" i="1" s="1"/>
  <c r="AG19" i="1" s="1"/>
  <c r="AH19" i="1" s="1"/>
  <c r="AD19" i="1"/>
  <c r="AK53" i="4" l="1"/>
  <c r="AF53" i="4"/>
  <c r="AJ53" i="4" s="1"/>
  <c r="AE54" i="4" s="1"/>
  <c r="AF18" i="4"/>
  <c r="AK18" i="4"/>
  <c r="AG18" i="4"/>
  <c r="AH18" i="4" s="1"/>
  <c r="AI18" i="4" s="1"/>
  <c r="AC19" i="4" s="1"/>
  <c r="AG89" i="4"/>
  <c r="AH89" i="4" s="1"/>
  <c r="AI89" i="4" s="1"/>
  <c r="AC90" i="4" s="1"/>
  <c r="AF89" i="4"/>
  <c r="AK89" i="4"/>
  <c r="AF54" i="4"/>
  <c r="AG54" i="4"/>
  <c r="AH54" i="4" s="1"/>
  <c r="AI54" i="4" s="1"/>
  <c r="AC55" i="4" s="1"/>
  <c r="AD55" i="4" s="1"/>
  <c r="AK54" i="4"/>
  <c r="AD85" i="1"/>
  <c r="AJ84" i="1"/>
  <c r="AE85" i="1" s="1"/>
  <c r="AI55" i="1"/>
  <c r="AC56" i="1" s="1"/>
  <c r="AG56" i="1" s="1"/>
  <c r="AH56" i="1" s="1"/>
  <c r="AF56" i="1"/>
  <c r="X17" i="3"/>
  <c r="S18" i="3" s="1"/>
  <c r="U18" i="3" s="1"/>
  <c r="R18" i="3"/>
  <c r="AF19" i="1"/>
  <c r="AJ19" i="1" s="1"/>
  <c r="AE20" i="1" s="1"/>
  <c r="AF20" i="1" s="1"/>
  <c r="AK19" i="1"/>
  <c r="AI19" i="1"/>
  <c r="AC20" i="1" s="1"/>
  <c r="AD19" i="4" l="1"/>
  <c r="AJ18" i="4"/>
  <c r="AE19" i="4" s="1"/>
  <c r="AJ89" i="4"/>
  <c r="AE90" i="4" s="1"/>
  <c r="AF90" i="4" s="1"/>
  <c r="AD90" i="4"/>
  <c r="AJ54" i="4"/>
  <c r="AE55" i="4" s="1"/>
  <c r="AK55" i="4" s="1"/>
  <c r="AF85" i="1"/>
  <c r="AK85" i="1"/>
  <c r="AG85" i="1"/>
  <c r="AK56" i="1"/>
  <c r="AD56" i="1"/>
  <c r="AI56" i="1" s="1"/>
  <c r="AC57" i="1" s="1"/>
  <c r="AJ56" i="1"/>
  <c r="AE57" i="1" s="1"/>
  <c r="AF57" i="1" s="1"/>
  <c r="Y18" i="3"/>
  <c r="T18" i="3"/>
  <c r="V18" i="3"/>
  <c r="AD20" i="1"/>
  <c r="AG20" i="1"/>
  <c r="AH20" i="1" s="1"/>
  <c r="AK20" i="1"/>
  <c r="AF19" i="4" l="1"/>
  <c r="AK19" i="4"/>
  <c r="AG19" i="4"/>
  <c r="AH19" i="4" s="1"/>
  <c r="AI19" i="4" s="1"/>
  <c r="AC20" i="4" s="1"/>
  <c r="AD20" i="4" s="1"/>
  <c r="AK90" i="4"/>
  <c r="AG90" i="4"/>
  <c r="AH90" i="4" s="1"/>
  <c r="AI90" i="4" s="1"/>
  <c r="AC91" i="4" s="1"/>
  <c r="AD91" i="4" s="1"/>
  <c r="AG55" i="4"/>
  <c r="AH55" i="4" s="1"/>
  <c r="AI55" i="4" s="1"/>
  <c r="AC56" i="4" s="1"/>
  <c r="AD56" i="4" s="1"/>
  <c r="AF55" i="4"/>
  <c r="AH85" i="1"/>
  <c r="AI85" i="1" s="1"/>
  <c r="AC86" i="1" s="1"/>
  <c r="AK57" i="1"/>
  <c r="AG57" i="1"/>
  <c r="AH57" i="1" s="1"/>
  <c r="AJ57" i="1" s="1"/>
  <c r="AE58" i="1" s="1"/>
  <c r="AD57" i="1"/>
  <c r="X18" i="3"/>
  <c r="S19" i="3" s="1"/>
  <c r="T19" i="3" s="1"/>
  <c r="W18" i="3"/>
  <c r="Q19" i="3" s="1"/>
  <c r="AI20" i="1"/>
  <c r="AC21" i="1" s="1"/>
  <c r="AJ20" i="1"/>
  <c r="AE21" i="1" s="1"/>
  <c r="AJ90" i="4" l="1"/>
  <c r="AE91" i="4" s="1"/>
  <c r="AG91" i="4" s="1"/>
  <c r="AH91" i="4" s="1"/>
  <c r="AI91" i="4" s="1"/>
  <c r="AC92" i="4" s="1"/>
  <c r="AJ19" i="4"/>
  <c r="AE20" i="4" s="1"/>
  <c r="AJ55" i="4"/>
  <c r="AE56" i="4" s="1"/>
  <c r="AK56" i="4" s="1"/>
  <c r="AD21" i="1"/>
  <c r="AG21" i="1"/>
  <c r="AH21" i="1" s="1"/>
  <c r="AD86" i="1"/>
  <c r="AJ85" i="1"/>
  <c r="AE86" i="1" s="1"/>
  <c r="AI57" i="1"/>
  <c r="AC58" i="1" s="1"/>
  <c r="AD58" i="1" s="1"/>
  <c r="AF58" i="1"/>
  <c r="R19" i="3"/>
  <c r="U19" i="3"/>
  <c r="Y19" i="3"/>
  <c r="AF21" i="1"/>
  <c r="AK21" i="1"/>
  <c r="AK91" i="4" l="1"/>
  <c r="AF91" i="4"/>
  <c r="AJ91" i="4" s="1"/>
  <c r="AE92" i="4" s="1"/>
  <c r="AF92" i="4" s="1"/>
  <c r="AG20" i="4"/>
  <c r="AH20" i="4" s="1"/>
  <c r="AI20" i="4" s="1"/>
  <c r="AC21" i="4" s="1"/>
  <c r="AF20" i="4"/>
  <c r="AK20" i="4"/>
  <c r="AD92" i="4"/>
  <c r="AF56" i="4"/>
  <c r="AG56" i="4"/>
  <c r="AH56" i="4" s="1"/>
  <c r="AI56" i="4" s="1"/>
  <c r="AC57" i="4" s="1"/>
  <c r="AD57" i="4" s="1"/>
  <c r="AI21" i="1"/>
  <c r="AC22" i="1" s="1"/>
  <c r="AD22" i="1" s="1"/>
  <c r="AF86" i="1"/>
  <c r="AK86" i="1"/>
  <c r="AG86" i="1"/>
  <c r="AK58" i="1"/>
  <c r="AG58" i="1"/>
  <c r="AH58" i="1" s="1"/>
  <c r="AJ58" i="1" s="1"/>
  <c r="AE59" i="1" s="1"/>
  <c r="V19" i="3"/>
  <c r="X19" i="3" s="1"/>
  <c r="S20" i="3" s="1"/>
  <c r="AJ21" i="1"/>
  <c r="AE22" i="1" s="1"/>
  <c r="AJ20" i="4" l="1"/>
  <c r="AE21" i="4" s="1"/>
  <c r="AF21" i="4" s="1"/>
  <c r="AD21" i="4"/>
  <c r="AG92" i="4"/>
  <c r="AH92" i="4" s="1"/>
  <c r="AI92" i="4" s="1"/>
  <c r="AC93" i="4" s="1"/>
  <c r="AD93" i="4" s="1"/>
  <c r="AK92" i="4"/>
  <c r="AJ56" i="4"/>
  <c r="AE57" i="4" s="1"/>
  <c r="AG57" i="4" s="1"/>
  <c r="AH57" i="4" s="1"/>
  <c r="AI57" i="4" s="1"/>
  <c r="AC58" i="4" s="1"/>
  <c r="AD58" i="4" s="1"/>
  <c r="AK22" i="1"/>
  <c r="AH86" i="1"/>
  <c r="AI86" i="1" s="1"/>
  <c r="AC87" i="1" s="1"/>
  <c r="AI58" i="1"/>
  <c r="AC59" i="1" s="1"/>
  <c r="AG59" i="1" s="1"/>
  <c r="AH59" i="1" s="1"/>
  <c r="AF59" i="1"/>
  <c r="W19" i="3"/>
  <c r="Q20" i="3" s="1"/>
  <c r="Y20" i="3" s="1"/>
  <c r="T20" i="3"/>
  <c r="AG22" i="1"/>
  <c r="AH22" i="1" s="1"/>
  <c r="AI22" i="1" s="1"/>
  <c r="AC23" i="1" s="1"/>
  <c r="AD23" i="1" s="1"/>
  <c r="AF22" i="1"/>
  <c r="AK21" i="4" l="1"/>
  <c r="AG21" i="4"/>
  <c r="AH21" i="4" s="1"/>
  <c r="AJ21" i="4" s="1"/>
  <c r="AE22" i="4" s="1"/>
  <c r="AF22" i="4" s="1"/>
  <c r="AJ92" i="4"/>
  <c r="AE93" i="4" s="1"/>
  <c r="AG93" i="4" s="1"/>
  <c r="AH93" i="4" s="1"/>
  <c r="AI93" i="4" s="1"/>
  <c r="AC94" i="4" s="1"/>
  <c r="AD94" i="4" s="1"/>
  <c r="AF57" i="4"/>
  <c r="AJ57" i="4" s="1"/>
  <c r="AE58" i="4" s="1"/>
  <c r="AK57" i="4"/>
  <c r="AD87" i="1"/>
  <c r="AJ86" i="1"/>
  <c r="AE87" i="1" s="1"/>
  <c r="AD59" i="1"/>
  <c r="AI59" i="1" s="1"/>
  <c r="AC60" i="1" s="1"/>
  <c r="AK59" i="1"/>
  <c r="AJ59" i="1"/>
  <c r="AE60" i="1" s="1"/>
  <c r="AF60" i="1" s="1"/>
  <c r="U20" i="3"/>
  <c r="V20" i="3" s="1"/>
  <c r="R20" i="3"/>
  <c r="AJ22" i="1"/>
  <c r="AE23" i="1" s="1"/>
  <c r="AK23" i="1" s="1"/>
  <c r="AI21" i="4" l="1"/>
  <c r="AC22" i="4" s="1"/>
  <c r="AD22" i="4" s="1"/>
  <c r="AK93" i="4"/>
  <c r="AF93" i="4"/>
  <c r="AJ93" i="4" s="1"/>
  <c r="AE94" i="4" s="1"/>
  <c r="AK58" i="4"/>
  <c r="AF58" i="4"/>
  <c r="AG58" i="4"/>
  <c r="AH58" i="4" s="1"/>
  <c r="AI58" i="4" s="1"/>
  <c r="AC59" i="4" s="1"/>
  <c r="AD59" i="4" s="1"/>
  <c r="AK87" i="1"/>
  <c r="AF87" i="1"/>
  <c r="AG87" i="1"/>
  <c r="AH87" i="1" s="1"/>
  <c r="AI87" i="1" s="1"/>
  <c r="AC88" i="1" s="1"/>
  <c r="AK60" i="1"/>
  <c r="AG60" i="1"/>
  <c r="AH60" i="1" s="1"/>
  <c r="AJ60" i="1" s="1"/>
  <c r="AE61" i="1" s="1"/>
  <c r="AD60" i="1"/>
  <c r="W20" i="3"/>
  <c r="Q21" i="3" s="1"/>
  <c r="R21" i="3" s="1"/>
  <c r="X20" i="3"/>
  <c r="S21" i="3" s="1"/>
  <c r="T21" i="3" s="1"/>
  <c r="AG23" i="1"/>
  <c r="AH23" i="1" s="1"/>
  <c r="AI23" i="1" s="1"/>
  <c r="AC24" i="1" s="1"/>
  <c r="AD24" i="1" s="1"/>
  <c r="AF23" i="1"/>
  <c r="AK22" i="4" l="1"/>
  <c r="AG22" i="4"/>
  <c r="AH22" i="4" s="1"/>
  <c r="AI22" i="4" s="1"/>
  <c r="AC23" i="4" s="1"/>
  <c r="AD23" i="4" s="1"/>
  <c r="AG94" i="4"/>
  <c r="AH94" i="4" s="1"/>
  <c r="AI94" i="4" s="1"/>
  <c r="AC95" i="4" s="1"/>
  <c r="AF94" i="4"/>
  <c r="AK94" i="4"/>
  <c r="AJ58" i="4"/>
  <c r="AE59" i="4" s="1"/>
  <c r="AD88" i="1"/>
  <c r="AJ87" i="1"/>
  <c r="AE88" i="1" s="1"/>
  <c r="AI60" i="1"/>
  <c r="AC61" i="1" s="1"/>
  <c r="AG61" i="1" s="1"/>
  <c r="AH61" i="1" s="1"/>
  <c r="AF61" i="1"/>
  <c r="U21" i="3"/>
  <c r="V21" i="3" s="1"/>
  <c r="W21" i="3" s="1"/>
  <c r="Q22" i="3" s="1"/>
  <c r="Y21" i="3"/>
  <c r="AJ23" i="1"/>
  <c r="AE24" i="1" s="1"/>
  <c r="AK24" i="1" s="1"/>
  <c r="AJ22" i="4" l="1"/>
  <c r="AE23" i="4" s="1"/>
  <c r="AK23" i="4" s="1"/>
  <c r="AJ94" i="4"/>
  <c r="AE95" i="4" s="1"/>
  <c r="AG95" i="4" s="1"/>
  <c r="AH95" i="4" s="1"/>
  <c r="AD95" i="4"/>
  <c r="AK59" i="4"/>
  <c r="AF59" i="4"/>
  <c r="AG59" i="4"/>
  <c r="AH59" i="4" s="1"/>
  <c r="AI59" i="4" s="1"/>
  <c r="AC60" i="4" s="1"/>
  <c r="AD60" i="4" s="1"/>
  <c r="AF88" i="1"/>
  <c r="AK88" i="1"/>
  <c r="AG88" i="1"/>
  <c r="AK61" i="1"/>
  <c r="AD61" i="1"/>
  <c r="AI61" i="1" s="1"/>
  <c r="AC62" i="1" s="1"/>
  <c r="AD62" i="1" s="1"/>
  <c r="AJ61" i="1"/>
  <c r="AE62" i="1" s="1"/>
  <c r="R22" i="3"/>
  <c r="X21" i="3"/>
  <c r="S22" i="3" s="1"/>
  <c r="U22" i="3" s="1"/>
  <c r="V22" i="3" s="1"/>
  <c r="AG24" i="1"/>
  <c r="AH24" i="1" s="1"/>
  <c r="AI24" i="1" s="1"/>
  <c r="AC25" i="1" s="1"/>
  <c r="AD25" i="1" s="1"/>
  <c r="AF24" i="1"/>
  <c r="AG23" i="4" l="1"/>
  <c r="AH23" i="4" s="1"/>
  <c r="AI23" i="4" s="1"/>
  <c r="AC24" i="4" s="1"/>
  <c r="AD24" i="4" s="1"/>
  <c r="AF23" i="4"/>
  <c r="AI95" i="4"/>
  <c r="AC96" i="4" s="1"/>
  <c r="AD96" i="4" s="1"/>
  <c r="AK95" i="4"/>
  <c r="AF95" i="4"/>
  <c r="AJ95" i="4" s="1"/>
  <c r="AE96" i="4" s="1"/>
  <c r="AJ59" i="4"/>
  <c r="AE60" i="4" s="1"/>
  <c r="AH88" i="1"/>
  <c r="AI88" i="1" s="1"/>
  <c r="AC89" i="1" s="1"/>
  <c r="AF62" i="1"/>
  <c r="AK62" i="1"/>
  <c r="AG62" i="1"/>
  <c r="AH62" i="1" s="1"/>
  <c r="T22" i="3"/>
  <c r="X22" i="3" s="1"/>
  <c r="S23" i="3" s="1"/>
  <c r="Y22" i="3"/>
  <c r="W22" i="3"/>
  <c r="Q23" i="3" s="1"/>
  <c r="AJ24" i="1"/>
  <c r="AE25" i="1" s="1"/>
  <c r="AF25" i="1" s="1"/>
  <c r="AJ23" i="4" l="1"/>
  <c r="AE24" i="4" s="1"/>
  <c r="AK24" i="4" s="1"/>
  <c r="AK96" i="4"/>
  <c r="AF96" i="4"/>
  <c r="AG96" i="4"/>
  <c r="AH96" i="4" s="1"/>
  <c r="AI96" i="4" s="1"/>
  <c r="AC97" i="4" s="1"/>
  <c r="AK60" i="4"/>
  <c r="AF60" i="4"/>
  <c r="AG60" i="4"/>
  <c r="AH60" i="4" s="1"/>
  <c r="AI60" i="4" s="1"/>
  <c r="AC61" i="4" s="1"/>
  <c r="AD61" i="4" s="1"/>
  <c r="AD89" i="1"/>
  <c r="AJ88" i="1"/>
  <c r="AE89" i="1" s="1"/>
  <c r="AJ62" i="1"/>
  <c r="AE63" i="1" s="1"/>
  <c r="AF63" i="1" s="1"/>
  <c r="AI62" i="1"/>
  <c r="AC63" i="1" s="1"/>
  <c r="R23" i="3"/>
  <c r="U23" i="3"/>
  <c r="T23" i="3"/>
  <c r="Y23" i="3"/>
  <c r="AG25" i="1"/>
  <c r="AH25" i="1" s="1"/>
  <c r="AI25" i="1" s="1"/>
  <c r="AC26" i="1" s="1"/>
  <c r="AD26" i="1" s="1"/>
  <c r="AK25" i="1"/>
  <c r="AF24" i="4" l="1"/>
  <c r="AG24" i="4"/>
  <c r="AH24" i="4" s="1"/>
  <c r="AI24" i="4" s="1"/>
  <c r="AC25" i="4" s="1"/>
  <c r="AD25" i="4" s="1"/>
  <c r="AD97" i="4"/>
  <c r="AJ96" i="4"/>
  <c r="AE97" i="4" s="1"/>
  <c r="AJ60" i="4"/>
  <c r="AE61" i="4" s="1"/>
  <c r="AF89" i="1"/>
  <c r="AK89" i="1"/>
  <c r="AG89" i="1"/>
  <c r="AH89" i="1" s="1"/>
  <c r="AI89" i="1" s="1"/>
  <c r="AC90" i="1" s="1"/>
  <c r="AG63" i="1"/>
  <c r="AH63" i="1" s="1"/>
  <c r="AJ63" i="1" s="1"/>
  <c r="AE64" i="1" s="1"/>
  <c r="AD63" i="1"/>
  <c r="AK63" i="1"/>
  <c r="V23" i="3"/>
  <c r="X23" i="3" s="1"/>
  <c r="S24" i="3" s="1"/>
  <c r="AJ25" i="1"/>
  <c r="AE26" i="1" s="1"/>
  <c r="AG26" i="1" s="1"/>
  <c r="AH26" i="1" s="1"/>
  <c r="AI26" i="1" s="1"/>
  <c r="AC27" i="1" s="1"/>
  <c r="AD27" i="1" s="1"/>
  <c r="AJ24" i="4" l="1"/>
  <c r="AE25" i="4" s="1"/>
  <c r="AG25" i="4" s="1"/>
  <c r="AH25" i="4" s="1"/>
  <c r="AI25" i="4" s="1"/>
  <c r="AC26" i="4" s="1"/>
  <c r="AD26" i="4" s="1"/>
  <c r="AK97" i="4"/>
  <c r="AF97" i="4"/>
  <c r="AG97" i="4"/>
  <c r="AH97" i="4" s="1"/>
  <c r="AI97" i="4" s="1"/>
  <c r="AC98" i="4" s="1"/>
  <c r="AD98" i="4" s="1"/>
  <c r="AK61" i="4"/>
  <c r="AG61" i="4"/>
  <c r="AH61" i="4" s="1"/>
  <c r="AI61" i="4" s="1"/>
  <c r="AC62" i="4" s="1"/>
  <c r="AD62" i="4" s="1"/>
  <c r="AF61" i="4"/>
  <c r="AD90" i="1"/>
  <c r="AJ89" i="1"/>
  <c r="AE90" i="1" s="1"/>
  <c r="AI63" i="1"/>
  <c r="AC64" i="1" s="1"/>
  <c r="AG64" i="1" s="1"/>
  <c r="AH64" i="1" s="1"/>
  <c r="AF64" i="1"/>
  <c r="T24" i="3"/>
  <c r="W23" i="3"/>
  <c r="Q24" i="3" s="1"/>
  <c r="Y24" i="3" s="1"/>
  <c r="AF26" i="1"/>
  <c r="AJ26" i="1" s="1"/>
  <c r="AE27" i="1" s="1"/>
  <c r="AG27" i="1" s="1"/>
  <c r="AH27" i="1" s="1"/>
  <c r="AK26" i="1"/>
  <c r="AK25" i="4" l="1"/>
  <c r="AF25" i="4"/>
  <c r="AJ25" i="4" s="1"/>
  <c r="AE26" i="4" s="1"/>
  <c r="AF26" i="4" s="1"/>
  <c r="AJ97" i="4"/>
  <c r="AE98" i="4" s="1"/>
  <c r="AJ61" i="4"/>
  <c r="AE62" i="4" s="1"/>
  <c r="AF62" i="4" s="1"/>
  <c r="AF90" i="1"/>
  <c r="AK90" i="1"/>
  <c r="AG90" i="1"/>
  <c r="AH90" i="1" s="1"/>
  <c r="AI90" i="1" s="1"/>
  <c r="AC91" i="1" s="1"/>
  <c r="AK64" i="1"/>
  <c r="AD64" i="1"/>
  <c r="AI64" i="1" s="1"/>
  <c r="AC65" i="1" s="1"/>
  <c r="AD65" i="1" s="1"/>
  <c r="AJ64" i="1"/>
  <c r="AE65" i="1" s="1"/>
  <c r="R24" i="3"/>
  <c r="U24" i="3"/>
  <c r="AI27" i="1"/>
  <c r="AC28" i="1" s="1"/>
  <c r="AD28" i="1" s="1"/>
  <c r="AF27" i="1"/>
  <c r="AJ27" i="1" s="1"/>
  <c r="AE28" i="1" s="1"/>
  <c r="AK27" i="1"/>
  <c r="AK26" i="4" l="1"/>
  <c r="AG26" i="4"/>
  <c r="AH26" i="4" s="1"/>
  <c r="AI26" i="4" s="1"/>
  <c r="AC27" i="4" s="1"/>
  <c r="AD27" i="4" s="1"/>
  <c r="AG98" i="4"/>
  <c r="AH98" i="4" s="1"/>
  <c r="AI98" i="4" s="1"/>
  <c r="AC99" i="4" s="1"/>
  <c r="AF98" i="4"/>
  <c r="AK98" i="4"/>
  <c r="AG62" i="4"/>
  <c r="AH62" i="4" s="1"/>
  <c r="AI62" i="4" s="1"/>
  <c r="AC63" i="4" s="1"/>
  <c r="AD63" i="4" s="1"/>
  <c r="AK62" i="4"/>
  <c r="AD91" i="1"/>
  <c r="AJ90" i="1"/>
  <c r="AE91" i="1" s="1"/>
  <c r="AF65" i="1"/>
  <c r="AK65" i="1"/>
  <c r="AG65" i="1"/>
  <c r="AH65" i="1" s="1"/>
  <c r="V24" i="3"/>
  <c r="X24" i="3" s="1"/>
  <c r="S25" i="3" s="1"/>
  <c r="AF28" i="1"/>
  <c r="AK28" i="1"/>
  <c r="AG28" i="1"/>
  <c r="AH28" i="1" s="1"/>
  <c r="AI28" i="1" s="1"/>
  <c r="AC29" i="1" s="1"/>
  <c r="AD29" i="1" s="1"/>
  <c r="AJ26" i="4" l="1"/>
  <c r="AE27" i="4" s="1"/>
  <c r="AF27" i="4" s="1"/>
  <c r="AJ98" i="4"/>
  <c r="AE99" i="4" s="1"/>
  <c r="AF99" i="4" s="1"/>
  <c r="AD99" i="4"/>
  <c r="AJ62" i="4"/>
  <c r="AE63" i="4" s="1"/>
  <c r="AK63" i="4" s="1"/>
  <c r="AF91" i="1"/>
  <c r="AK91" i="1"/>
  <c r="AG91" i="1"/>
  <c r="AH91" i="1" s="1"/>
  <c r="AI91" i="1" s="1"/>
  <c r="AC92" i="1" s="1"/>
  <c r="AJ65" i="1"/>
  <c r="AE66" i="1" s="1"/>
  <c r="AF66" i="1" s="1"/>
  <c r="AI65" i="1"/>
  <c r="AC66" i="1" s="1"/>
  <c r="T25" i="3"/>
  <c r="W24" i="3"/>
  <c r="Q25" i="3" s="1"/>
  <c r="AJ28" i="1"/>
  <c r="AE29" i="1" s="1"/>
  <c r="AG27" i="4" l="1"/>
  <c r="AH27" i="4" s="1"/>
  <c r="AI27" i="4" s="1"/>
  <c r="AC28" i="4" s="1"/>
  <c r="AD28" i="4" s="1"/>
  <c r="AK27" i="4"/>
  <c r="AG99" i="4"/>
  <c r="AH99" i="4" s="1"/>
  <c r="AI99" i="4" s="1"/>
  <c r="AC100" i="4" s="1"/>
  <c r="AD100" i="4" s="1"/>
  <c r="AK99" i="4"/>
  <c r="AF63" i="4"/>
  <c r="AG63" i="4"/>
  <c r="AH63" i="4" s="1"/>
  <c r="AI63" i="4" s="1"/>
  <c r="AC64" i="4" s="1"/>
  <c r="AD64" i="4" s="1"/>
  <c r="AD92" i="1"/>
  <c r="AJ91" i="1"/>
  <c r="AE92" i="1" s="1"/>
  <c r="AG66" i="1"/>
  <c r="AH66" i="1" s="1"/>
  <c r="AJ66" i="1" s="1"/>
  <c r="AE67" i="1" s="1"/>
  <c r="AD66" i="1"/>
  <c r="AK66" i="1"/>
  <c r="R25" i="3"/>
  <c r="U25" i="3"/>
  <c r="Y25" i="3"/>
  <c r="AK29" i="1"/>
  <c r="AF29" i="1"/>
  <c r="AG29" i="1"/>
  <c r="AH29" i="1" s="1"/>
  <c r="AI29" i="1" s="1"/>
  <c r="AJ27" i="4" l="1"/>
  <c r="AE28" i="4" s="1"/>
  <c r="AJ99" i="4"/>
  <c r="AE100" i="4" s="1"/>
  <c r="AK100" i="4" s="1"/>
  <c r="AJ63" i="4"/>
  <c r="AE64" i="4" s="1"/>
  <c r="AF64" i="4" s="1"/>
  <c r="AF92" i="1"/>
  <c r="AK92" i="1"/>
  <c r="AG92" i="1"/>
  <c r="AI66" i="1"/>
  <c r="AC67" i="1" s="1"/>
  <c r="AG67" i="1" s="1"/>
  <c r="AH67" i="1" s="1"/>
  <c r="AF67" i="1"/>
  <c r="AC30" i="1"/>
  <c r="AD30" i="1" s="1"/>
  <c r="V25" i="3"/>
  <c r="X25" i="3" s="1"/>
  <c r="S26" i="3" s="1"/>
  <c r="AJ29" i="1"/>
  <c r="AE30" i="1" s="1"/>
  <c r="AF28" i="4" l="1"/>
  <c r="AK28" i="4"/>
  <c r="AG28" i="4"/>
  <c r="AH28" i="4" s="1"/>
  <c r="AI28" i="4" s="1"/>
  <c r="AC29" i="4" s="1"/>
  <c r="AD29" i="4" s="1"/>
  <c r="AF100" i="4"/>
  <c r="AG100" i="4"/>
  <c r="AH100" i="4" s="1"/>
  <c r="AI100" i="4" s="1"/>
  <c r="AC101" i="4" s="1"/>
  <c r="AD101" i="4" s="1"/>
  <c r="AK64" i="4"/>
  <c r="AG64" i="4"/>
  <c r="AH64" i="4" s="1"/>
  <c r="AJ64" i="4" s="1"/>
  <c r="AE65" i="4" s="1"/>
  <c r="AF65" i="4" s="1"/>
  <c r="AH92" i="1"/>
  <c r="AI92" i="1" s="1"/>
  <c r="AC93" i="1" s="1"/>
  <c r="AK67" i="1"/>
  <c r="AD67" i="1"/>
  <c r="AI67" i="1" s="1"/>
  <c r="AC68" i="1" s="1"/>
  <c r="AD68" i="1" s="1"/>
  <c r="AJ67" i="1"/>
  <c r="AE68" i="1" s="1"/>
  <c r="T26" i="3"/>
  <c r="W25" i="3"/>
  <c r="Q26" i="3" s="1"/>
  <c r="AF30" i="1"/>
  <c r="AK30" i="1"/>
  <c r="AG30" i="1"/>
  <c r="AH30" i="1" s="1"/>
  <c r="AJ28" i="4" l="1"/>
  <c r="AE29" i="4" s="1"/>
  <c r="AJ100" i="4"/>
  <c r="AE101" i="4" s="1"/>
  <c r="AG101" i="4" s="1"/>
  <c r="AH101" i="4" s="1"/>
  <c r="AI101" i="4" s="1"/>
  <c r="AC102" i="4" s="1"/>
  <c r="AI64" i="4"/>
  <c r="AC65" i="4" s="1"/>
  <c r="AD65" i="4" s="1"/>
  <c r="AD93" i="1"/>
  <c r="AJ92" i="1"/>
  <c r="AE93" i="1" s="1"/>
  <c r="AF68" i="1"/>
  <c r="AK68" i="1"/>
  <c r="AG68" i="1"/>
  <c r="AH68" i="1" s="1"/>
  <c r="R26" i="3"/>
  <c r="U26" i="3"/>
  <c r="V26" i="3" s="1"/>
  <c r="X26" i="3" s="1"/>
  <c r="S27" i="3" s="1"/>
  <c r="Y26" i="3"/>
  <c r="AJ30" i="1"/>
  <c r="AE31" i="1" s="1"/>
  <c r="AI30" i="1"/>
  <c r="AC31" i="1" s="1"/>
  <c r="AG29" i="4" l="1"/>
  <c r="AH29" i="4" s="1"/>
  <c r="AI29" i="4" s="1"/>
  <c r="AC30" i="4" s="1"/>
  <c r="AD30" i="4" s="1"/>
  <c r="AK29" i="4"/>
  <c r="AF29" i="4"/>
  <c r="AK101" i="4"/>
  <c r="AF101" i="4"/>
  <c r="AJ101" i="4" s="1"/>
  <c r="AE102" i="4" s="1"/>
  <c r="AD102" i="4"/>
  <c r="AK65" i="4"/>
  <c r="AG65" i="4"/>
  <c r="AH65" i="4" s="1"/>
  <c r="AI65" i="4" s="1"/>
  <c r="AC66" i="4" s="1"/>
  <c r="AD66" i="4" s="1"/>
  <c r="AF93" i="1"/>
  <c r="AK93" i="1"/>
  <c r="AG93" i="1"/>
  <c r="AJ68" i="1"/>
  <c r="AE69" i="1" s="1"/>
  <c r="AF69" i="1" s="1"/>
  <c r="AI68" i="1"/>
  <c r="AC69" i="1" s="1"/>
  <c r="T27" i="3"/>
  <c r="W26" i="3"/>
  <c r="Q27" i="3" s="1"/>
  <c r="AD31" i="1"/>
  <c r="AG31" i="1"/>
  <c r="AH31" i="1" s="1"/>
  <c r="AF31" i="1"/>
  <c r="AK31" i="1"/>
  <c r="AJ29" i="4" l="1"/>
  <c r="AE30" i="4" s="1"/>
  <c r="AG30" i="4" s="1"/>
  <c r="AH30" i="4" s="1"/>
  <c r="AI30" i="4" s="1"/>
  <c r="AC31" i="4" s="1"/>
  <c r="AD31" i="4" s="1"/>
  <c r="AG102" i="4"/>
  <c r="AH102" i="4" s="1"/>
  <c r="AF102" i="4"/>
  <c r="AK102" i="4"/>
  <c r="AJ65" i="4"/>
  <c r="AE66" i="4" s="1"/>
  <c r="AF66" i="4" s="1"/>
  <c r="AH93" i="1"/>
  <c r="AI93" i="1" s="1"/>
  <c r="AC94" i="1" s="1"/>
  <c r="AD69" i="1"/>
  <c r="AG69" i="1"/>
  <c r="AK69" i="1"/>
  <c r="R27" i="3"/>
  <c r="U27" i="3"/>
  <c r="Y27" i="3"/>
  <c r="AJ31" i="1"/>
  <c r="AE32" i="1" s="1"/>
  <c r="AF32" i="1" s="1"/>
  <c r="AI31" i="1"/>
  <c r="AC32" i="1" s="1"/>
  <c r="AF30" i="4" l="1"/>
  <c r="AJ30" i="4" s="1"/>
  <c r="AE31" i="4" s="1"/>
  <c r="AF31" i="4" s="1"/>
  <c r="AK30" i="4"/>
  <c r="AJ102" i="4"/>
  <c r="AE103" i="4" s="1"/>
  <c r="AF103" i="4" s="1"/>
  <c r="AI102" i="4"/>
  <c r="AC103" i="4" s="1"/>
  <c r="AD103" i="4" s="1"/>
  <c r="AG66" i="4"/>
  <c r="AH66" i="4" s="1"/>
  <c r="AI66" i="4" s="1"/>
  <c r="AC67" i="4" s="1"/>
  <c r="AD67" i="4" s="1"/>
  <c r="AK66" i="4"/>
  <c r="AD94" i="1"/>
  <c r="AJ93" i="1"/>
  <c r="AE94" i="1" s="1"/>
  <c r="AH69" i="1"/>
  <c r="AJ69" i="1" s="1"/>
  <c r="O27" i="1"/>
  <c r="V27" i="3"/>
  <c r="X27" i="3" s="1"/>
  <c r="S28" i="3" s="1"/>
  <c r="AD32" i="1"/>
  <c r="AG32" i="1"/>
  <c r="AH32" i="1" s="1"/>
  <c r="AJ32" i="1" s="1"/>
  <c r="AE33" i="1" s="1"/>
  <c r="AF33" i="1" s="1"/>
  <c r="AK32" i="1"/>
  <c r="AK31" i="4" l="1"/>
  <c r="AG31" i="4"/>
  <c r="AH31" i="4" s="1"/>
  <c r="AI31" i="4" s="1"/>
  <c r="AC32" i="4" s="1"/>
  <c r="AD32" i="4" s="1"/>
  <c r="AK103" i="4"/>
  <c r="AG103" i="4"/>
  <c r="AH103" i="4" s="1"/>
  <c r="AI103" i="4" s="1"/>
  <c r="AC104" i="4" s="1"/>
  <c r="AD104" i="4" s="1"/>
  <c r="AJ66" i="4"/>
  <c r="AE67" i="4" s="1"/>
  <c r="AG67" i="4" s="1"/>
  <c r="AH67" i="4" s="1"/>
  <c r="AI67" i="4" s="1"/>
  <c r="AC68" i="4" s="1"/>
  <c r="AD68" i="4" s="1"/>
  <c r="AF94" i="1"/>
  <c r="AK94" i="1"/>
  <c r="AG94" i="1"/>
  <c r="O28" i="1"/>
  <c r="AI69" i="1"/>
  <c r="T28" i="3"/>
  <c r="W27" i="3"/>
  <c r="Q28" i="3" s="1"/>
  <c r="Y28" i="3" s="1"/>
  <c r="AI32" i="1"/>
  <c r="AC33" i="1" s="1"/>
  <c r="AJ31" i="4" l="1"/>
  <c r="AE32" i="4" s="1"/>
  <c r="AF32" i="4" s="1"/>
  <c r="AJ103" i="4"/>
  <c r="AE104" i="4" s="1"/>
  <c r="AK104" i="4" s="1"/>
  <c r="AK67" i="4"/>
  <c r="AF67" i="4"/>
  <c r="AJ67" i="4" s="1"/>
  <c r="AE68" i="4" s="1"/>
  <c r="AK68" i="4" s="1"/>
  <c r="G16" i="1"/>
  <c r="AH94" i="1"/>
  <c r="AI94" i="1" s="1"/>
  <c r="AC95" i="1" s="1"/>
  <c r="R28" i="3"/>
  <c r="U28" i="3"/>
  <c r="AD33" i="1"/>
  <c r="AG33" i="1"/>
  <c r="AH33" i="1" s="1"/>
  <c r="AJ33" i="1" s="1"/>
  <c r="AE34" i="1" s="1"/>
  <c r="AF34" i="1" s="1"/>
  <c r="AK33" i="1"/>
  <c r="AK32" i="4" l="1"/>
  <c r="AG32" i="4"/>
  <c r="AH32" i="4" s="1"/>
  <c r="AI32" i="4" s="1"/>
  <c r="AC33" i="4" s="1"/>
  <c r="AD33" i="4" s="1"/>
  <c r="G17" i="1"/>
  <c r="AF104" i="4"/>
  <c r="AG104" i="4"/>
  <c r="W23" i="4" s="1"/>
  <c r="W24" i="4" s="1"/>
  <c r="G33" i="4" s="1"/>
  <c r="G34" i="4" s="1"/>
  <c r="AG68" i="4"/>
  <c r="AH68" i="4" s="1"/>
  <c r="AI68" i="4" s="1"/>
  <c r="AC69" i="4" s="1"/>
  <c r="AD69" i="4" s="1"/>
  <c r="AF68" i="4"/>
  <c r="AD95" i="1"/>
  <c r="AJ94" i="1"/>
  <c r="AE95" i="1" s="1"/>
  <c r="V28" i="3"/>
  <c r="X28" i="3" s="1"/>
  <c r="S29" i="3" s="1"/>
  <c r="AI33" i="1"/>
  <c r="AC34" i="1" s="1"/>
  <c r="AJ32" i="4" l="1"/>
  <c r="AE33" i="4" s="1"/>
  <c r="AK33" i="4" s="1"/>
  <c r="AH104" i="4"/>
  <c r="AI104" i="4" s="1"/>
  <c r="AJ68" i="4"/>
  <c r="AE69" i="4" s="1"/>
  <c r="AG69" i="4" s="1"/>
  <c r="O23" i="4" s="1"/>
  <c r="AF95" i="1"/>
  <c r="AK95" i="1"/>
  <c r="AG95" i="1"/>
  <c r="T29" i="3"/>
  <c r="W28" i="3"/>
  <c r="Q29" i="3" s="1"/>
  <c r="Y29" i="3" s="1"/>
  <c r="AD34" i="1"/>
  <c r="AG34" i="1"/>
  <c r="S24" i="1" s="1"/>
  <c r="AK34" i="1"/>
  <c r="AG33" i="4" l="1"/>
  <c r="AH33" i="4" s="1"/>
  <c r="AI33" i="4" s="1"/>
  <c r="AC34" i="4" s="1"/>
  <c r="AD34" i="4" s="1"/>
  <c r="AF33" i="4"/>
  <c r="AJ104" i="4"/>
  <c r="O24" i="4"/>
  <c r="G17" i="4" s="1"/>
  <c r="K12" i="4" s="1"/>
  <c r="AK69" i="4"/>
  <c r="AH69" i="4"/>
  <c r="AI69" i="4" s="1"/>
  <c r="AF69" i="4"/>
  <c r="AH95" i="1"/>
  <c r="AI95" i="1" s="1"/>
  <c r="AC96" i="1" s="1"/>
  <c r="S25" i="1"/>
  <c r="G21" i="1" s="1"/>
  <c r="R29" i="3"/>
  <c r="U29" i="3"/>
  <c r="AH34" i="1"/>
  <c r="AJ33" i="4" l="1"/>
  <c r="AE34" i="4" s="1"/>
  <c r="AG34" i="4" s="1"/>
  <c r="AH34" i="4" s="1"/>
  <c r="AI34" i="4" s="1"/>
  <c r="G22" i="1"/>
  <c r="K6" i="1" s="1"/>
  <c r="K8" i="1"/>
  <c r="G18" i="4"/>
  <c r="AJ69" i="4"/>
  <c r="AD96" i="1"/>
  <c r="AJ95" i="1"/>
  <c r="AE96" i="1" s="1"/>
  <c r="V29" i="3"/>
  <c r="X29" i="3" s="1"/>
  <c r="S30" i="3" s="1"/>
  <c r="AI34" i="1"/>
  <c r="AJ34" i="1"/>
  <c r="K7" i="1" l="1"/>
  <c r="AK34" i="4"/>
  <c r="AF34" i="4"/>
  <c r="AJ34" i="4" s="1"/>
  <c r="S23" i="4"/>
  <c r="S24" i="4" s="1"/>
  <c r="G22" i="4" s="1"/>
  <c r="G23" i="4" s="1"/>
  <c r="K4" i="4" s="1"/>
  <c r="K9" i="4" s="1"/>
  <c r="K10" i="4"/>
  <c r="K11" i="4"/>
  <c r="AF96" i="1"/>
  <c r="AK96" i="1"/>
  <c r="AG96" i="1"/>
  <c r="T30" i="3"/>
  <c r="W29" i="3"/>
  <c r="Q30" i="3" s="1"/>
  <c r="K27" i="4" l="1"/>
  <c r="K22" i="4"/>
  <c r="K28" i="4"/>
  <c r="AH96" i="1"/>
  <c r="AJ96" i="1" s="1"/>
  <c r="AE97" i="1" s="1"/>
  <c r="K24" i="1"/>
  <c r="R30" i="3"/>
  <c r="U30" i="3"/>
  <c r="Y30" i="3"/>
  <c r="K31" i="4" l="1"/>
  <c r="AQ4" i="4"/>
  <c r="K23" i="4"/>
  <c r="AS4" i="4"/>
  <c r="AO4" i="4"/>
  <c r="AI96" i="1"/>
  <c r="AC97" i="1" s="1"/>
  <c r="AG97" i="1" s="1"/>
  <c r="AF97" i="1"/>
  <c r="V30" i="3"/>
  <c r="X30" i="3" s="1"/>
  <c r="S31" i="3" s="1"/>
  <c r="AD97" i="1" l="1"/>
  <c r="AK97" i="1"/>
  <c r="AH97" i="1"/>
  <c r="T31" i="3"/>
  <c r="W30" i="3"/>
  <c r="Q31" i="3" s="1"/>
  <c r="AI97" i="1" l="1"/>
  <c r="AC98" i="1" s="1"/>
  <c r="AD98" i="1" s="1"/>
  <c r="AJ97" i="1"/>
  <c r="AE98" i="1" s="1"/>
  <c r="R31" i="3"/>
  <c r="U31" i="3"/>
  <c r="Y31" i="3"/>
  <c r="AF98" i="1" l="1"/>
  <c r="AK98" i="1"/>
  <c r="AG98" i="1"/>
  <c r="V31" i="3"/>
  <c r="X31" i="3" s="1"/>
  <c r="S32" i="3" s="1"/>
  <c r="AH98" i="1" l="1"/>
  <c r="AI98" i="1" s="1"/>
  <c r="AC99" i="1" s="1"/>
  <c r="T32" i="3"/>
  <c r="W31" i="3"/>
  <c r="Q32" i="3" s="1"/>
  <c r="AD99" i="1" l="1"/>
  <c r="AJ98" i="1"/>
  <c r="AE99" i="1" s="1"/>
  <c r="AG99" i="1" s="1"/>
  <c r="R32" i="3"/>
  <c r="U32" i="3"/>
  <c r="Y32" i="3"/>
  <c r="AH99" i="1" l="1"/>
  <c r="AI99" i="1" s="1"/>
  <c r="AC100" i="1" s="1"/>
  <c r="AF99" i="1"/>
  <c r="AK99" i="1"/>
  <c r="V32" i="3"/>
  <c r="X32" i="3" s="1"/>
  <c r="S33" i="3" s="1"/>
  <c r="AD100" i="1" l="1"/>
  <c r="AJ99" i="1"/>
  <c r="AE100" i="1" s="1"/>
  <c r="T33" i="3"/>
  <c r="W32" i="3"/>
  <c r="Q33" i="3" s="1"/>
  <c r="AF100" i="1" l="1"/>
  <c r="AK100" i="1"/>
  <c r="AG100" i="1"/>
  <c r="R33" i="3"/>
  <c r="U33" i="3"/>
  <c r="Y33" i="3"/>
  <c r="AH100" i="1" l="1"/>
  <c r="AI100" i="1" s="1"/>
  <c r="AC101" i="1" s="1"/>
  <c r="V33" i="3"/>
  <c r="X33" i="3" s="1"/>
  <c r="S34" i="3" s="1"/>
  <c r="AD101" i="1" l="1"/>
  <c r="AJ100" i="1"/>
  <c r="AE101" i="1" s="1"/>
  <c r="T34" i="3"/>
  <c r="W33" i="3"/>
  <c r="Q34" i="3" s="1"/>
  <c r="AF101" i="1" l="1"/>
  <c r="AK101" i="1"/>
  <c r="AG101" i="1"/>
  <c r="R34" i="3"/>
  <c r="U34" i="3"/>
  <c r="K23" i="3" s="1"/>
  <c r="K24" i="3" s="1"/>
  <c r="G9" i="3" s="1"/>
  <c r="Y34" i="3"/>
  <c r="AH101" i="1" l="1"/>
  <c r="AI101" i="1" s="1"/>
  <c r="AC102" i="1" s="1"/>
  <c r="G10" i="3"/>
  <c r="G19" i="3" s="1"/>
  <c r="V34" i="3"/>
  <c r="X34" i="3" s="1"/>
  <c r="AD102" i="1" l="1"/>
  <c r="AJ101" i="1"/>
  <c r="AE102" i="1" s="1"/>
  <c r="W34" i="3"/>
  <c r="AF102" i="1" l="1"/>
  <c r="AK102" i="1"/>
  <c r="AG102" i="1"/>
  <c r="G24" i="3"/>
  <c r="AH102" i="1" l="1"/>
  <c r="AI102" i="1" s="1"/>
  <c r="AC103" i="1" s="1"/>
  <c r="G42" i="3"/>
  <c r="G46" i="3" s="1"/>
  <c r="G36" i="3"/>
  <c r="AD103" i="1" l="1"/>
  <c r="AJ102" i="1"/>
  <c r="AE103" i="1" s="1"/>
  <c r="AG4" i="3"/>
  <c r="AE4" i="3"/>
  <c r="AC4" i="3"/>
  <c r="G37" i="3"/>
  <c r="AF103" i="1" l="1"/>
  <c r="AK103" i="1"/>
  <c r="AG103" i="1"/>
  <c r="AH103" i="1" l="1"/>
  <c r="AI103" i="1" s="1"/>
  <c r="AC104" i="1" s="1"/>
  <c r="AD104" i="1" l="1"/>
  <c r="AJ103" i="1"/>
  <c r="AE104" i="1" s="1"/>
  <c r="AF104" i="1" l="1"/>
  <c r="AK104" i="1"/>
  <c r="AG104" i="1"/>
  <c r="W27" i="1" s="1"/>
  <c r="W28" i="1" s="1"/>
  <c r="G31" i="1" s="1"/>
  <c r="G32" i="1" s="1"/>
  <c r="G43" i="1" l="1"/>
  <c r="K5" i="1" s="1"/>
  <c r="AH104" i="1"/>
  <c r="AI104" i="1" s="1"/>
  <c r="K23" i="1" l="1"/>
  <c r="K27" i="1" s="1"/>
  <c r="K18" i="1"/>
  <c r="K19" i="1" s="1"/>
  <c r="AJ104" i="1"/>
  <c r="AQ4" i="1" l="1"/>
  <c r="AO4" i="1"/>
  <c r="AS4" i="1"/>
</calcChain>
</file>

<file path=xl/sharedStrings.xml><?xml version="1.0" encoding="utf-8"?>
<sst xmlns="http://schemas.openxmlformats.org/spreadsheetml/2006/main" count="785" uniqueCount="168">
  <si>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</si>
  <si>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</si>
  <si>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</si>
  <si>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</si>
  <si>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</si>
  <si>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</si>
  <si>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</si>
  <si>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</si>
  <si>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</si>
  <si>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</si>
  <si>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</si>
  <si>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</si>
  <si>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</si>
  <si>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</si>
  <si>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</si>
  <si>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</si>
  <si>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</si>
  <si>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</si>
  <si>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</si>
  <si>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</si>
  <si>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</si>
  <si>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</si>
  <si>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</si>
  <si>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</si>
  <si>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</si>
  <si>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</si>
  <si>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</si>
  <si>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</si>
  <si>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</si>
  <si>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</si>
  <si>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</si>
  <si>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</si>
  <si>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</si>
  <si>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</si>
  <si>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</si>
  <si>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</si>
  <si>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</si>
  <si>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</si>
  <si>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</si>
  <si>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</si>
  <si>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</si>
  <si>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</si>
  <si>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</si>
  <si>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</si>
  <si>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</si>
  <si>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</si>
  <si>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</si>
  <si>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</si>
  <si>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</si>
  <si>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</si>
  <si>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</si>
  <si>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</si>
  <si>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</si>
  <si>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</si>
  <si>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</si>
  <si>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</si>
  <si>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</si>
  <si>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</si>
  <si>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</si>
  <si>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</si>
  <si>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</si>
  <si>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</si>
  <si>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</si>
  <si>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</si>
  <si>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</si>
  <si>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</si>
  <si>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</si>
  <si>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</si>
  <si>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</si>
  <si>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</si>
  <si>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</si>
  <si>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</si>
  <si>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</si>
  <si>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</si>
  <si>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</si>
  <si>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</si>
  <si>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</si>
  <si>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</si>
  <si>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</si>
  <si>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</si>
  <si>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</si>
  <si>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</si>
  <si>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</si>
  <si>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</si>
  <si>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</si>
  <si>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</si>
  <si>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</si>
  <si>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</si>
  <si>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</si>
  <si>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</si>
  <si>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</si>
  <si>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</si>
  <si>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</si>
  <si>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</si>
  <si>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</si>
  <si>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</si>
  <si>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</si>
  <si>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</si>
  <si>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</si>
  <si>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</si>
  <si>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</si>
  <si>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</si>
  <si>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</si>
  <si>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</si>
  <si>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</si>
  <si>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</si>
  <si>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</si>
  <si>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</si>
  <si>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</si>
  <si>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</si>
  <si>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</si>
  <si>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</si>
  <si>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</si>
  <si>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</si>
  <si>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</si>
  <si>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</si>
  <si>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</si>
  <si>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</si>
  <si>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</si>
  <si>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</si>
  <si>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</si>
  <si>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</si>
  <si>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</si>
  <si>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</si>
  <si>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</si>
  <si>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</si>
  <si>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</si>
  <si>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</si>
  <si>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</si>
  <si>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</si>
  <si>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</si>
  <si>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</si>
  <si>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</si>
  <si>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</si>
  <si>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</si>
  <si>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</si>
  <si>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</si>
  <si>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</si>
  <si>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</si>
  <si>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</si>
  <si>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</si>
  <si>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</si>
  <si>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</si>
  <si>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</si>
  <si>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stall_speed</t>
  </si>
  <si>
    <t>CL_max</t>
  </si>
  <si>
    <t>lift_from_wing</t>
  </si>
  <si>
    <t>lift_deficit</t>
  </si>
  <si>
    <t>lift_required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</si>
  <si>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</si>
  <si>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</si>
  <si>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</si>
  <si>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</si>
  <si>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</si>
  <si>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</si>
  <si>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power_lift_rotor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</si>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</sst>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/>
    <xf numFmtId="0" fontId="0" fillId="3" borderId="0" xfId="0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multirotor!$F$41:$F$45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multirotor!$G$41:$G$45</c:f>
              <c:numCache>
                <c:formatCode>General</c:formatCode>
                <c:ptCount val="5"/>
                <c:pt idx="0">
                  <c:v>40.24</c:v>
                </c:pt>
                <c:pt idx="1">
                  <c:v>30.62</c:v>
                </c:pt>
                <c:pt idx="2">
                  <c:v>11.07</c:v>
                </c:pt>
                <c:pt idx="3">
                  <c:v>13.39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'lift+cruise'!$J$22:$J$26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'lift+cruise'!$K$22:$K$26</c:f>
              <c:numCache>
                <c:formatCode>General</c:formatCode>
                <c:ptCount val="5"/>
                <c:pt idx="0">
                  <c:v>40.57</c:v>
                </c:pt>
                <c:pt idx="1">
                  <c:v>13.16</c:v>
                </c:pt>
                <c:pt idx="2">
                  <c:v>13.71</c:v>
                </c:pt>
                <c:pt idx="3">
                  <c:v>27.89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6B0-0643-9C08-1AD063EA3B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6B0-0643-9C08-1AD063EA3B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6B0-0643-9C08-1AD063EA3B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6B0-0643-9C08-1AD063EA3B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6B0-0643-9C08-1AD063EA3B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 (2)'!$J$26:$J$30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 (2)'!$K$26:$K$30</c:f>
              <c:numCache>
                <c:formatCode>General</c:formatCode>
                <c:ptCount val="5"/>
                <c:pt idx="0">
                  <c:v>40.69</c:v>
                </c:pt>
                <c:pt idx="1">
                  <c:v>11.24</c:v>
                </c:pt>
                <c:pt idx="2">
                  <c:v>15.46</c:v>
                </c:pt>
                <c:pt idx="3">
                  <c:v>27.94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B0-0643-9C08-1AD063EA3B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28</xdr:row>
      <xdr:rowOff>114300</xdr:rowOff>
    </xdr:from>
    <xdr:to>
      <xdr:col>12</xdr:col>
      <xdr:colOff>355600</xdr:colOff>
      <xdr:row>40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30</xdr:row>
      <xdr:rowOff>38100</xdr:rowOff>
    </xdr:from>
    <xdr:to>
      <xdr:col>17</xdr:col>
      <xdr:colOff>393700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37FF3-E4DF-B24D-B571-C2DFB4611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G27" sqref="G27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19.33203125" style="20" customWidth="1"/>
    <col min="7" max="7" width="13.1640625" style="20" customWidth="1"/>
    <col min="8" max="8" width="4.1640625" style="20" customWidth="1"/>
    <col min="9" max="9" width="6" style="20" customWidth="1"/>
    <col min="10" max="10" width="12" style="20" customWidth="1"/>
    <col min="11" max="11" width="10.83203125" style="20"/>
    <col min="12" max="12" width="6.33203125" style="20" customWidth="1"/>
    <col min="13" max="13" width="4" style="20" customWidth="1"/>
    <col min="14" max="15" width="3.83203125" style="20" customWidth="1"/>
    <col min="16" max="16" width="5.5" style="20" customWidth="1"/>
    <col min="17" max="18" width="6.1640625" style="20" customWidth="1"/>
    <col min="19" max="19" width="6.6640625" style="20" customWidth="1"/>
    <col min="20" max="20" width="7" style="20" customWidth="1"/>
    <col min="21" max="21" width="14.6640625" style="20" customWidth="1"/>
    <col min="22" max="22" width="7.83203125" style="20" customWidth="1"/>
    <col min="23" max="23" width="10" style="20" customWidth="1"/>
    <col min="24" max="24" width="9.5" style="20" customWidth="1"/>
    <col min="25" max="25" width="13.6640625" style="20" customWidth="1"/>
    <col min="26" max="26" width="10.83203125" style="20"/>
    <col min="27" max="27" width="5.1640625" style="20" customWidth="1"/>
    <col min="28" max="31" width="10.83203125" style="20"/>
    <col min="32" max="32" width="18.33203125" style="20" customWidth="1"/>
    <col min="33" max="16384" width="10.83203125" style="20"/>
  </cols>
  <sheetData>
    <row r="1" spans="2:36" x14ac:dyDescent="0.2">
      <c r="B1" s="37" t="s">
        <v>0</v>
      </c>
      <c r="C1" s="37"/>
      <c r="D1" s="37"/>
    </row>
    <row r="2" spans="2:36" x14ac:dyDescent="0.2">
      <c r="P2" s="32" t="s">
        <v>69</v>
      </c>
      <c r="AA2" s="32" t="s">
        <v>111</v>
      </c>
    </row>
    <row r="3" spans="2:36" x14ac:dyDescent="0.2">
      <c r="B3" s="38" t="s">
        <v>105</v>
      </c>
      <c r="C3" s="39"/>
      <c r="D3" s="39"/>
      <c r="F3" s="38" t="s">
        <v>117</v>
      </c>
      <c r="G3" s="39"/>
      <c r="H3" s="39"/>
      <c r="J3" s="40" t="s">
        <v>40</v>
      </c>
      <c r="K3" s="40"/>
      <c r="L3" s="40"/>
      <c r="P3" s="23" t="s">
        <v>70</v>
      </c>
      <c r="Q3" s="23" t="s">
        <v>71</v>
      </c>
      <c r="R3" s="23" t="s">
        <v>72</v>
      </c>
      <c r="S3" s="23" t="s">
        <v>73</v>
      </c>
      <c r="T3" s="23" t="s">
        <v>74</v>
      </c>
      <c r="U3" s="23" t="s">
        <v>75</v>
      </c>
      <c r="V3" s="23" t="s">
        <v>76</v>
      </c>
      <c r="W3" s="23" t="s">
        <v>77</v>
      </c>
      <c r="X3" s="23" t="s">
        <v>78</v>
      </c>
      <c r="Y3" s="23" t="s">
        <v>79</v>
      </c>
      <c r="AA3" s="23" t="s">
        <v>70</v>
      </c>
      <c r="AB3" s="23" t="s">
        <v>71</v>
      </c>
      <c r="AC3" s="23" t="s">
        <v>72</v>
      </c>
      <c r="AD3" s="23" t="s">
        <v>73</v>
      </c>
      <c r="AE3" s="23" t="s">
        <v>74</v>
      </c>
      <c r="AF3" s="23" t="s">
        <v>75</v>
      </c>
      <c r="AG3" s="23" t="s">
        <v>76</v>
      </c>
      <c r="AH3" s="23" t="s">
        <v>77</v>
      </c>
      <c r="AI3" s="23" t="s">
        <v>78</v>
      </c>
      <c r="AJ3" s="23" t="s">
        <v>79</v>
      </c>
    </row>
    <row r="4" spans="2:36" x14ac:dyDescent="0.2">
      <c r="B4" s="20" t="s">
        <v>59</v>
      </c>
      <c r="C4" s="33" t="s">
        <v>106</v>
      </c>
      <c r="F4" s="20" t="s">
        <v>119</v>
      </c>
      <c r="G4" s="20">
        <f xml:space="preserve"> ($C$15*$C$31)/$C$7 * ( ($C$24/2) + SQRT( ($C$24/2)^2 + ($C$15*$C$31)/(2*$C$30*$C$5*PI()*$C$16*$C$16 ) ) )</f>
        <v>192243.33346149538</v>
      </c>
      <c r="H4" s="20" t="s">
        <v>30</v>
      </c>
      <c r="J4" s="20" t="s">
        <v>42</v>
      </c>
      <c r="K4" s="20">
        <f xml:space="preserve"> 0.5 * $C$30 * $C$17^2</f>
        <v>551.25</v>
      </c>
      <c r="L4" s="20" t="s">
        <v>43</v>
      </c>
      <c r="P4" s="8">
        <v>0</v>
      </c>
      <c r="Q4" s="9">
        <v>0</v>
      </c>
      <c r="R4" s="8">
        <f xml:space="preserve"> $C$18 * TAN($K$17) + $K$20 / (2 * SQRT($C$18^2 + Q4^2)) - Q4</f>
        <v>0.11127816155015957</v>
      </c>
      <c r="S4" s="9">
        <v>1</v>
      </c>
      <c r="T4" s="8">
        <f xml:space="preserve"> $C$18 * TAN($K$17) + $K$20 / (2 * SQRT($C$18^2 + S4^2)) - S4</f>
        <v>-0.93342212099639377</v>
      </c>
      <c r="U4" s="8">
        <f xml:space="preserve"> (Q4 + S4)/2</f>
        <v>0.5</v>
      </c>
      <c r="V4" s="8">
        <f xml:space="preserve"> $C$18 * TAN($K$17) + $K$20 / (2 * SQRT($C$18^2 + U4^2)) - U4</f>
        <v>-0.41917453264718696</v>
      </c>
      <c r="W4" s="8">
        <f>R4*V4</f>
        <v>-4.6644971361626306E-2</v>
      </c>
      <c r="X4" s="8">
        <f>T4*V4</f>
        <v>0.39126678133120935</v>
      </c>
      <c r="Y4" s="8">
        <f>S4-Q4</f>
        <v>1</v>
      </c>
      <c r="AA4" s="8">
        <v>0</v>
      </c>
      <c r="AB4" s="8"/>
      <c r="AC4" s="8">
        <f>G36</f>
        <v>7.2191141953226179E-11</v>
      </c>
      <c r="AD4" s="8"/>
      <c r="AE4" s="8">
        <f>G36</f>
        <v>7.2191141953226179E-11</v>
      </c>
      <c r="AF4" s="8"/>
      <c r="AG4" s="8">
        <f>G36</f>
        <v>7.2191141953226179E-11</v>
      </c>
      <c r="AH4" s="8"/>
      <c r="AI4" s="8"/>
      <c r="AJ4" s="8"/>
    </row>
    <row r="5" spans="2:36" x14ac:dyDescent="0.2">
      <c r="B5" s="20" t="s">
        <v>58</v>
      </c>
      <c r="C5" s="33">
        <v>7</v>
      </c>
      <c r="F5" s="20" t="s">
        <v>31</v>
      </c>
      <c r="G5" s="20">
        <f xml:space="preserve"> $C$15 * $C$31 / $C$5</f>
        <v>1393.2378431061002</v>
      </c>
      <c r="H5" s="20" t="s">
        <v>32</v>
      </c>
      <c r="J5" s="20" t="s">
        <v>61</v>
      </c>
      <c r="K5" s="20">
        <f xml:space="preserve"> 0.0327 * ($C$15*2.20462)^0.8903 * 0.3048^2</f>
        <v>2.8633950383163613</v>
      </c>
      <c r="L5" s="20" t="s">
        <v>18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0.11127816155015957</v>
      </c>
      <c r="S5" s="8">
        <f>IF(X4&gt;0, U4, S4)</f>
        <v>0.5</v>
      </c>
      <c r="T5" s="8">
        <f t="shared" ref="T5:T34" si="1" xml:space="preserve"> $C$18 * TAN($K$17) + $K$20 / (2 * SQRT($C$18^2 + S5^2)) - S5</f>
        <v>-0.41917453264718696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-0.15325989156220568</v>
      </c>
      <c r="W5" s="8">
        <f t="shared" ref="W5:W34" si="4">R5*V5</f>
        <v>-1.705447897241906E-2</v>
      </c>
      <c r="X5" s="8">
        <f t="shared" ref="X5:X34" si="5">T5*V5</f>
        <v>6.4242643419146123E-2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-200.45024950099992</v>
      </c>
      <c r="AD5" s="9">
        <v>2500</v>
      </c>
      <c r="AE5" s="8">
        <f t="dataTable" ref="AE5:AE44" dt2D="0" dtr="0" r1="C15"/>
        <v>157.99601575760767</v>
      </c>
      <c r="AF5" s="8">
        <f>(AB5+AD5)/2</f>
        <v>1500</v>
      </c>
      <c r="AG5" s="8">
        <f t="dataTable" ref="AG5:AG44" dt2D="0" dtr="0" r1="C15" ca="1"/>
        <v>123.2312183149171</v>
      </c>
      <c r="AH5" s="8">
        <f>AC5*AG5</f>
        <v>-24701.728457537323</v>
      </c>
      <c r="AI5" s="8">
        <f>AE5*AG5</f>
        <v>19470.041510712832</v>
      </c>
      <c r="AJ5" s="8">
        <f>AD5-AB5</f>
        <v>2000</v>
      </c>
    </row>
    <row r="6" spans="2:36" x14ac:dyDescent="0.2">
      <c r="B6" s="20" t="s">
        <v>2</v>
      </c>
      <c r="C6" s="33">
        <v>0.13</v>
      </c>
      <c r="F6" s="20" t="s">
        <v>127</v>
      </c>
      <c r="G6" s="24">
        <f xml:space="preserve"> $C$25/$C$24</f>
        <v>120</v>
      </c>
      <c r="H6" s="20" t="s">
        <v>23</v>
      </c>
      <c r="J6" s="20" t="s">
        <v>62</v>
      </c>
      <c r="K6" s="20">
        <f xml:space="preserve"> K5 / ($C$5 * PI() * $C$16^2)</f>
        <v>0.13020670696367315</v>
      </c>
      <c r="P6" s="8">
        <v>2</v>
      </c>
      <c r="Q6" s="8">
        <f t="shared" ref="Q6:Q34" si="7">IF(W5&gt;0, U5, Q5)</f>
        <v>0</v>
      </c>
      <c r="R6" s="8">
        <f t="shared" si="0"/>
        <v>0.11127816155015957</v>
      </c>
      <c r="S6" s="8">
        <f t="shared" ref="S6:S34" si="8">IF(X5&gt;0, U5, S5)</f>
        <v>0.25</v>
      </c>
      <c r="T6" s="8">
        <f t="shared" si="1"/>
        <v>-0.15325989156220568</v>
      </c>
      <c r="U6" s="8">
        <f t="shared" si="2"/>
        <v>0.125</v>
      </c>
      <c r="V6" s="8">
        <f t="shared" si="3"/>
        <v>-1.8546749796022791E-2</v>
      </c>
      <c r="W6" s="8">
        <f t="shared" si="4"/>
        <v>-2.063848220032213E-3</v>
      </c>
      <c r="X6" s="8">
        <f t="shared" si="5"/>
        <v>2.8424728625698133E-3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-200.45024950099992</v>
      </c>
      <c r="AD6" s="8">
        <f>IF(AI5&gt;0, AF5, AD5)</f>
        <v>1500</v>
      </c>
      <c r="AE6" s="8">
        <v>123.2312183149171</v>
      </c>
      <c r="AF6" s="8">
        <f t="shared" ref="AF6:AF44" si="9">(AB6+AD6)/2</f>
        <v>1000</v>
      </c>
      <c r="AG6" s="8">
        <v>1.8785244192182518</v>
      </c>
      <c r="AH6" s="8">
        <f t="shared" ref="AH6:AH44" si="10">AC6*AG6</f>
        <v>-376.55068852601954</v>
      </c>
      <c r="AI6" s="8">
        <f t="shared" ref="AI6:AI44" si="11">AE6*AG6</f>
        <v>231.49285281458722</v>
      </c>
      <c r="AJ6" s="8">
        <f t="shared" ref="AJ6:AJ44" si="12">AD6-AB6</f>
        <v>1000</v>
      </c>
    </row>
    <row r="7" spans="2:36" x14ac:dyDescent="0.2">
      <c r="B7" s="20" t="s">
        <v>3</v>
      </c>
      <c r="C7" s="33">
        <v>0.75</v>
      </c>
      <c r="J7" s="20" t="s">
        <v>63</v>
      </c>
      <c r="K7" s="20">
        <f xml:space="preserve"> K4 * K5</f>
        <v>1578.4465148718941</v>
      </c>
      <c r="L7" s="20" t="s">
        <v>32</v>
      </c>
      <c r="P7" s="8">
        <v>3</v>
      </c>
      <c r="Q7" s="8">
        <f t="shared" si="7"/>
        <v>0</v>
      </c>
      <c r="R7" s="8">
        <f t="shared" si="0"/>
        <v>0.11127816155015957</v>
      </c>
      <c r="S7" s="8">
        <f t="shared" si="8"/>
        <v>0.125</v>
      </c>
      <c r="T7" s="8">
        <f t="shared" si="1"/>
        <v>-1.8546749796022791E-2</v>
      </c>
      <c r="U7" s="8">
        <f t="shared" si="2"/>
        <v>6.25E-2</v>
      </c>
      <c r="V7" s="8">
        <f t="shared" si="3"/>
        <v>4.7459732603259308E-2</v>
      </c>
      <c r="W7" s="8">
        <f t="shared" si="4"/>
        <v>5.2812317917528646E-3</v>
      </c>
      <c r="X7" s="8">
        <f t="shared" si="5"/>
        <v>-8.8022378597879579E-4</v>
      </c>
      <c r="Y7" s="8">
        <f t="shared" si="6"/>
        <v>0.125</v>
      </c>
      <c r="AA7" s="8">
        <v>3</v>
      </c>
      <c r="AB7" s="8">
        <f t="shared" ref="AB7:AB44" si="13">IF(AH6&gt;0, AF6, AB6)</f>
        <v>500</v>
      </c>
      <c r="AC7" s="8">
        <v>-200.45024950099992</v>
      </c>
      <c r="AD7" s="8">
        <f t="shared" ref="AD7:AD44" si="14">IF(AI6&gt;0, AF6, AD6)</f>
        <v>1000</v>
      </c>
      <c r="AE7" s="8">
        <v>1.8785244192182518</v>
      </c>
      <c r="AF7" s="8">
        <f t="shared" si="9"/>
        <v>750</v>
      </c>
      <c r="AG7" s="8">
        <v>-88.554887051654532</v>
      </c>
      <c r="AH7" s="8">
        <f t="shared" si="10"/>
        <v>17750.849204037018</v>
      </c>
      <c r="AI7" s="8">
        <f t="shared" si="11"/>
        <v>-166.35251776764721</v>
      </c>
      <c r="AJ7" s="8">
        <f t="shared" si="12"/>
        <v>500</v>
      </c>
    </row>
    <row r="8" spans="2:36" x14ac:dyDescent="0.2">
      <c r="F8" s="38" t="s">
        <v>33</v>
      </c>
      <c r="G8" s="39"/>
      <c r="H8" s="39"/>
      <c r="J8" s="20" t="s">
        <v>66</v>
      </c>
      <c r="K8" s="20">
        <f xml:space="preserve"> K7</f>
        <v>1578.4465148718941</v>
      </c>
      <c r="L8" s="20" t="s">
        <v>32</v>
      </c>
      <c r="P8" s="8">
        <v>4</v>
      </c>
      <c r="Q8" s="8">
        <f t="shared" si="7"/>
        <v>6.25E-2</v>
      </c>
      <c r="R8" s="8">
        <f t="shared" si="0"/>
        <v>4.7459732603259308E-2</v>
      </c>
      <c r="S8" s="8">
        <f t="shared" si="8"/>
        <v>0.125</v>
      </c>
      <c r="T8" s="8">
        <f t="shared" si="1"/>
        <v>-1.8546749796022791E-2</v>
      </c>
      <c r="U8" s="8">
        <f t="shared" si="2"/>
        <v>9.375E-2</v>
      </c>
      <c r="V8" s="8">
        <f t="shared" si="3"/>
        <v>1.4672970634215257E-2</v>
      </c>
      <c r="W8" s="8">
        <f t="shared" si="4"/>
        <v>6.9637526279533221E-4</v>
      </c>
      <c r="X8" s="8">
        <f t="shared" si="5"/>
        <v>-2.7213591511718023E-4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-88.554887051654532</v>
      </c>
      <c r="AD8" s="8">
        <f t="shared" si="14"/>
        <v>1000</v>
      </c>
      <c r="AE8" s="8">
        <v>1.8785244192182518</v>
      </c>
      <c r="AF8" s="8">
        <f t="shared" si="9"/>
        <v>875</v>
      </c>
      <c r="AG8" s="8">
        <v>-40.733867350912988</v>
      </c>
      <c r="AH8" s="8">
        <f t="shared" si="10"/>
        <v>3607.1830224371779</v>
      </c>
      <c r="AI8" s="8">
        <f t="shared" si="11"/>
        <v>-76.519564507887125</v>
      </c>
      <c r="AJ8" s="8">
        <f t="shared" si="12"/>
        <v>250</v>
      </c>
    </row>
    <row r="9" spans="2:36" x14ac:dyDescent="0.2">
      <c r="B9" s="38" t="s">
        <v>6</v>
      </c>
      <c r="C9" s="39"/>
      <c r="D9" s="39"/>
      <c r="F9" s="25" t="s">
        <v>34</v>
      </c>
      <c r="G9" s="20">
        <f xml:space="preserve"> K22 + K18 * (K24 * K27 + $C$17 * SIN(K17))</f>
        <v>18321.40327368856</v>
      </c>
      <c r="H9" s="20" t="s">
        <v>30</v>
      </c>
      <c r="P9" s="8">
        <v>5</v>
      </c>
      <c r="Q9" s="8">
        <f t="shared" si="7"/>
        <v>9.375E-2</v>
      </c>
      <c r="R9" s="8">
        <f t="shared" si="0"/>
        <v>1.4672970634215257E-2</v>
      </c>
      <c r="S9" s="8">
        <f t="shared" si="8"/>
        <v>0.125</v>
      </c>
      <c r="T9" s="8">
        <f t="shared" si="1"/>
        <v>-1.8546749796022791E-2</v>
      </c>
      <c r="U9" s="8">
        <f t="shared" si="2"/>
        <v>0.109375</v>
      </c>
      <c r="V9" s="8">
        <f t="shared" si="3"/>
        <v>-1.8911697807072192E-3</v>
      </c>
      <c r="W9" s="8">
        <f t="shared" si="4"/>
        <v>-2.7749078656632336E-5</v>
      </c>
      <c r="X9" s="8">
        <f t="shared" si="5"/>
        <v>3.507505274457608E-5</v>
      </c>
      <c r="Y9" s="8">
        <f t="shared" si="6"/>
        <v>3.125E-2</v>
      </c>
      <c r="AA9" s="8">
        <v>5</v>
      </c>
      <c r="AB9" s="8">
        <f t="shared" si="13"/>
        <v>875</v>
      </c>
      <c r="AC9" s="8">
        <v>-40.733867350912988</v>
      </c>
      <c r="AD9" s="8">
        <f t="shared" si="14"/>
        <v>1000</v>
      </c>
      <c r="AE9" s="8">
        <v>1.8785244192182518</v>
      </c>
      <c r="AF9" s="8">
        <f t="shared" si="9"/>
        <v>937.5</v>
      </c>
      <c r="AG9" s="8">
        <v>-18.786053924933753</v>
      </c>
      <c r="AH9" s="8">
        <f t="shared" si="10"/>
        <v>765.22862862534976</v>
      </c>
      <c r="AI9" s="8">
        <f t="shared" si="11"/>
        <v>-35.290061038738941</v>
      </c>
      <c r="AJ9" s="8">
        <f t="shared" si="12"/>
        <v>125</v>
      </c>
    </row>
    <row r="10" spans="2:36" x14ac:dyDescent="0.2">
      <c r="B10" s="20" t="s">
        <v>7</v>
      </c>
      <c r="C10" s="33">
        <v>250</v>
      </c>
      <c r="D10" s="20" t="s">
        <v>8</v>
      </c>
      <c r="F10" s="25" t="s">
        <v>35</v>
      </c>
      <c r="G10" s="20">
        <f>$C$5 * G9</f>
        <v>128249.82291581992</v>
      </c>
      <c r="H10" s="20" t="s">
        <v>30</v>
      </c>
      <c r="P10" s="8">
        <v>6</v>
      </c>
      <c r="Q10" s="8">
        <f t="shared" si="7"/>
        <v>9.375E-2</v>
      </c>
      <c r="R10" s="8">
        <f t="shared" si="0"/>
        <v>1.4672970634215257E-2</v>
      </c>
      <c r="S10" s="8">
        <f t="shared" si="8"/>
        <v>0.109375</v>
      </c>
      <c r="T10" s="8">
        <f t="shared" si="1"/>
        <v>-1.8911697807072192E-3</v>
      </c>
      <c r="U10" s="8">
        <f t="shared" si="2"/>
        <v>0.1015625</v>
      </c>
      <c r="V10" s="8">
        <f t="shared" si="3"/>
        <v>6.4033982692015823E-3</v>
      </c>
      <c r="W10" s="8">
        <f t="shared" si="4"/>
        <v>9.3956874763179623E-5</v>
      </c>
      <c r="X10" s="8">
        <f t="shared" si="5"/>
        <v>-1.2109913300546944E-5</v>
      </c>
      <c r="Y10" s="8">
        <f t="shared" si="6"/>
        <v>1.5625E-2</v>
      </c>
      <c r="AA10" s="8">
        <v>6</v>
      </c>
      <c r="AB10" s="8">
        <f t="shared" si="13"/>
        <v>937.5</v>
      </c>
      <c r="AC10" s="8">
        <v>-18.786053924933753</v>
      </c>
      <c r="AD10" s="8">
        <f t="shared" si="14"/>
        <v>1000</v>
      </c>
      <c r="AE10" s="8">
        <v>1.8785244192182518</v>
      </c>
      <c r="AF10" s="8">
        <f t="shared" si="9"/>
        <v>968.75</v>
      </c>
      <c r="AG10" s="8">
        <v>-8.294543663860054</v>
      </c>
      <c r="AH10" s="8">
        <f t="shared" si="10"/>
        <v>155.82174455199257</v>
      </c>
      <c r="AI10" s="8">
        <f t="shared" si="11"/>
        <v>-15.581502818833139</v>
      </c>
      <c r="AJ10" s="8">
        <f t="shared" si="12"/>
        <v>62.5</v>
      </c>
    </row>
    <row r="11" spans="2:36" x14ac:dyDescent="0.2">
      <c r="B11" s="20" t="s">
        <v>9</v>
      </c>
      <c r="C11" s="33">
        <v>0.85</v>
      </c>
      <c r="F11" s="25" t="s">
        <v>128</v>
      </c>
      <c r="G11" s="20">
        <f xml:space="preserve"> $C$22/$C$17</f>
        <v>1000</v>
      </c>
      <c r="H11" s="20" t="s">
        <v>23</v>
      </c>
      <c r="J11" s="38" t="s">
        <v>108</v>
      </c>
      <c r="K11" s="42"/>
      <c r="L11" s="42"/>
      <c r="P11" s="8">
        <v>7</v>
      </c>
      <c r="Q11" s="8">
        <f t="shared" si="7"/>
        <v>0.1015625</v>
      </c>
      <c r="R11" s="8">
        <f t="shared" si="0"/>
        <v>6.4033982692015823E-3</v>
      </c>
      <c r="S11" s="8">
        <f t="shared" si="8"/>
        <v>0.109375</v>
      </c>
      <c r="T11" s="8">
        <f t="shared" si="1"/>
        <v>-1.8911697807072192E-3</v>
      </c>
      <c r="U11" s="8">
        <f t="shared" si="2"/>
        <v>0.10546875</v>
      </c>
      <c r="V11" s="8">
        <f t="shared" si="3"/>
        <v>2.2591053763092173E-3</v>
      </c>
      <c r="W11" s="8">
        <f t="shared" si="4"/>
        <v>1.446595145660243E-5</v>
      </c>
      <c r="X11" s="8">
        <f t="shared" si="5"/>
        <v>-4.2723518191092026E-6</v>
      </c>
      <c r="Y11" s="8">
        <f t="shared" si="6"/>
        <v>7.8125E-3</v>
      </c>
      <c r="AA11" s="8">
        <v>7</v>
      </c>
      <c r="AB11" s="8">
        <f t="shared" si="13"/>
        <v>968.75</v>
      </c>
      <c r="AC11" s="8">
        <v>-8.294543663860054</v>
      </c>
      <c r="AD11" s="8">
        <f t="shared" si="14"/>
        <v>1000</v>
      </c>
      <c r="AE11" s="8">
        <v>1.8785244192182518</v>
      </c>
      <c r="AF11" s="8">
        <f t="shared" si="9"/>
        <v>984.375</v>
      </c>
      <c r="AG11" s="8">
        <v>-3.1683518312479464</v>
      </c>
      <c r="AH11" s="8">
        <f t="shared" si="10"/>
        <v>26.280032606757054</v>
      </c>
      <c r="AI11" s="8">
        <f t="shared" si="11"/>
        <v>-5.9518262836741327</v>
      </c>
      <c r="AJ11" s="8">
        <f t="shared" si="12"/>
        <v>31.25</v>
      </c>
    </row>
    <row r="12" spans="2:36" x14ac:dyDescent="0.2">
      <c r="B12" s="20" t="s">
        <v>10</v>
      </c>
      <c r="C12" s="33">
        <v>0.8</v>
      </c>
      <c r="J12" s="20" t="s">
        <v>109</v>
      </c>
      <c r="K12" s="20">
        <f xml:space="preserve"> SQRT( ($C$15*$C$31)^2 + K8^2)</f>
        <v>9879.573173269946</v>
      </c>
      <c r="L12" s="20" t="s">
        <v>32</v>
      </c>
      <c r="P12" s="8">
        <v>8</v>
      </c>
      <c r="Q12" s="8">
        <f t="shared" si="7"/>
        <v>0.10546875</v>
      </c>
      <c r="R12" s="8">
        <f t="shared" si="0"/>
        <v>2.2591053763092173E-3</v>
      </c>
      <c r="S12" s="8">
        <f t="shared" si="8"/>
        <v>0.109375</v>
      </c>
      <c r="T12" s="8">
        <f t="shared" si="1"/>
        <v>-1.8911697807072192E-3</v>
      </c>
      <c r="U12" s="8">
        <f t="shared" si="2"/>
        <v>0.107421875</v>
      </c>
      <c r="V12" s="8">
        <f t="shared" si="3"/>
        <v>1.846988688715967E-4</v>
      </c>
      <c r="W12" s="8">
        <f t="shared" si="4"/>
        <v>4.1725420766605522E-7</v>
      </c>
      <c r="X12" s="8">
        <f t="shared" si="5"/>
        <v>-3.4929691934076896E-7</v>
      </c>
      <c r="Y12" s="8">
        <f t="shared" si="6"/>
        <v>3.90625E-3</v>
      </c>
      <c r="AA12" s="8">
        <v>8</v>
      </c>
      <c r="AB12" s="8">
        <f t="shared" si="13"/>
        <v>984.375</v>
      </c>
      <c r="AC12" s="8">
        <v>-3.1683518312479464</v>
      </c>
      <c r="AD12" s="8">
        <f t="shared" si="14"/>
        <v>1000</v>
      </c>
      <c r="AE12" s="8">
        <v>1.8785244192182518</v>
      </c>
      <c r="AF12" s="8">
        <f t="shared" si="9"/>
        <v>992.1875</v>
      </c>
      <c r="AG12" s="8">
        <v>-0.63501774339545136</v>
      </c>
      <c r="AH12" s="8">
        <f t="shared" si="10"/>
        <v>2.0119596301619169</v>
      </c>
      <c r="AI12" s="8">
        <f t="shared" si="11"/>
        <v>-1.1928963376052251</v>
      </c>
      <c r="AJ12" s="8">
        <f t="shared" si="12"/>
        <v>15.625</v>
      </c>
    </row>
    <row r="13" spans="2:36" x14ac:dyDescent="0.2">
      <c r="F13" s="38" t="s">
        <v>118</v>
      </c>
      <c r="G13" s="39"/>
      <c r="H13" s="39"/>
      <c r="J13" s="20" t="s">
        <v>110</v>
      </c>
      <c r="K13" s="20">
        <f>$C$15*$C$31/K12</f>
        <v>0.98715447830574232</v>
      </c>
      <c r="P13" s="8">
        <v>9</v>
      </c>
      <c r="Q13" s="8">
        <f t="shared" si="7"/>
        <v>0.107421875</v>
      </c>
      <c r="R13" s="8">
        <f t="shared" si="0"/>
        <v>1.846988688715967E-4</v>
      </c>
      <c r="S13" s="8">
        <f t="shared" si="8"/>
        <v>0.109375</v>
      </c>
      <c r="T13" s="8">
        <f t="shared" si="1"/>
        <v>-1.8911697807072192E-3</v>
      </c>
      <c r="U13" s="8">
        <f t="shared" si="2"/>
        <v>0.1083984375</v>
      </c>
      <c r="V13" s="8">
        <f t="shared" si="3"/>
        <v>-8.5305477828906406E-4</v>
      </c>
      <c r="W13" s="8">
        <f t="shared" si="4"/>
        <v>-1.5755825263550084E-7</v>
      </c>
      <c r="X13" s="8">
        <f t="shared" si="5"/>
        <v>1.6132714179881747E-6</v>
      </c>
      <c r="Y13" s="8">
        <f t="shared" si="6"/>
        <v>1.953125E-3</v>
      </c>
      <c r="AA13" s="8">
        <v>9</v>
      </c>
      <c r="AB13" s="8">
        <f t="shared" si="13"/>
        <v>992.1875</v>
      </c>
      <c r="AC13" s="8">
        <v>-0.63501774339545136</v>
      </c>
      <c r="AD13" s="8">
        <f t="shared" si="14"/>
        <v>1000</v>
      </c>
      <c r="AE13" s="8">
        <v>1.8785244192182518</v>
      </c>
      <c r="AF13" s="8">
        <f t="shared" si="9"/>
        <v>996.09375</v>
      </c>
      <c r="AG13" s="8">
        <v>0.62422607187147605</v>
      </c>
      <c r="AH13" s="8">
        <f t="shared" si="10"/>
        <v>-0.39639463152843157</v>
      </c>
      <c r="AI13" s="8">
        <f t="shared" si="11"/>
        <v>1.1726239191232553</v>
      </c>
      <c r="AJ13" s="8">
        <f t="shared" si="12"/>
        <v>7.8125</v>
      </c>
    </row>
    <row r="14" spans="2:36" x14ac:dyDescent="0.2">
      <c r="B14" s="40" t="s">
        <v>11</v>
      </c>
      <c r="C14" s="40"/>
      <c r="D14" s="40"/>
      <c r="F14" s="20" t="s">
        <v>122</v>
      </c>
      <c r="G14" s="20">
        <f xml:space="preserve"> IF( $C$26&gt;=2*SQRT(($C$15*$C$31)/(2*$C$30*$C$5*PI()*$C$16*$C$16)), ($C$15*$C$31)/$C$7 * ( ($C$26/2) - SQRT( ($C$26/2)^2 - ($C$15*$C$31)/(2*$C$30*$C$5*PI()*$C$16*$C$16 ) ) ), 1/$C$7 * SQRT(($C$15*$C$31)^3/(2*$C$30*$C$5*PI()*$C$16*$C$16)) )</f>
        <v>174951.10564858653</v>
      </c>
      <c r="H14" s="20" t="s">
        <v>30</v>
      </c>
      <c r="P14" s="8">
        <v>10</v>
      </c>
      <c r="Q14" s="8">
        <f t="shared" si="7"/>
        <v>0.107421875</v>
      </c>
      <c r="R14" s="8">
        <f t="shared" si="0"/>
        <v>1.846988688715967E-4</v>
      </c>
      <c r="S14" s="8">
        <f t="shared" si="8"/>
        <v>0.1083984375</v>
      </c>
      <c r="T14" s="8">
        <f t="shared" si="1"/>
        <v>-8.5305477828906406E-4</v>
      </c>
      <c r="U14" s="8">
        <f t="shared" si="2"/>
        <v>0.10791015625</v>
      </c>
      <c r="V14" s="8">
        <f t="shared" si="3"/>
        <v>-3.3413252401551241E-4</v>
      </c>
      <c r="W14" s="8">
        <f t="shared" si="4"/>
        <v>-6.1713899238876761E-8</v>
      </c>
      <c r="X14" s="8">
        <f t="shared" si="5"/>
        <v>2.8503334619321829E-7</v>
      </c>
      <c r="Y14" s="8">
        <f t="shared" si="6"/>
        <v>9.765625E-4</v>
      </c>
      <c r="AA14" s="8">
        <v>10</v>
      </c>
      <c r="AB14" s="8">
        <f t="shared" si="13"/>
        <v>992.1875</v>
      </c>
      <c r="AC14" s="8">
        <v>-0.63501774339545136</v>
      </c>
      <c r="AD14" s="8">
        <f t="shared" si="14"/>
        <v>996.09375</v>
      </c>
      <c r="AE14" s="8">
        <v>0.62422607187147605</v>
      </c>
      <c r="AF14" s="8">
        <f t="shared" si="9"/>
        <v>994.140625</v>
      </c>
      <c r="AG14" s="8">
        <v>-4.7781787244502993E-3</v>
      </c>
      <c r="AH14" s="8">
        <f t="shared" si="10"/>
        <v>3.0342282711405852E-3</v>
      </c>
      <c r="AI14" s="8">
        <f t="shared" si="11"/>
        <v>-2.9826637358634704E-3</v>
      </c>
      <c r="AJ14" s="8">
        <f t="shared" si="12"/>
        <v>3.90625</v>
      </c>
    </row>
    <row r="15" spans="2:36" x14ac:dyDescent="0.2">
      <c r="B15" s="26" t="s">
        <v>60</v>
      </c>
      <c r="C15" s="26">
        <f>AF44</f>
        <v>994.15544360272179</v>
      </c>
      <c r="D15" s="26" t="s">
        <v>12</v>
      </c>
      <c r="F15" s="20" t="s">
        <v>31</v>
      </c>
      <c r="G15" s="20">
        <f xml:space="preserve"> $C$15 * $C$31 / $C$5</f>
        <v>1393.2378431061002</v>
      </c>
      <c r="H15" s="20" t="s">
        <v>32</v>
      </c>
      <c r="P15" s="8">
        <v>11</v>
      </c>
      <c r="Q15" s="8">
        <f t="shared" si="7"/>
        <v>0.107421875</v>
      </c>
      <c r="R15" s="8">
        <f t="shared" si="0"/>
        <v>1.846988688715967E-4</v>
      </c>
      <c r="S15" s="8">
        <f t="shared" si="8"/>
        <v>0.10791015625</v>
      </c>
      <c r="T15" s="8">
        <f t="shared" si="1"/>
        <v>-3.3413252401551241E-4</v>
      </c>
      <c r="U15" s="8">
        <f t="shared" si="2"/>
        <v>0.107666015625</v>
      </c>
      <c r="V15" s="8">
        <f t="shared" si="3"/>
        <v>-7.4705437238559158E-5</v>
      </c>
      <c r="W15" s="8">
        <f t="shared" si="4"/>
        <v>-1.3798009756519935E-8</v>
      </c>
      <c r="X15" s="8">
        <f t="shared" si="5"/>
        <v>2.4961516302202225E-8</v>
      </c>
      <c r="Y15" s="8">
        <f t="shared" si="6"/>
        <v>4.8828125E-4</v>
      </c>
      <c r="AA15" s="8">
        <v>11</v>
      </c>
      <c r="AB15" s="8">
        <f t="shared" si="13"/>
        <v>994.140625</v>
      </c>
      <c r="AC15" s="8">
        <v>-4.7781787244502993E-3</v>
      </c>
      <c r="AD15" s="8">
        <f t="shared" si="14"/>
        <v>996.09375</v>
      </c>
      <c r="AE15" s="8">
        <v>0.62422607187147605</v>
      </c>
      <c r="AF15" s="8">
        <f t="shared" si="9"/>
        <v>995.1171875</v>
      </c>
      <c r="AG15" s="8">
        <v>0.3098790503379405</v>
      </c>
      <c r="AH15" s="8">
        <f t="shared" si="10"/>
        <v>-1.4806574854776106E-3</v>
      </c>
      <c r="AI15" s="8">
        <f t="shared" si="11"/>
        <v>0.19343458234771599</v>
      </c>
      <c r="AJ15" s="8">
        <f t="shared" si="12"/>
        <v>1.953125</v>
      </c>
    </row>
    <row r="16" spans="2:36" x14ac:dyDescent="0.2">
      <c r="B16" s="20" t="s">
        <v>13</v>
      </c>
      <c r="C16" s="33">
        <v>1</v>
      </c>
      <c r="D16" s="20" t="s">
        <v>14</v>
      </c>
      <c r="F16" s="20" t="s">
        <v>129</v>
      </c>
      <c r="G16" s="24">
        <f xml:space="preserve"> $C$27/$C$26</f>
        <v>200</v>
      </c>
      <c r="H16" s="20" t="s">
        <v>23</v>
      </c>
      <c r="J16" s="38" t="s">
        <v>45</v>
      </c>
      <c r="K16" s="42"/>
      <c r="L16" s="42"/>
      <c r="P16" s="8">
        <v>12</v>
      </c>
      <c r="Q16" s="8">
        <f t="shared" si="7"/>
        <v>0.107421875</v>
      </c>
      <c r="R16" s="8">
        <f t="shared" si="0"/>
        <v>1.846988688715967E-4</v>
      </c>
      <c r="S16" s="8">
        <f t="shared" si="8"/>
        <v>0.107666015625</v>
      </c>
      <c r="T16" s="8">
        <f t="shared" si="1"/>
        <v>-7.4705437238559158E-5</v>
      </c>
      <c r="U16" s="8">
        <f t="shared" si="2"/>
        <v>0.1075439453125</v>
      </c>
      <c r="V16" s="8">
        <f t="shared" si="3"/>
        <v>5.4999567482283407E-5</v>
      </c>
      <c r="W16" s="8">
        <f t="shared" si="4"/>
        <v>1.0158357902404797E-8</v>
      </c>
      <c r="X16" s="8">
        <f t="shared" si="5"/>
        <v>-4.1087667366956219E-9</v>
      </c>
      <c r="Y16" s="8">
        <f t="shared" si="6"/>
        <v>2.44140625E-4</v>
      </c>
      <c r="AA16" s="8">
        <v>12</v>
      </c>
      <c r="AB16" s="8">
        <f t="shared" si="13"/>
        <v>994.140625</v>
      </c>
      <c r="AC16" s="8">
        <v>-4.7781787244502993E-3</v>
      </c>
      <c r="AD16" s="8">
        <f t="shared" si="14"/>
        <v>995.1171875</v>
      </c>
      <c r="AE16" s="8">
        <v>0.3098790503379405</v>
      </c>
      <c r="AF16" s="8">
        <f t="shared" si="9"/>
        <v>994.62890625</v>
      </c>
      <c r="AG16" s="8">
        <v>0.15258850146915393</v>
      </c>
      <c r="AH16" s="8">
        <f t="shared" si="10"/>
        <v>-7.2909513131566453E-4</v>
      </c>
      <c r="AI16" s="8">
        <f t="shared" si="11"/>
        <v>4.7283979927750859E-2</v>
      </c>
      <c r="AJ16" s="8">
        <f t="shared" si="12"/>
        <v>0.9765625</v>
      </c>
    </row>
    <row r="17" spans="2:36" x14ac:dyDescent="0.2">
      <c r="B17" s="20" t="s">
        <v>15</v>
      </c>
      <c r="C17" s="33">
        <v>30</v>
      </c>
      <c r="D17" s="20" t="s">
        <v>16</v>
      </c>
      <c r="J17" s="20" t="s">
        <v>46</v>
      </c>
      <c r="K17" s="20">
        <f xml:space="preserve"> ACOS(K13)</f>
        <v>0.16045633379628454</v>
      </c>
      <c r="L17" s="20" t="s">
        <v>47</v>
      </c>
      <c r="P17" s="8">
        <v>13</v>
      </c>
      <c r="Q17" s="8">
        <f t="shared" si="7"/>
        <v>0.1075439453125</v>
      </c>
      <c r="R17" s="8">
        <f t="shared" si="0"/>
        <v>5.4999567482283407E-5</v>
      </c>
      <c r="S17" s="8">
        <f t="shared" si="8"/>
        <v>0.107666015625</v>
      </c>
      <c r="T17" s="8">
        <f t="shared" si="1"/>
        <v>-7.4705437238559158E-5</v>
      </c>
      <c r="U17" s="8">
        <f t="shared" si="2"/>
        <v>0.10760498046875</v>
      </c>
      <c r="V17" s="8">
        <f t="shared" si="3"/>
        <v>-9.8522224719899132E-6</v>
      </c>
      <c r="W17" s="8">
        <f t="shared" si="4"/>
        <v>-5.4186797469867825E-10</v>
      </c>
      <c r="X17" s="8">
        <f t="shared" si="5"/>
        <v>7.3601458754156463E-10</v>
      </c>
      <c r="Y17" s="8">
        <f t="shared" si="6"/>
        <v>1.220703125E-4</v>
      </c>
      <c r="AA17" s="8">
        <v>13</v>
      </c>
      <c r="AB17" s="8">
        <f t="shared" si="13"/>
        <v>994.140625</v>
      </c>
      <c r="AC17" s="8">
        <v>-4.7781787244502993E-3</v>
      </c>
      <c r="AD17" s="8">
        <f t="shared" si="14"/>
        <v>994.62890625</v>
      </c>
      <c r="AE17" s="8">
        <v>0.15258850146915393</v>
      </c>
      <c r="AF17" s="8">
        <f t="shared" si="9"/>
        <v>994.384765625</v>
      </c>
      <c r="AG17" s="8">
        <v>7.3914915862928865E-2</v>
      </c>
      <c r="AH17" s="8">
        <f t="shared" si="10"/>
        <v>-3.5317867839578063E-4</v>
      </c>
      <c r="AI17" s="8">
        <f t="shared" si="11"/>
        <v>1.127856624774291E-2</v>
      </c>
      <c r="AJ17" s="8">
        <f t="shared" si="12"/>
        <v>0.48828125</v>
      </c>
    </row>
    <row r="18" spans="2:36" x14ac:dyDescent="0.2">
      <c r="B18" s="20" t="s">
        <v>107</v>
      </c>
      <c r="C18" s="33">
        <v>0.3</v>
      </c>
      <c r="F18" s="40" t="s">
        <v>36</v>
      </c>
      <c r="G18" s="40"/>
      <c r="H18" s="40"/>
      <c r="J18" s="20" t="s">
        <v>31</v>
      </c>
      <c r="K18" s="20">
        <f xml:space="preserve"> K12 / $C$5</f>
        <v>1411.3675961814208</v>
      </c>
      <c r="L18" s="20" t="s">
        <v>32</v>
      </c>
      <c r="P18" s="8">
        <v>14</v>
      </c>
      <c r="Q18" s="8">
        <f t="shared" si="7"/>
        <v>0.1075439453125</v>
      </c>
      <c r="R18" s="8">
        <f t="shared" si="0"/>
        <v>5.4999567482283407E-5</v>
      </c>
      <c r="S18" s="8">
        <f t="shared" si="8"/>
        <v>0.10760498046875</v>
      </c>
      <c r="T18" s="8">
        <f t="shared" si="1"/>
        <v>-9.8522224719899132E-6</v>
      </c>
      <c r="U18" s="8">
        <f t="shared" si="2"/>
        <v>0.107574462890625</v>
      </c>
      <c r="V18" s="8">
        <f t="shared" si="3"/>
        <v>2.2573850670476459E-5</v>
      </c>
      <c r="W18" s="8">
        <f t="shared" si="4"/>
        <v>1.2415520232858586E-9</v>
      </c>
      <c r="X18" s="8">
        <f t="shared" si="5"/>
        <v>-2.2240259885501272E-10</v>
      </c>
      <c r="Y18" s="8">
        <f t="shared" si="6"/>
        <v>6.103515625E-5</v>
      </c>
      <c r="AA18" s="8">
        <v>14</v>
      </c>
      <c r="AB18" s="8">
        <f t="shared" si="13"/>
        <v>994.140625</v>
      </c>
      <c r="AC18" s="8">
        <v>-4.7781787244502993E-3</v>
      </c>
      <c r="AD18" s="8">
        <f t="shared" si="14"/>
        <v>994.384765625</v>
      </c>
      <c r="AE18" s="8">
        <v>7.3914915862928865E-2</v>
      </c>
      <c r="AF18" s="8">
        <f t="shared" si="9"/>
        <v>994.2626953125</v>
      </c>
      <c r="AG18" s="8">
        <v>3.4571757496792088E-2</v>
      </c>
      <c r="AH18" s="8">
        <f t="shared" si="10"/>
        <v>-1.651900361380271E-4</v>
      </c>
      <c r="AI18" s="8">
        <f t="shared" si="11"/>
        <v>2.5553685466089674E-3</v>
      </c>
      <c r="AJ18" s="8">
        <f t="shared" si="12"/>
        <v>0.244140625</v>
      </c>
    </row>
    <row r="19" spans="2:36" x14ac:dyDescent="0.2">
      <c r="F19" s="20" t="s">
        <v>37</v>
      </c>
      <c r="G19" s="20">
        <f xml:space="preserve"> (G4*G6 + G10*G11 + G14*G16)/3600</f>
        <v>51752.567794699076</v>
      </c>
      <c r="H19" s="20" t="s">
        <v>38</v>
      </c>
      <c r="J19" s="20" t="s">
        <v>48</v>
      </c>
      <c r="K19" s="20">
        <f xml:space="preserve"> $C$17 * COS(K17) / ($C$18 * $C$16)</f>
        <v>98.715447830574234</v>
      </c>
      <c r="L19" s="20" t="s">
        <v>49</v>
      </c>
      <c r="P19" s="8">
        <v>15</v>
      </c>
      <c r="Q19" s="8">
        <f t="shared" si="7"/>
        <v>0.107574462890625</v>
      </c>
      <c r="R19" s="8">
        <f t="shared" si="0"/>
        <v>2.2573850670476459E-5</v>
      </c>
      <c r="S19" s="8">
        <f t="shared" si="8"/>
        <v>0.10760498046875</v>
      </c>
      <c r="T19" s="8">
        <f t="shared" si="1"/>
        <v>-9.8522224719899132E-6</v>
      </c>
      <c r="U19" s="8">
        <f t="shared" si="2"/>
        <v>0.1075897216796875</v>
      </c>
      <c r="V19" s="8">
        <f t="shared" si="3"/>
        <v>6.3608586325925032E-6</v>
      </c>
      <c r="W19" s="8">
        <f t="shared" si="4"/>
        <v>1.4358907290815425E-10</v>
      </c>
      <c r="X19" s="8">
        <f t="shared" si="5"/>
        <v>-6.2668594361178893E-11</v>
      </c>
      <c r="Y19" s="8">
        <f t="shared" si="6"/>
        <v>3.0517578125E-5</v>
      </c>
      <c r="AA19" s="8">
        <v>15</v>
      </c>
      <c r="AB19" s="8">
        <f t="shared" si="13"/>
        <v>994.140625</v>
      </c>
      <c r="AC19" s="8">
        <v>-4.7781787244502993E-3</v>
      </c>
      <c r="AD19" s="8">
        <f t="shared" si="14"/>
        <v>994.2626953125</v>
      </c>
      <c r="AE19" s="8">
        <v>3.4571757496792088E-2</v>
      </c>
      <c r="AF19" s="8">
        <f t="shared" si="9"/>
        <v>994.20166015625</v>
      </c>
      <c r="AG19" s="8">
        <v>1.4896448817921737E-2</v>
      </c>
      <c r="AH19" s="8">
        <f t="shared" si="10"/>
        <v>-7.1177894811656452E-5</v>
      </c>
      <c r="AI19" s="8">
        <f t="shared" si="11"/>
        <v>5.149964160965655E-4</v>
      </c>
      <c r="AJ19" s="8">
        <f t="shared" si="12"/>
        <v>0.1220703125</v>
      </c>
    </row>
    <row r="20" spans="2:36" x14ac:dyDescent="0.2">
      <c r="B20" s="40" t="s">
        <v>20</v>
      </c>
      <c r="C20" s="40"/>
      <c r="D20" s="40"/>
      <c r="F20" s="20" t="s">
        <v>39</v>
      </c>
      <c r="G20" s="20">
        <f xml:space="preserve"> G6 + G11 + G16</f>
        <v>1320</v>
      </c>
      <c r="H20" s="20" t="s">
        <v>23</v>
      </c>
      <c r="J20" s="20" t="s">
        <v>51</v>
      </c>
      <c r="K20" s="20">
        <f xml:space="preserve"> K18 / ($C$30 * PI() * $C$16^2 * K19^2 * $C$16^2)</f>
        <v>3.7634308500222431E-2</v>
      </c>
      <c r="P20" s="8">
        <v>16</v>
      </c>
      <c r="Q20" s="8">
        <f t="shared" si="7"/>
        <v>0.1075897216796875</v>
      </c>
      <c r="R20" s="8">
        <f t="shared" si="0"/>
        <v>6.3608586325925032E-6</v>
      </c>
      <c r="S20" s="8">
        <f t="shared" si="8"/>
        <v>0.10760498046875</v>
      </c>
      <c r="T20" s="8">
        <f t="shared" si="1"/>
        <v>-9.8522224719899132E-6</v>
      </c>
      <c r="U20" s="8">
        <f t="shared" si="2"/>
        <v>0.10759735107421875</v>
      </c>
      <c r="V20" s="8">
        <f t="shared" si="3"/>
        <v>-1.7456707873397814E-6</v>
      </c>
      <c r="W20" s="8">
        <f t="shared" si="4"/>
        <v>-1.1103965097314801E-11</v>
      </c>
      <c r="X20" s="8">
        <f t="shared" si="5"/>
        <v>1.719873695972532E-11</v>
      </c>
      <c r="Y20" s="8">
        <f t="shared" si="6"/>
        <v>1.52587890625E-5</v>
      </c>
      <c r="AA20" s="8">
        <v>16</v>
      </c>
      <c r="AB20" s="8">
        <f t="shared" si="13"/>
        <v>994.140625</v>
      </c>
      <c r="AC20" s="8">
        <v>-4.7781787244502993E-3</v>
      </c>
      <c r="AD20" s="8">
        <f t="shared" si="14"/>
        <v>994.20166015625</v>
      </c>
      <c r="AE20" s="8">
        <v>1.4896448817921737E-2</v>
      </c>
      <c r="AF20" s="8">
        <f t="shared" si="9"/>
        <v>994.171142578125</v>
      </c>
      <c r="AG20" s="8">
        <v>5.059287472363394E-3</v>
      </c>
      <c r="AH20" s="8">
        <f t="shared" si="10"/>
        <v>-2.4174179761324701E-5</v>
      </c>
      <c r="AI20" s="8">
        <f t="shared" si="11"/>
        <v>7.5365416887213939E-5</v>
      </c>
      <c r="AJ20" s="8">
        <f t="shared" si="12"/>
        <v>6.103515625E-2</v>
      </c>
    </row>
    <row r="21" spans="2:36" x14ac:dyDescent="0.2">
      <c r="B21" s="20" t="s">
        <v>99</v>
      </c>
      <c r="C21" s="33">
        <v>400</v>
      </c>
      <c r="D21" s="20" t="s">
        <v>12</v>
      </c>
      <c r="J21" s="20" t="s">
        <v>4</v>
      </c>
      <c r="K21" s="33">
        <v>1.2E-2</v>
      </c>
      <c r="P21" s="8">
        <v>17</v>
      </c>
      <c r="Q21" s="8">
        <f t="shared" si="7"/>
        <v>0.1075897216796875</v>
      </c>
      <c r="R21" s="8">
        <f t="shared" si="0"/>
        <v>6.3608586325925032E-6</v>
      </c>
      <c r="S21" s="8">
        <f t="shared" si="8"/>
        <v>0.10759735107421875</v>
      </c>
      <c r="T21" s="8">
        <f t="shared" si="1"/>
        <v>-1.7456707873397814E-6</v>
      </c>
      <c r="U21" s="8">
        <f t="shared" si="2"/>
        <v>0.10759353637695312</v>
      </c>
      <c r="V21" s="8">
        <f t="shared" si="3"/>
        <v>2.3075967058305835E-6</v>
      </c>
      <c r="W21" s="8">
        <f t="shared" si="4"/>
        <v>1.4678296426824492E-11</v>
      </c>
      <c r="X21" s="8">
        <f t="shared" si="5"/>
        <v>-4.0283041583299605E-12</v>
      </c>
      <c r="Y21" s="8">
        <f t="shared" si="6"/>
        <v>7.62939453125E-6</v>
      </c>
      <c r="AA21" s="8">
        <v>17</v>
      </c>
      <c r="AB21" s="8">
        <f t="shared" si="13"/>
        <v>994.140625</v>
      </c>
      <c r="AC21" s="8">
        <v>-4.7781787244502993E-3</v>
      </c>
      <c r="AD21" s="8">
        <f t="shared" si="14"/>
        <v>994.171142578125</v>
      </c>
      <c r="AE21" s="8">
        <v>5.059287472363394E-3</v>
      </c>
      <c r="AF21" s="8">
        <f t="shared" si="9"/>
        <v>994.1558837890625</v>
      </c>
      <c r="AG21" s="8">
        <v>1.4154264056287502E-4</v>
      </c>
      <c r="AH21" s="8">
        <f t="shared" si="10"/>
        <v>-6.763160337400454E-7</v>
      </c>
      <c r="AI21" s="8">
        <f t="shared" si="11"/>
        <v>7.1610490820498836E-7</v>
      </c>
      <c r="AJ21" s="8">
        <f t="shared" si="12"/>
        <v>3.0517578125E-2</v>
      </c>
    </row>
    <row r="22" spans="2:36" x14ac:dyDescent="0.2">
      <c r="B22" s="20" t="s">
        <v>21</v>
      </c>
      <c r="C22" s="33">
        <v>30000</v>
      </c>
      <c r="D22" s="20" t="s">
        <v>14</v>
      </c>
      <c r="F22" s="38" t="s">
        <v>80</v>
      </c>
      <c r="G22" s="38"/>
      <c r="H22" s="38"/>
      <c r="J22" s="20" t="s">
        <v>52</v>
      </c>
      <c r="K22" s="20">
        <f xml:space="preserve"> ($C$6 * K21 / 8) * (1 + 4.65 *$C$18^ 2) * ( PI() * $C$30 * K19^3 *$C$16^ 5)</f>
        <v>1024.0125354892409</v>
      </c>
      <c r="L22" s="20" t="s">
        <v>30</v>
      </c>
      <c r="P22" s="8">
        <v>18</v>
      </c>
      <c r="Q22" s="8">
        <f t="shared" si="7"/>
        <v>0.10759353637695312</v>
      </c>
      <c r="R22" s="8">
        <f t="shared" si="0"/>
        <v>2.3075967058305835E-6</v>
      </c>
      <c r="S22" s="8">
        <f t="shared" si="8"/>
        <v>0.10759735107421875</v>
      </c>
      <c r="T22" s="8">
        <f t="shared" si="1"/>
        <v>-1.7456707873397814E-6</v>
      </c>
      <c r="U22" s="8">
        <f t="shared" si="2"/>
        <v>0.10759544372558594</v>
      </c>
      <c r="V22" s="8">
        <f t="shared" si="3"/>
        <v>2.8096365503604837E-7</v>
      </c>
      <c r="W22" s="8">
        <f t="shared" si="4"/>
        <v>6.4835080481930563E-13</v>
      </c>
      <c r="X22" s="8">
        <f t="shared" si="5"/>
        <v>-4.9047004490064131E-13</v>
      </c>
      <c r="Y22" s="8">
        <f t="shared" si="6"/>
        <v>3.814697265625E-6</v>
      </c>
      <c r="AA22" s="8">
        <v>18</v>
      </c>
      <c r="AB22" s="8">
        <f t="shared" si="13"/>
        <v>994.140625</v>
      </c>
      <c r="AC22" s="8">
        <v>-4.7781787244502993E-3</v>
      </c>
      <c r="AD22" s="8">
        <f t="shared" si="14"/>
        <v>994.1558837890625</v>
      </c>
      <c r="AE22" s="8">
        <v>1.4154264056287502E-4</v>
      </c>
      <c r="AF22" s="8">
        <f t="shared" si="9"/>
        <v>994.14825439453125</v>
      </c>
      <c r="AG22" s="8">
        <v>-2.3192586717186714E-3</v>
      </c>
      <c r="AH22" s="8">
        <f t="shared" si="10"/>
        <v>1.1081832441703017E-5</v>
      </c>
      <c r="AI22" s="8">
        <f t="shared" si="11"/>
        <v>-3.2827399654340684E-7</v>
      </c>
      <c r="AJ22" s="8">
        <f t="shared" si="12"/>
        <v>1.52587890625E-2</v>
      </c>
    </row>
    <row r="23" spans="2:36" x14ac:dyDescent="0.2">
      <c r="B23" s="20" t="s">
        <v>22</v>
      </c>
      <c r="C23" s="33">
        <v>240</v>
      </c>
      <c r="D23" s="20" t="s">
        <v>23</v>
      </c>
      <c r="F23" s="26" t="s">
        <v>116</v>
      </c>
      <c r="G23" s="20">
        <f>C15</f>
        <v>994.15544360272179</v>
      </c>
      <c r="H23" s="20" t="s">
        <v>12</v>
      </c>
      <c r="J23" s="20" t="s">
        <v>53</v>
      </c>
      <c r="K23" s="34">
        <f>U34</f>
        <v>0.10759570775553584</v>
      </c>
      <c r="P23" s="8">
        <v>19</v>
      </c>
      <c r="Q23" s="8">
        <f t="shared" si="7"/>
        <v>0.10759544372558594</v>
      </c>
      <c r="R23" s="8">
        <f t="shared" si="0"/>
        <v>2.8096365503604837E-7</v>
      </c>
      <c r="S23" s="8">
        <f t="shared" si="8"/>
        <v>0.10759735107421875</v>
      </c>
      <c r="T23" s="8">
        <f t="shared" si="1"/>
        <v>-1.7456707873397814E-6</v>
      </c>
      <c r="U23" s="8">
        <f t="shared" si="2"/>
        <v>0.10759639739990234</v>
      </c>
      <c r="V23" s="8">
        <f t="shared" si="3"/>
        <v>-7.3235339220767415E-7</v>
      </c>
      <c r="W23" s="8">
        <f t="shared" si="4"/>
        <v>-2.0576468585271679E-13</v>
      </c>
      <c r="X23" s="8">
        <f t="shared" si="5"/>
        <v>1.2784479227861303E-12</v>
      </c>
      <c r="Y23" s="8">
        <f t="shared" si="6"/>
        <v>1.9073486328125E-6</v>
      </c>
      <c r="AA23" s="8">
        <v>19</v>
      </c>
      <c r="AB23" s="8">
        <f t="shared" si="13"/>
        <v>994.14825439453125</v>
      </c>
      <c r="AC23" s="8">
        <v>-2.3192586717186714E-3</v>
      </c>
      <c r="AD23" s="8">
        <f t="shared" si="14"/>
        <v>994.1558837890625</v>
      </c>
      <c r="AE23" s="8">
        <v>1.4154264056287502E-4</v>
      </c>
      <c r="AF23" s="8">
        <f t="shared" si="9"/>
        <v>994.15206909179688</v>
      </c>
      <c r="AG23" s="8">
        <v>-1.0888556366808189E-3</v>
      </c>
      <c r="AH23" s="8">
        <f t="shared" si="10"/>
        <v>2.5253378776217441E-6</v>
      </c>
      <c r="AI23" s="8">
        <f t="shared" si="11"/>
        <v>-1.5411950200757359E-7</v>
      </c>
      <c r="AJ23" s="8">
        <f t="shared" si="12"/>
        <v>7.62939453125E-3</v>
      </c>
    </row>
    <row r="24" spans="2:36" x14ac:dyDescent="0.2">
      <c r="B24" s="20" t="s">
        <v>123</v>
      </c>
      <c r="C24" s="33">
        <v>2.54</v>
      </c>
      <c r="D24" s="20" t="s">
        <v>16</v>
      </c>
      <c r="F24" s="27" t="s">
        <v>81</v>
      </c>
      <c r="G24" s="20">
        <f xml:space="preserve"> G19 / ($C$10 * $C$11 * $C$12)</f>
        <v>304.42686938058279</v>
      </c>
      <c r="H24" s="20" t="s">
        <v>12</v>
      </c>
      <c r="J24" s="20" t="s">
        <v>54</v>
      </c>
      <c r="K24" s="20">
        <f xml:space="preserve"> K19 * $C$16 * K23 - $C$17 * SIN(K17)</f>
        <v>5.8282976202040606</v>
      </c>
      <c r="L24" s="20" t="s">
        <v>16</v>
      </c>
      <c r="P24" s="8">
        <v>20</v>
      </c>
      <c r="Q24" s="8">
        <f t="shared" si="7"/>
        <v>0.10759544372558594</v>
      </c>
      <c r="R24" s="8">
        <f t="shared" si="0"/>
        <v>2.8096365503604837E-7</v>
      </c>
      <c r="S24" s="8">
        <f t="shared" si="8"/>
        <v>0.10759639739990234</v>
      </c>
      <c r="T24" s="8">
        <f t="shared" si="1"/>
        <v>-7.3235339220767415E-7</v>
      </c>
      <c r="U24" s="8">
        <f t="shared" si="2"/>
        <v>0.10759592056274414</v>
      </c>
      <c r="V24" s="8">
        <f t="shared" si="3"/>
        <v>-2.2569482510670369E-7</v>
      </c>
      <c r="W24" s="8">
        <f t="shared" si="4"/>
        <v>-6.3412042984701169E-14</v>
      </c>
      <c r="X24" s="8">
        <f t="shared" si="5"/>
        <v>1.6528837077061219E-13</v>
      </c>
      <c r="Y24" s="8">
        <f t="shared" si="6"/>
        <v>9.5367431640625E-7</v>
      </c>
      <c r="AA24" s="8">
        <v>20</v>
      </c>
      <c r="AB24" s="8">
        <f t="shared" si="13"/>
        <v>994.15206909179688</v>
      </c>
      <c r="AC24" s="8">
        <v>-1.0888556366808189E-3</v>
      </c>
      <c r="AD24" s="8">
        <f t="shared" si="14"/>
        <v>994.1558837890625</v>
      </c>
      <c r="AE24" s="8">
        <v>1.4154264056287502E-4</v>
      </c>
      <c r="AF24" s="8">
        <f t="shared" si="9"/>
        <v>994.15397644042969</v>
      </c>
      <c r="AG24" s="8">
        <v>-4.7365590353365405E-4</v>
      </c>
      <c r="AH24" s="8">
        <f t="shared" si="10"/>
        <v>5.1574290040976539E-7</v>
      </c>
      <c r="AI24" s="8">
        <f t="shared" si="11"/>
        <v>-6.7042507304347804E-8</v>
      </c>
      <c r="AJ24" s="8">
        <f t="shared" si="12"/>
        <v>3.814697265625E-3</v>
      </c>
    </row>
    <row r="25" spans="2:36" x14ac:dyDescent="0.2">
      <c r="B25" s="20" t="s">
        <v>126</v>
      </c>
      <c r="C25" s="33">
        <v>304.8</v>
      </c>
      <c r="D25" s="20" t="s">
        <v>14</v>
      </c>
      <c r="F25" s="28" t="s">
        <v>82</v>
      </c>
      <c r="G25" s="20">
        <f xml:space="preserve"> $C$32 * ($C$5 * 0.144 * (2*$C$16*3.28084 * (G4*0.00134102/$C$5) * 4^0.5)^0.782 * 0.453592)</f>
        <v>45.950108197655645</v>
      </c>
      <c r="H25" s="20" t="s">
        <v>12</v>
      </c>
      <c r="J25" s="20" t="s">
        <v>55</v>
      </c>
      <c r="K25" s="20">
        <f xml:space="preserve"> 1/$C$7 - K22 * SQRT( (2*$C$30*PI()*$C$16^2) / K18^3 )</f>
        <v>1.2797532927314186</v>
      </c>
      <c r="P25" s="8">
        <v>21</v>
      </c>
      <c r="Q25" s="8">
        <f t="shared" si="7"/>
        <v>0.10759544372558594</v>
      </c>
      <c r="R25" s="8">
        <f t="shared" si="0"/>
        <v>2.8096365503604837E-7</v>
      </c>
      <c r="S25" s="8">
        <f t="shared" si="8"/>
        <v>0.10759592056274414</v>
      </c>
      <c r="T25" s="8">
        <f t="shared" si="1"/>
        <v>-2.2569482510670369E-7</v>
      </c>
      <c r="U25" s="8">
        <f t="shared" si="2"/>
        <v>0.10759568214416504</v>
      </c>
      <c r="V25" s="8">
        <f t="shared" si="3"/>
        <v>2.7634425830980192E-8</v>
      </c>
      <c r="W25" s="8">
        <f t="shared" si="4"/>
        <v>7.764269286294783E-15</v>
      </c>
      <c r="X25" s="8">
        <f t="shared" si="5"/>
        <v>-6.2369469048472492E-15</v>
      </c>
      <c r="Y25" s="8">
        <f t="shared" si="6"/>
        <v>4.76837158203125E-7</v>
      </c>
      <c r="AA25" s="8">
        <v>21</v>
      </c>
      <c r="AB25" s="8">
        <f t="shared" si="13"/>
        <v>994.15397644042969</v>
      </c>
      <c r="AC25" s="8">
        <v>-4.7365590353365405E-4</v>
      </c>
      <c r="AD25" s="8">
        <f t="shared" si="14"/>
        <v>994.1558837890625</v>
      </c>
      <c r="AE25" s="8">
        <v>1.4154264056287502E-4</v>
      </c>
      <c r="AF25" s="8">
        <f t="shared" si="9"/>
        <v>994.15493011474609</v>
      </c>
      <c r="AG25" s="8">
        <v>-1.6700664173185942E-4</v>
      </c>
      <c r="AH25" s="8">
        <f t="shared" si="10"/>
        <v>7.9103681785625122E-8</v>
      </c>
      <c r="AI25" s="8">
        <f t="shared" si="11"/>
        <v>-2.3638561062265422E-8</v>
      </c>
      <c r="AJ25" s="8">
        <f t="shared" si="12"/>
        <v>1.9073486328125E-3</v>
      </c>
    </row>
    <row r="26" spans="2:36" x14ac:dyDescent="0.2">
      <c r="B26" s="20" t="s">
        <v>124</v>
      </c>
      <c r="C26" s="33">
        <v>1.524</v>
      </c>
      <c r="D26" s="20" t="s">
        <v>16</v>
      </c>
      <c r="F26" s="29" t="s">
        <v>83</v>
      </c>
      <c r="G26" s="20">
        <f xml:space="preserve"> 0.2138 * (G4/1000)</f>
        <v>41.101624694067709</v>
      </c>
      <c r="H26" s="20" t="s">
        <v>12</v>
      </c>
      <c r="J26" s="20" t="s">
        <v>56</v>
      </c>
      <c r="K26" s="33">
        <v>1.1499999999999999</v>
      </c>
      <c r="P26" s="8">
        <v>22</v>
      </c>
      <c r="Q26" s="8">
        <f t="shared" si="7"/>
        <v>0.10759568214416504</v>
      </c>
      <c r="R26" s="8">
        <f t="shared" si="0"/>
        <v>2.7634425830980192E-8</v>
      </c>
      <c r="S26" s="8">
        <f t="shared" si="8"/>
        <v>0.10759592056274414</v>
      </c>
      <c r="T26" s="8">
        <f t="shared" si="1"/>
        <v>-2.2569482510670369E-7</v>
      </c>
      <c r="U26" s="8">
        <f t="shared" si="2"/>
        <v>0.10759580135345459</v>
      </c>
      <c r="V26" s="8">
        <f t="shared" si="3"/>
        <v>-9.9030196931693126E-8</v>
      </c>
      <c r="W26" s="8">
        <f t="shared" si="4"/>
        <v>-2.7366426321362359E-15</v>
      </c>
      <c r="X26" s="8">
        <f t="shared" si="5"/>
        <v>2.2350602976780904E-14</v>
      </c>
      <c r="Y26" s="8">
        <f t="shared" si="6"/>
        <v>2.384185791015625E-7</v>
      </c>
      <c r="AA26" s="8">
        <v>22</v>
      </c>
      <c r="AB26" s="8">
        <f t="shared" si="13"/>
        <v>994.15493011474609</v>
      </c>
      <c r="AC26" s="8">
        <v>-1.6700664173185942E-4</v>
      </c>
      <c r="AD26" s="8">
        <f t="shared" si="14"/>
        <v>994.1558837890625</v>
      </c>
      <c r="AE26" s="8">
        <v>1.4154264056287502E-4</v>
      </c>
      <c r="AF26" s="8">
        <f t="shared" si="9"/>
        <v>994.1554069519043</v>
      </c>
      <c r="AG26" s="8">
        <v>-1.1781804232668946E-5</v>
      </c>
      <c r="AH26" s="8">
        <f t="shared" si="10"/>
        <v>1.9676395584402477E-9</v>
      </c>
      <c r="AI26" s="8">
        <f t="shared" si="11"/>
        <v>-1.6676276816868202E-9</v>
      </c>
      <c r="AJ26" s="8">
        <f t="shared" si="12"/>
        <v>9.5367431640625E-4</v>
      </c>
    </row>
    <row r="27" spans="2:36" x14ac:dyDescent="0.2">
      <c r="B27" s="20" t="s">
        <v>130</v>
      </c>
      <c r="C27" s="33">
        <v>304.8</v>
      </c>
      <c r="D27" s="20" t="s">
        <v>14</v>
      </c>
      <c r="F27" s="29" t="s">
        <v>114</v>
      </c>
      <c r="G27" s="20">
        <f xml:space="preserve"> 2.20462 * (49.9/398 * (G4/$C$5/1000 - 2) + 0.1) * 0.453592 * $C$5</f>
        <v>23.047547608909916</v>
      </c>
      <c r="H27" s="20" t="s">
        <v>12</v>
      </c>
      <c r="J27" s="20" t="s">
        <v>57</v>
      </c>
      <c r="K27" s="20">
        <f xml:space="preserve"> 1/$C$35 * LN( EXP($C$35 * K25) + EXP($C$35 * K26) )</f>
        <v>1.280426197517371</v>
      </c>
      <c r="P27" s="8">
        <v>23</v>
      </c>
      <c r="Q27" s="8">
        <f t="shared" si="7"/>
        <v>0.10759568214416504</v>
      </c>
      <c r="R27" s="8">
        <f t="shared" si="0"/>
        <v>2.7634425830980192E-8</v>
      </c>
      <c r="S27" s="8">
        <f t="shared" si="8"/>
        <v>0.10759580135345459</v>
      </c>
      <c r="T27" s="8">
        <f t="shared" si="1"/>
        <v>-9.9030196931693126E-8</v>
      </c>
      <c r="U27" s="8">
        <f t="shared" si="2"/>
        <v>0.10759574174880981</v>
      </c>
      <c r="V27" s="8">
        <f t="shared" si="3"/>
        <v>-3.5697884870344865E-8</v>
      </c>
      <c r="W27" s="8">
        <f t="shared" si="4"/>
        <v>-9.8649055177241513E-16</v>
      </c>
      <c r="X27" s="8">
        <f t="shared" si="5"/>
        <v>3.5351685687551606E-15</v>
      </c>
      <c r="Y27" s="8">
        <f t="shared" si="6"/>
        <v>1.1920928955078125E-7</v>
      </c>
      <c r="AA27" s="8">
        <v>23</v>
      </c>
      <c r="AB27" s="8">
        <f t="shared" si="13"/>
        <v>994.1554069519043</v>
      </c>
      <c r="AC27" s="8">
        <v>-1.1781804232668946E-5</v>
      </c>
      <c r="AD27" s="8">
        <f t="shared" si="14"/>
        <v>994.1558837890625</v>
      </c>
      <c r="AE27" s="8">
        <v>1.4154264056287502E-4</v>
      </c>
      <c r="AF27" s="8">
        <f t="shared" si="9"/>
        <v>994.1556453704834</v>
      </c>
      <c r="AG27" s="8">
        <v>6.488042754426715E-5</v>
      </c>
      <c r="AH27" s="8">
        <f t="shared" si="10"/>
        <v>-7.6440849585841761E-10</v>
      </c>
      <c r="AI27" s="8">
        <f t="shared" si="11"/>
        <v>9.1833470354638617E-9</v>
      </c>
      <c r="AJ27" s="8">
        <f t="shared" si="12"/>
        <v>4.76837158203125E-4</v>
      </c>
    </row>
    <row r="28" spans="2:36" x14ac:dyDescent="0.2">
      <c r="F28" s="30" t="s">
        <v>91</v>
      </c>
      <c r="G28" s="20">
        <f xml:space="preserve"> $C$32 * (14.86 * ($C$15*2.20462)^0.144 * (6.7/(PI()*1.8))^0.778 * (6.7*3.28084)^0.383 * 4^0.455 * 0.453592)</f>
        <v>114.31295905483481</v>
      </c>
      <c r="H28" s="20" t="s">
        <v>12</v>
      </c>
      <c r="P28" s="8">
        <v>24</v>
      </c>
      <c r="Q28" s="8">
        <f t="shared" si="7"/>
        <v>0.10759568214416504</v>
      </c>
      <c r="R28" s="8">
        <f t="shared" si="0"/>
        <v>2.7634425830980192E-8</v>
      </c>
      <c r="S28" s="8">
        <f t="shared" si="8"/>
        <v>0.10759574174880981</v>
      </c>
      <c r="T28" s="8">
        <f t="shared" si="1"/>
        <v>-3.5697884870344865E-8</v>
      </c>
      <c r="U28" s="8">
        <f t="shared" si="2"/>
        <v>0.10759571194648743</v>
      </c>
      <c r="V28" s="8">
        <f t="shared" si="3"/>
        <v>-4.0317293392710951E-9</v>
      </c>
      <c r="W28" s="8">
        <f t="shared" si="4"/>
        <v>-1.1141452539667384E-16</v>
      </c>
      <c r="X28" s="8">
        <f t="shared" si="5"/>
        <v>1.4392420978169114E-16</v>
      </c>
      <c r="Y28" s="8">
        <f t="shared" si="6"/>
        <v>5.9604644775390625E-8</v>
      </c>
      <c r="AA28" s="8">
        <v>24</v>
      </c>
      <c r="AB28" s="8">
        <f t="shared" si="13"/>
        <v>994.1554069519043</v>
      </c>
      <c r="AC28" s="8">
        <v>-1.1781804232668946E-5</v>
      </c>
      <c r="AD28" s="8">
        <f t="shared" si="14"/>
        <v>994.1556453704834</v>
      </c>
      <c r="AE28" s="8">
        <v>6.488042754426715E-5</v>
      </c>
      <c r="AF28" s="8">
        <f t="shared" si="9"/>
        <v>994.15552616119385</v>
      </c>
      <c r="AG28" s="8">
        <v>2.559915424171777E-5</v>
      </c>
      <c r="AH28" s="8">
        <f t="shared" si="10"/>
        <v>-3.0160422379781564E-10</v>
      </c>
      <c r="AI28" s="8">
        <f t="shared" si="11"/>
        <v>1.6608840719742889E-9</v>
      </c>
      <c r="AJ28" s="8">
        <f t="shared" si="12"/>
        <v>2.384185791015625E-4</v>
      </c>
    </row>
    <row r="29" spans="2:36" x14ac:dyDescent="0.2">
      <c r="B29" s="40" t="s">
        <v>104</v>
      </c>
      <c r="C29" s="41"/>
      <c r="D29" s="41"/>
      <c r="F29" s="30" t="s">
        <v>92</v>
      </c>
      <c r="G29" s="20">
        <f xml:space="preserve"> $C$32 * (0.054 * (0.7*3.28084)^0.501 * ($C$15*2.20462*5.7)^0.684 * 0.453592)</f>
        <v>18.84383014762896</v>
      </c>
      <c r="H29" s="20" t="s">
        <v>12</v>
      </c>
      <c r="P29" s="8">
        <v>25</v>
      </c>
      <c r="Q29" s="8">
        <f t="shared" si="7"/>
        <v>0.10759568214416504</v>
      </c>
      <c r="R29" s="8">
        <f t="shared" si="0"/>
        <v>2.7634425830980192E-8</v>
      </c>
      <c r="S29" s="8">
        <f t="shared" si="8"/>
        <v>0.10759571194648743</v>
      </c>
      <c r="T29" s="8">
        <f t="shared" si="1"/>
        <v>-4.0317293392710951E-9</v>
      </c>
      <c r="U29" s="8">
        <f t="shared" si="2"/>
        <v>0.10759569704532623</v>
      </c>
      <c r="V29" s="8">
        <f t="shared" si="3"/>
        <v>1.1801348287487912E-8</v>
      </c>
      <c r="W29" s="8">
        <f t="shared" si="4"/>
        <v>3.2612348395614979E-16</v>
      </c>
      <c r="X29" s="8">
        <f t="shared" si="5"/>
        <v>-4.7579842133621705E-17</v>
      </c>
      <c r="Y29" s="8">
        <f t="shared" si="6"/>
        <v>2.9802322387695312E-8</v>
      </c>
      <c r="AA29" s="8">
        <v>25</v>
      </c>
      <c r="AB29" s="8">
        <f t="shared" si="13"/>
        <v>994.1554069519043</v>
      </c>
      <c r="AC29" s="8">
        <v>-1.1781804232668946E-5</v>
      </c>
      <c r="AD29" s="8">
        <f t="shared" si="14"/>
        <v>994.15552616119385</v>
      </c>
      <c r="AE29" s="8">
        <v>2.559915424171777E-5</v>
      </c>
      <c r="AF29" s="8">
        <f t="shared" si="9"/>
        <v>994.15546655654907</v>
      </c>
      <c r="AG29" s="8">
        <v>5.9585161125141894E-6</v>
      </c>
      <c r="AH29" s="8">
        <f t="shared" si="10"/>
        <v>-7.0202070354845794E-11</v>
      </c>
      <c r="AI29" s="8">
        <f t="shared" si="11"/>
        <v>1.5253297301601129E-10</v>
      </c>
      <c r="AJ29" s="8">
        <f t="shared" si="12"/>
        <v>1.1920928955078125E-4</v>
      </c>
    </row>
    <row r="30" spans="2:36" x14ac:dyDescent="0.2">
      <c r="B30" s="20" t="s">
        <v>24</v>
      </c>
      <c r="C30" s="33">
        <v>1.2250000000000001</v>
      </c>
      <c r="D30" s="20" t="s">
        <v>25</v>
      </c>
      <c r="F30" s="30" t="s">
        <v>93</v>
      </c>
      <c r="G30" s="20">
        <f xml:space="preserve"> $C$32 * 0</f>
        <v>0</v>
      </c>
      <c r="H30" s="20" t="s">
        <v>12</v>
      </c>
      <c r="P30" s="8">
        <v>26</v>
      </c>
      <c r="Q30" s="8">
        <f t="shared" si="7"/>
        <v>0.10759569704532623</v>
      </c>
      <c r="R30" s="8">
        <f t="shared" si="0"/>
        <v>1.1801348287487912E-8</v>
      </c>
      <c r="S30" s="8">
        <f t="shared" si="8"/>
        <v>0.10759571194648743</v>
      </c>
      <c r="T30" s="8">
        <f t="shared" si="1"/>
        <v>-4.0317293392710951E-9</v>
      </c>
      <c r="U30" s="8">
        <f t="shared" si="2"/>
        <v>0.10759570449590683</v>
      </c>
      <c r="V30" s="8">
        <f t="shared" si="3"/>
        <v>3.8848094879861961E-9</v>
      </c>
      <c r="W30" s="8">
        <f t="shared" si="4"/>
        <v>4.5845989798262687E-17</v>
      </c>
      <c r="X30" s="8">
        <f t="shared" si="5"/>
        <v>-1.5662500390192668E-17</v>
      </c>
      <c r="Y30" s="8">
        <f t="shared" si="6"/>
        <v>1.4901161193847656E-8</v>
      </c>
      <c r="AA30" s="8">
        <v>26</v>
      </c>
      <c r="AB30" s="8">
        <f t="shared" si="13"/>
        <v>994.1554069519043</v>
      </c>
      <c r="AC30" s="8">
        <v>-1.1781804232668946E-5</v>
      </c>
      <c r="AD30" s="8">
        <f t="shared" si="14"/>
        <v>994.15546655654907</v>
      </c>
      <c r="AE30" s="8">
        <v>5.9585161125141894E-6</v>
      </c>
      <c r="AF30" s="8">
        <f t="shared" si="9"/>
        <v>994.15543675422668</v>
      </c>
      <c r="AG30" s="8">
        <v>-2.9116438327037031E-6</v>
      </c>
      <c r="AH30" s="8">
        <f t="shared" si="10"/>
        <v>3.4304417632172923E-11</v>
      </c>
      <c r="AI30" s="8">
        <f t="shared" si="11"/>
        <v>-1.7349076691067584E-11</v>
      </c>
      <c r="AJ30" s="8">
        <f t="shared" si="12"/>
        <v>5.9604644775390625E-5</v>
      </c>
    </row>
    <row r="31" spans="2:36" x14ac:dyDescent="0.2">
      <c r="B31" s="20" t="s">
        <v>26</v>
      </c>
      <c r="C31" s="33">
        <v>9.81</v>
      </c>
      <c r="D31" s="20" t="s">
        <v>27</v>
      </c>
      <c r="F31" s="30" t="s">
        <v>94</v>
      </c>
      <c r="G31" s="20">
        <f xml:space="preserve"> $C$32 * 0</f>
        <v>0</v>
      </c>
      <c r="H31" s="20" t="s">
        <v>12</v>
      </c>
      <c r="P31" s="8">
        <v>27</v>
      </c>
      <c r="Q31" s="8">
        <f t="shared" si="7"/>
        <v>0.10759570449590683</v>
      </c>
      <c r="R31" s="8">
        <f t="shared" si="0"/>
        <v>3.8848094879861961E-9</v>
      </c>
      <c r="S31" s="8">
        <f t="shared" si="8"/>
        <v>0.10759571194648743</v>
      </c>
      <c r="T31" s="8">
        <f t="shared" si="1"/>
        <v>-4.0317293392710951E-9</v>
      </c>
      <c r="U31" s="8">
        <f t="shared" si="2"/>
        <v>0.10759570822119713</v>
      </c>
      <c r="V31" s="8">
        <f t="shared" si="3"/>
        <v>-7.3459932581343423E-11</v>
      </c>
      <c r="W31" s="8">
        <f t="shared" si="4"/>
        <v>-2.8537784307882923E-19</v>
      </c>
      <c r="X31" s="8">
        <f t="shared" si="5"/>
        <v>2.9617056544907891E-19</v>
      </c>
      <c r="Y31" s="8">
        <f t="shared" si="6"/>
        <v>7.4505805969238281E-9</v>
      </c>
      <c r="AA31" s="8">
        <v>27</v>
      </c>
      <c r="AB31" s="8">
        <f t="shared" si="13"/>
        <v>994.15543675422668</v>
      </c>
      <c r="AC31" s="8">
        <v>-2.9116438327037031E-6</v>
      </c>
      <c r="AD31" s="8">
        <f t="shared" si="14"/>
        <v>994.15546655654907</v>
      </c>
      <c r="AE31" s="8">
        <v>5.9585161125141894E-6</v>
      </c>
      <c r="AF31" s="8">
        <f t="shared" si="9"/>
        <v>994.15545165538788</v>
      </c>
      <c r="AG31" s="8">
        <v>1.5234363672789186E-6</v>
      </c>
      <c r="AH31" s="8">
        <f t="shared" si="10"/>
        <v>-4.4357041033041969E-12</v>
      </c>
      <c r="AI31" s="8">
        <f t="shared" si="11"/>
        <v>9.0774201408215211E-12</v>
      </c>
      <c r="AJ31" s="8">
        <f t="shared" si="12"/>
        <v>2.9802322387695312E-5</v>
      </c>
    </row>
    <row r="32" spans="2:36" x14ac:dyDescent="0.2">
      <c r="B32" s="20" t="s">
        <v>112</v>
      </c>
      <c r="C32" s="33">
        <v>0.8</v>
      </c>
      <c r="F32" s="31" t="s">
        <v>95</v>
      </c>
      <c r="G32" s="20">
        <f xml:space="preserve"> $C$32 * (0.0268 * $C$15)</f>
        <v>21.314692710842358</v>
      </c>
      <c r="H32" s="20" t="s">
        <v>12</v>
      </c>
      <c r="P32" s="8">
        <v>28</v>
      </c>
      <c r="Q32" s="8">
        <f t="shared" si="7"/>
        <v>0.10759570449590683</v>
      </c>
      <c r="R32" s="8">
        <f t="shared" si="0"/>
        <v>3.8848094879861961E-9</v>
      </c>
      <c r="S32" s="8">
        <f t="shared" si="8"/>
        <v>0.10759570822119713</v>
      </c>
      <c r="T32" s="8">
        <f t="shared" si="1"/>
        <v>-7.3459932581343423E-11</v>
      </c>
      <c r="U32" s="8">
        <f t="shared" si="2"/>
        <v>0.10759570635855198</v>
      </c>
      <c r="V32" s="8">
        <f t="shared" si="3"/>
        <v>1.9056747846413202E-9</v>
      </c>
      <c r="W32" s="8">
        <f t="shared" si="4"/>
        <v>7.4031834843906509E-18</v>
      </c>
      <c r="X32" s="8">
        <f t="shared" si="5"/>
        <v>-1.3999074120171753E-19</v>
      </c>
      <c r="Y32" s="8">
        <f t="shared" si="6"/>
        <v>3.7252902984619141E-9</v>
      </c>
      <c r="AA32" s="8">
        <v>28</v>
      </c>
      <c r="AB32" s="8">
        <f t="shared" si="13"/>
        <v>994.15543675422668</v>
      </c>
      <c r="AC32" s="8">
        <v>-2.9116438327037031E-6</v>
      </c>
      <c r="AD32" s="8">
        <f t="shared" si="14"/>
        <v>994.15545165538788</v>
      </c>
      <c r="AE32" s="8">
        <v>1.5234363672789186E-6</v>
      </c>
      <c r="AF32" s="8">
        <f t="shared" si="9"/>
        <v>994.15544420480728</v>
      </c>
      <c r="AG32" s="8">
        <v>2.5605584141885629E-7</v>
      </c>
      <c r="AH32" s="8">
        <f t="shared" si="10"/>
        <v>-7.4554341149497033E-13</v>
      </c>
      <c r="AI32" s="8">
        <f t="shared" si="11"/>
        <v>3.9008478087168929E-13</v>
      </c>
      <c r="AJ32" s="8">
        <f t="shared" si="12"/>
        <v>1.4901161193847656E-5</v>
      </c>
    </row>
    <row r="33" spans="2:36" x14ac:dyDescent="0.2">
      <c r="F33" s="31" t="s">
        <v>96</v>
      </c>
      <c r="G33" s="20">
        <f xml:space="preserve"> $C$32 * (11.5 * ($C$15*2.20462/1000)^0.4 * 0.453592)</f>
        <v>5.7117399838242342</v>
      </c>
      <c r="H33" s="20" t="s">
        <v>12</v>
      </c>
      <c r="P33" s="8">
        <v>29</v>
      </c>
      <c r="Q33" s="8">
        <f t="shared" si="7"/>
        <v>0.10759570635855198</v>
      </c>
      <c r="R33" s="8">
        <f t="shared" si="0"/>
        <v>1.9056747846413202E-9</v>
      </c>
      <c r="S33" s="8">
        <f t="shared" si="8"/>
        <v>0.10759570822119713</v>
      </c>
      <c r="T33" s="8">
        <f t="shared" si="1"/>
        <v>-7.3459932581343423E-11</v>
      </c>
      <c r="U33" s="8">
        <f t="shared" si="2"/>
        <v>0.10759570728987455</v>
      </c>
      <c r="V33" s="8">
        <f t="shared" si="3"/>
        <v>9.161074121522006E-10</v>
      </c>
      <c r="W33" s="8">
        <f t="shared" si="4"/>
        <v>1.7458027953614621E-18</v>
      </c>
      <c r="X33" s="8">
        <f t="shared" si="5"/>
        <v>-6.7297188733969649E-20</v>
      </c>
      <c r="Y33" s="8">
        <f t="shared" si="6"/>
        <v>1.862645149230957E-9</v>
      </c>
      <c r="AA33" s="8">
        <v>29</v>
      </c>
      <c r="AB33" s="8">
        <f t="shared" si="13"/>
        <v>994.15543675422668</v>
      </c>
      <c r="AC33" s="8">
        <v>-2.9116438327037031E-6</v>
      </c>
      <c r="AD33" s="8">
        <f t="shared" si="14"/>
        <v>994.15544420480728</v>
      </c>
      <c r="AE33" s="8">
        <v>2.5605584141885629E-7</v>
      </c>
      <c r="AF33" s="8">
        <f t="shared" si="9"/>
        <v>994.15544047951698</v>
      </c>
      <c r="AG33" s="8">
        <v>-1.3277940524858423E-6</v>
      </c>
      <c r="AH33" s="8">
        <f t="shared" si="10"/>
        <v>3.8660633640210596E-12</v>
      </c>
      <c r="AI33" s="8">
        <f t="shared" si="11"/>
        <v>-3.3998942334021537E-13</v>
      </c>
      <c r="AJ33" s="8">
        <f t="shared" si="12"/>
        <v>7.4505805969238281E-6</v>
      </c>
    </row>
    <row r="34" spans="2:36" x14ac:dyDescent="0.2">
      <c r="B34" s="40" t="s">
        <v>28</v>
      </c>
      <c r="C34" s="40"/>
      <c r="D34" s="40"/>
      <c r="F34" s="31" t="s">
        <v>97</v>
      </c>
      <c r="G34" s="20">
        <f xml:space="preserve"> $C$32 * (8 * ($C$15/1000))</f>
        <v>6.3625948390574196</v>
      </c>
      <c r="H34" s="20" t="s">
        <v>12</v>
      </c>
      <c r="P34" s="8">
        <v>30</v>
      </c>
      <c r="Q34" s="8">
        <f t="shared" si="7"/>
        <v>0.10759570728987455</v>
      </c>
      <c r="R34" s="8">
        <f t="shared" si="0"/>
        <v>9.161074121522006E-10</v>
      </c>
      <c r="S34" s="8">
        <f t="shared" si="8"/>
        <v>0.10759570822119713</v>
      </c>
      <c r="T34" s="8">
        <f t="shared" si="1"/>
        <v>-7.3459932581343423E-11</v>
      </c>
      <c r="U34" s="8">
        <f t="shared" si="2"/>
        <v>0.10759570775553584</v>
      </c>
      <c r="V34" s="8">
        <f t="shared" si="3"/>
        <v>4.2132375366321639E-10</v>
      </c>
      <c r="W34" s="8">
        <f t="shared" si="4"/>
        <v>3.8597781364666042E-19</v>
      </c>
      <c r="X34" s="8">
        <f t="shared" si="5"/>
        <v>-3.0950414539018421E-20</v>
      </c>
      <c r="Y34" s="8">
        <f t="shared" si="6"/>
        <v>9.3132257461547852E-10</v>
      </c>
      <c r="AA34" s="8">
        <v>30</v>
      </c>
      <c r="AB34" s="8">
        <f t="shared" si="13"/>
        <v>994.15544047951698</v>
      </c>
      <c r="AC34" s="8">
        <v>-1.3277940524858423E-6</v>
      </c>
      <c r="AD34" s="8">
        <f t="shared" si="14"/>
        <v>994.15544420480728</v>
      </c>
      <c r="AE34" s="8">
        <v>2.5605584141885629E-7</v>
      </c>
      <c r="AF34" s="8">
        <f t="shared" si="9"/>
        <v>994.15544234216213</v>
      </c>
      <c r="AG34" s="8">
        <v>-5.358689350032364E-7</v>
      </c>
      <c r="AH34" s="8">
        <f t="shared" si="10"/>
        <v>7.1152358480921967E-13</v>
      </c>
      <c r="AI34" s="8">
        <f t="shared" si="11"/>
        <v>-1.3721237104248011E-13</v>
      </c>
      <c r="AJ34" s="8">
        <f t="shared" si="12"/>
        <v>3.7252902984619141E-6</v>
      </c>
    </row>
    <row r="35" spans="2:36" x14ac:dyDescent="0.2">
      <c r="B35" s="20" t="s">
        <v>29</v>
      </c>
      <c r="C35" s="33">
        <v>30</v>
      </c>
      <c r="F35" s="31" t="s">
        <v>98</v>
      </c>
      <c r="G35" s="20">
        <f xml:space="preserve"> $C$32 * (13 * ($C$15*2.20462/1000)^1.3 * 0.453592)</f>
        <v>13.083476985245737</v>
      </c>
      <c r="H35" s="20" t="s">
        <v>12</v>
      </c>
      <c r="AA35" s="8">
        <v>31</v>
      </c>
      <c r="AB35" s="8">
        <f t="shared" si="13"/>
        <v>994.15544234216213</v>
      </c>
      <c r="AC35" s="20">
        <v>-5.358689350032364E-7</v>
      </c>
      <c r="AD35" s="8">
        <f t="shared" si="14"/>
        <v>994.15544420480728</v>
      </c>
      <c r="AE35" s="20">
        <v>2.5605584141885629E-7</v>
      </c>
      <c r="AF35" s="8">
        <f t="shared" si="9"/>
        <v>994.15544327348471</v>
      </c>
      <c r="AG35" s="20">
        <v>-1.3990643310535233E-7</v>
      </c>
      <c r="AH35" s="8">
        <f t="shared" si="10"/>
        <v>7.4971511308266692E-14</v>
      </c>
      <c r="AI35" s="8">
        <f t="shared" si="11"/>
        <v>-3.5823859448701923E-14</v>
      </c>
      <c r="AJ35" s="8">
        <f t="shared" si="12"/>
        <v>1.862645149230957E-6</v>
      </c>
    </row>
    <row r="36" spans="2:36" x14ac:dyDescent="0.2">
      <c r="F36" s="26" t="s">
        <v>85</v>
      </c>
      <c r="G36" s="26">
        <f>$C$15 - $C$21 - SUM(G24:G35)</f>
        <v>7.2191141953226179E-11</v>
      </c>
      <c r="H36" s="26" t="s">
        <v>12</v>
      </c>
      <c r="AA36" s="8">
        <v>32</v>
      </c>
      <c r="AB36" s="8">
        <f t="shared" si="13"/>
        <v>994.15544327348471</v>
      </c>
      <c r="AC36" s="20">
        <v>-1.3990643310535233E-7</v>
      </c>
      <c r="AD36" s="8">
        <f t="shared" si="14"/>
        <v>994.15544420480728</v>
      </c>
      <c r="AE36" s="20">
        <v>2.5605584141885629E-7</v>
      </c>
      <c r="AF36" s="8">
        <f t="shared" si="9"/>
        <v>994.15544373914599</v>
      </c>
      <c r="AG36" s="20">
        <v>5.8074533626495395E-8</v>
      </c>
      <c r="AH36" s="8">
        <f t="shared" si="10"/>
        <v>-8.1250008539398127E-15</v>
      </c>
      <c r="AI36" s="8">
        <f t="shared" si="11"/>
        <v>1.4870323572739942E-14</v>
      </c>
      <c r="AJ36" s="8">
        <f t="shared" si="12"/>
        <v>9.3132257461547852E-7</v>
      </c>
    </row>
    <row r="37" spans="2:36" x14ac:dyDescent="0.2">
      <c r="F37" s="20" t="s">
        <v>86</v>
      </c>
      <c r="G37" s="10" t="str">
        <f>IF(ABS(G36)&lt;0.00001, "TRUE", "FALSE")</f>
        <v>TRUE</v>
      </c>
      <c r="AA37" s="8">
        <v>33</v>
      </c>
      <c r="AB37" s="8">
        <f t="shared" si="13"/>
        <v>994.15544327348471</v>
      </c>
      <c r="AC37" s="20">
        <v>-1.3990643310535233E-7</v>
      </c>
      <c r="AD37" s="8">
        <f t="shared" si="14"/>
        <v>994.15544373914599</v>
      </c>
      <c r="AE37" s="20">
        <v>5.8074533626495395E-8</v>
      </c>
      <c r="AF37" s="8">
        <f t="shared" si="9"/>
        <v>994.15544350631535</v>
      </c>
      <c r="AG37" s="20">
        <v>-4.0916120269685052E-8</v>
      </c>
      <c r="AH37" s="8">
        <f t="shared" si="10"/>
        <v>5.7244284434412425E-15</v>
      </c>
      <c r="AI37" s="8">
        <f t="shared" si="11"/>
        <v>-2.3761846024675544E-15</v>
      </c>
      <c r="AJ37" s="8">
        <f t="shared" si="12"/>
        <v>4.6566128730773926E-7</v>
      </c>
    </row>
    <row r="38" spans="2:36" x14ac:dyDescent="0.2">
      <c r="AA38" s="8">
        <v>34</v>
      </c>
      <c r="AB38" s="8">
        <f t="shared" si="13"/>
        <v>994.15544350631535</v>
      </c>
      <c r="AC38" s="20">
        <v>-4.0916120269685052E-8</v>
      </c>
      <c r="AD38" s="8">
        <f t="shared" si="14"/>
        <v>994.15544373914599</v>
      </c>
      <c r="AE38" s="20">
        <v>5.8074533626495395E-8</v>
      </c>
      <c r="AF38" s="8">
        <f t="shared" si="9"/>
        <v>994.15544362273067</v>
      </c>
      <c r="AG38" s="20">
        <v>8.5792635218240321E-9</v>
      </c>
      <c r="AH38" s="8">
        <f t="shared" si="10"/>
        <v>-3.5103017808427385E-16</v>
      </c>
      <c r="AI38" s="8">
        <f t="shared" si="11"/>
        <v>4.9823672788873506E-16</v>
      </c>
      <c r="AJ38" s="8">
        <f t="shared" si="12"/>
        <v>2.3283064365386963E-7</v>
      </c>
    </row>
    <row r="39" spans="2:36" x14ac:dyDescent="0.2">
      <c r="AA39" s="8">
        <v>35</v>
      </c>
      <c r="AB39" s="8">
        <f t="shared" si="13"/>
        <v>994.15544350631535</v>
      </c>
      <c r="AC39" s="20">
        <v>-4.0916120269685052E-8</v>
      </c>
      <c r="AD39" s="8">
        <f t="shared" si="14"/>
        <v>994.15544362273067</v>
      </c>
      <c r="AE39" s="20">
        <v>8.5792635218240321E-9</v>
      </c>
      <c r="AF39" s="8">
        <f t="shared" si="9"/>
        <v>994.15544356452301</v>
      </c>
      <c r="AG39" s="20">
        <v>-1.6168314687092789E-8</v>
      </c>
      <c r="AH39" s="8">
        <f t="shared" si="10"/>
        <v>6.6154470829520378E-16</v>
      </c>
      <c r="AI39" s="8">
        <f t="shared" si="11"/>
        <v>-1.387122324043469E-16</v>
      </c>
      <c r="AJ39" s="8">
        <f t="shared" si="12"/>
        <v>1.1641532182693481E-7</v>
      </c>
    </row>
    <row r="40" spans="2:36" x14ac:dyDescent="0.2">
      <c r="F40" s="40" t="s">
        <v>87</v>
      </c>
      <c r="G40" s="40"/>
      <c r="H40" s="40"/>
      <c r="AA40" s="8">
        <v>36</v>
      </c>
      <c r="AB40" s="8">
        <f t="shared" si="13"/>
        <v>994.15544356452301</v>
      </c>
      <c r="AC40" s="20">
        <v>-1.6168314687092789E-8</v>
      </c>
      <c r="AD40" s="8">
        <f t="shared" si="14"/>
        <v>994.15544362273067</v>
      </c>
      <c r="AE40" s="20">
        <v>8.5792635218240321E-9</v>
      </c>
      <c r="AF40" s="8">
        <f t="shared" si="9"/>
        <v>994.15544359362684</v>
      </c>
      <c r="AG40" s="20">
        <v>-3.7945255826343782E-9</v>
      </c>
      <c r="AH40" s="8">
        <f t="shared" si="10"/>
        <v>6.1351083708256738E-17</v>
      </c>
      <c r="AI40" s="8">
        <f t="shared" si="11"/>
        <v>-3.2554234913723203E-17</v>
      </c>
      <c r="AJ40" s="8">
        <f t="shared" si="12"/>
        <v>5.8207660913467407E-8</v>
      </c>
    </row>
    <row r="41" spans="2:36" x14ac:dyDescent="0.2">
      <c r="F41" s="20" t="s">
        <v>88</v>
      </c>
      <c r="G41" s="20">
        <f>ROUND($C$21/$C$15 * 100, 2)</f>
        <v>40.24</v>
      </c>
      <c r="H41" s="20" t="s">
        <v>89</v>
      </c>
      <c r="AA41" s="8">
        <v>37</v>
      </c>
      <c r="AB41" s="8">
        <f t="shared" si="13"/>
        <v>994.15544359362684</v>
      </c>
      <c r="AC41" s="20">
        <v>-3.7945255826343782E-9</v>
      </c>
      <c r="AD41" s="8">
        <f t="shared" si="14"/>
        <v>994.15544362273067</v>
      </c>
      <c r="AE41" s="20">
        <v>8.5792635218240321E-9</v>
      </c>
      <c r="AF41" s="8">
        <f t="shared" si="9"/>
        <v>994.15544360817876</v>
      </c>
      <c r="AG41" s="20">
        <v>2.3924258130136877E-9</v>
      </c>
      <c r="AH41" s="8">
        <f t="shared" si="10"/>
        <v>-9.0781209520352894E-18</v>
      </c>
      <c r="AI41" s="8">
        <f t="shared" si="11"/>
        <v>2.0525251506258534E-17</v>
      </c>
      <c r="AJ41" s="8">
        <f t="shared" si="12"/>
        <v>2.9103830456733704E-8</v>
      </c>
    </row>
    <row r="42" spans="2:36" x14ac:dyDescent="0.2">
      <c r="F42" s="27" t="s">
        <v>81</v>
      </c>
      <c r="G42" s="20">
        <f>ROUND(G24/$C$15 * 100, 2)</f>
        <v>30.62</v>
      </c>
      <c r="H42" s="20" t="s">
        <v>89</v>
      </c>
      <c r="AA42" s="8">
        <v>38</v>
      </c>
      <c r="AB42" s="8">
        <f t="shared" si="13"/>
        <v>994.15544359362684</v>
      </c>
      <c r="AC42" s="20">
        <v>-3.7945255826343782E-9</v>
      </c>
      <c r="AD42" s="8">
        <f t="shared" si="14"/>
        <v>994.15544360817876</v>
      </c>
      <c r="AE42" s="20">
        <v>2.3924258130136877E-9</v>
      </c>
      <c r="AF42" s="8">
        <f t="shared" si="9"/>
        <v>994.1554436009028</v>
      </c>
      <c r="AG42" s="20">
        <v>-7.0110672822920606E-10</v>
      </c>
      <c r="AH42" s="8">
        <f t="shared" si="10"/>
        <v>2.6603674164228108E-18</v>
      </c>
      <c r="AI42" s="8">
        <f t="shared" si="11"/>
        <v>-1.6773458342931249E-18</v>
      </c>
      <c r="AJ42" s="8">
        <f t="shared" si="12"/>
        <v>1.4551915228366852E-8</v>
      </c>
    </row>
    <row r="43" spans="2:36" x14ac:dyDescent="0.2">
      <c r="F43" s="35" t="s">
        <v>101</v>
      </c>
      <c r="G43" s="20">
        <f>ROUND(SUM(G25:G27)/$C$15 * 100, 2)</f>
        <v>11.07</v>
      </c>
      <c r="H43" s="20" t="s">
        <v>89</v>
      </c>
      <c r="AA43" s="8">
        <v>39</v>
      </c>
      <c r="AB43" s="8">
        <f t="shared" si="13"/>
        <v>994.1554436009028</v>
      </c>
      <c r="AC43" s="20">
        <v>-7.0110672822920606E-10</v>
      </c>
      <c r="AD43" s="8">
        <f t="shared" si="14"/>
        <v>994.15544360817876</v>
      </c>
      <c r="AE43" s="20">
        <v>2.3924258130136877E-9</v>
      </c>
      <c r="AF43" s="8">
        <f t="shared" si="9"/>
        <v>994.15544360454078</v>
      </c>
      <c r="AG43" s="20">
        <v>8.4571638581110165E-10</v>
      </c>
      <c r="AH43" s="8">
        <f t="shared" si="10"/>
        <v>-5.9293744826585042E-19</v>
      </c>
      <c r="AI43" s="8">
        <f t="shared" si="11"/>
        <v>2.0233137119031225E-18</v>
      </c>
      <c r="AJ43" s="8">
        <f t="shared" si="12"/>
        <v>7.2759576141834259E-9</v>
      </c>
    </row>
    <row r="44" spans="2:36" x14ac:dyDescent="0.2">
      <c r="F44" s="36" t="s">
        <v>102</v>
      </c>
      <c r="G44" s="20">
        <f>ROUND(SUM(G28:G31)/$C$15 * 100, 2)</f>
        <v>13.39</v>
      </c>
      <c r="H44" s="20" t="s">
        <v>89</v>
      </c>
      <c r="AA44" s="8">
        <v>40</v>
      </c>
      <c r="AB44" s="8">
        <f t="shared" si="13"/>
        <v>994.1554436009028</v>
      </c>
      <c r="AC44" s="20">
        <v>-7.0110672822920606E-10</v>
      </c>
      <c r="AD44" s="8">
        <f t="shared" si="14"/>
        <v>994.15544360454078</v>
      </c>
      <c r="AE44" s="20">
        <v>8.4571638581110165E-10</v>
      </c>
      <c r="AF44" s="11">
        <f t="shared" si="9"/>
        <v>994.15544360272179</v>
      </c>
      <c r="AG44" s="20">
        <v>7.2191141953226179E-11</v>
      </c>
      <c r="AH44" s="8">
        <f t="shared" si="10"/>
        <v>-5.0613695341956582E-20</v>
      </c>
      <c r="AI44" s="8">
        <f t="shared" si="11"/>
        <v>6.1053231660258637E-20</v>
      </c>
      <c r="AJ44" s="8">
        <f t="shared" si="12"/>
        <v>3.637978807091713E-9</v>
      </c>
    </row>
    <row r="45" spans="2:36" x14ac:dyDescent="0.2">
      <c r="F45" s="31" t="s">
        <v>103</v>
      </c>
      <c r="G45" s="20">
        <f>ROUND(SUM(G32:G35)/$C$15*100, 2)</f>
        <v>4.67</v>
      </c>
      <c r="H45" s="20" t="s">
        <v>89</v>
      </c>
    </row>
    <row r="46" spans="2:36" x14ac:dyDescent="0.2">
      <c r="F46" s="26" t="s">
        <v>90</v>
      </c>
      <c r="G46" s="26">
        <f>SUM(G41:G45)</f>
        <v>99.990000000000009</v>
      </c>
      <c r="H46" s="26" t="s">
        <v>89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6">
    <mergeCell ref="B34:D34"/>
    <mergeCell ref="F40:H40"/>
    <mergeCell ref="F18:H18"/>
    <mergeCell ref="F13:H13"/>
    <mergeCell ref="J11:L11"/>
    <mergeCell ref="J16:L16"/>
    <mergeCell ref="B9:D9"/>
    <mergeCell ref="F22:H22"/>
    <mergeCell ref="B14:D14"/>
    <mergeCell ref="B20:D20"/>
    <mergeCell ref="B29:D29"/>
    <mergeCell ref="B1:D1"/>
    <mergeCell ref="B3:D3"/>
    <mergeCell ref="F3:H3"/>
    <mergeCell ref="J3:L3"/>
    <mergeCell ref="F8:H8"/>
  </mergeCells>
  <conditionalFormatting sqref="G37">
    <cfRule type="containsText" dxfId="17" priority="1" operator="containsText" text="FALSE">
      <formula>NOT(ISERROR(SEARCH("FALSE",G37)))</formula>
    </cfRule>
    <cfRule type="containsText" dxfId="16" priority="2" operator="containsText" text="TRUE">
      <formula>NOT(ISERROR(SEARCH("TRUE",G37)))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NOT(ISERROR(SEARCH("YES",G37)))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V104"/>
  <sheetViews>
    <sheetView workbookViewId="0">
      <selection activeCell="K9" sqref="K9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7.6640625" customWidth="1"/>
    <col min="11" max="11" width="14.33203125" customWidth="1"/>
    <col min="12" max="12" width="4.5" customWidth="1"/>
    <col min="13" max="13" width="6" customWidth="1"/>
    <col min="14" max="14" width="12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37" t="s">
        <v>0</v>
      </c>
      <c r="C1" s="37"/>
      <c r="D1" s="37"/>
    </row>
    <row r="2" spans="2:48" x14ac:dyDescent="0.2">
      <c r="AB2" s="6" t="s">
        <v>153</v>
      </c>
      <c r="AM2" s="6" t="s">
        <v>100</v>
      </c>
    </row>
    <row r="3" spans="2:48" x14ac:dyDescent="0.2">
      <c r="B3" s="40" t="s">
        <v>105</v>
      </c>
      <c r="C3" s="41"/>
      <c r="D3" s="41"/>
      <c r="F3" s="44" t="s">
        <v>117</v>
      </c>
      <c r="G3" s="46"/>
      <c r="H3" s="46"/>
      <c r="J3" s="21" t="s">
        <v>80</v>
      </c>
      <c r="K3" s="21"/>
      <c r="L3" s="21"/>
      <c r="N3" s="43" t="s">
        <v>143</v>
      </c>
      <c r="O3" s="43"/>
      <c r="P3" s="43"/>
      <c r="R3" s="43" t="s">
        <v>141</v>
      </c>
      <c r="S3" s="43"/>
      <c r="T3" s="43"/>
      <c r="V3" s="43" t="s">
        <v>161</v>
      </c>
      <c r="W3" s="43"/>
      <c r="X3" s="43"/>
      <c r="AB3" s="7" t="s">
        <v>70</v>
      </c>
      <c r="AC3" s="7" t="s">
        <v>71</v>
      </c>
      <c r="AD3" s="7" t="s">
        <v>72</v>
      </c>
      <c r="AE3" s="7" t="s">
        <v>73</v>
      </c>
      <c r="AF3" s="7" t="s">
        <v>74</v>
      </c>
      <c r="AG3" s="7" t="s">
        <v>75</v>
      </c>
      <c r="AH3" s="7" t="s">
        <v>76</v>
      </c>
      <c r="AI3" s="7" t="s">
        <v>77</v>
      </c>
      <c r="AJ3" s="7" t="s">
        <v>78</v>
      </c>
      <c r="AK3" s="7" t="s">
        <v>79</v>
      </c>
      <c r="AM3" s="7" t="s">
        <v>70</v>
      </c>
      <c r="AN3" s="7" t="s">
        <v>71</v>
      </c>
      <c r="AO3" s="7" t="s">
        <v>72</v>
      </c>
      <c r="AP3" s="7" t="s">
        <v>73</v>
      </c>
      <c r="AQ3" s="7" t="s">
        <v>74</v>
      </c>
      <c r="AR3" s="7" t="s">
        <v>75</v>
      </c>
      <c r="AS3" s="7" t="s">
        <v>76</v>
      </c>
      <c r="AT3" s="7" t="s">
        <v>77</v>
      </c>
      <c r="AU3" s="7" t="s">
        <v>78</v>
      </c>
      <c r="AV3" s="7" t="s">
        <v>79</v>
      </c>
    </row>
    <row r="4" spans="2:48" x14ac:dyDescent="0.2">
      <c r="B4" t="s">
        <v>59</v>
      </c>
      <c r="C4" s="1" t="s">
        <v>1</v>
      </c>
      <c r="F4" t="s">
        <v>123</v>
      </c>
      <c r="G4" s="1">
        <v>2.54</v>
      </c>
      <c r="H4" t="s">
        <v>16</v>
      </c>
      <c r="J4" s="3" t="s">
        <v>116</v>
      </c>
      <c r="K4" s="5">
        <f>C17</f>
        <v>985.92320963325619</v>
      </c>
      <c r="L4" t="s">
        <v>12</v>
      </c>
      <c r="N4" t="s">
        <v>145</v>
      </c>
      <c r="O4" s="1">
        <v>1.2</v>
      </c>
      <c r="R4" t="s">
        <v>41</v>
      </c>
      <c r="S4">
        <f xml:space="preserve"> $C$17 * $C$31</f>
        <v>9671.9066865022432</v>
      </c>
      <c r="T4" t="s">
        <v>32</v>
      </c>
      <c r="V4" t="s">
        <v>145</v>
      </c>
      <c r="W4" s="1">
        <v>1.2</v>
      </c>
      <c r="AB4" s="8">
        <v>0</v>
      </c>
      <c r="AC4" s="9">
        <v>0</v>
      </c>
      <c r="AD4" s="8">
        <f t="shared" ref="AD4:AD34" si="0" xml:space="preserve"> $S$20 * TAN($S$17) + $S$21 / (2 * SQRT($S$20^2 + AC4^2)) - AC4</f>
        <v>0.86008384190773035</v>
      </c>
      <c r="AE4" s="9">
        <v>1</v>
      </c>
      <c r="AF4" s="8">
        <f t="shared" ref="AF4:AF34" si="1" xml:space="preserve"> $S$20 * TAN($S$17) + $S$21 / (2 * SQRT($S$20^2 + AE4^2)) - AE4</f>
        <v>-0.66784338634322427</v>
      </c>
      <c r="AG4" s="8">
        <f xml:space="preserve"> (AC4 + AE4)/2</f>
        <v>0.5</v>
      </c>
      <c r="AH4" s="8">
        <f t="shared" ref="AH4:AH34" si="2" xml:space="preserve"> $S$20 * TAN($S$17) + $S$21 / (2 * SQRT($S$20^2 + AG4^2)) - AG4</f>
        <v>-0.152820074986046</v>
      </c>
      <c r="AI4" s="8">
        <f>AD4*AH4</f>
        <v>-0.13143807721462589</v>
      </c>
      <c r="AJ4" s="8">
        <f>AF4*AH4</f>
        <v>0.10205987637990642</v>
      </c>
      <c r="AK4" s="8">
        <f>AE4-AC4</f>
        <v>1</v>
      </c>
      <c r="AM4" s="8">
        <v>0</v>
      </c>
      <c r="AN4" s="8"/>
      <c r="AO4" s="8">
        <f>K18</f>
        <v>-2.2635049390373752E-10</v>
      </c>
      <c r="AP4" s="8"/>
      <c r="AQ4" s="8">
        <f>K18</f>
        <v>-2.2635049390373752E-10</v>
      </c>
      <c r="AR4" s="8"/>
      <c r="AS4" s="8">
        <f>K18</f>
        <v>-2.2635049390373752E-10</v>
      </c>
      <c r="AT4" s="8"/>
      <c r="AU4" s="8"/>
      <c r="AV4" s="8"/>
    </row>
    <row r="5" spans="2:48" x14ac:dyDescent="0.2">
      <c r="B5" t="s">
        <v>157</v>
      </c>
      <c r="C5" s="1">
        <v>6</v>
      </c>
      <c r="F5" t="s">
        <v>126</v>
      </c>
      <c r="G5" s="1">
        <v>152.4</v>
      </c>
      <c r="H5" t="s">
        <v>14</v>
      </c>
      <c r="J5" s="16" t="s">
        <v>81</v>
      </c>
      <c r="K5">
        <f xml:space="preserve"> G43 / ($C$12 * $C$13 * $C$14)</f>
        <v>129.73591586286332</v>
      </c>
      <c r="L5" t="s">
        <v>12</v>
      </c>
      <c r="N5" t="s">
        <v>144</v>
      </c>
      <c r="O5">
        <f>SQRT(2*$C$17*$C$31/($C$30*$C$21*$O$4))</f>
        <v>40.55714597381327</v>
      </c>
      <c r="P5" t="s">
        <v>16</v>
      </c>
      <c r="R5" t="s">
        <v>42</v>
      </c>
      <c r="S5">
        <f xml:space="preserve"> 0.5 * $C$30 * $C$20^2</f>
        <v>551.25</v>
      </c>
      <c r="T5" t="s">
        <v>43</v>
      </c>
      <c r="V5" t="s">
        <v>144</v>
      </c>
      <c r="W5">
        <f>SQRT(2*$C$17*$C$31/($C$30*$C$21*$W$4))</f>
        <v>40.55714597381327</v>
      </c>
      <c r="X5" t="s">
        <v>16</v>
      </c>
      <c r="AB5" s="8">
        <v>1</v>
      </c>
      <c r="AC5" s="8">
        <f>IF(AI4&gt;0, AG4, AC4)</f>
        <v>0</v>
      </c>
      <c r="AD5" s="8">
        <f t="shared" si="0"/>
        <v>0.86008384190773035</v>
      </c>
      <c r="AE5" s="8">
        <f>IF(AJ4&gt;0, AG4, AE4)</f>
        <v>0.5</v>
      </c>
      <c r="AF5" s="8">
        <f t="shared" si="1"/>
        <v>-0.152820074986046</v>
      </c>
      <c r="AG5" s="8">
        <f t="shared" ref="AG5:AG34" si="3" xml:space="preserve"> (AC5 + AE5)/2</f>
        <v>0.25</v>
      </c>
      <c r="AH5" s="8">
        <f t="shared" si="2"/>
        <v>0.12698615556723597</v>
      </c>
      <c r="AI5" s="8">
        <f t="shared" ref="AI5:AI34" si="4">AD5*AH5</f>
        <v>0.10921874054936104</v>
      </c>
      <c r="AJ5" s="8">
        <f t="shared" ref="AJ5:AJ34" si="5">AF5*AH5</f>
        <v>-1.9406033815974704E-2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 ca="1"/>
        <v>-236.23054480850664</v>
      </c>
      <c r="AP5" s="9">
        <v>2500</v>
      </c>
      <c r="AQ5" s="8">
        <f t="dataTable" ref="AQ5:AQ44" dt2D="0" dtr="0" r1="C17" ca="1"/>
        <v>214.29487016175017</v>
      </c>
      <c r="AR5" s="8">
        <f>(AN5+AP5)/2</f>
        <v>1500</v>
      </c>
      <c r="AS5" s="8">
        <f t="dataTable" ref="AS5:AS44" dt2D="0" dtr="0" r1="C17"/>
        <v>165.85720253140209</v>
      </c>
      <c r="AT5" s="8">
        <f>AO5*AS5</f>
        <v>-39180.537314407942</v>
      </c>
      <c r="AU5" s="8">
        <f>AQ5*AS5</f>
        <v>35542.347681857915</v>
      </c>
      <c r="AV5" s="8">
        <f>AP5-AN5</f>
        <v>2000</v>
      </c>
    </row>
    <row r="6" spans="2:48" x14ac:dyDescent="0.2">
      <c r="B6" t="s">
        <v>158</v>
      </c>
      <c r="C6" s="1">
        <v>1</v>
      </c>
      <c r="F6" t="s">
        <v>119</v>
      </c>
      <c r="G6">
        <f xml:space="preserve"> ($C$17*$C$31)/$C$9 * ( ($G$4/2) + SQRT( ($G$4/2)^2 + ($C$17*$C$31)/(2*$C$30*$C$5*PI()*$C$18*$C$18 ) ) )</f>
        <v>203721.50088755533</v>
      </c>
      <c r="H6" t="s">
        <v>30</v>
      </c>
      <c r="J6" s="12" t="s">
        <v>82</v>
      </c>
      <c r="K6">
        <f xml:space="preserve"> $C$33 * ($C$5 * 0.144 * (2*$C$18*3.28084 * (G6*0.00134102/$C$5) * 4^0.5)^0.782 * 0.453592 + C6 * $C$6 * 0.144 * (2*$C$19*3.28084 * (G22*0.00134102/$C$6) * 4^0.5)^0.782 * 0.453592)</f>
        <v>54.712436738785961</v>
      </c>
      <c r="L6" t="s">
        <v>12</v>
      </c>
      <c r="N6" t="s">
        <v>42</v>
      </c>
      <c r="O6">
        <f>0.5*$C$30*$G$13^2</f>
        <v>547.29839500000003</v>
      </c>
      <c r="P6" t="s">
        <v>43</v>
      </c>
      <c r="R6" t="s">
        <v>61</v>
      </c>
      <c r="S6">
        <f xml:space="preserve"> 1.6 * ($C$17*2.20462/1000)^(2/3) * 0.3048^2</f>
        <v>0.24942183132011797</v>
      </c>
      <c r="T6" t="s">
        <v>18</v>
      </c>
      <c r="V6" t="s">
        <v>42</v>
      </c>
      <c r="W6">
        <f>0.5*$C$30*$G$28^2</f>
        <v>549.8274222</v>
      </c>
      <c r="X6" t="s">
        <v>43</v>
      </c>
      <c r="AB6" s="8">
        <v>2</v>
      </c>
      <c r="AC6" s="8">
        <f t="shared" ref="AC6:AC34" si="7">IF(AI5&gt;0, AG5, AC5)</f>
        <v>0.25</v>
      </c>
      <c r="AD6" s="8">
        <f t="shared" si="0"/>
        <v>0.12698615556723597</v>
      </c>
      <c r="AE6" s="8">
        <f t="shared" ref="AE6:AE34" si="8">IF(AJ5&gt;0, AG5, AE5)</f>
        <v>0.5</v>
      </c>
      <c r="AF6" s="8">
        <f t="shared" si="1"/>
        <v>-0.152820074986046</v>
      </c>
      <c r="AG6" s="8">
        <f t="shared" si="3"/>
        <v>0.375</v>
      </c>
      <c r="AH6" s="8">
        <f t="shared" si="2"/>
        <v>-1.7840759732592026E-2</v>
      </c>
      <c r="AI6" s="8">
        <f t="shared" si="4"/>
        <v>-2.2655294908406104E-3</v>
      </c>
      <c r="AJ6" s="8">
        <f t="shared" si="5"/>
        <v>2.7264262401427435E-3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-236.23054480850664</v>
      </c>
      <c r="AP6" s="8">
        <f>IF(AU5&gt;0,AR5,AP5)</f>
        <v>1500</v>
      </c>
      <c r="AQ6" s="8">
        <v>165.85720253140209</v>
      </c>
      <c r="AR6" s="8">
        <f t="shared" ref="AR6:AR44" si="9">(AN6+AP6)/2</f>
        <v>1000</v>
      </c>
      <c r="AS6" s="8">
        <v>5.6830572744721621</v>
      </c>
      <c r="AT6" s="8">
        <f t="shared" ref="AT6:AT44" si="10">AO6*AS6</f>
        <v>-1342.5117161265057</v>
      </c>
      <c r="AU6" s="8">
        <f t="shared" ref="AU6:AU44" si="11">AQ6*AS6</f>
        <v>942.57598136968738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31</v>
      </c>
      <c r="G7">
        <f xml:space="preserve"> $C$17 * $C$31 / $C$5</f>
        <v>1611.9844477503739</v>
      </c>
      <c r="H7" t="s">
        <v>32</v>
      </c>
      <c r="J7" s="13" t="s">
        <v>83</v>
      </c>
      <c r="K7">
        <f xml:space="preserve"> 0.2138 * (G6/1000) + 0.2138 * (G22/1000)</f>
        <v>51.383459439062548</v>
      </c>
      <c r="L7" t="s">
        <v>12</v>
      </c>
      <c r="N7" t="s">
        <v>148</v>
      </c>
      <c r="O7">
        <f xml:space="preserve"> $C$17 * $C$31</f>
        <v>9671.9066865022432</v>
      </c>
      <c r="P7" t="s">
        <v>32</v>
      </c>
      <c r="R7" t="s">
        <v>62</v>
      </c>
      <c r="S7">
        <f xml:space="preserve"> S6 / $C$21</f>
        <v>3.1177728915014746E-2</v>
      </c>
      <c r="V7" t="s">
        <v>148</v>
      </c>
      <c r="W7">
        <f xml:space="preserve"> $C$17 * $C$31</f>
        <v>9671.9066865022432</v>
      </c>
      <c r="X7" t="s">
        <v>32</v>
      </c>
      <c r="AB7" s="8">
        <v>3</v>
      </c>
      <c r="AC7" s="8">
        <f t="shared" si="7"/>
        <v>0.25</v>
      </c>
      <c r="AD7" s="8">
        <f t="shared" si="0"/>
        <v>0.12698615556723597</v>
      </c>
      <c r="AE7" s="8">
        <f t="shared" si="8"/>
        <v>0.375</v>
      </c>
      <c r="AF7" s="8">
        <f t="shared" si="1"/>
        <v>-1.7840759732592026E-2</v>
      </c>
      <c r="AG7" s="8">
        <f t="shared" si="3"/>
        <v>0.3125</v>
      </c>
      <c r="AH7" s="8">
        <f t="shared" si="2"/>
        <v>5.2613899363630701E-2</v>
      </c>
      <c r="AI7" s="8">
        <f t="shared" si="4"/>
        <v>6.6812368095889056E-3</v>
      </c>
      <c r="AJ7" s="8">
        <f t="shared" si="5"/>
        <v>-9.386719371413119E-4</v>
      </c>
      <c r="AK7" s="8">
        <f t="shared" si="6"/>
        <v>0.125</v>
      </c>
      <c r="AM7" s="8">
        <v>3</v>
      </c>
      <c r="AN7" s="8">
        <f t="shared" ref="AN7:AN44" si="13">IF(AT6&gt;0,AR6,AN6)</f>
        <v>500</v>
      </c>
      <c r="AO7" s="8">
        <v>-236.23054480850664</v>
      </c>
      <c r="AP7" s="8">
        <f t="shared" ref="AP7:AP44" si="14">IF(AU6&gt;0,AR6,AP6)</f>
        <v>1000</v>
      </c>
      <c r="AQ7" s="8">
        <v>5.6830572744721621</v>
      </c>
      <c r="AR7" s="8">
        <f t="shared" si="9"/>
        <v>750</v>
      </c>
      <c r="AS7" s="8">
        <v>-104.56667748350969</v>
      </c>
      <c r="AT7" s="8">
        <f t="shared" si="10"/>
        <v>24701.843190744898</v>
      </c>
      <c r="AU7" s="8">
        <f t="shared" si="11"/>
        <v>-594.25841714004423</v>
      </c>
      <c r="AV7" s="8">
        <f t="shared" si="12"/>
        <v>500</v>
      </c>
    </row>
    <row r="8" spans="2:48" x14ac:dyDescent="0.2">
      <c r="B8" t="s">
        <v>164</v>
      </c>
      <c r="C8" s="1">
        <v>0.13</v>
      </c>
      <c r="F8" t="s">
        <v>127</v>
      </c>
      <c r="G8">
        <f xml:space="preserve"> $G$5/$G$4</f>
        <v>60</v>
      </c>
      <c r="H8" t="s">
        <v>23</v>
      </c>
      <c r="J8" s="13" t="s">
        <v>114</v>
      </c>
      <c r="K8">
        <f>2.20462 * (49.9/398 * (G6/$C$5/1000 -2) + 0.1) * $C$5 * 0.453592 + 2.20462 * (49.9/398 * (G21/1000 -2) + 0.1) * 0.453592 * $C$6</f>
        <v>29.077022921668039</v>
      </c>
      <c r="L8" t="s">
        <v>12</v>
      </c>
      <c r="N8" t="s">
        <v>146</v>
      </c>
      <c r="O8">
        <f>IF($G$13&lt;O5,O6*$C$21*$O$4,O7)</f>
        <v>5254.0645919999997</v>
      </c>
      <c r="P8" t="s">
        <v>32</v>
      </c>
      <c r="R8" t="s">
        <v>63</v>
      </c>
      <c r="S8">
        <f xml:space="preserve"> S5 * $C$21 * S7</f>
        <v>137.49378451521503</v>
      </c>
      <c r="T8" t="s">
        <v>32</v>
      </c>
      <c r="V8" t="s">
        <v>146</v>
      </c>
      <c r="W8">
        <f>IF($G$28&lt;W5,W6*$C$21*$W$4,W7)</f>
        <v>5278.3432531199996</v>
      </c>
      <c r="X8" t="s">
        <v>32</v>
      </c>
      <c r="AB8" s="8">
        <v>4</v>
      </c>
      <c r="AC8" s="8">
        <f t="shared" si="7"/>
        <v>0.3125</v>
      </c>
      <c r="AD8" s="8">
        <f t="shared" si="0"/>
        <v>5.2613899363630701E-2</v>
      </c>
      <c r="AE8" s="8">
        <f t="shared" si="8"/>
        <v>0.375</v>
      </c>
      <c r="AF8" s="8">
        <f t="shared" si="1"/>
        <v>-1.7840759732592026E-2</v>
      </c>
      <c r="AG8" s="8">
        <f t="shared" si="3"/>
        <v>0.34375</v>
      </c>
      <c r="AH8" s="8">
        <f t="shared" si="2"/>
        <v>1.7028523453855471E-2</v>
      </c>
      <c r="AI8" s="8">
        <f t="shared" si="4"/>
        <v>8.9593701931237686E-4</v>
      </c>
      <c r="AJ8" s="8">
        <f t="shared" si="5"/>
        <v>-3.038017955410436E-4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-104.56667748350969</v>
      </c>
      <c r="AP8" s="8">
        <f t="shared" si="14"/>
        <v>1000</v>
      </c>
      <c r="AQ8" s="8">
        <v>5.6830572744721621</v>
      </c>
      <c r="AR8" s="8">
        <f t="shared" si="9"/>
        <v>875</v>
      </c>
      <c r="AS8" s="8">
        <v>-46.969450092728152</v>
      </c>
      <c r="AT8" s="8">
        <f t="shared" si="10"/>
        <v>4911.4393394241088</v>
      </c>
      <c r="AU8" s="8">
        <f t="shared" si="11"/>
        <v>-266.93007502743592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J9" s="14" t="s">
        <v>91</v>
      </c>
      <c r="K9">
        <f xml:space="preserve"> $C$33 * (14.86 * ($C$17*2.20462)^0.144 * (6.7/(PI()*1.8))^0.778 * (6.7*3.28084)^0.383 * 4^0.455 * 0.453592)</f>
        <v>114.17616546731205</v>
      </c>
      <c r="L9" t="s">
        <v>12</v>
      </c>
      <c r="N9" t="s">
        <v>147</v>
      </c>
      <c r="O9">
        <f>O7-O8</f>
        <v>4417.8420945022435</v>
      </c>
      <c r="P9" t="s">
        <v>32</v>
      </c>
      <c r="R9" t="s">
        <v>64</v>
      </c>
      <c r="S9">
        <f xml:space="preserve"> 1.78 * (1 - 0.045 * $C$22^0.68) - 0.64</f>
        <v>0.75661729604956662</v>
      </c>
      <c r="V9" t="s">
        <v>147</v>
      </c>
      <c r="W9">
        <f>W7-W8</f>
        <v>4393.5634333822436</v>
      </c>
      <c r="X9" t="s">
        <v>32</v>
      </c>
      <c r="AB9" s="8">
        <v>5</v>
      </c>
      <c r="AC9" s="8">
        <f t="shared" si="7"/>
        <v>0.34375</v>
      </c>
      <c r="AD9" s="8">
        <f t="shared" si="0"/>
        <v>1.7028523453855471E-2</v>
      </c>
      <c r="AE9" s="8">
        <f t="shared" si="8"/>
        <v>0.375</v>
      </c>
      <c r="AF9" s="8">
        <f t="shared" si="1"/>
        <v>-1.7840759732592026E-2</v>
      </c>
      <c r="AG9" s="8">
        <f t="shared" si="3"/>
        <v>0.359375</v>
      </c>
      <c r="AH9" s="8">
        <f t="shared" si="2"/>
        <v>-4.8409818153960504E-4</v>
      </c>
      <c r="AI9" s="8">
        <f t="shared" si="4"/>
        <v>-8.2434772383159473E-6</v>
      </c>
      <c r="AJ9" s="8">
        <f t="shared" si="5"/>
        <v>8.6366793438328104E-6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-46.969450092728152</v>
      </c>
      <c r="AP9" s="8">
        <f t="shared" si="14"/>
        <v>1000</v>
      </c>
      <c r="AQ9" s="8">
        <v>5.6830572744721621</v>
      </c>
      <c r="AR9" s="8">
        <f t="shared" si="9"/>
        <v>937.5</v>
      </c>
      <c r="AS9" s="8">
        <v>-20.027242441461681</v>
      </c>
      <c r="AT9" s="8">
        <f t="shared" si="10"/>
        <v>940.66856434920157</v>
      </c>
      <c r="AU9" s="8">
        <f t="shared" si="11"/>
        <v>-113.81596584456643</v>
      </c>
      <c r="AV9" s="8">
        <f t="shared" si="12"/>
        <v>125</v>
      </c>
    </row>
    <row r="10" spans="2:48" x14ac:dyDescent="0.2">
      <c r="F10" s="44" t="s">
        <v>131</v>
      </c>
      <c r="G10" s="46"/>
      <c r="H10" s="46"/>
      <c r="J10" s="14" t="s">
        <v>92</v>
      </c>
      <c r="K10">
        <f xml:space="preserve"> $C$33 * (0.054 * (0.7*3.28084)^0.501 * ($C$17*2.20462*5.7)^0.684 * 0.453592)</f>
        <v>18.736959461558644</v>
      </c>
      <c r="L10" t="s">
        <v>12</v>
      </c>
      <c r="N10" t="s">
        <v>61</v>
      </c>
      <c r="O10">
        <f xml:space="preserve"> 1.6 * ($C$17*2.20462/1000)^(2/3) * 0.3048^2</f>
        <v>0.24942183132011797</v>
      </c>
      <c r="P10" t="s">
        <v>18</v>
      </c>
      <c r="R10" t="s">
        <v>44</v>
      </c>
      <c r="S10">
        <f xml:space="preserve"> S4 / (S5 * $C$21)</f>
        <v>2.193176119388264</v>
      </c>
      <c r="V10" t="s">
        <v>61</v>
      </c>
      <c r="W10">
        <f xml:space="preserve"> 1.6 * ($C$17*2.20462/1000)^(2/3) * 0.3048^2</f>
        <v>0.24942183132011797</v>
      </c>
      <c r="X10" t="s">
        <v>18</v>
      </c>
      <c r="AB10" s="8">
        <v>6</v>
      </c>
      <c r="AC10" s="8">
        <f t="shared" si="7"/>
        <v>0.34375</v>
      </c>
      <c r="AD10" s="8">
        <f t="shared" si="0"/>
        <v>1.7028523453855471E-2</v>
      </c>
      <c r="AE10" s="8">
        <f t="shared" si="8"/>
        <v>0.359375</v>
      </c>
      <c r="AF10" s="8">
        <f t="shared" si="1"/>
        <v>-4.8409818153960504E-4</v>
      </c>
      <c r="AG10" s="8">
        <f t="shared" si="3"/>
        <v>0.3515625</v>
      </c>
      <c r="AH10" s="8">
        <f t="shared" si="2"/>
        <v>8.2514338209443427E-3</v>
      </c>
      <c r="AI10" s="8">
        <f t="shared" si="4"/>
        <v>1.40509734347887E-4</v>
      </c>
      <c r="AJ10" s="8">
        <f t="shared" si="5"/>
        <v>-3.9945041078135517E-6</v>
      </c>
      <c r="AK10" s="8">
        <f t="shared" si="6"/>
        <v>1.5625E-2</v>
      </c>
      <c r="AM10" s="8">
        <v>6</v>
      </c>
      <c r="AN10" s="8">
        <f t="shared" si="13"/>
        <v>937.5</v>
      </c>
      <c r="AO10" s="8">
        <v>-20.027242441461681</v>
      </c>
      <c r="AP10" s="8">
        <f t="shared" si="14"/>
        <v>1000</v>
      </c>
      <c r="AQ10" s="8">
        <v>5.6830572744721621</v>
      </c>
      <c r="AR10" s="8">
        <f t="shared" si="9"/>
        <v>968.75</v>
      </c>
      <c r="AS10" s="8">
        <v>-7.0179401049352919</v>
      </c>
      <c r="AT10" s="8">
        <f t="shared" si="10"/>
        <v>140.54998792119611</v>
      </c>
      <c r="AU10" s="8">
        <f t="shared" si="11"/>
        <v>-39.883355565162439</v>
      </c>
      <c r="AV10" s="8">
        <f t="shared" si="12"/>
        <v>62.5</v>
      </c>
    </row>
    <row r="11" spans="2:48" x14ac:dyDescent="0.2">
      <c r="B11" s="38" t="s">
        <v>6</v>
      </c>
      <c r="C11" s="39"/>
      <c r="D11" s="39"/>
      <c r="F11" t="s">
        <v>133</v>
      </c>
      <c r="G11" s="1">
        <v>2.54</v>
      </c>
      <c r="H11" t="s">
        <v>16</v>
      </c>
      <c r="J11" s="14" t="s">
        <v>84</v>
      </c>
      <c r="K11">
        <f xml:space="preserve"> $C$33 * (0.04674 * ($C$17*2.20462)^0.397 * ($C$21*3.28084^2)^0.36 * 3^0.397 * $C$22^1.712 * 0.453592)</f>
        <v>142.01756254100803</v>
      </c>
      <c r="L11" t="s">
        <v>12</v>
      </c>
      <c r="N11" t="s">
        <v>62</v>
      </c>
      <c r="O11">
        <f xml:space="preserve"> O10 / $C$21</f>
        <v>3.1177728915014746E-2</v>
      </c>
      <c r="R11" t="s">
        <v>65</v>
      </c>
      <c r="S11">
        <f xml:space="preserve"> S7 + S10^2 / ( PI() * S9 * $C$22 )</f>
        <v>0.23353596222873835</v>
      </c>
      <c r="V11" t="s">
        <v>62</v>
      </c>
      <c r="W11">
        <f xml:space="preserve"> W10 / $C$21</f>
        <v>3.1177728915014746E-2</v>
      </c>
      <c r="AB11" s="8">
        <v>7</v>
      </c>
      <c r="AC11" s="8">
        <f t="shared" si="7"/>
        <v>0.3515625</v>
      </c>
      <c r="AD11" s="8">
        <f t="shared" si="0"/>
        <v>8.2514338209443427E-3</v>
      </c>
      <c r="AE11" s="8">
        <f t="shared" si="8"/>
        <v>0.359375</v>
      </c>
      <c r="AF11" s="8">
        <f t="shared" si="1"/>
        <v>-4.8409818153960504E-4</v>
      </c>
      <c r="AG11" s="8">
        <f t="shared" si="3"/>
        <v>0.35546875</v>
      </c>
      <c r="AH11" s="8">
        <f t="shared" si="2"/>
        <v>3.878642275236599E-3</v>
      </c>
      <c r="AI11" s="8">
        <f t="shared" si="4"/>
        <v>3.200436004923179E-5</v>
      </c>
      <c r="AJ11" s="8">
        <f t="shared" si="5"/>
        <v>-1.8776436722846739E-6</v>
      </c>
      <c r="AK11" s="8">
        <f t="shared" si="6"/>
        <v>7.8125E-3</v>
      </c>
      <c r="AM11" s="8">
        <v>7</v>
      </c>
      <c r="AN11" s="8">
        <f t="shared" si="13"/>
        <v>968.75</v>
      </c>
      <c r="AO11" s="8">
        <v>-7.0179401049352919</v>
      </c>
      <c r="AP11" s="8">
        <f t="shared" si="14"/>
        <v>1000</v>
      </c>
      <c r="AQ11" s="8">
        <v>5.6830572744721621</v>
      </c>
      <c r="AR11" s="8">
        <f t="shared" si="9"/>
        <v>984.375</v>
      </c>
      <c r="AS11" s="8">
        <v>-0.62886459945548268</v>
      </c>
      <c r="AT11" s="8">
        <f t="shared" si="10"/>
        <v>4.4133340930927005</v>
      </c>
      <c r="AU11" s="8">
        <f t="shared" si="11"/>
        <v>-3.5738735365935033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132</v>
      </c>
      <c r="G12" s="1">
        <v>304.8</v>
      </c>
      <c r="H12" t="s">
        <v>14</v>
      </c>
      <c r="J12" s="14" t="s">
        <v>93</v>
      </c>
      <c r="K12">
        <f xml:space="preserve"> $C$33 * 0</f>
        <v>0</v>
      </c>
      <c r="L12" t="s">
        <v>12</v>
      </c>
      <c r="N12" t="s">
        <v>63</v>
      </c>
      <c r="O12">
        <f xml:space="preserve"> O6*O11*$C$21</f>
        <v>136.5081679594613</v>
      </c>
      <c r="P12" t="s">
        <v>32</v>
      </c>
      <c r="R12" t="s">
        <v>66</v>
      </c>
      <c r="S12">
        <f xml:space="preserve"> S5 * S11 * $C$21</f>
        <v>1029.893593428736</v>
      </c>
      <c r="T12" t="s">
        <v>32</v>
      </c>
      <c r="V12" t="s">
        <v>63</v>
      </c>
      <c r="W12">
        <f xml:space="preserve"> W6*W11*$C$21</f>
        <v>137.13896255514368</v>
      </c>
      <c r="X12" t="s">
        <v>32</v>
      </c>
      <c r="AB12" s="8">
        <v>8</v>
      </c>
      <c r="AC12" s="8">
        <f t="shared" si="7"/>
        <v>0.35546875</v>
      </c>
      <c r="AD12" s="8">
        <f t="shared" si="0"/>
        <v>3.878642275236599E-3</v>
      </c>
      <c r="AE12" s="8">
        <f t="shared" si="8"/>
        <v>0.359375</v>
      </c>
      <c r="AF12" s="8">
        <f t="shared" si="1"/>
        <v>-4.8409818153960504E-4</v>
      </c>
      <c r="AG12" s="8">
        <f t="shared" si="3"/>
        <v>0.357421875</v>
      </c>
      <c r="AH12" s="8">
        <f t="shared" si="2"/>
        <v>1.6960360091308191E-3</v>
      </c>
      <c r="AI12" s="8">
        <f t="shared" si="4"/>
        <v>6.5783169653383615E-6</v>
      </c>
      <c r="AJ12" s="8">
        <f t="shared" si="5"/>
        <v>-8.2104794784591849E-7</v>
      </c>
      <c r="AK12" s="8">
        <f t="shared" si="6"/>
        <v>3.90625E-3</v>
      </c>
      <c r="AM12" s="8">
        <v>8</v>
      </c>
      <c r="AN12" s="8">
        <f t="shared" si="13"/>
        <v>984.375</v>
      </c>
      <c r="AO12" s="8">
        <v>-0.62886459945548268</v>
      </c>
      <c r="AP12" s="8">
        <f t="shared" si="14"/>
        <v>1000</v>
      </c>
      <c r="AQ12" s="8">
        <v>5.6830572744721621</v>
      </c>
      <c r="AR12" s="8">
        <f t="shared" si="9"/>
        <v>992.1875</v>
      </c>
      <c r="AS12" s="8">
        <v>2.5367463957263681</v>
      </c>
      <c r="AT12" s="8">
        <f t="shared" si="10"/>
        <v>-1.5952700060686018</v>
      </c>
      <c r="AU12" s="8">
        <f t="shared" si="11"/>
        <v>14.416475057723774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134</v>
      </c>
      <c r="G13" s="47">
        <f>SQRT($C$20^2-$G$11^2)</f>
        <v>29.892279939810546</v>
      </c>
      <c r="H13" t="s">
        <v>16</v>
      </c>
      <c r="J13" s="14" t="s">
        <v>94</v>
      </c>
      <c r="K13">
        <f xml:space="preserve"> $C$33 * 0</f>
        <v>0</v>
      </c>
      <c r="L13" t="s">
        <v>12</v>
      </c>
      <c r="N13" t="s">
        <v>64</v>
      </c>
      <c r="O13">
        <f xml:space="preserve"> 1.78 * (1 - 0.045 * $C$22^0.68) - 0.64</f>
        <v>0.75661729604956662</v>
      </c>
      <c r="R13" t="s">
        <v>113</v>
      </c>
      <c r="S13">
        <f>S10/S11</f>
        <v>9.3911708434872363</v>
      </c>
      <c r="V13" t="s">
        <v>64</v>
      </c>
      <c r="W13">
        <f xml:space="preserve"> 1.78 * (1 - 0.045 * $C$22^0.68) - 0.64</f>
        <v>0.75661729604956662</v>
      </c>
      <c r="AB13" s="8">
        <v>9</v>
      </c>
      <c r="AC13" s="8">
        <f t="shared" si="7"/>
        <v>0.357421875</v>
      </c>
      <c r="AD13" s="8">
        <f t="shared" si="0"/>
        <v>1.6960360091308191E-3</v>
      </c>
      <c r="AE13" s="8">
        <f t="shared" si="8"/>
        <v>0.359375</v>
      </c>
      <c r="AF13" s="8">
        <f t="shared" si="1"/>
        <v>-4.8409818153960504E-4</v>
      </c>
      <c r="AG13" s="8">
        <f t="shared" si="3"/>
        <v>0.3583984375</v>
      </c>
      <c r="AH13" s="8">
        <f t="shared" si="2"/>
        <v>6.0566240013121275E-4</v>
      </c>
      <c r="AI13" s="8">
        <f t="shared" si="4"/>
        <v>1.0272252399991354E-6</v>
      </c>
      <c r="AJ13" s="8">
        <f t="shared" si="5"/>
        <v>-2.9320006653043276E-7</v>
      </c>
      <c r="AK13" s="8">
        <f t="shared" si="6"/>
        <v>1.953125E-3</v>
      </c>
      <c r="AM13" s="8">
        <v>9</v>
      </c>
      <c r="AN13" s="8">
        <f t="shared" si="13"/>
        <v>984.375</v>
      </c>
      <c r="AO13" s="8">
        <v>-0.62886459945548268</v>
      </c>
      <c r="AP13" s="8">
        <f t="shared" si="14"/>
        <v>992.1875</v>
      </c>
      <c r="AQ13" s="8">
        <v>2.5367463957263681</v>
      </c>
      <c r="AR13" s="8">
        <f t="shared" si="9"/>
        <v>988.28125</v>
      </c>
      <c r="AS13" s="8">
        <v>0.95635260535470934</v>
      </c>
      <c r="AT13" s="8">
        <f t="shared" si="10"/>
        <v>-0.60141629810459662</v>
      </c>
      <c r="AU13" s="8">
        <f t="shared" si="11"/>
        <v>2.4260240246770808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135</v>
      </c>
      <c r="G14">
        <f>$G$13 * ($G$12/$G$11)</f>
        <v>3587.0735927772657</v>
      </c>
      <c r="H14" t="s">
        <v>14</v>
      </c>
      <c r="J14" s="15" t="s">
        <v>95</v>
      </c>
      <c r="K14">
        <f xml:space="preserve"> $C$33 * (0.0268 * $C$17)</f>
        <v>21.138193614537016</v>
      </c>
      <c r="L14" t="s">
        <v>12</v>
      </c>
      <c r="N14" t="s">
        <v>150</v>
      </c>
      <c r="O14">
        <f xml:space="preserve"> O8 / (O6 * $C$21)</f>
        <v>1.2</v>
      </c>
      <c r="V14" t="s">
        <v>150</v>
      </c>
      <c r="W14">
        <f xml:space="preserve"> W8 / (W6 * $C$21)</f>
        <v>1.2</v>
      </c>
      <c r="AB14" s="8">
        <v>10</v>
      </c>
      <c r="AC14" s="8">
        <f t="shared" si="7"/>
        <v>0.3583984375</v>
      </c>
      <c r="AD14" s="8">
        <f t="shared" si="0"/>
        <v>6.0566240013121275E-4</v>
      </c>
      <c r="AE14" s="8">
        <f t="shared" si="8"/>
        <v>0.359375</v>
      </c>
      <c r="AF14" s="8">
        <f t="shared" si="1"/>
        <v>-4.8409818153960504E-4</v>
      </c>
      <c r="AG14" s="8">
        <f t="shared" si="3"/>
        <v>0.35888671875</v>
      </c>
      <c r="AH14" s="8">
        <f t="shared" si="2"/>
        <v>6.0705789923676257E-5</v>
      </c>
      <c r="AI14" s="8">
        <f t="shared" si="4"/>
        <v>3.6767214427034952E-8</v>
      </c>
      <c r="AJ14" s="8">
        <f t="shared" si="5"/>
        <v>-2.9387562510976954E-8</v>
      </c>
      <c r="AK14" s="8">
        <f t="shared" si="6"/>
        <v>9.765625E-4</v>
      </c>
      <c r="AM14" s="8">
        <v>10</v>
      </c>
      <c r="AN14" s="8">
        <f t="shared" si="13"/>
        <v>984.375</v>
      </c>
      <c r="AO14" s="8">
        <v>-0.62886459945548268</v>
      </c>
      <c r="AP14" s="8">
        <f t="shared" si="14"/>
        <v>988.28125</v>
      </c>
      <c r="AQ14" s="8">
        <v>0.95635260535470934</v>
      </c>
      <c r="AR14" s="8">
        <f t="shared" si="9"/>
        <v>986.328125</v>
      </c>
      <c r="AS14" s="8">
        <v>0.16434680350641884</v>
      </c>
      <c r="AT14" s="8">
        <f t="shared" si="10"/>
        <v>-0.103351886758853</v>
      </c>
      <c r="AU14" s="8">
        <f t="shared" si="11"/>
        <v>0.15717349371508213</v>
      </c>
      <c r="AV14" s="8">
        <f t="shared" si="12"/>
        <v>3.90625</v>
      </c>
    </row>
    <row r="15" spans="2:48" x14ac:dyDescent="0.2">
      <c r="F15" t="s">
        <v>155</v>
      </c>
      <c r="G15">
        <f xml:space="preserve"> (O9)/$C$9 * ( ($G$11/2) + SQRT( ($G$11/2)^2 + (O9)/(2*$C$30*$C$5*PI()*$C$18*$C$18 ) ) )</f>
        <v>65577.524574721494</v>
      </c>
      <c r="H15" t="s">
        <v>30</v>
      </c>
      <c r="J15" s="15" t="s">
        <v>96</v>
      </c>
      <c r="K15">
        <f xml:space="preserve"> $C$33 * (11.5 * ($C$17*2.20462/1000)^0.4 * 0.453592)</f>
        <v>5.6927740539402416</v>
      </c>
      <c r="L15" t="s">
        <v>12</v>
      </c>
      <c r="N15" t="s">
        <v>149</v>
      </c>
      <c r="O15">
        <f xml:space="preserve"> O11 + O14^2 / (PI() * O13 * $C$22)</f>
        <v>9.1758717282300312E-2</v>
      </c>
      <c r="V15" t="s">
        <v>149</v>
      </c>
      <c r="W15">
        <f xml:space="preserve"> W11 + W14^2 / (PI() * W13 * $C$22)</f>
        <v>9.1758717282300312E-2</v>
      </c>
      <c r="AB15" s="8">
        <v>11</v>
      </c>
      <c r="AC15" s="8">
        <f t="shared" si="7"/>
        <v>0.35888671875</v>
      </c>
      <c r="AD15" s="8">
        <f t="shared" si="0"/>
        <v>6.0705789923676257E-5</v>
      </c>
      <c r="AE15" s="8">
        <f t="shared" si="8"/>
        <v>0.359375</v>
      </c>
      <c r="AF15" s="8">
        <f t="shared" si="1"/>
        <v>-4.8409818153960504E-4</v>
      </c>
      <c r="AG15" s="8">
        <f t="shared" si="3"/>
        <v>0.359130859375</v>
      </c>
      <c r="AH15" s="8">
        <f t="shared" si="2"/>
        <v>-2.1171523720159291E-4</v>
      </c>
      <c r="AI15" s="8">
        <f t="shared" si="4"/>
        <v>-1.2852340713201188E-8</v>
      </c>
      <c r="AJ15" s="8">
        <f t="shared" si="5"/>
        <v>1.0249096133351727E-7</v>
      </c>
      <c r="AK15" s="8">
        <f t="shared" si="6"/>
        <v>4.8828125E-4</v>
      </c>
      <c r="AM15" s="8">
        <v>11</v>
      </c>
      <c r="AN15" s="8">
        <f t="shared" si="13"/>
        <v>984.375</v>
      </c>
      <c r="AO15" s="8">
        <v>-0.62886459945548268</v>
      </c>
      <c r="AP15" s="8">
        <f t="shared" si="14"/>
        <v>986.328125</v>
      </c>
      <c r="AQ15" s="8">
        <v>0.16434680350641884</v>
      </c>
      <c r="AR15" s="8">
        <f t="shared" si="9"/>
        <v>985.3515625</v>
      </c>
      <c r="AS15" s="8">
        <v>-0.23210818413247125</v>
      </c>
      <c r="AT15" s="8">
        <f t="shared" si="10"/>
        <v>0.14596462024480594</v>
      </c>
      <c r="AU15" s="8">
        <f t="shared" si="11"/>
        <v>-3.8146238129850935E-2</v>
      </c>
      <c r="AV15" s="8">
        <f t="shared" si="12"/>
        <v>1.953125</v>
      </c>
    </row>
    <row r="16" spans="2:48" x14ac:dyDescent="0.2">
      <c r="B16" s="40" t="s">
        <v>11</v>
      </c>
      <c r="C16" s="40"/>
      <c r="D16" s="40"/>
      <c r="F16" t="s">
        <v>156</v>
      </c>
      <c r="G16">
        <f>O26 + O21 * (O31 * O28 + $G$13 * SIN(O20))</f>
        <v>13359.265637347033</v>
      </c>
      <c r="H16" t="s">
        <v>30</v>
      </c>
      <c r="J16" s="15" t="s">
        <v>97</v>
      </c>
      <c r="K16">
        <f xml:space="preserve"> $C$33 * (8 * ($C$17/1000))</f>
        <v>6.30990854165284</v>
      </c>
      <c r="L16" t="s">
        <v>12</v>
      </c>
      <c r="N16" t="s">
        <v>151</v>
      </c>
      <c r="O16">
        <f xml:space="preserve"> O6 * $C$21 * O15</f>
        <v>401.75518956689382</v>
      </c>
      <c r="P16" t="s">
        <v>32</v>
      </c>
      <c r="R16" s="44" t="s">
        <v>142</v>
      </c>
      <c r="S16" s="45"/>
      <c r="T16" s="45"/>
      <c r="V16" t="s">
        <v>151</v>
      </c>
      <c r="W16">
        <f xml:space="preserve"> W6 * $C$21 * W15</f>
        <v>403.61167190164616</v>
      </c>
      <c r="X16" t="s">
        <v>32</v>
      </c>
      <c r="AB16" s="8">
        <v>12</v>
      </c>
      <c r="AC16" s="8">
        <f t="shared" si="7"/>
        <v>0.35888671875</v>
      </c>
      <c r="AD16" s="8">
        <f t="shared" si="0"/>
        <v>6.0705789923676257E-5</v>
      </c>
      <c r="AE16" s="8">
        <f t="shared" si="8"/>
        <v>0.359130859375</v>
      </c>
      <c r="AF16" s="8">
        <f t="shared" si="1"/>
        <v>-2.1171523720159291E-4</v>
      </c>
      <c r="AG16" s="8">
        <f t="shared" si="3"/>
        <v>0.3590087890625</v>
      </c>
      <c r="AH16" s="8">
        <f t="shared" si="2"/>
        <v>-7.5509488785541201E-5</v>
      </c>
      <c r="AI16" s="8">
        <f t="shared" si="4"/>
        <v>-4.5838631634592527E-9</v>
      </c>
      <c r="AJ16" s="8">
        <f t="shared" si="5"/>
        <v>1.5986509329201875E-8</v>
      </c>
      <c r="AK16" s="8">
        <f t="shared" si="6"/>
        <v>2.44140625E-4</v>
      </c>
      <c r="AM16" s="8">
        <v>12</v>
      </c>
      <c r="AN16" s="8">
        <f t="shared" si="13"/>
        <v>985.3515625</v>
      </c>
      <c r="AO16" s="8">
        <v>-0.23210818413247125</v>
      </c>
      <c r="AP16" s="8">
        <f t="shared" si="14"/>
        <v>986.328125</v>
      </c>
      <c r="AQ16" s="8">
        <v>0.16434680350641884</v>
      </c>
      <c r="AR16" s="8">
        <f t="shared" si="9"/>
        <v>985.83984375</v>
      </c>
      <c r="AS16" s="8">
        <v>-3.3842900242575524E-2</v>
      </c>
      <c r="AT16" s="8">
        <f t="shared" si="10"/>
        <v>7.8552141210805754E-3</v>
      </c>
      <c r="AU16" s="8">
        <f t="shared" si="11"/>
        <v>-5.5619724762538941E-3</v>
      </c>
      <c r="AV16" s="8">
        <f t="shared" si="12"/>
        <v>0.9765625</v>
      </c>
    </row>
    <row r="17" spans="2:48" x14ac:dyDescent="0.2">
      <c r="B17" s="3" t="s">
        <v>60</v>
      </c>
      <c r="C17" s="3">
        <f>AR44</f>
        <v>985.92320963325619</v>
      </c>
      <c r="D17" s="3" t="s">
        <v>12</v>
      </c>
      <c r="F17" t="s">
        <v>136</v>
      </c>
      <c r="G17">
        <f>G15+$C$6*G16</f>
        <v>78936.790212068532</v>
      </c>
      <c r="H17" t="s">
        <v>30</v>
      </c>
      <c r="J17" s="15" t="s">
        <v>98</v>
      </c>
      <c r="K17">
        <f xml:space="preserve"> $C$33 * (13 * ($C$17*2.20462/1000)^1.3 * 0.453592)</f>
        <v>12.94281099109376</v>
      </c>
      <c r="L17" t="s">
        <v>12</v>
      </c>
      <c r="N17" t="s">
        <v>113</v>
      </c>
      <c r="O17">
        <f>O8/O16</f>
        <v>13.077776537657337</v>
      </c>
      <c r="R17" t="s">
        <v>46</v>
      </c>
      <c r="S17">
        <f xml:space="preserve"> (90 - $C$32) / 180 * PI()</f>
        <v>1.48352986419518</v>
      </c>
      <c r="T17" t="s">
        <v>47</v>
      </c>
      <c r="V17" t="s">
        <v>113</v>
      </c>
      <c r="W17">
        <f>W8/W16</f>
        <v>13.077776537657337</v>
      </c>
      <c r="AB17" s="8">
        <v>13</v>
      </c>
      <c r="AC17" s="8">
        <f t="shared" si="7"/>
        <v>0.35888671875</v>
      </c>
      <c r="AD17" s="8">
        <f t="shared" si="0"/>
        <v>6.0705789923676257E-5</v>
      </c>
      <c r="AE17" s="8">
        <f t="shared" si="8"/>
        <v>0.3590087890625</v>
      </c>
      <c r="AF17" s="8">
        <f t="shared" si="1"/>
        <v>-7.5509488785541201E-5</v>
      </c>
      <c r="AG17" s="8">
        <f t="shared" si="3"/>
        <v>0.35894775390625</v>
      </c>
      <c r="AH17" s="8">
        <f t="shared" si="2"/>
        <v>-7.4030413180214971E-6</v>
      </c>
      <c r="AI17" s="8">
        <f t="shared" si="4"/>
        <v>-4.4940747104810841E-10</v>
      </c>
      <c r="AJ17" s="8">
        <f t="shared" si="5"/>
        <v>5.5899986538204241E-10</v>
      </c>
      <c r="AK17" s="8">
        <f t="shared" si="6"/>
        <v>1.220703125E-4</v>
      </c>
      <c r="AM17" s="8">
        <v>13</v>
      </c>
      <c r="AN17" s="8">
        <f t="shared" si="13"/>
        <v>985.83984375</v>
      </c>
      <c r="AO17" s="8">
        <v>-3.3842900242575524E-2</v>
      </c>
      <c r="AP17" s="8">
        <f t="shared" si="14"/>
        <v>986.328125</v>
      </c>
      <c r="AQ17" s="8">
        <v>0.16434680350641884</v>
      </c>
      <c r="AR17" s="8">
        <f t="shared" si="9"/>
        <v>986.083984375</v>
      </c>
      <c r="AS17" s="8">
        <v>6.5261412818358622E-2</v>
      </c>
      <c r="AT17" s="8">
        <f t="shared" si="10"/>
        <v>-2.2086354837012505E-3</v>
      </c>
      <c r="AU17" s="8">
        <f t="shared" si="11"/>
        <v>1.0725504589010068E-2</v>
      </c>
      <c r="AV17" s="8">
        <f t="shared" si="12"/>
        <v>0.48828125</v>
      </c>
    </row>
    <row r="18" spans="2:48" x14ac:dyDescent="0.2">
      <c r="B18" t="s">
        <v>160</v>
      </c>
      <c r="C18" s="1">
        <v>1</v>
      </c>
      <c r="D18" t="s">
        <v>14</v>
      </c>
      <c r="F18" t="s">
        <v>137</v>
      </c>
      <c r="G18">
        <f>$G$12/$G$11</f>
        <v>120</v>
      </c>
      <c r="H18" t="s">
        <v>23</v>
      </c>
      <c r="J18" s="3" t="s">
        <v>85</v>
      </c>
      <c r="K18" s="3">
        <f>$C$17 - $C$26 - SUM(K5:K17)</f>
        <v>-2.2635049390373752E-10</v>
      </c>
      <c r="L18" s="3" t="s">
        <v>12</v>
      </c>
      <c r="R18" t="s">
        <v>31</v>
      </c>
      <c r="S18">
        <f xml:space="preserve"> S12 / $C$6</f>
        <v>1029.893593428736</v>
      </c>
      <c r="T18" t="s">
        <v>32</v>
      </c>
      <c r="AB18" s="8">
        <v>14</v>
      </c>
      <c r="AC18" s="8">
        <f t="shared" si="7"/>
        <v>0.35888671875</v>
      </c>
      <c r="AD18" s="8">
        <f t="shared" si="0"/>
        <v>6.0705789923676257E-5</v>
      </c>
      <c r="AE18" s="8">
        <f t="shared" si="8"/>
        <v>0.35894775390625</v>
      </c>
      <c r="AF18" s="8">
        <f t="shared" si="1"/>
        <v>-7.4030413180214971E-6</v>
      </c>
      <c r="AG18" s="8">
        <f t="shared" si="3"/>
        <v>0.358917236328125</v>
      </c>
      <c r="AH18" s="8">
        <f t="shared" si="2"/>
        <v>2.6651076255934658E-5</v>
      </c>
      <c r="AI18" s="8">
        <f t="shared" si="4"/>
        <v>1.6178746364326458E-9</v>
      </c>
      <c r="AJ18" s="8">
        <f t="shared" si="5"/>
        <v>-1.9729901869242593E-10</v>
      </c>
      <c r="AK18" s="8">
        <f t="shared" si="6"/>
        <v>6.103515625E-5</v>
      </c>
      <c r="AM18" s="8">
        <v>14</v>
      </c>
      <c r="AN18" s="8">
        <f t="shared" si="13"/>
        <v>985.83984375</v>
      </c>
      <c r="AO18" s="8">
        <v>-3.3842900242575524E-2</v>
      </c>
      <c r="AP18" s="8">
        <f t="shared" si="14"/>
        <v>986.083984375</v>
      </c>
      <c r="AQ18" s="8">
        <v>6.5261412818358622E-2</v>
      </c>
      <c r="AR18" s="8">
        <f t="shared" si="9"/>
        <v>985.9619140625</v>
      </c>
      <c r="AS18" s="8">
        <v>1.5711548210674664E-2</v>
      </c>
      <c r="AT18" s="8">
        <f t="shared" si="10"/>
        <v>-5.3172435875027864E-4</v>
      </c>
      <c r="AU18" s="8">
        <f t="shared" si="11"/>
        <v>1.025357833792383E-3</v>
      </c>
      <c r="AV18" s="8">
        <f t="shared" si="12"/>
        <v>0.244140625</v>
      </c>
    </row>
    <row r="19" spans="2:48" x14ac:dyDescent="0.2">
      <c r="B19" t="s">
        <v>159</v>
      </c>
      <c r="C19" s="1">
        <v>1</v>
      </c>
      <c r="D19" t="s">
        <v>14</v>
      </c>
      <c r="J19" t="s">
        <v>86</v>
      </c>
      <c r="K19" s="10" t="str">
        <f>IF(ABS(K18)&lt;0.00001, "TRUE", "FALSE")</f>
        <v>TRUE</v>
      </c>
      <c r="N19" s="44" t="s">
        <v>152</v>
      </c>
      <c r="O19" s="45"/>
      <c r="P19" s="45"/>
      <c r="R19" t="s">
        <v>48</v>
      </c>
      <c r="S19">
        <f xml:space="preserve"> PI() * $C$20 / ($C$19 * $C$23)</f>
        <v>94.247779607693786</v>
      </c>
      <c r="T19" t="s">
        <v>49</v>
      </c>
      <c r="V19" s="44" t="s">
        <v>162</v>
      </c>
      <c r="W19" s="45"/>
      <c r="X19" s="45"/>
      <c r="AB19" s="8">
        <v>15</v>
      </c>
      <c r="AC19" s="8">
        <f t="shared" si="7"/>
        <v>0.358917236328125</v>
      </c>
      <c r="AD19" s="8">
        <f t="shared" si="0"/>
        <v>2.6651076255934658E-5</v>
      </c>
      <c r="AE19" s="8">
        <f t="shared" si="8"/>
        <v>0.35894775390625</v>
      </c>
      <c r="AF19" s="8">
        <f t="shared" si="1"/>
        <v>-7.4030413180214971E-6</v>
      </c>
      <c r="AG19" s="8">
        <f t="shared" si="3"/>
        <v>0.3589324951171875</v>
      </c>
      <c r="AH19" s="8">
        <f t="shared" si="2"/>
        <v>9.6239429666078458E-6</v>
      </c>
      <c r="AI19" s="8">
        <f t="shared" si="4"/>
        <v>2.5648843788583171E-10</v>
      </c>
      <c r="AJ19" s="8">
        <f t="shared" si="5"/>
        <v>-7.1246447424080259E-11</v>
      </c>
      <c r="AK19" s="8">
        <f t="shared" si="6"/>
        <v>3.0517578125E-5</v>
      </c>
      <c r="AM19" s="8">
        <v>15</v>
      </c>
      <c r="AN19" s="8">
        <f t="shared" si="13"/>
        <v>985.83984375</v>
      </c>
      <c r="AO19" s="8">
        <v>-3.3842900242575524E-2</v>
      </c>
      <c r="AP19" s="8">
        <f t="shared" si="14"/>
        <v>985.9619140625</v>
      </c>
      <c r="AQ19" s="8">
        <v>1.5711548210674664E-2</v>
      </c>
      <c r="AR19" s="8">
        <f t="shared" si="9"/>
        <v>985.90087890625</v>
      </c>
      <c r="AS19" s="8">
        <v>-9.0650088297934417E-3</v>
      </c>
      <c r="AT19" s="8">
        <f t="shared" si="10"/>
        <v>3.0678618952476575E-4</v>
      </c>
      <c r="AU19" s="8">
        <f t="shared" si="11"/>
        <v>-1.4242532325949118E-4</v>
      </c>
      <c r="AV19" s="8">
        <f t="shared" si="12"/>
        <v>0.1220703125</v>
      </c>
    </row>
    <row r="20" spans="2:48" x14ac:dyDescent="0.2">
      <c r="B20" t="s">
        <v>15</v>
      </c>
      <c r="C20" s="1">
        <v>30</v>
      </c>
      <c r="D20" t="s">
        <v>16</v>
      </c>
      <c r="F20" s="44" t="s">
        <v>125</v>
      </c>
      <c r="G20" s="46"/>
      <c r="H20" s="46"/>
      <c r="N20" t="s">
        <v>46</v>
      </c>
      <c r="O20">
        <f xml:space="preserve"> (90 - $C$32) / 180 * PI()</f>
        <v>1.48352986419518</v>
      </c>
      <c r="P20" t="s">
        <v>47</v>
      </c>
      <c r="R20" t="s">
        <v>50</v>
      </c>
      <c r="S20">
        <f xml:space="preserve"> $C$20 * COS(S17) / (S19 * $C$19)</f>
        <v>2.7742534554270875E-2</v>
      </c>
      <c r="V20" t="s">
        <v>46</v>
      </c>
      <c r="W20">
        <f xml:space="preserve"> (90 - $C$32) / 180 * PI()</f>
        <v>1.48352986419518</v>
      </c>
      <c r="X20" t="s">
        <v>47</v>
      </c>
      <c r="AB20" s="8">
        <v>16</v>
      </c>
      <c r="AC20" s="8">
        <f t="shared" si="7"/>
        <v>0.3589324951171875</v>
      </c>
      <c r="AD20" s="8">
        <f t="shared" si="0"/>
        <v>9.6239429666078458E-6</v>
      </c>
      <c r="AE20" s="8">
        <f t="shared" si="8"/>
        <v>0.35894775390625</v>
      </c>
      <c r="AF20" s="8">
        <f t="shared" si="1"/>
        <v>-7.4030413180214971E-6</v>
      </c>
      <c r="AG20" s="8">
        <f t="shared" si="3"/>
        <v>0.35894012451171875</v>
      </c>
      <c r="AH20" s="8">
        <f t="shared" si="2"/>
        <v>1.110432199857847E-6</v>
      </c>
      <c r="AI20" s="8">
        <f t="shared" si="4"/>
        <v>1.0686736159716804E-11</v>
      </c>
      <c r="AJ20" s="8">
        <f t="shared" si="5"/>
        <v>-8.2205754564091467E-12</v>
      </c>
      <c r="AK20" s="8">
        <f t="shared" si="6"/>
        <v>1.52587890625E-5</v>
      </c>
      <c r="AM20" s="8">
        <v>16</v>
      </c>
      <c r="AN20" s="8">
        <f t="shared" si="13"/>
        <v>985.90087890625</v>
      </c>
      <c r="AO20" s="8">
        <v>-9.0650088297934417E-3</v>
      </c>
      <c r="AP20" s="8">
        <f t="shared" si="14"/>
        <v>985.9619140625</v>
      </c>
      <c r="AQ20" s="8">
        <v>1.5711548210674664E-2</v>
      </c>
      <c r="AR20" s="8">
        <f t="shared" si="9"/>
        <v>985.931396484375</v>
      </c>
      <c r="AS20" s="8">
        <v>3.3234129385846245E-3</v>
      </c>
      <c r="AT20" s="8">
        <f t="shared" si="10"/>
        <v>-3.012676763331939E-5</v>
      </c>
      <c r="AU20" s="8">
        <f t="shared" si="11"/>
        <v>5.2215962608552283E-5</v>
      </c>
      <c r="AV20" s="8">
        <f t="shared" si="12"/>
        <v>6.103515625E-2</v>
      </c>
    </row>
    <row r="21" spans="2:48" x14ac:dyDescent="0.2">
      <c r="B21" t="s">
        <v>17</v>
      </c>
      <c r="C21" s="1">
        <v>8</v>
      </c>
      <c r="D21" t="s">
        <v>18</v>
      </c>
      <c r="F21" s="4" t="s">
        <v>121</v>
      </c>
      <c r="G21">
        <f xml:space="preserve"> S23 + S18 * (S28 * S25 + $C$20 * SIN(S17))</f>
        <v>36612.734094028165</v>
      </c>
      <c r="H21" t="s">
        <v>30</v>
      </c>
      <c r="J21" s="2" t="s">
        <v>87</v>
      </c>
      <c r="K21" s="2"/>
      <c r="L21" s="2"/>
      <c r="N21" t="s">
        <v>31</v>
      </c>
      <c r="O21">
        <f>O16/$C$6</f>
        <v>401.75518956689382</v>
      </c>
      <c r="P21" t="s">
        <v>32</v>
      </c>
      <c r="R21" t="s">
        <v>51</v>
      </c>
      <c r="S21">
        <f xml:space="preserve"> S18 / ( $C$30 * PI() * $C$19^2 * S19^2 * $C$19^2)</f>
        <v>3.0127572508842126E-2</v>
      </c>
      <c r="V21" t="s">
        <v>31</v>
      </c>
      <c r="W21">
        <f>W16/$C$6</f>
        <v>403.61167190164616</v>
      </c>
      <c r="X21" t="s">
        <v>32</v>
      </c>
      <c r="AB21" s="8">
        <v>17</v>
      </c>
      <c r="AC21" s="8">
        <f t="shared" si="7"/>
        <v>0.35894012451171875</v>
      </c>
      <c r="AD21" s="8">
        <f t="shared" si="0"/>
        <v>1.110432199857847E-6</v>
      </c>
      <c r="AE21" s="8">
        <f t="shared" si="8"/>
        <v>0.35894775390625</v>
      </c>
      <c r="AF21" s="8">
        <f t="shared" si="1"/>
        <v>-7.4030413180214971E-6</v>
      </c>
      <c r="AG21" s="8">
        <f t="shared" si="3"/>
        <v>0.35894393920898438</v>
      </c>
      <c r="AH21" s="8">
        <f t="shared" si="2"/>
        <v>-3.146309215051879E-6</v>
      </c>
      <c r="AI21" s="8">
        <f t="shared" si="4"/>
        <v>-3.493763063103074E-12</v>
      </c>
      <c r="AJ21" s="8">
        <f t="shared" si="5"/>
        <v>2.3292257118300843E-11</v>
      </c>
      <c r="AK21" s="8">
        <f t="shared" si="6"/>
        <v>7.62939453125E-6</v>
      </c>
      <c r="AM21" s="8">
        <v>17</v>
      </c>
      <c r="AN21" s="8">
        <f t="shared" si="13"/>
        <v>985.90087890625</v>
      </c>
      <c r="AO21" s="8">
        <v>-9.0650088297934417E-3</v>
      </c>
      <c r="AP21" s="8">
        <f t="shared" si="14"/>
        <v>985.931396484375</v>
      </c>
      <c r="AQ21" s="8">
        <v>3.3234129385846245E-3</v>
      </c>
      <c r="AR21" s="8">
        <f t="shared" si="9"/>
        <v>985.9161376953125</v>
      </c>
      <c r="AS21" s="8">
        <v>-2.8708563401096399E-3</v>
      </c>
      <c r="AT21" s="8">
        <f t="shared" si="10"/>
        <v>2.602433807216237E-5</v>
      </c>
      <c r="AU21" s="8">
        <f t="shared" si="11"/>
        <v>-9.5410411055380787E-6</v>
      </c>
      <c r="AV21" s="8">
        <f t="shared" si="12"/>
        <v>3.0517578125E-2</v>
      </c>
    </row>
    <row r="22" spans="2:48" x14ac:dyDescent="0.2">
      <c r="B22" t="s">
        <v>5</v>
      </c>
      <c r="C22" s="1">
        <v>10</v>
      </c>
      <c r="F22" s="4" t="s">
        <v>120</v>
      </c>
      <c r="G22">
        <f xml:space="preserve"> $C$6 * G21</f>
        <v>36612.734094028165</v>
      </c>
      <c r="H22" t="s">
        <v>30</v>
      </c>
      <c r="J22" t="s">
        <v>88</v>
      </c>
      <c r="K22">
        <f>ROUND($C$26/$C$17 * 100, 2)</f>
        <v>40.57</v>
      </c>
      <c r="L22" t="s">
        <v>89</v>
      </c>
      <c r="N22" t="s">
        <v>48</v>
      </c>
      <c r="O22">
        <f xml:space="preserve"> PI() * $G$13 / ($C$19 * $C$23)</f>
        <v>93.909367057958349</v>
      </c>
      <c r="P22" t="s">
        <v>49</v>
      </c>
      <c r="R22" t="s">
        <v>4</v>
      </c>
      <c r="S22" s="1">
        <v>1.2E-2</v>
      </c>
      <c r="V22" t="s">
        <v>48</v>
      </c>
      <c r="W22">
        <f xml:space="preserve"> PI() * $G$28 / ($C$19 * $C$23)</f>
        <v>94.126091253535847</v>
      </c>
      <c r="X22" t="s">
        <v>49</v>
      </c>
      <c r="AB22" s="8">
        <v>18</v>
      </c>
      <c r="AC22" s="8">
        <f t="shared" si="7"/>
        <v>0.35894012451171875</v>
      </c>
      <c r="AD22" s="8">
        <f t="shared" si="0"/>
        <v>1.110432199857847E-6</v>
      </c>
      <c r="AE22" s="8">
        <f t="shared" si="8"/>
        <v>0.35894393920898438</v>
      </c>
      <c r="AF22" s="8">
        <f t="shared" si="1"/>
        <v>-3.146309215051879E-6</v>
      </c>
      <c r="AG22" s="8">
        <f t="shared" si="3"/>
        <v>0.35894203186035156</v>
      </c>
      <c r="AH22" s="8">
        <f t="shared" si="2"/>
        <v>-1.017939671554835E-6</v>
      </c>
      <c r="AI22" s="8">
        <f t="shared" si="4"/>
        <v>-1.1303529888072098E-12</v>
      </c>
      <c r="AJ22" s="8">
        <f t="shared" si="5"/>
        <v>3.2027529689798602E-12</v>
      </c>
      <c r="AK22" s="8">
        <f t="shared" si="6"/>
        <v>3.814697265625E-6</v>
      </c>
      <c r="AM22" s="8">
        <v>18</v>
      </c>
      <c r="AN22" s="8">
        <f t="shared" si="13"/>
        <v>985.9161376953125</v>
      </c>
      <c r="AO22" s="8">
        <v>-2.8708563401096399E-3</v>
      </c>
      <c r="AP22" s="8">
        <f t="shared" si="14"/>
        <v>985.931396484375</v>
      </c>
      <c r="AQ22" s="8">
        <v>3.3234129385846245E-3</v>
      </c>
      <c r="AR22" s="8">
        <f t="shared" si="9"/>
        <v>985.92376708984375</v>
      </c>
      <c r="AS22" s="8">
        <v>2.26370748350746E-4</v>
      </c>
      <c r="AT22" s="8">
        <f t="shared" si="10"/>
        <v>-6.4987789811810296E-7</v>
      </c>
      <c r="AU22" s="8">
        <f t="shared" si="11"/>
        <v>7.5232347398595334E-7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128</v>
      </c>
      <c r="G23">
        <f xml:space="preserve"> ($C$27-G14-G29)/$C$20</f>
        <v>680.68911094850387</v>
      </c>
      <c r="H23" t="s">
        <v>23</v>
      </c>
      <c r="J23" s="16" t="s">
        <v>81</v>
      </c>
      <c r="K23">
        <f>ROUND(K5/$C$17 * 100, 2)</f>
        <v>13.16</v>
      </c>
      <c r="L23" t="s">
        <v>89</v>
      </c>
      <c r="N23" t="s">
        <v>50</v>
      </c>
      <c r="O23">
        <f xml:space="preserve"> $G$13 * COS(O20) / (O22 * $C$19)</f>
        <v>2.7742534554270875E-2</v>
      </c>
      <c r="R23" t="s">
        <v>52</v>
      </c>
      <c r="S23">
        <f xml:space="preserve"> ($C$8 * $S$22 / 8) * (1 + 4.65 * S20^2) * ( PI() * $C$30 * S19^3 * $C$19^5)</f>
        <v>630.50053776545394</v>
      </c>
      <c r="T23" t="s">
        <v>30</v>
      </c>
      <c r="V23" t="s">
        <v>50</v>
      </c>
      <c r="W23">
        <f xml:space="preserve"> $G$28 * COS(W20) / (W22 * $C$19)</f>
        <v>2.7742534554270875E-2</v>
      </c>
      <c r="AB23" s="8">
        <v>19</v>
      </c>
      <c r="AC23" s="8">
        <f t="shared" si="7"/>
        <v>0.35894012451171875</v>
      </c>
      <c r="AD23" s="8">
        <f t="shared" si="0"/>
        <v>1.110432199857847E-6</v>
      </c>
      <c r="AE23" s="8">
        <f t="shared" si="8"/>
        <v>0.35894203186035156</v>
      </c>
      <c r="AF23" s="8">
        <f t="shared" si="1"/>
        <v>-1.017939671554835E-6</v>
      </c>
      <c r="AG23" s="8">
        <f t="shared" si="3"/>
        <v>0.35894107818603516</v>
      </c>
      <c r="AH23" s="8">
        <f t="shared" si="2"/>
        <v>4.6245973162051257E-8</v>
      </c>
      <c r="AI23" s="8">
        <f t="shared" si="4"/>
        <v>5.135301771290353E-14</v>
      </c>
      <c r="AJ23" s="8">
        <f t="shared" si="5"/>
        <v>-4.7075610731312172E-14</v>
      </c>
      <c r="AK23" s="8">
        <f t="shared" si="6"/>
        <v>1.9073486328125E-6</v>
      </c>
      <c r="AM23" s="8">
        <v>19</v>
      </c>
      <c r="AN23" s="8">
        <f t="shared" si="13"/>
        <v>985.9161376953125</v>
      </c>
      <c r="AO23" s="8">
        <v>-2.8708563401096399E-3</v>
      </c>
      <c r="AP23" s="8">
        <f t="shared" si="14"/>
        <v>985.92376708984375</v>
      </c>
      <c r="AQ23" s="8">
        <v>2.26370748350746E-4</v>
      </c>
      <c r="AR23" s="8">
        <f t="shared" si="9"/>
        <v>985.91995239257812</v>
      </c>
      <c r="AS23" s="8">
        <v>-1.3223347649500283E-3</v>
      </c>
      <c r="AT23" s="8">
        <f t="shared" si="10"/>
        <v>3.7962331437041794E-6</v>
      </c>
      <c r="AU23" s="8">
        <f t="shared" si="11"/>
        <v>-2.9933791031194574E-7</v>
      </c>
      <c r="AV23" s="8">
        <f t="shared" si="12"/>
        <v>7.62939453125E-3</v>
      </c>
    </row>
    <row r="24" spans="2:48" x14ac:dyDescent="0.2">
      <c r="F24" s="4"/>
      <c r="J24" s="18" t="s">
        <v>115</v>
      </c>
      <c r="K24">
        <f>ROUND(SUM(K6:K8)/$C$17 * 100, 2)</f>
        <v>13.71</v>
      </c>
      <c r="L24" t="s">
        <v>89</v>
      </c>
      <c r="N24" t="s">
        <v>51</v>
      </c>
      <c r="O24">
        <f xml:space="preserve"> O21 / ( $C$30 * PI() * $C$19^2 * O22^2 * $C$19^2)</f>
        <v>1.1837437719905305E-2</v>
      </c>
      <c r="R24" t="s">
        <v>53</v>
      </c>
      <c r="S24" s="5">
        <f>AG34</f>
        <v>0.35894111962988973</v>
      </c>
      <c r="V24" t="s">
        <v>51</v>
      </c>
      <c r="W24">
        <f xml:space="preserve"> W21 / ( $C$30 * PI() * $C$19^2 * W22^2 * $C$19^2)</f>
        <v>1.1837437719905305E-2</v>
      </c>
      <c r="AB24" s="8">
        <v>20</v>
      </c>
      <c r="AC24" s="8">
        <f t="shared" si="7"/>
        <v>0.35894107818603516</v>
      </c>
      <c r="AD24" s="8">
        <f t="shared" si="0"/>
        <v>4.6245973162051257E-8</v>
      </c>
      <c r="AE24" s="8">
        <f t="shared" si="8"/>
        <v>0.35894203186035156</v>
      </c>
      <c r="AF24" s="8">
        <f t="shared" si="1"/>
        <v>-1.017939671554835E-6</v>
      </c>
      <c r="AG24" s="8">
        <f t="shared" si="3"/>
        <v>0.35894155502319336</v>
      </c>
      <c r="AH24" s="8">
        <f t="shared" si="2"/>
        <v>-4.8584692197151114E-7</v>
      </c>
      <c r="AI24" s="8">
        <f t="shared" si="4"/>
        <v>-2.2468463714359714E-14</v>
      </c>
      <c r="AJ24" s="8">
        <f t="shared" si="5"/>
        <v>4.9456285617760756E-13</v>
      </c>
      <c r="AK24" s="8">
        <f t="shared" si="6"/>
        <v>9.5367431640625E-7</v>
      </c>
      <c r="AM24" s="8">
        <v>20</v>
      </c>
      <c r="AN24" s="8">
        <f t="shared" si="13"/>
        <v>985.91995239257812</v>
      </c>
      <c r="AO24" s="8">
        <v>-1.3223347649500283E-3</v>
      </c>
      <c r="AP24" s="8">
        <f t="shared" si="14"/>
        <v>985.92376708984375</v>
      </c>
      <c r="AQ24" s="8">
        <v>2.26370748350746E-4</v>
      </c>
      <c r="AR24" s="8">
        <f t="shared" si="9"/>
        <v>985.92185974121094</v>
      </c>
      <c r="AS24" s="8">
        <v>-5.4807565652481571E-4</v>
      </c>
      <c r="AT24" s="8">
        <f t="shared" si="10"/>
        <v>7.2473949444557462E-7</v>
      </c>
      <c r="AU24" s="8">
        <f t="shared" si="11"/>
        <v>-1.2406829652034895E-7</v>
      </c>
      <c r="AV24" s="8">
        <f t="shared" si="12"/>
        <v>3.814697265625E-3</v>
      </c>
    </row>
    <row r="25" spans="2:48" x14ac:dyDescent="0.2">
      <c r="B25" s="43" t="s">
        <v>20</v>
      </c>
      <c r="C25" s="43"/>
      <c r="D25" s="43"/>
      <c r="F25" s="44" t="s">
        <v>138</v>
      </c>
      <c r="G25" s="46"/>
      <c r="H25" s="46"/>
      <c r="J25" s="17" t="s">
        <v>102</v>
      </c>
      <c r="K25">
        <f>ROUND(SUM(K9:K13)/$C$17 * 100, 2)</f>
        <v>27.89</v>
      </c>
      <c r="L25" t="s">
        <v>89</v>
      </c>
      <c r="N25" t="s">
        <v>4</v>
      </c>
      <c r="O25" s="1">
        <v>1.2E-2</v>
      </c>
      <c r="R25" t="s">
        <v>54</v>
      </c>
      <c r="S25">
        <f xml:space="preserve"> S19 * $C$19 * S24 - $C$20 * SIN(S17)</f>
        <v>3.9435625922643283</v>
      </c>
      <c r="T25" t="s">
        <v>16</v>
      </c>
      <c r="V25" t="s">
        <v>4</v>
      </c>
      <c r="W25" s="1">
        <v>1.2E-2</v>
      </c>
      <c r="AB25" s="8">
        <v>21</v>
      </c>
      <c r="AC25" s="8">
        <f t="shared" si="7"/>
        <v>0.35894107818603516</v>
      </c>
      <c r="AD25" s="8">
        <f t="shared" si="0"/>
        <v>4.6245973162051257E-8</v>
      </c>
      <c r="AE25" s="8">
        <f t="shared" si="8"/>
        <v>0.35894155502319336</v>
      </c>
      <c r="AF25" s="8">
        <f t="shared" si="1"/>
        <v>-4.8584692197151114E-7</v>
      </c>
      <c r="AG25" s="8">
        <f t="shared" si="3"/>
        <v>0.35894131660461426</v>
      </c>
      <c r="AH25" s="8">
        <f t="shared" si="2"/>
        <v>-2.1980049258463197E-7</v>
      </c>
      <c r="AI25" s="8">
        <f t="shared" si="4"/>
        <v>-1.0164887681074536E-14</v>
      </c>
      <c r="AJ25" s="8">
        <f t="shared" si="5"/>
        <v>1.0678939277006541E-13</v>
      </c>
      <c r="AK25" s="8">
        <f t="shared" si="6"/>
        <v>4.76837158203125E-7</v>
      </c>
      <c r="AM25" s="8">
        <v>21</v>
      </c>
      <c r="AN25" s="8">
        <f t="shared" si="13"/>
        <v>985.92185974121094</v>
      </c>
      <c r="AO25" s="8">
        <v>-5.4807565652481571E-4</v>
      </c>
      <c r="AP25" s="8">
        <f t="shared" si="14"/>
        <v>985.92376708984375</v>
      </c>
      <c r="AQ25" s="8">
        <v>2.26370748350746E-4</v>
      </c>
      <c r="AR25" s="8">
        <f t="shared" si="9"/>
        <v>985.92281341552734</v>
      </c>
      <c r="AS25" s="8">
        <v>-1.6094652175979718E-4</v>
      </c>
      <c r="AT25" s="8">
        <f t="shared" si="10"/>
        <v>8.8210870578886377E-8</v>
      </c>
      <c r="AU25" s="8">
        <f t="shared" si="11"/>
        <v>-3.6433584575214913E-8</v>
      </c>
      <c r="AV25" s="8">
        <f t="shared" si="12"/>
        <v>1.9073486328125E-3</v>
      </c>
    </row>
    <row r="26" spans="2:48" x14ac:dyDescent="0.2">
      <c r="B26" t="s">
        <v>99</v>
      </c>
      <c r="C26" s="1">
        <v>400</v>
      </c>
      <c r="D26" t="s">
        <v>12</v>
      </c>
      <c r="F26" t="s">
        <v>133</v>
      </c>
      <c r="G26" s="1">
        <v>1.524</v>
      </c>
      <c r="H26" t="s">
        <v>16</v>
      </c>
      <c r="J26" s="15" t="s">
        <v>103</v>
      </c>
      <c r="K26">
        <f>ROUND(SUM(K14:K17)/$C$17*100, 2)</f>
        <v>4.67</v>
      </c>
      <c r="L26" t="s">
        <v>89</v>
      </c>
      <c r="N26" t="s">
        <v>52</v>
      </c>
      <c r="O26">
        <f xml:space="preserve"> ($C$8 * $O$25 / 8) * (1 + 4.65 * O23^2) * ( PI() * $C$30 * O22^3 * $C$19^ 5)</f>
        <v>623.73313993324109</v>
      </c>
      <c r="P26" t="s">
        <v>30</v>
      </c>
      <c r="R26" t="s">
        <v>55</v>
      </c>
      <c r="S26">
        <f xml:space="preserve"> 1/$C$9 - S23 * SQRT( (2*$C$30*PI()*$C$19^2) / S18^3 )</f>
        <v>1.2804090598465818</v>
      </c>
      <c r="V26" t="s">
        <v>52</v>
      </c>
      <c r="W26">
        <f xml:space="preserve"> ($C$8 * $W$25 / 8) * (1 + 4.65 * W23^2) * ( PI() * $C$30 * W22^3 * $C$19^ 5)</f>
        <v>628.0614706865158</v>
      </c>
      <c r="X26" t="s">
        <v>30</v>
      </c>
      <c r="AB26" s="8">
        <v>22</v>
      </c>
      <c r="AC26" s="8">
        <f t="shared" si="7"/>
        <v>0.35894107818603516</v>
      </c>
      <c r="AD26" s="8">
        <f t="shared" si="0"/>
        <v>4.6245973162051257E-8</v>
      </c>
      <c r="AE26" s="8">
        <f t="shared" si="8"/>
        <v>0.35894131660461426</v>
      </c>
      <c r="AF26" s="8">
        <f t="shared" si="1"/>
        <v>-2.1980049258463197E-7</v>
      </c>
      <c r="AG26" s="8">
        <f t="shared" si="3"/>
        <v>0.35894119739532471</v>
      </c>
      <c r="AH26" s="8">
        <f t="shared" si="2"/>
        <v>-8.6777264263204756E-8</v>
      </c>
      <c r="AI26" s="8">
        <f t="shared" si="4"/>
        <v>-4.0130990341923972E-15</v>
      </c>
      <c r="AJ26" s="8">
        <f t="shared" si="5"/>
        <v>1.9073685430199186E-14</v>
      </c>
      <c r="AK26" s="8">
        <f t="shared" si="6"/>
        <v>2.384185791015625E-7</v>
      </c>
      <c r="AM26" s="8">
        <v>22</v>
      </c>
      <c r="AN26" s="8">
        <f t="shared" si="13"/>
        <v>985.92281341552734</v>
      </c>
      <c r="AO26" s="8">
        <v>-1.6094652175979718E-4</v>
      </c>
      <c r="AP26" s="8">
        <f t="shared" si="14"/>
        <v>985.92376708984375</v>
      </c>
      <c r="AQ26" s="8">
        <v>2.26370748350746E-4</v>
      </c>
      <c r="AR26" s="8">
        <f t="shared" si="9"/>
        <v>985.92329025268555</v>
      </c>
      <c r="AS26" s="8">
        <v>3.2712148140490171E-5</v>
      </c>
      <c r="AT26" s="8">
        <f t="shared" si="10"/>
        <v>-5.2649064625031099E-9</v>
      </c>
      <c r="AU26" s="8">
        <f t="shared" si="11"/>
        <v>7.4050734547232247E-9</v>
      </c>
      <c r="AV26" s="8">
        <f t="shared" si="12"/>
        <v>9.5367431640625E-4</v>
      </c>
    </row>
    <row r="27" spans="2:48" x14ac:dyDescent="0.2">
      <c r="B27" t="s">
        <v>21</v>
      </c>
      <c r="C27" s="1">
        <v>30000</v>
      </c>
      <c r="D27" t="s">
        <v>14</v>
      </c>
      <c r="F27" t="s">
        <v>132</v>
      </c>
      <c r="G27" s="1">
        <v>304.8</v>
      </c>
      <c r="H27" t="s">
        <v>14</v>
      </c>
      <c r="J27" s="3" t="s">
        <v>90</v>
      </c>
      <c r="K27" s="3">
        <f>SUM(K22:K26)</f>
        <v>100</v>
      </c>
      <c r="L27" s="3" t="s">
        <v>89</v>
      </c>
      <c r="N27" t="s">
        <v>53</v>
      </c>
      <c r="O27" s="5">
        <f>AG69</f>
        <v>0.33472075359895825</v>
      </c>
      <c r="R27" t="s">
        <v>56</v>
      </c>
      <c r="S27" s="1">
        <v>1.1499999999999999</v>
      </c>
      <c r="V27" t="s">
        <v>53</v>
      </c>
      <c r="W27" s="5">
        <f>AG104</f>
        <v>0.33472075359895825</v>
      </c>
      <c r="AB27" s="8">
        <v>23</v>
      </c>
      <c r="AC27" s="8">
        <f t="shared" si="7"/>
        <v>0.35894107818603516</v>
      </c>
      <c r="AD27" s="8">
        <f t="shared" si="0"/>
        <v>4.6245973162051257E-8</v>
      </c>
      <c r="AE27" s="8">
        <f t="shared" si="8"/>
        <v>0.35894119739532471</v>
      </c>
      <c r="AF27" s="8">
        <f t="shared" si="1"/>
        <v>-8.6777264263204756E-8</v>
      </c>
      <c r="AG27" s="8">
        <f t="shared" si="3"/>
        <v>0.35894113779067993</v>
      </c>
      <c r="AH27" s="8">
        <f t="shared" si="2"/>
        <v>-2.0265646716310926E-8</v>
      </c>
      <c r="AI27" s="8">
        <f t="shared" si="4"/>
        <v>-9.3720455415412722E-16</v>
      </c>
      <c r="AJ27" s="8">
        <f t="shared" si="5"/>
        <v>1.7585973805660608E-15</v>
      </c>
      <c r="AK27" s="8">
        <f t="shared" si="6"/>
        <v>1.1920928955078125E-7</v>
      </c>
      <c r="AM27" s="8">
        <v>23</v>
      </c>
      <c r="AN27" s="8">
        <f t="shared" si="13"/>
        <v>985.92281341552734</v>
      </c>
      <c r="AO27" s="8">
        <v>-1.6094652175979718E-4</v>
      </c>
      <c r="AP27" s="8">
        <f t="shared" si="14"/>
        <v>985.92329025268555</v>
      </c>
      <c r="AQ27" s="8">
        <v>3.2712148140490171E-5</v>
      </c>
      <c r="AR27" s="8">
        <f t="shared" si="9"/>
        <v>985.92305183410645</v>
      </c>
      <c r="AS27" s="8">
        <v>-6.4022970718724537E-5</v>
      </c>
      <c r="AT27" s="8">
        <f t="shared" si="10"/>
        <v>1.0304274449908057E-8</v>
      </c>
      <c r="AU27" s="8">
        <f t="shared" si="11"/>
        <v>-2.0943289025451816E-9</v>
      </c>
      <c r="AV27" s="8">
        <f t="shared" si="12"/>
        <v>4.76837158203125E-4</v>
      </c>
    </row>
    <row r="28" spans="2:48" x14ac:dyDescent="0.2">
      <c r="F28" t="s">
        <v>134</v>
      </c>
      <c r="G28" s="47">
        <f>SQRT($C$20^2-$G$26^2)</f>
        <v>29.96126539383809</v>
      </c>
      <c r="H28" t="s">
        <v>16</v>
      </c>
      <c r="N28" t="s">
        <v>54</v>
      </c>
      <c r="O28">
        <f xml:space="preserve"> O22 * $C$19 * O27 - $G$13 * SIN(O20)</f>
        <v>1.6548833217274961</v>
      </c>
      <c r="P28" t="s">
        <v>16</v>
      </c>
      <c r="R28" t="s">
        <v>57</v>
      </c>
      <c r="S28">
        <f xml:space="preserve"> 1/$C$36 * LN( EXP($C$36 * S26) + EXP($C$36 * S27) )</f>
        <v>1.2810689848351273</v>
      </c>
      <c r="V28" t="s">
        <v>54</v>
      </c>
      <c r="W28">
        <f xml:space="preserve"> W22 * $C$19 * W27 - $G$28 * SIN(W20)</f>
        <v>1.6587024642466304</v>
      </c>
      <c r="X28" t="s">
        <v>16</v>
      </c>
      <c r="AB28" s="8">
        <v>24</v>
      </c>
      <c r="AC28" s="8">
        <f t="shared" si="7"/>
        <v>0.35894107818603516</v>
      </c>
      <c r="AD28" s="8">
        <f t="shared" si="0"/>
        <v>4.6245973162051257E-8</v>
      </c>
      <c r="AE28" s="8">
        <f t="shared" si="8"/>
        <v>0.35894113779067993</v>
      </c>
      <c r="AF28" s="8">
        <f t="shared" si="1"/>
        <v>-2.0265646716310926E-8</v>
      </c>
      <c r="AG28" s="8">
        <f t="shared" si="3"/>
        <v>0.35894110798835754</v>
      </c>
      <c r="AH28" s="8">
        <f t="shared" si="2"/>
        <v>1.299016294531441E-8</v>
      </c>
      <c r="AI28" s="8">
        <f t="shared" si="4"/>
        <v>6.0074272693968292E-16</v>
      </c>
      <c r="AJ28" s="8">
        <f t="shared" si="5"/>
        <v>-2.6325405303705483E-16</v>
      </c>
      <c r="AK28" s="8">
        <f t="shared" si="6"/>
        <v>5.9604644775390625E-8</v>
      </c>
      <c r="AM28" s="8">
        <v>24</v>
      </c>
      <c r="AN28" s="8">
        <f t="shared" si="13"/>
        <v>985.92305183410645</v>
      </c>
      <c r="AO28" s="8">
        <v>-6.4022970718724537E-5</v>
      </c>
      <c r="AP28" s="8">
        <f t="shared" si="14"/>
        <v>985.92329025268555</v>
      </c>
      <c r="AQ28" s="8">
        <v>3.2712148140490171E-5</v>
      </c>
      <c r="AR28" s="8">
        <f t="shared" si="9"/>
        <v>985.923171043396</v>
      </c>
      <c r="AS28" s="8">
        <v>-1.5644698009964486E-5</v>
      </c>
      <c r="AT28" s="8">
        <f t="shared" si="10"/>
        <v>1.0016200425952443E-9</v>
      </c>
      <c r="AU28" s="8">
        <f t="shared" si="11"/>
        <v>-5.1177167891519008E-10</v>
      </c>
      <c r="AV28" s="8">
        <f t="shared" si="12"/>
        <v>2.384185791015625E-4</v>
      </c>
    </row>
    <row r="29" spans="2:48" x14ac:dyDescent="0.2">
      <c r="B29" s="19" t="s">
        <v>104</v>
      </c>
      <c r="C29" s="19"/>
      <c r="D29" s="19"/>
      <c r="F29" t="s">
        <v>135</v>
      </c>
      <c r="G29">
        <f>$G$28 * ($G$27/$G$26)</f>
        <v>5992.2530787676178</v>
      </c>
      <c r="H29" t="s">
        <v>14</v>
      </c>
      <c r="N29" t="s">
        <v>55</v>
      </c>
      <c r="O29">
        <f xml:space="preserve"> 1/$C$9 - O26 * SQRT( (2*$C$30*PI()*$C$19^2) / O21^3 )</f>
        <v>1.1184441502324058</v>
      </c>
      <c r="V29" t="s">
        <v>55</v>
      </c>
      <c r="W29">
        <f xml:space="preserve"> 1/$C$9 - W26 * SQRT( (2*$C$30*PI()*$C$19^2) / W21^3 )</f>
        <v>1.1184441502324058</v>
      </c>
      <c r="AB29" s="8">
        <v>25</v>
      </c>
      <c r="AC29" s="8">
        <f t="shared" si="7"/>
        <v>0.35894110798835754</v>
      </c>
      <c r="AD29" s="8">
        <f t="shared" si="0"/>
        <v>1.299016294531441E-8</v>
      </c>
      <c r="AE29" s="8">
        <f t="shared" si="8"/>
        <v>0.35894113779067993</v>
      </c>
      <c r="AF29" s="8">
        <f t="shared" si="1"/>
        <v>-2.0265646716310926E-8</v>
      </c>
      <c r="AG29" s="8">
        <f t="shared" si="3"/>
        <v>0.35894112288951874</v>
      </c>
      <c r="AH29" s="8">
        <f t="shared" si="2"/>
        <v>-3.6377419410094092E-9</v>
      </c>
      <c r="AI29" s="8">
        <f t="shared" si="4"/>
        <v>-4.7254860566716544E-17</v>
      </c>
      <c r="AJ29" s="8">
        <f t="shared" si="5"/>
        <v>7.3721193021603866E-17</v>
      </c>
      <c r="AK29" s="8">
        <f t="shared" si="6"/>
        <v>2.9802322387695312E-8</v>
      </c>
      <c r="AM29" s="8">
        <v>25</v>
      </c>
      <c r="AN29" s="8">
        <f t="shared" si="13"/>
        <v>985.923171043396</v>
      </c>
      <c r="AO29" s="8">
        <v>-1.5644698009964486E-5</v>
      </c>
      <c r="AP29" s="8">
        <f t="shared" si="14"/>
        <v>985.92329025268555</v>
      </c>
      <c r="AQ29" s="8">
        <v>3.2712148140490171E-5</v>
      </c>
      <c r="AR29" s="8">
        <f t="shared" si="9"/>
        <v>985.92323064804077</v>
      </c>
      <c r="AS29" s="8">
        <v>8.4502290746968356E-6</v>
      </c>
      <c r="AT29" s="8">
        <f t="shared" si="10"/>
        <v>-1.3220128198865364E-10</v>
      </c>
      <c r="AU29" s="8">
        <f t="shared" si="11"/>
        <v>2.7642514531256005E-10</v>
      </c>
      <c r="AV29" s="8">
        <f t="shared" si="12"/>
        <v>1.1920928955078125E-4</v>
      </c>
    </row>
    <row r="30" spans="2:48" x14ac:dyDescent="0.2">
      <c r="B30" t="s">
        <v>24</v>
      </c>
      <c r="C30" s="1">
        <v>1.2250000000000001</v>
      </c>
      <c r="D30" t="s">
        <v>25</v>
      </c>
      <c r="F30" t="s">
        <v>155</v>
      </c>
      <c r="G30">
        <f xml:space="preserve"> IF( $G$26&gt;=2*SQRT((W9)/(2*$C$30*$C$5*PI()*$C$18*$C$18)), (W9)/$C$9 * ( ($G$26/2) - SQRT( ($G$26/2)^2 - (W9)/(2*$C$30*$C$5*PI()*$C$18*$C$18 ) ) ), 1/$C$9 * SQRT((W9)^3/(2*$C$30*$C$5*PI()*$C$18*$C$18)) )</f>
        <v>57138.716998984608</v>
      </c>
      <c r="H30" t="s">
        <v>30</v>
      </c>
      <c r="N30" t="s">
        <v>56</v>
      </c>
      <c r="O30" s="1">
        <v>1.1499999999999999</v>
      </c>
      <c r="V30" t="s">
        <v>56</v>
      </c>
      <c r="W30" s="1">
        <v>1.1499999999999999</v>
      </c>
      <c r="AB30" s="8">
        <v>26</v>
      </c>
      <c r="AC30" s="8">
        <f>IF(AI29&gt;0, AG29, AC29)</f>
        <v>0.35894110798835754</v>
      </c>
      <c r="AD30" s="8">
        <f t="shared" si="0"/>
        <v>1.299016294531441E-8</v>
      </c>
      <c r="AE30" s="8">
        <f t="shared" si="8"/>
        <v>0.35894112288951874</v>
      </c>
      <c r="AF30" s="8">
        <f t="shared" si="1"/>
        <v>-3.6377419410094092E-9</v>
      </c>
      <c r="AG30" s="8">
        <f t="shared" si="3"/>
        <v>0.35894111543893814</v>
      </c>
      <c r="AH30" s="8">
        <f t="shared" si="2"/>
        <v>4.6762104743969246E-9</v>
      </c>
      <c r="AI30" s="8">
        <f t="shared" si="4"/>
        <v>6.0744736029002047E-17</v>
      </c>
      <c r="AJ30" s="8">
        <f t="shared" si="5"/>
        <v>-1.7010846967701199E-17</v>
      </c>
      <c r="AK30" s="8">
        <f t="shared" si="6"/>
        <v>1.4901161193847656E-8</v>
      </c>
      <c r="AM30" s="8">
        <v>26</v>
      </c>
      <c r="AN30" s="8">
        <f t="shared" si="13"/>
        <v>985.923171043396</v>
      </c>
      <c r="AO30" s="8">
        <v>-1.5644698009964486E-5</v>
      </c>
      <c r="AP30" s="8">
        <f t="shared" si="14"/>
        <v>985.92323064804077</v>
      </c>
      <c r="AQ30" s="8">
        <v>8.4502290746968356E-6</v>
      </c>
      <c r="AR30" s="8">
        <f t="shared" si="9"/>
        <v>985.92320084571838</v>
      </c>
      <c r="AS30" s="8">
        <v>-3.5030269600611064E-6</v>
      </c>
      <c r="AT30" s="8">
        <f t="shared" si="10"/>
        <v>5.4803798910919934E-11</v>
      </c>
      <c r="AU30" s="8">
        <f t="shared" si="11"/>
        <v>-2.9601380267355232E-11</v>
      </c>
      <c r="AV30" s="8">
        <f t="shared" si="12"/>
        <v>5.9604644775390625E-5</v>
      </c>
    </row>
    <row r="31" spans="2:48" x14ac:dyDescent="0.2">
      <c r="B31" t="s">
        <v>26</v>
      </c>
      <c r="C31" s="1">
        <v>9.81</v>
      </c>
      <c r="D31" t="s">
        <v>27</v>
      </c>
      <c r="F31" t="s">
        <v>156</v>
      </c>
      <c r="G31">
        <f>W26 + W21 * (W31 * W28 + $G$28 * SIN(W20))</f>
        <v>13451.970861099426</v>
      </c>
      <c r="H31" t="s">
        <v>30</v>
      </c>
      <c r="N31" t="s">
        <v>57</v>
      </c>
      <c r="O31">
        <f xml:space="preserve"> 1/$C$36 * LN( EXP($C$36 * O29) + EXP($C$36 * O30) )</f>
        <v>1.1609294891096189</v>
      </c>
      <c r="V31" t="s">
        <v>57</v>
      </c>
      <c r="W31">
        <f xml:space="preserve"> 1/$C$36 * LN( EXP($C$36 * W29) + EXP($C$36 * W30) )</f>
        <v>1.1609294891096189</v>
      </c>
      <c r="AB31" s="8">
        <v>27</v>
      </c>
      <c r="AC31" s="8">
        <f t="shared" si="7"/>
        <v>0.35894111543893814</v>
      </c>
      <c r="AD31" s="8">
        <f t="shared" si="0"/>
        <v>4.6762104743969246E-9</v>
      </c>
      <c r="AE31" s="8">
        <f t="shared" si="8"/>
        <v>0.35894112288951874</v>
      </c>
      <c r="AF31" s="8">
        <f t="shared" si="1"/>
        <v>-3.6377419410094092E-9</v>
      </c>
      <c r="AG31" s="8">
        <f t="shared" si="3"/>
        <v>0.35894111916422844</v>
      </c>
      <c r="AH31" s="8">
        <f t="shared" si="2"/>
        <v>5.1923426669375772E-10</v>
      </c>
      <c r="AI31" s="8">
        <f t="shared" si="4"/>
        <v>2.428048716579156E-18</v>
      </c>
      <c r="AJ31" s="8">
        <f t="shared" si="5"/>
        <v>-1.8888402691611474E-18</v>
      </c>
      <c r="AK31" s="8">
        <f t="shared" si="6"/>
        <v>7.4505805969238281E-9</v>
      </c>
      <c r="AM31" s="8">
        <v>27</v>
      </c>
      <c r="AN31" s="8">
        <f t="shared" si="13"/>
        <v>985.92320084571838</v>
      </c>
      <c r="AO31" s="8">
        <v>-3.5030269600611064E-6</v>
      </c>
      <c r="AP31" s="8">
        <f t="shared" si="14"/>
        <v>985.92323064804077</v>
      </c>
      <c r="AQ31" s="8">
        <v>8.4502290746968356E-6</v>
      </c>
      <c r="AR31" s="8">
        <f t="shared" si="9"/>
        <v>985.92321574687958</v>
      </c>
      <c r="AS31" s="8">
        <v>2.5678084512037458E-6</v>
      </c>
      <c r="AT31" s="8">
        <f t="shared" si="10"/>
        <v>-8.9951022328394754E-12</v>
      </c>
      <c r="AU31" s="8">
        <f t="shared" si="11"/>
        <v>2.1698569632614143E-11</v>
      </c>
      <c r="AV31" s="8">
        <f t="shared" si="12"/>
        <v>2.9802322387695312E-5</v>
      </c>
    </row>
    <row r="32" spans="2:48" x14ac:dyDescent="0.2">
      <c r="B32" t="s">
        <v>67</v>
      </c>
      <c r="C32" s="1">
        <v>5</v>
      </c>
      <c r="D32" t="s">
        <v>68</v>
      </c>
      <c r="F32" t="s">
        <v>140</v>
      </c>
      <c r="G32">
        <f>G30+$C$6*G31</f>
        <v>70590.687860084028</v>
      </c>
      <c r="H32" t="s">
        <v>30</v>
      </c>
      <c r="AB32" s="8">
        <v>28</v>
      </c>
      <c r="AC32" s="8">
        <f t="shared" si="7"/>
        <v>0.35894111916422844</v>
      </c>
      <c r="AD32" s="8">
        <f t="shared" si="0"/>
        <v>5.1923426669375772E-10</v>
      </c>
      <c r="AE32" s="8">
        <f t="shared" si="8"/>
        <v>0.35894112288951874</v>
      </c>
      <c r="AF32" s="8">
        <f t="shared" si="1"/>
        <v>-3.6377419410094092E-9</v>
      </c>
      <c r="AG32" s="8">
        <f t="shared" si="3"/>
        <v>0.35894112102687359</v>
      </c>
      <c r="AH32" s="8">
        <f t="shared" si="2"/>
        <v>-1.5592538371578257E-9</v>
      </c>
      <c r="AI32" s="8">
        <f t="shared" si="4"/>
        <v>-8.0961802272607155E-19</v>
      </c>
      <c r="AJ32" s="8">
        <f t="shared" si="5"/>
        <v>5.6721630801088782E-18</v>
      </c>
      <c r="AK32" s="8">
        <f t="shared" si="6"/>
        <v>3.7252902984619141E-9</v>
      </c>
      <c r="AM32" s="8">
        <v>28</v>
      </c>
      <c r="AN32" s="8">
        <f t="shared" si="13"/>
        <v>985.92320084571838</v>
      </c>
      <c r="AO32" s="8">
        <v>-3.5030269600611064E-6</v>
      </c>
      <c r="AP32" s="8">
        <f t="shared" si="14"/>
        <v>985.92321574687958</v>
      </c>
      <c r="AQ32" s="8">
        <v>2.5678084512037458E-6</v>
      </c>
      <c r="AR32" s="8">
        <f t="shared" si="9"/>
        <v>985.92320829629898</v>
      </c>
      <c r="AS32" s="8">
        <v>-5.618165914711426E-7</v>
      </c>
      <c r="AT32" s="8">
        <f t="shared" si="10"/>
        <v>1.9680586665330492E-12</v>
      </c>
      <c r="AU32" s="8">
        <f t="shared" si="11"/>
        <v>-1.4426373916060823E-12</v>
      </c>
      <c r="AV32" s="8">
        <f t="shared" si="12"/>
        <v>1.4901161193847656E-5</v>
      </c>
    </row>
    <row r="33" spans="2:48" x14ac:dyDescent="0.2">
      <c r="B33" t="s">
        <v>112</v>
      </c>
      <c r="C33" s="1">
        <v>0.8</v>
      </c>
      <c r="F33" t="s">
        <v>139</v>
      </c>
      <c r="G33">
        <f>$G$27/$G$26</f>
        <v>200</v>
      </c>
      <c r="H33" t="s">
        <v>23</v>
      </c>
      <c r="AB33" s="8">
        <v>29</v>
      </c>
      <c r="AC33" s="8">
        <f t="shared" si="7"/>
        <v>0.35894111916422844</v>
      </c>
      <c r="AD33" s="8">
        <f t="shared" si="0"/>
        <v>5.1923426669375772E-10</v>
      </c>
      <c r="AE33" s="8">
        <f t="shared" si="8"/>
        <v>0.35894112102687359</v>
      </c>
      <c r="AF33" s="8">
        <f t="shared" si="1"/>
        <v>-1.5592538371578257E-9</v>
      </c>
      <c r="AG33" s="8">
        <f t="shared" si="3"/>
        <v>0.35894112009555101</v>
      </c>
      <c r="AH33" s="8">
        <f t="shared" si="2"/>
        <v>-5.2000981298760962E-10</v>
      </c>
      <c r="AI33" s="8">
        <f t="shared" si="4"/>
        <v>-2.7000691392017957E-19</v>
      </c>
      <c r="AJ33" s="8">
        <f t="shared" si="5"/>
        <v>8.1082729626065366E-19</v>
      </c>
      <c r="AK33" s="8">
        <f t="shared" si="6"/>
        <v>1.862645149230957E-9</v>
      </c>
      <c r="AM33" s="8">
        <v>29</v>
      </c>
      <c r="AN33" s="8">
        <f t="shared" si="13"/>
        <v>985.92320829629898</v>
      </c>
      <c r="AO33" s="8">
        <v>-5.618165914711426E-7</v>
      </c>
      <c r="AP33" s="8">
        <f t="shared" si="14"/>
        <v>985.92321574687958</v>
      </c>
      <c r="AQ33" s="8">
        <v>2.5678084512037458E-6</v>
      </c>
      <c r="AR33" s="8">
        <f t="shared" si="9"/>
        <v>985.92321202158928</v>
      </c>
      <c r="AS33" s="8">
        <v>1.0029959867097205E-6</v>
      </c>
      <c r="AT33" s="8">
        <f t="shared" si="10"/>
        <v>-5.6349978651249059E-13</v>
      </c>
      <c r="AU33" s="8">
        <f t="shared" si="11"/>
        <v>2.5755015711966601E-12</v>
      </c>
      <c r="AV33" s="8">
        <f t="shared" si="12"/>
        <v>7.4505805969238281E-6</v>
      </c>
    </row>
    <row r="34" spans="2:48" x14ac:dyDescent="0.2">
      <c r="AB34" s="8">
        <v>30</v>
      </c>
      <c r="AC34" s="8">
        <f t="shared" si="7"/>
        <v>0.35894111916422844</v>
      </c>
      <c r="AD34" s="8">
        <f t="shared" si="0"/>
        <v>5.1923426669375772E-10</v>
      </c>
      <c r="AE34" s="8">
        <f t="shared" si="8"/>
        <v>0.35894112009555101</v>
      </c>
      <c r="AF34" s="8">
        <f t="shared" si="1"/>
        <v>-5.2000981298760962E-10</v>
      </c>
      <c r="AG34" s="8">
        <f t="shared" si="3"/>
        <v>0.35894111962988973</v>
      </c>
      <c r="AH34" s="8">
        <f t="shared" si="2"/>
        <v>-3.8774539135033592E-13</v>
      </c>
      <c r="AI34" s="8">
        <f t="shared" si="4"/>
        <v>-2.0133069394167578E-22</v>
      </c>
      <c r="AJ34" s="8">
        <f t="shared" si="5"/>
        <v>2.0163140844289569E-22</v>
      </c>
      <c r="AK34" s="8">
        <f t="shared" si="6"/>
        <v>9.3132257461547852E-10</v>
      </c>
      <c r="AM34" s="8">
        <v>30</v>
      </c>
      <c r="AN34" s="8">
        <f t="shared" si="13"/>
        <v>985.92320829629898</v>
      </c>
      <c r="AO34" s="8">
        <v>-5.618165914711426E-7</v>
      </c>
      <c r="AP34" s="8">
        <f t="shared" si="14"/>
        <v>985.92321202158928</v>
      </c>
      <c r="AQ34" s="8">
        <v>1.0029959867097205E-6</v>
      </c>
      <c r="AR34" s="8">
        <f t="shared" si="9"/>
        <v>985.92321015894413</v>
      </c>
      <c r="AS34" s="8">
        <v>2.2058952708903234E-7</v>
      </c>
      <c r="AT34" s="8">
        <f t="shared" si="10"/>
        <v>-1.2393085622339143E-13</v>
      </c>
      <c r="AU34" s="8">
        <f t="shared" si="11"/>
        <v>2.2125041038049461E-13</v>
      </c>
      <c r="AV34" s="8">
        <f t="shared" si="12"/>
        <v>3.7252902984619141E-6</v>
      </c>
    </row>
    <row r="35" spans="2:48" x14ac:dyDescent="0.2">
      <c r="B35" s="40" t="s">
        <v>28</v>
      </c>
      <c r="C35" s="40"/>
      <c r="D35" s="40"/>
      <c r="F35" s="21" t="s">
        <v>118</v>
      </c>
      <c r="G35" s="22"/>
      <c r="H35" s="22"/>
      <c r="AM35" s="8">
        <v>31</v>
      </c>
      <c r="AN35" s="8">
        <f t="shared" si="13"/>
        <v>985.92320829629898</v>
      </c>
      <c r="AO35">
        <v>-5.618165914711426E-7</v>
      </c>
      <c r="AP35" s="8">
        <f t="shared" si="14"/>
        <v>985.92321015894413</v>
      </c>
      <c r="AQ35">
        <v>2.2058952708903234E-7</v>
      </c>
      <c r="AR35" s="8">
        <f t="shared" si="9"/>
        <v>985.92320922762156</v>
      </c>
      <c r="AS35">
        <v>-1.7061358903447399E-7</v>
      </c>
      <c r="AT35" s="8">
        <f t="shared" si="10"/>
        <v>9.5853545050006488E-14</v>
      </c>
      <c r="AU35" s="8">
        <f t="shared" si="11"/>
        <v>-3.7635570920077132E-14</v>
      </c>
      <c r="AV35" s="8">
        <f t="shared" si="12"/>
        <v>1.862645149230957E-6</v>
      </c>
    </row>
    <row r="36" spans="2:48" x14ac:dyDescent="0.2">
      <c r="B36" t="s">
        <v>29</v>
      </c>
      <c r="C36" s="1">
        <v>30</v>
      </c>
      <c r="F36" t="s">
        <v>124</v>
      </c>
      <c r="G36" s="1">
        <v>1.524</v>
      </c>
      <c r="H36" t="s">
        <v>16</v>
      </c>
      <c r="AM36" s="8">
        <v>32</v>
      </c>
      <c r="AN36" s="8">
        <f t="shared" si="13"/>
        <v>985.92320922762156</v>
      </c>
      <c r="AO36">
        <v>-1.7061358903447399E-7</v>
      </c>
      <c r="AP36" s="8">
        <f t="shared" si="14"/>
        <v>985.92321015894413</v>
      </c>
      <c r="AQ36">
        <v>2.2058952708903234E-7</v>
      </c>
      <c r="AR36" s="8">
        <f t="shared" si="9"/>
        <v>985.92320969328284</v>
      </c>
      <c r="AS36">
        <v>2.4988025870698038E-8</v>
      </c>
      <c r="AT36" s="8">
        <f t="shared" si="10"/>
        <v>-4.2632967766860792E-15</v>
      </c>
      <c r="AU36" s="8">
        <f t="shared" si="11"/>
        <v>5.512096809705786E-15</v>
      </c>
      <c r="AV36" s="8">
        <f t="shared" si="12"/>
        <v>9.3132257461547852E-7</v>
      </c>
    </row>
    <row r="37" spans="2:48" x14ac:dyDescent="0.2">
      <c r="F37" t="s">
        <v>130</v>
      </c>
      <c r="G37" s="47">
        <v>152.4</v>
      </c>
      <c r="H37" t="s">
        <v>14</v>
      </c>
      <c r="AB37" s="6" t="s">
        <v>154</v>
      </c>
      <c r="AM37" s="8">
        <v>33</v>
      </c>
      <c r="AN37" s="8">
        <f t="shared" si="13"/>
        <v>985.92320922762156</v>
      </c>
      <c r="AO37">
        <v>-1.7061358903447399E-7</v>
      </c>
      <c r="AP37" s="8">
        <f t="shared" si="14"/>
        <v>985.92320969328284</v>
      </c>
      <c r="AQ37">
        <v>2.4988025870698038E-8</v>
      </c>
      <c r="AR37" s="8">
        <f t="shared" si="9"/>
        <v>985.9232094604522</v>
      </c>
      <c r="AS37">
        <v>-7.2812781581887975E-8</v>
      </c>
      <c r="AT37" s="8">
        <f t="shared" si="10"/>
        <v>1.2422849993269152E-14</v>
      </c>
      <c r="AU37" s="8">
        <f t="shared" si="11"/>
        <v>-1.8194476698857024E-15</v>
      </c>
      <c r="AV37" s="8">
        <f t="shared" si="12"/>
        <v>4.6566128730773926E-7</v>
      </c>
    </row>
    <row r="38" spans="2:48" x14ac:dyDescent="0.2">
      <c r="F38" t="s">
        <v>122</v>
      </c>
      <c r="G38">
        <f xml:space="preserve"> IF( $G$36&gt;=2*SQRT(($C$17*$C$31)/(2*$C$30*$C$5*PI()*$C$18*$C$18)), ($C$17*$C$31)/$C$9 * ( ($G$36/2) - SQRT( ($G$36/2)^2 - ($C$17*$C$31)/(2*$C$30*$C$5*PI()*$C$18*$C$18 ) ) ), 1/$C$9 * SQRT(($C$17*$C$31)^3/(2*$C$30*$C$5*PI()*$C$18*$C$18)) )</f>
        <v>186626.48637496005</v>
      </c>
      <c r="H38" t="s">
        <v>30</v>
      </c>
      <c r="AB38" s="7" t="s">
        <v>70</v>
      </c>
      <c r="AC38" s="7" t="s">
        <v>71</v>
      </c>
      <c r="AD38" s="7" t="s">
        <v>72</v>
      </c>
      <c r="AE38" s="7" t="s">
        <v>73</v>
      </c>
      <c r="AF38" s="7" t="s">
        <v>74</v>
      </c>
      <c r="AG38" s="7" t="s">
        <v>75</v>
      </c>
      <c r="AH38" s="7" t="s">
        <v>76</v>
      </c>
      <c r="AI38" s="7" t="s">
        <v>77</v>
      </c>
      <c r="AJ38" s="7" t="s">
        <v>78</v>
      </c>
      <c r="AK38" s="7" t="s">
        <v>79</v>
      </c>
      <c r="AM38" s="8">
        <v>34</v>
      </c>
      <c r="AN38" s="8">
        <f t="shared" si="13"/>
        <v>985.9232094604522</v>
      </c>
      <c r="AO38">
        <v>-7.2812781581887975E-8</v>
      </c>
      <c r="AP38" s="8">
        <f t="shared" si="14"/>
        <v>985.92320969328284</v>
      </c>
      <c r="AQ38">
        <v>2.4988025870698038E-8</v>
      </c>
      <c r="AR38" s="8">
        <f t="shared" si="9"/>
        <v>985.92320957686752</v>
      </c>
      <c r="AS38">
        <v>-2.3912434699013829E-8</v>
      </c>
      <c r="AT38" s="8">
        <f t="shared" si="10"/>
        <v>1.7411308848304531E-15</v>
      </c>
      <c r="AU38" s="8">
        <f t="shared" si="11"/>
        <v>-5.9752453689033503E-16</v>
      </c>
      <c r="AV38" s="8">
        <f t="shared" si="12"/>
        <v>2.3283064365386963E-7</v>
      </c>
    </row>
    <row r="39" spans="2:48" x14ac:dyDescent="0.2">
      <c r="F39" t="s">
        <v>31</v>
      </c>
      <c r="G39">
        <f xml:space="preserve"> $C$17 * $C$31 / $C$5</f>
        <v>1611.9844477503739</v>
      </c>
      <c r="H39" t="s">
        <v>32</v>
      </c>
      <c r="AB39" s="8">
        <v>0</v>
      </c>
      <c r="AC39" s="9">
        <v>0</v>
      </c>
      <c r="AD39" s="8">
        <f xml:space="preserve"> $O$23 * TAN($O$20) + $O$24 / (2 * SQRT($O$23^2 + AC39^2)) - AC39</f>
        <v>0.53044318212668107</v>
      </c>
      <c r="AE39" s="9">
        <v>1</v>
      </c>
      <c r="AF39" s="8">
        <f xml:space="preserve"> $O$23 * TAN($O$20) + $O$24 / (2 * SQRT($O$23^2 + AE39^2)) - AE39</f>
        <v>-0.67698493652538771</v>
      </c>
      <c r="AG39" s="8">
        <f xml:space="preserve"> (AC39 + AE39)/2</f>
        <v>0.5</v>
      </c>
      <c r="AH39" s="8">
        <f xml:space="preserve"> $O$23 * TAN($O$20) + $O$24 / (2 * SQRT($O$23^2 + AG39^2)) - AG39</f>
        <v>-0.17108212067505157</v>
      </c>
      <c r="AI39" s="8">
        <f>AD39*AH39</f>
        <v>-9.0749344495855214E-2</v>
      </c>
      <c r="AJ39" s="8">
        <f>AF39*AH39</f>
        <v>0.11582001860582851</v>
      </c>
      <c r="AK39" s="8">
        <f>AE39-AC39</f>
        <v>1</v>
      </c>
      <c r="AM39" s="8">
        <v>35</v>
      </c>
      <c r="AN39" s="8">
        <f t="shared" si="13"/>
        <v>985.92320957686752</v>
      </c>
      <c r="AO39">
        <v>-2.3912434699013829E-8</v>
      </c>
      <c r="AP39" s="8">
        <f t="shared" si="14"/>
        <v>985.92320969328284</v>
      </c>
      <c r="AQ39">
        <v>2.4988025870698038E-8</v>
      </c>
      <c r="AR39" s="8">
        <f t="shared" si="9"/>
        <v>985.92320963507518</v>
      </c>
      <c r="AS39">
        <v>5.3785242926096544E-10</v>
      </c>
      <c r="AT39" s="8">
        <f t="shared" si="10"/>
        <v>-1.2861361092408791E-17</v>
      </c>
      <c r="AU39" s="8">
        <f t="shared" si="11"/>
        <v>1.3439870416990791E-17</v>
      </c>
      <c r="AV39" s="8">
        <f t="shared" si="12"/>
        <v>1.1641532182693481E-7</v>
      </c>
    </row>
    <row r="40" spans="2:48" x14ac:dyDescent="0.2">
      <c r="F40" t="s">
        <v>129</v>
      </c>
      <c r="G40">
        <f xml:space="preserve"> $G$37/$G$36</f>
        <v>100</v>
      </c>
      <c r="H40" t="s">
        <v>23</v>
      </c>
      <c r="AB40" s="8">
        <v>1</v>
      </c>
      <c r="AC40" s="8">
        <f>IF(AI39&gt;0, AG39, AC39)</f>
        <v>0</v>
      </c>
      <c r="AD40" s="8">
        <f t="shared" ref="AD40:AD69" si="15" xml:space="preserve"> $O$23 * TAN($O$20) + $O$24 / (2 * SQRT($O$23^2 + AC40^2)) - AC40</f>
        <v>0.53044318212668107</v>
      </c>
      <c r="AE40" s="8">
        <f>IF(AJ39&gt;0, AG39, AE39)</f>
        <v>0.5</v>
      </c>
      <c r="AF40" s="8">
        <f t="shared" ref="AF40:AF69" si="16" xml:space="preserve"> $O$23 * TAN($O$20) + $O$24 / (2 * SQRT($O$23^2 + AE40^2)) - AE40</f>
        <v>-0.17108212067505157</v>
      </c>
      <c r="AG40" s="8">
        <f t="shared" ref="AG40:AG69" si="17" xml:space="preserve"> (AC40 + AE40)/2</f>
        <v>0.25</v>
      </c>
      <c r="AH40" s="8">
        <f t="shared" ref="AH40:AH69" si="18" xml:space="preserve"> $O$23 * TAN($O$20) + $O$24 / (2 * SQRT($O$23^2 + AG40^2)) - AG40</f>
        <v>9.0629058436244636E-2</v>
      </c>
      <c r="AI40" s="8">
        <f t="shared" ref="AI40:AI69" si="19">AD40*AH40</f>
        <v>4.8073566150066534E-2</v>
      </c>
      <c r="AJ40" s="8">
        <f t="shared" ref="AJ40:AJ69" si="20">AF40*AH40</f>
        <v>-1.5505011512055905E-2</v>
      </c>
      <c r="AK40" s="8">
        <f t="shared" ref="AK40:AK69" si="21">AE40-AC40</f>
        <v>0.5</v>
      </c>
      <c r="AM40" s="8">
        <v>36</v>
      </c>
      <c r="AN40" s="8">
        <f t="shared" si="13"/>
        <v>985.92320957686752</v>
      </c>
      <c r="AO40">
        <v>-2.3912434699013829E-8</v>
      </c>
      <c r="AP40" s="8">
        <f t="shared" si="14"/>
        <v>985.92320963507518</v>
      </c>
      <c r="AQ40">
        <v>5.3785242926096544E-10</v>
      </c>
      <c r="AR40" s="8">
        <f t="shared" si="9"/>
        <v>985.92320960597135</v>
      </c>
      <c r="AS40">
        <v>-1.1687234291457571E-8</v>
      </c>
      <c r="AT40" s="8">
        <f t="shared" si="10"/>
        <v>2.7947022680655433E-16</v>
      </c>
      <c r="AU40" s="8">
        <f t="shared" si="11"/>
        <v>-6.2860073550025128E-18</v>
      </c>
      <c r="AV40" s="8">
        <f t="shared" si="12"/>
        <v>5.8207660913467407E-8</v>
      </c>
    </row>
    <row r="41" spans="2:48" x14ac:dyDescent="0.2">
      <c r="AB41" s="8">
        <v>2</v>
      </c>
      <c r="AC41" s="8">
        <f t="shared" ref="AC41:AC69" si="22">IF(AI40&gt;0, AG40, AC40)</f>
        <v>0.25</v>
      </c>
      <c r="AD41" s="8">
        <f t="shared" si="15"/>
        <v>9.0629058436244636E-2</v>
      </c>
      <c r="AE41" s="8">
        <f t="shared" ref="AE41:AE69" si="23">IF(AJ40&gt;0, AG40, AE40)</f>
        <v>0.5</v>
      </c>
      <c r="AF41" s="8">
        <f t="shared" si="16"/>
        <v>-0.17108212067505157</v>
      </c>
      <c r="AG41" s="8">
        <f t="shared" si="17"/>
        <v>0.375</v>
      </c>
      <c r="AH41" s="8">
        <f t="shared" si="18"/>
        <v>-4.216114354470385E-2</v>
      </c>
      <c r="AI41" s="8">
        <f t="shared" si="19"/>
        <v>-3.8210247420518637E-3</v>
      </c>
      <c r="AJ41" s="8">
        <f t="shared" si="20"/>
        <v>7.213017847713196E-3</v>
      </c>
      <c r="AK41" s="8">
        <f t="shared" si="21"/>
        <v>0.25</v>
      </c>
      <c r="AM41" s="8">
        <v>37</v>
      </c>
      <c r="AN41" s="8">
        <f t="shared" si="13"/>
        <v>985.92320960597135</v>
      </c>
      <c r="AO41">
        <v>-1.1687234291457571E-8</v>
      </c>
      <c r="AP41" s="8">
        <f t="shared" si="14"/>
        <v>985.92320963507518</v>
      </c>
      <c r="AQ41">
        <v>5.3785242926096544E-10</v>
      </c>
      <c r="AR41" s="8">
        <f t="shared" si="9"/>
        <v>985.92320962052327</v>
      </c>
      <c r="AS41">
        <v>-5.5747477745171636E-9</v>
      </c>
      <c r="AT41" s="8">
        <f t="shared" si="10"/>
        <v>6.5153383356563774E-17</v>
      </c>
      <c r="AU41" s="8">
        <f t="shared" si="11"/>
        <v>-2.9983916330412173E-18</v>
      </c>
      <c r="AV41" s="8">
        <f t="shared" si="12"/>
        <v>2.9103830456733704E-8</v>
      </c>
    </row>
    <row r="42" spans="2:48" x14ac:dyDescent="0.2">
      <c r="F42" s="21" t="s">
        <v>36</v>
      </c>
      <c r="G42" s="22"/>
      <c r="H42" s="22"/>
      <c r="AB42" s="8">
        <v>3</v>
      </c>
      <c r="AC42" s="8">
        <f t="shared" si="22"/>
        <v>0.25</v>
      </c>
      <c r="AD42" s="8">
        <f t="shared" si="15"/>
        <v>9.0629058436244636E-2</v>
      </c>
      <c r="AE42" s="8">
        <f t="shared" si="23"/>
        <v>0.375</v>
      </c>
      <c r="AF42" s="8">
        <f t="shared" si="16"/>
        <v>-4.216114354470385E-2</v>
      </c>
      <c r="AG42" s="8">
        <f t="shared" si="17"/>
        <v>0.3125</v>
      </c>
      <c r="AH42" s="8">
        <f t="shared" si="18"/>
        <v>2.3464325047462986E-2</v>
      </c>
      <c r="AI42" s="8">
        <f t="shared" si="19"/>
        <v>2.1265496858935617E-3</v>
      </c>
      <c r="AJ42" s="8">
        <f t="shared" si="20"/>
        <v>-9.89282776505677E-4</v>
      </c>
      <c r="AK42" s="8">
        <f t="shared" si="21"/>
        <v>0.125</v>
      </c>
      <c r="AM42" s="8">
        <v>38</v>
      </c>
      <c r="AN42" s="8">
        <f t="shared" si="13"/>
        <v>985.92320962052327</v>
      </c>
      <c r="AO42">
        <v>-5.5747477745171636E-9</v>
      </c>
      <c r="AP42" s="8">
        <f t="shared" si="14"/>
        <v>985.92320963507518</v>
      </c>
      <c r="AQ42">
        <v>5.3785242926096544E-10</v>
      </c>
      <c r="AR42" s="8">
        <f t="shared" si="9"/>
        <v>985.92320962779922</v>
      </c>
      <c r="AS42">
        <v>-2.5186182028846815E-9</v>
      </c>
      <c r="AT42" s="8">
        <f t="shared" si="10"/>
        <v>1.4040661221389796E-17</v>
      </c>
      <c r="AU42" s="8">
        <f t="shared" si="11"/>
        <v>-1.3546449188024131E-18</v>
      </c>
      <c r="AV42" s="8">
        <f t="shared" si="12"/>
        <v>1.4551915228366852E-8</v>
      </c>
    </row>
    <row r="43" spans="2:48" x14ac:dyDescent="0.2">
      <c r="F43" t="s">
        <v>37</v>
      </c>
      <c r="G43">
        <f xml:space="preserve"> (G6*G8 + G17*G18 + G22*G23 + G32*G33 + G38*G40)/3600</f>
        <v>22055.105696686765</v>
      </c>
      <c r="H43" t="s">
        <v>38</v>
      </c>
      <c r="AB43" s="8">
        <v>4</v>
      </c>
      <c r="AC43" s="8">
        <f t="shared" si="22"/>
        <v>0.3125</v>
      </c>
      <c r="AD43" s="8">
        <f t="shared" si="15"/>
        <v>2.3464325047462986E-2</v>
      </c>
      <c r="AE43" s="8">
        <f t="shared" si="23"/>
        <v>0.375</v>
      </c>
      <c r="AF43" s="8">
        <f t="shared" si="16"/>
        <v>-4.216114354470385E-2</v>
      </c>
      <c r="AG43" s="8">
        <f t="shared" si="17"/>
        <v>0.34375</v>
      </c>
      <c r="AH43" s="8">
        <f t="shared" si="18"/>
        <v>-9.4890894015199345E-3</v>
      </c>
      <c r="AI43" s="8">
        <f t="shared" si="19"/>
        <v>-2.2265507812169974E-4</v>
      </c>
      <c r="AJ43" s="8">
        <f t="shared" si="20"/>
        <v>4.0007086036600992E-4</v>
      </c>
      <c r="AK43" s="8">
        <f t="shared" si="21"/>
        <v>6.25E-2</v>
      </c>
      <c r="AM43" s="8">
        <v>39</v>
      </c>
      <c r="AN43" s="8">
        <f t="shared" si="13"/>
        <v>985.92320962779922</v>
      </c>
      <c r="AO43">
        <v>-2.5186182028846815E-9</v>
      </c>
      <c r="AP43" s="8">
        <f t="shared" si="14"/>
        <v>985.92320963507518</v>
      </c>
      <c r="AQ43">
        <v>5.3785242926096544E-10</v>
      </c>
      <c r="AR43" s="8">
        <f t="shared" si="9"/>
        <v>985.9232096314372</v>
      </c>
      <c r="AS43">
        <v>-9.9055341706844047E-10</v>
      </c>
      <c r="AT43" s="8">
        <f t="shared" si="10"/>
        <v>2.4948258671581959E-18</v>
      </c>
      <c r="AU43" s="8">
        <f t="shared" si="11"/>
        <v>-5.3277156168301097E-19</v>
      </c>
      <c r="AV43" s="8">
        <f t="shared" si="12"/>
        <v>7.2759576141834259E-9</v>
      </c>
    </row>
    <row r="44" spans="2:48" x14ac:dyDescent="0.2">
      <c r="F44" t="s">
        <v>39</v>
      </c>
      <c r="G44">
        <f xml:space="preserve"> G8 + G18 + G23 + G33 +G40</f>
        <v>1160.6891109485039</v>
      </c>
      <c r="H44" t="s">
        <v>23</v>
      </c>
      <c r="AB44" s="8">
        <v>5</v>
      </c>
      <c r="AC44" s="8">
        <f t="shared" si="22"/>
        <v>0.3125</v>
      </c>
      <c r="AD44" s="8">
        <f t="shared" si="15"/>
        <v>2.3464325047462986E-2</v>
      </c>
      <c r="AE44" s="8">
        <f t="shared" si="23"/>
        <v>0.34375</v>
      </c>
      <c r="AF44" s="8">
        <f t="shared" si="16"/>
        <v>-9.4890894015199345E-3</v>
      </c>
      <c r="AG44" s="8">
        <f t="shared" si="17"/>
        <v>0.328125</v>
      </c>
      <c r="AH44" s="8">
        <f t="shared" si="18"/>
        <v>6.9474927825691202E-3</v>
      </c>
      <c r="AI44" s="8">
        <f t="shared" si="19"/>
        <v>1.6301822891510493E-4</v>
      </c>
      <c r="AJ44" s="8">
        <f t="shared" si="20"/>
        <v>-6.5925380130212873E-5</v>
      </c>
      <c r="AK44" s="8">
        <f t="shared" si="21"/>
        <v>3.125E-2</v>
      </c>
      <c r="AM44" s="8">
        <v>40</v>
      </c>
      <c r="AN44" s="8">
        <f t="shared" si="13"/>
        <v>985.9232096314372</v>
      </c>
      <c r="AO44">
        <v>-9.9055341706844047E-10</v>
      </c>
      <c r="AP44" s="8">
        <f t="shared" si="14"/>
        <v>985.92320963507518</v>
      </c>
      <c r="AQ44">
        <v>5.3785242926096544E-10</v>
      </c>
      <c r="AR44" s="11">
        <f t="shared" si="9"/>
        <v>985.92320963325619</v>
      </c>
      <c r="AS44">
        <v>-2.2635049390373752E-10</v>
      </c>
      <c r="AT44" s="8">
        <f t="shared" si="10"/>
        <v>2.242122551914764E-19</v>
      </c>
      <c r="AU44" s="8">
        <f t="shared" si="11"/>
        <v>-1.2174316301054457E-19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0.328125</v>
      </c>
      <c r="AD45" s="8">
        <f t="shared" si="15"/>
        <v>6.9474927825691202E-3</v>
      </c>
      <c r="AE45" s="8">
        <f t="shared" si="23"/>
        <v>0.34375</v>
      </c>
      <c r="AF45" s="8">
        <f t="shared" si="16"/>
        <v>-9.4890894015199345E-3</v>
      </c>
      <c r="AG45" s="8">
        <f t="shared" si="17"/>
        <v>0.3359375</v>
      </c>
      <c r="AH45" s="8">
        <f t="shared" si="18"/>
        <v>-1.2801393928103533E-3</v>
      </c>
      <c r="AI45" s="8">
        <f t="shared" si="19"/>
        <v>-8.8937591922323459E-6</v>
      </c>
      <c r="AJ45" s="8">
        <f t="shared" si="20"/>
        <v>1.2147357144784887E-5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0.328125</v>
      </c>
      <c r="AD46" s="8">
        <f t="shared" si="15"/>
        <v>6.9474927825691202E-3</v>
      </c>
      <c r="AE46" s="8">
        <f t="shared" si="23"/>
        <v>0.3359375</v>
      </c>
      <c r="AF46" s="8">
        <f t="shared" si="16"/>
        <v>-1.2801393928103533E-3</v>
      </c>
      <c r="AG46" s="8">
        <f t="shared" si="17"/>
        <v>0.33203125</v>
      </c>
      <c r="AH46" s="8">
        <f t="shared" si="18"/>
        <v>2.8312601378421842E-3</v>
      </c>
      <c r="AI46" s="8">
        <f t="shared" si="19"/>
        <v>1.9670159373234228E-5</v>
      </c>
      <c r="AJ46" s="8">
        <f t="shared" si="20"/>
        <v>-3.6244076337454509E-6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0.33203125</v>
      </c>
      <c r="AD47" s="8">
        <f t="shared" si="15"/>
        <v>2.8312601378421842E-3</v>
      </c>
      <c r="AE47" s="8">
        <f t="shared" si="23"/>
        <v>0.3359375</v>
      </c>
      <c r="AF47" s="8">
        <f t="shared" si="16"/>
        <v>-1.2801393928103533E-3</v>
      </c>
      <c r="AG47" s="8">
        <f t="shared" si="17"/>
        <v>0.333984375</v>
      </c>
      <c r="AH47" s="8">
        <f t="shared" si="18"/>
        <v>7.7496668602528018E-4</v>
      </c>
      <c r="AI47" s="8">
        <f t="shared" si="19"/>
        <v>2.1941322862990356E-6</v>
      </c>
      <c r="AJ47" s="8">
        <f t="shared" si="20"/>
        <v>-9.9206538289665382E-7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0.333984375</v>
      </c>
      <c r="AD48" s="8">
        <f t="shared" si="15"/>
        <v>7.7496668602528018E-4</v>
      </c>
      <c r="AE48" s="8">
        <f t="shared" si="23"/>
        <v>0.3359375</v>
      </c>
      <c r="AF48" s="8">
        <f t="shared" si="16"/>
        <v>-1.2801393928103533E-3</v>
      </c>
      <c r="AG48" s="8">
        <f t="shared" si="17"/>
        <v>0.3349609375</v>
      </c>
      <c r="AH48" s="8">
        <f t="shared" si="18"/>
        <v>-2.5273349462506811E-4</v>
      </c>
      <c r="AI48" s="8">
        <f t="shared" si="19"/>
        <v>-1.9586003877717699E-7</v>
      </c>
      <c r="AJ48" s="8">
        <f t="shared" si="20"/>
        <v>3.2353410235217337E-7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0.333984375</v>
      </c>
      <c r="AD49" s="8">
        <f t="shared" si="15"/>
        <v>7.7496668602528018E-4</v>
      </c>
      <c r="AE49" s="8">
        <f t="shared" si="23"/>
        <v>0.3349609375</v>
      </c>
      <c r="AF49" s="8">
        <f t="shared" si="16"/>
        <v>-2.5273349462506811E-4</v>
      </c>
      <c r="AG49" s="8">
        <f t="shared" si="17"/>
        <v>0.33447265625</v>
      </c>
      <c r="AH49" s="8">
        <f t="shared" si="18"/>
        <v>2.6107965149135826E-4</v>
      </c>
      <c r="AI49" s="8">
        <f t="shared" si="19"/>
        <v>2.02328032304893E-7</v>
      </c>
      <c r="AJ49" s="8">
        <f t="shared" si="20"/>
        <v>-6.5983572696905846E-8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0.33447265625</v>
      </c>
      <c r="AD50" s="8">
        <f t="shared" si="15"/>
        <v>2.6107965149135826E-4</v>
      </c>
      <c r="AE50" s="8">
        <f t="shared" si="23"/>
        <v>0.3349609375</v>
      </c>
      <c r="AF50" s="8">
        <f t="shared" si="16"/>
        <v>-2.5273349462506811E-4</v>
      </c>
      <c r="AG50" s="8">
        <f t="shared" si="17"/>
        <v>0.334716796875</v>
      </c>
      <c r="AH50" s="8">
        <f t="shared" si="18"/>
        <v>4.1638623147211007E-6</v>
      </c>
      <c r="AI50" s="8">
        <f t="shared" si="19"/>
        <v>1.0870997219853854E-9</v>
      </c>
      <c r="AJ50" s="8">
        <f t="shared" si="20"/>
        <v>-1.0523474739370891E-9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0.334716796875</v>
      </c>
      <c r="AD51" s="8">
        <f t="shared" si="15"/>
        <v>4.1638623147211007E-6</v>
      </c>
      <c r="AE51" s="8">
        <f t="shared" si="23"/>
        <v>0.3349609375</v>
      </c>
      <c r="AF51" s="8">
        <f t="shared" si="16"/>
        <v>-2.5273349462506811E-4</v>
      </c>
      <c r="AG51" s="8">
        <f t="shared" si="17"/>
        <v>0.3348388671875</v>
      </c>
      <c r="AH51" s="8">
        <f t="shared" si="18"/>
        <v>-1.2428711769929546E-4</v>
      </c>
      <c r="AI51" s="8">
        <f t="shared" si="19"/>
        <v>-5.1751444559340226E-10</v>
      </c>
      <c r="AJ51" s="8">
        <f t="shared" si="20"/>
        <v>3.1411517593020093E-8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0.334716796875</v>
      </c>
      <c r="AD52" s="8">
        <f t="shared" si="15"/>
        <v>4.1638623147211007E-6</v>
      </c>
      <c r="AE52" s="8">
        <f t="shared" si="23"/>
        <v>0.3348388671875</v>
      </c>
      <c r="AF52" s="8">
        <f t="shared" si="16"/>
        <v>-1.2428711769929546E-4</v>
      </c>
      <c r="AG52" s="8">
        <f t="shared" si="17"/>
        <v>0.33477783203125</v>
      </c>
      <c r="AH52" s="8">
        <f t="shared" si="18"/>
        <v>-6.0062203388722146E-5</v>
      </c>
      <c r="AI52" s="8">
        <f t="shared" si="19"/>
        <v>-2.5009074522941412E-10</v>
      </c>
      <c r="AJ52" s="8">
        <f t="shared" si="20"/>
        <v>7.4649581418531313E-9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0.334716796875</v>
      </c>
      <c r="AD53" s="8">
        <f t="shared" si="15"/>
        <v>4.1638623147211007E-6</v>
      </c>
      <c r="AE53" s="8">
        <f t="shared" si="23"/>
        <v>0.33477783203125</v>
      </c>
      <c r="AF53" s="8">
        <f t="shared" si="16"/>
        <v>-6.0062203388722146E-5</v>
      </c>
      <c r="AG53" s="8">
        <f t="shared" si="17"/>
        <v>0.334747314453125</v>
      </c>
      <c r="AH53" s="8">
        <f t="shared" si="18"/>
        <v>-2.7949314499897682E-5</v>
      </c>
      <c r="AI53" s="8">
        <f t="shared" si="19"/>
        <v>-1.1637709736841199E-10</v>
      </c>
      <c r="AJ53" s="8">
        <f t="shared" si="20"/>
        <v>1.6786974120682157E-9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0.334716796875</v>
      </c>
      <c r="AD54" s="8">
        <f t="shared" si="15"/>
        <v>4.1638623147211007E-6</v>
      </c>
      <c r="AE54" s="8">
        <f t="shared" si="23"/>
        <v>0.334747314453125</v>
      </c>
      <c r="AF54" s="8">
        <f t="shared" si="16"/>
        <v>-2.7949314499897682E-5</v>
      </c>
      <c r="AG54" s="8">
        <f t="shared" si="17"/>
        <v>0.3347320556640625</v>
      </c>
      <c r="AH54" s="8">
        <f t="shared" si="18"/>
        <v>-1.1892762088183684E-5</v>
      </c>
      <c r="AI54" s="8">
        <f t="shared" si="19"/>
        <v>-4.9519823876931864E-11</v>
      </c>
      <c r="AJ54" s="8">
        <f t="shared" si="20"/>
        <v>3.3239454787510564E-10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0.334716796875</v>
      </c>
      <c r="AD55" s="8">
        <f t="shared" si="15"/>
        <v>4.1638623147211007E-6</v>
      </c>
      <c r="AE55" s="8">
        <f t="shared" si="23"/>
        <v>0.3347320556640625</v>
      </c>
      <c r="AF55" s="8">
        <f t="shared" si="16"/>
        <v>-1.1892762088183684E-5</v>
      </c>
      <c r="AG55" s="8">
        <f t="shared" si="17"/>
        <v>0.33472442626953125</v>
      </c>
      <c r="AH55" s="8">
        <f t="shared" si="18"/>
        <v>-3.8644588862268847E-6</v>
      </c>
      <c r="AI55" s="8">
        <f t="shared" si="19"/>
        <v>-1.6091074723149201E-11</v>
      </c>
      <c r="AJ55" s="8">
        <f t="shared" si="20"/>
        <v>4.595909013346364E-11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0.334716796875</v>
      </c>
      <c r="AD56" s="8">
        <f t="shared" si="15"/>
        <v>4.1638623147211007E-6</v>
      </c>
      <c r="AE56" s="8">
        <f t="shared" si="23"/>
        <v>0.33472442626953125</v>
      </c>
      <c r="AF56" s="8">
        <f t="shared" si="16"/>
        <v>-3.8644588862268847E-6</v>
      </c>
      <c r="AG56" s="8">
        <f t="shared" si="17"/>
        <v>0.33472061157226562</v>
      </c>
      <c r="AH56" s="8">
        <f t="shared" si="18"/>
        <v>1.4969946432463743E-7</v>
      </c>
      <c r="AI56" s="8">
        <f t="shared" si="19"/>
        <v>6.2332795803529362E-13</v>
      </c>
      <c r="AJ56" s="8">
        <f t="shared" si="20"/>
        <v>-5.7850742517274964E-13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0.33472061157226562</v>
      </c>
      <c r="AD57" s="8">
        <f t="shared" si="15"/>
        <v>1.4969946432463743E-7</v>
      </c>
      <c r="AE57" s="8">
        <f t="shared" si="23"/>
        <v>0.33472442626953125</v>
      </c>
      <c r="AF57" s="8">
        <f t="shared" si="16"/>
        <v>-3.8644588862268847E-6</v>
      </c>
      <c r="AG57" s="8">
        <f t="shared" si="17"/>
        <v>0.33472251892089844</v>
      </c>
      <c r="AH57" s="8">
        <f t="shared" si="18"/>
        <v>-1.8573802734178635E-6</v>
      </c>
      <c r="AI57" s="8">
        <f t="shared" si="19"/>
        <v>-2.7804883197780276E-13</v>
      </c>
      <c r="AJ57" s="8">
        <f t="shared" si="20"/>
        <v>7.1777697027121837E-12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0.33472061157226562</v>
      </c>
      <c r="AD58" s="8">
        <f t="shared" si="15"/>
        <v>1.4969946432463743E-7</v>
      </c>
      <c r="AE58" s="8">
        <f t="shared" si="23"/>
        <v>0.33472251892089844</v>
      </c>
      <c r="AF58" s="8">
        <f t="shared" si="16"/>
        <v>-1.8573802734178635E-6</v>
      </c>
      <c r="AG58" s="8">
        <f t="shared" si="17"/>
        <v>0.33472156524658203</v>
      </c>
      <c r="AH58" s="8">
        <f t="shared" si="18"/>
        <v>-8.5384054521187025E-7</v>
      </c>
      <c r="AI58" s="8">
        <f t="shared" si="19"/>
        <v>-1.2781947223687335E-13</v>
      </c>
      <c r="AJ58" s="8">
        <f t="shared" si="20"/>
        <v>1.5859065853208812E-12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0.33472061157226562</v>
      </c>
      <c r="AD59" s="8">
        <f t="shared" si="15"/>
        <v>1.4969946432463743E-7</v>
      </c>
      <c r="AE59" s="8">
        <f t="shared" si="23"/>
        <v>0.33472156524658203</v>
      </c>
      <c r="AF59" s="8">
        <f t="shared" si="16"/>
        <v>-8.5384054521187025E-7</v>
      </c>
      <c r="AG59" s="8">
        <f t="shared" si="17"/>
        <v>0.33472108840942383</v>
      </c>
      <c r="AH59" s="8">
        <f t="shared" si="18"/>
        <v>-3.5207057558217514E-7</v>
      </c>
      <c r="AI59" s="8">
        <f t="shared" si="19"/>
        <v>-5.2704776569118396E-14</v>
      </c>
      <c r="AJ59" s="8">
        <f t="shared" si="20"/>
        <v>3.0061213220814141E-13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0.33472061157226562</v>
      </c>
      <c r="AD60" s="8">
        <f t="shared" si="15"/>
        <v>1.4969946432463743E-7</v>
      </c>
      <c r="AE60" s="8">
        <f t="shared" si="23"/>
        <v>0.33472108840942383</v>
      </c>
      <c r="AF60" s="8">
        <f t="shared" si="16"/>
        <v>-3.5207057558217514E-7</v>
      </c>
      <c r="AG60" s="8">
        <f t="shared" si="17"/>
        <v>0.33472084999084473</v>
      </c>
      <c r="AH60" s="8">
        <f t="shared" si="18"/>
        <v>-1.0118556442728632E-7</v>
      </c>
      <c r="AI60" s="8">
        <f t="shared" si="19"/>
        <v>-1.514742479215085E-14</v>
      </c>
      <c r="AJ60" s="8">
        <f t="shared" si="20"/>
        <v>3.5624459908521962E-14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0.33472061157226562</v>
      </c>
      <c r="AD61" s="8">
        <f t="shared" si="15"/>
        <v>1.4969946432463743E-7</v>
      </c>
      <c r="AE61" s="8">
        <f t="shared" si="23"/>
        <v>0.33472084999084473</v>
      </c>
      <c r="AF61" s="8">
        <f t="shared" si="16"/>
        <v>-1.0118556442728632E-7</v>
      </c>
      <c r="AG61" s="8">
        <f t="shared" si="17"/>
        <v>0.33472073078155518</v>
      </c>
      <c r="AH61" s="8">
        <f t="shared" si="18"/>
        <v>2.4256947728229505E-8</v>
      </c>
      <c r="AI61" s="8">
        <f t="shared" si="19"/>
        <v>3.6312520810666879E-15</v>
      </c>
      <c r="AJ61" s="8">
        <f t="shared" si="20"/>
        <v>-2.454452947164083E-15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0.33472073078155518</v>
      </c>
      <c r="AD62" s="8">
        <f t="shared" si="15"/>
        <v>2.4256947728229505E-8</v>
      </c>
      <c r="AE62" s="8">
        <f t="shared" si="23"/>
        <v>0.33472084999084473</v>
      </c>
      <c r="AF62" s="8">
        <f t="shared" si="16"/>
        <v>-1.0118556442728632E-7</v>
      </c>
      <c r="AG62" s="8">
        <f t="shared" si="17"/>
        <v>0.33472079038619995</v>
      </c>
      <c r="AH62" s="8">
        <f t="shared" si="18"/>
        <v>-3.8464308904639921E-8</v>
      </c>
      <c r="AI62" s="8">
        <f t="shared" si="19"/>
        <v>-9.3302673050232325E-16</v>
      </c>
      <c r="AJ62" s="8">
        <f t="shared" si="20"/>
        <v>3.8920328068214859E-15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0.33472073078155518</v>
      </c>
      <c r="AD63" s="8">
        <f t="shared" si="15"/>
        <v>2.4256947728229505E-8</v>
      </c>
      <c r="AE63" s="8">
        <f t="shared" si="23"/>
        <v>0.33472079038619995</v>
      </c>
      <c r="AF63" s="8">
        <f t="shared" si="16"/>
        <v>-3.8464308904639921E-8</v>
      </c>
      <c r="AG63" s="8">
        <f t="shared" si="17"/>
        <v>0.33472076058387756</v>
      </c>
      <c r="AH63" s="8">
        <f t="shared" si="18"/>
        <v>-7.1036806992275103E-9</v>
      </c>
      <c r="AI63" s="8">
        <f t="shared" si="19"/>
        <v>-1.7231361139919455E-16</v>
      </c>
      <c r="AJ63" s="8">
        <f t="shared" si="20"/>
        <v>2.7323816877501548E-16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0.33472073078155518</v>
      </c>
      <c r="AD64" s="8">
        <f t="shared" si="15"/>
        <v>2.4256947728229505E-8</v>
      </c>
      <c r="AE64" s="8">
        <f t="shared" si="23"/>
        <v>0.33472076058387756</v>
      </c>
      <c r="AF64" s="8">
        <f t="shared" si="16"/>
        <v>-7.1036806992275103E-9</v>
      </c>
      <c r="AG64" s="8">
        <f t="shared" si="17"/>
        <v>0.33472074568271637</v>
      </c>
      <c r="AH64" s="8">
        <f t="shared" si="18"/>
        <v>8.5766334589898463E-9</v>
      </c>
      <c r="AI64" s="8">
        <f t="shared" si="19"/>
        <v>2.0804294949890092E-16</v>
      </c>
      <c r="AJ64" s="8">
        <f t="shared" si="20"/>
        <v>-6.0925665566975055E-17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0.33472074568271637</v>
      </c>
      <c r="AD65" s="8">
        <f t="shared" si="15"/>
        <v>8.5766334589898463E-9</v>
      </c>
      <c r="AE65" s="8">
        <f t="shared" si="23"/>
        <v>0.33472076058387756</v>
      </c>
      <c r="AF65" s="8">
        <f t="shared" si="16"/>
        <v>-7.1036806992275103E-9</v>
      </c>
      <c r="AG65" s="8">
        <f t="shared" si="17"/>
        <v>0.33472075313329697</v>
      </c>
      <c r="AH65" s="8">
        <f t="shared" si="18"/>
        <v>7.3647637988116799E-10</v>
      </c>
      <c r="AI65" s="8">
        <f t="shared" si="19"/>
        <v>6.3164879614445418E-18</v>
      </c>
      <c r="AJ65" s="8">
        <f t="shared" si="20"/>
        <v>-5.2316930451988009E-18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0.33472075313329697</v>
      </c>
      <c r="AD66" s="8">
        <f t="shared" si="15"/>
        <v>7.3647637988116799E-10</v>
      </c>
      <c r="AE66" s="8">
        <f t="shared" si="23"/>
        <v>0.33472076058387756</v>
      </c>
      <c r="AF66" s="8">
        <f t="shared" si="16"/>
        <v>-7.1036806992275103E-9</v>
      </c>
      <c r="AG66" s="8">
        <f t="shared" si="17"/>
        <v>0.33472075685858727</v>
      </c>
      <c r="AH66" s="8">
        <f t="shared" si="18"/>
        <v>-3.1836021596731712E-9</v>
      </c>
      <c r="AI66" s="8">
        <f t="shared" si="19"/>
        <v>-2.3446477935379652E-18</v>
      </c>
      <c r="AJ66" s="8">
        <f t="shared" si="20"/>
        <v>2.2615293215689325E-17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0.33472075313329697</v>
      </c>
      <c r="AD67" s="8">
        <f t="shared" si="15"/>
        <v>7.3647637988116799E-10</v>
      </c>
      <c r="AE67" s="8">
        <f t="shared" si="23"/>
        <v>0.33472075685858727</v>
      </c>
      <c r="AF67" s="8">
        <f t="shared" si="16"/>
        <v>-3.1836021596731712E-9</v>
      </c>
      <c r="AG67" s="8">
        <f t="shared" si="17"/>
        <v>0.33472075499594212</v>
      </c>
      <c r="AH67" s="8">
        <f t="shared" si="18"/>
        <v>-1.2235629176515772E-9</v>
      </c>
      <c r="AI67" s="8">
        <f t="shared" si="19"/>
        <v>-9.0112518814887324E-19</v>
      </c>
      <c r="AJ67" s="8">
        <f t="shared" si="20"/>
        <v>3.8953375471315677E-18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0.33472075313329697</v>
      </c>
      <c r="AD68" s="8">
        <f t="shared" si="15"/>
        <v>7.3647637988116799E-10</v>
      </c>
      <c r="AE68" s="8">
        <f t="shared" si="23"/>
        <v>0.33472075499594212</v>
      </c>
      <c r="AF68" s="8">
        <f t="shared" si="16"/>
        <v>-1.2235629176515772E-9</v>
      </c>
      <c r="AG68" s="8">
        <f t="shared" si="17"/>
        <v>0.33472075406461954</v>
      </c>
      <c r="AH68" s="8">
        <f t="shared" si="18"/>
        <v>-2.43543241129629E-10</v>
      </c>
      <c r="AI68" s="8">
        <f t="shared" si="19"/>
        <v>-1.7936384457167554E-19</v>
      </c>
      <c r="AJ68" s="8">
        <f t="shared" si="20"/>
        <v>2.9799047869089045E-19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0.33472075313329697</v>
      </c>
      <c r="AD69" s="8">
        <f t="shared" si="15"/>
        <v>7.3647637988116799E-10</v>
      </c>
      <c r="AE69" s="8">
        <f t="shared" si="23"/>
        <v>0.33472075406461954</v>
      </c>
      <c r="AF69" s="8">
        <f t="shared" si="16"/>
        <v>-2.43543241129629E-10</v>
      </c>
      <c r="AG69" s="8">
        <f t="shared" si="17"/>
        <v>0.33472075359895825</v>
      </c>
      <c r="AH69" s="8">
        <f t="shared" si="18"/>
        <v>2.464665693757695E-10</v>
      </c>
      <c r="AI69" s="8">
        <f t="shared" si="19"/>
        <v>1.8151680677559746E-19</v>
      </c>
      <c r="AJ69" s="8">
        <f t="shared" si="20"/>
        <v>-6.0025267135875464E-20</v>
      </c>
      <c r="AK69" s="8">
        <f t="shared" si="21"/>
        <v>9.3132257461547852E-10</v>
      </c>
    </row>
    <row r="72" spans="28:37" x14ac:dyDescent="0.2">
      <c r="AB72" s="6" t="s">
        <v>163</v>
      </c>
    </row>
    <row r="73" spans="28:37" x14ac:dyDescent="0.2">
      <c r="AB73" s="7" t="s">
        <v>70</v>
      </c>
      <c r="AC73" s="7" t="s">
        <v>71</v>
      </c>
      <c r="AD73" s="7" t="s">
        <v>72</v>
      </c>
      <c r="AE73" s="7" t="s">
        <v>73</v>
      </c>
      <c r="AF73" s="7" t="s">
        <v>74</v>
      </c>
      <c r="AG73" s="7" t="s">
        <v>75</v>
      </c>
      <c r="AH73" s="7" t="s">
        <v>76</v>
      </c>
      <c r="AI73" s="7" t="s">
        <v>77</v>
      </c>
      <c r="AJ73" s="7" t="s">
        <v>78</v>
      </c>
      <c r="AK73" s="7" t="s">
        <v>79</v>
      </c>
    </row>
    <row r="74" spans="28:37" x14ac:dyDescent="0.2">
      <c r="AB74" s="8">
        <v>0</v>
      </c>
      <c r="AC74" s="9">
        <v>0</v>
      </c>
      <c r="AD74" s="8">
        <f xml:space="preserve"> $W$23 * TAN($W$20) + $W$24 / (2 * SQRT($W$23^2 + AC74^2)) - AC74</f>
        <v>0.53044318212668107</v>
      </c>
      <c r="AE74" s="9">
        <v>1</v>
      </c>
      <c r="AF74" s="8">
        <f xml:space="preserve"> $W$23 * TAN($W$20) + $W$24 / (2 * SQRT($W$23^2 + AE74^2)) - AE74</f>
        <v>-0.67698493652538771</v>
      </c>
      <c r="AG74" s="8">
        <f xml:space="preserve"> (AC74 + AE74)/2</f>
        <v>0.5</v>
      </c>
      <c r="AH74" s="8">
        <f xml:space="preserve"> $W$23 * TAN($W$20) + $W$24 / (2 * SQRT($W$23^2 + AG74^2)) - AG74</f>
        <v>-0.17108212067505157</v>
      </c>
      <c r="AI74" s="8">
        <f>AD74*AH74</f>
        <v>-9.0749344495855214E-2</v>
      </c>
      <c r="AJ74" s="8">
        <f>AF74*AH74</f>
        <v>0.11582001860582851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$W$23 * TAN($W$20) + $W$24 / (2 * SQRT($W$23^2 + AC75^2)) - AC75</f>
        <v>0.53044318212668107</v>
      </c>
      <c r="AE75" s="8">
        <f>IF(AJ74&gt;0, AG74, AE74)</f>
        <v>0.5</v>
      </c>
      <c r="AF75" s="8">
        <f t="shared" ref="AF75:AF104" si="25" xml:space="preserve"> $W$23 * TAN($W$20) + $W$24 / (2 * SQRT($W$23^2 + AE75^2)) - AE75</f>
        <v>-0.17108212067505157</v>
      </c>
      <c r="AG75" s="8">
        <f t="shared" ref="AG75:AG104" si="26" xml:space="preserve"> (AC75 + AE75)/2</f>
        <v>0.25</v>
      </c>
      <c r="AH75" s="8">
        <f t="shared" ref="AH75:AH104" si="27" xml:space="preserve"> $W$23 * TAN($W$20) + $W$24 / (2 * SQRT($W$23^2 + AG75^2)) - AG75</f>
        <v>9.0629058436244636E-2</v>
      </c>
      <c r="AI75" s="8">
        <f t="shared" ref="AI75:AI104" si="28">AD75*AH75</f>
        <v>4.8073566150066534E-2</v>
      </c>
      <c r="AJ75" s="8">
        <f t="shared" ref="AJ75:AJ104" si="29">AF75*AH75</f>
        <v>-1.5505011512055905E-2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0.25</v>
      </c>
      <c r="AD76" s="8">
        <f t="shared" si="24"/>
        <v>9.0629058436244636E-2</v>
      </c>
      <c r="AE76" s="8">
        <f t="shared" ref="AE76:AE104" si="32">IF(AJ75&gt;0, AG75, AE75)</f>
        <v>0.5</v>
      </c>
      <c r="AF76" s="8">
        <f t="shared" si="25"/>
        <v>-0.17108212067505157</v>
      </c>
      <c r="AG76" s="8">
        <f t="shared" si="26"/>
        <v>0.375</v>
      </c>
      <c r="AH76" s="8">
        <f t="shared" si="27"/>
        <v>-4.216114354470385E-2</v>
      </c>
      <c r="AI76" s="8">
        <f t="shared" si="28"/>
        <v>-3.8210247420518637E-3</v>
      </c>
      <c r="AJ76" s="8">
        <f t="shared" si="29"/>
        <v>7.213017847713196E-3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0.25</v>
      </c>
      <c r="AD77" s="8">
        <f t="shared" si="24"/>
        <v>9.0629058436244636E-2</v>
      </c>
      <c r="AE77" s="8">
        <f t="shared" si="32"/>
        <v>0.375</v>
      </c>
      <c r="AF77" s="8">
        <f t="shared" si="25"/>
        <v>-4.216114354470385E-2</v>
      </c>
      <c r="AG77" s="8">
        <f t="shared" si="26"/>
        <v>0.3125</v>
      </c>
      <c r="AH77" s="8">
        <f t="shared" si="27"/>
        <v>2.3464325047462986E-2</v>
      </c>
      <c r="AI77" s="8">
        <f t="shared" si="28"/>
        <v>2.1265496858935617E-3</v>
      </c>
      <c r="AJ77" s="8">
        <f t="shared" si="29"/>
        <v>-9.89282776505677E-4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0.3125</v>
      </c>
      <c r="AD78" s="8">
        <f t="shared" si="24"/>
        <v>2.3464325047462986E-2</v>
      </c>
      <c r="AE78" s="8">
        <f t="shared" si="32"/>
        <v>0.375</v>
      </c>
      <c r="AF78" s="8">
        <f t="shared" si="25"/>
        <v>-4.216114354470385E-2</v>
      </c>
      <c r="AG78" s="8">
        <f t="shared" si="26"/>
        <v>0.34375</v>
      </c>
      <c r="AH78" s="8">
        <f t="shared" si="27"/>
        <v>-9.4890894015199345E-3</v>
      </c>
      <c r="AI78" s="8">
        <f t="shared" si="28"/>
        <v>-2.2265507812169974E-4</v>
      </c>
      <c r="AJ78" s="8">
        <f t="shared" si="29"/>
        <v>4.0007086036600992E-4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0.3125</v>
      </c>
      <c r="AD79" s="8">
        <f t="shared" si="24"/>
        <v>2.3464325047462986E-2</v>
      </c>
      <c r="AE79" s="8">
        <f t="shared" si="32"/>
        <v>0.34375</v>
      </c>
      <c r="AF79" s="8">
        <f t="shared" si="25"/>
        <v>-9.4890894015199345E-3</v>
      </c>
      <c r="AG79" s="8">
        <f t="shared" si="26"/>
        <v>0.328125</v>
      </c>
      <c r="AH79" s="8">
        <f t="shared" si="27"/>
        <v>6.9474927825691202E-3</v>
      </c>
      <c r="AI79" s="8">
        <f t="shared" si="28"/>
        <v>1.6301822891510493E-4</v>
      </c>
      <c r="AJ79" s="8">
        <f t="shared" si="29"/>
        <v>-6.5925380130212873E-5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0.328125</v>
      </c>
      <c r="AD80" s="8">
        <f t="shared" si="24"/>
        <v>6.9474927825691202E-3</v>
      </c>
      <c r="AE80" s="8">
        <f t="shared" si="32"/>
        <v>0.34375</v>
      </c>
      <c r="AF80" s="8">
        <f t="shared" si="25"/>
        <v>-9.4890894015199345E-3</v>
      </c>
      <c r="AG80" s="8">
        <f t="shared" si="26"/>
        <v>0.3359375</v>
      </c>
      <c r="AH80" s="8">
        <f t="shared" si="27"/>
        <v>-1.2801393928103533E-3</v>
      </c>
      <c r="AI80" s="8">
        <f t="shared" si="28"/>
        <v>-8.8937591922323459E-6</v>
      </c>
      <c r="AJ80" s="8">
        <f t="shared" si="29"/>
        <v>1.2147357144784887E-5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0.328125</v>
      </c>
      <c r="AD81" s="8">
        <f t="shared" si="24"/>
        <v>6.9474927825691202E-3</v>
      </c>
      <c r="AE81" s="8">
        <f t="shared" si="32"/>
        <v>0.3359375</v>
      </c>
      <c r="AF81" s="8">
        <f t="shared" si="25"/>
        <v>-1.2801393928103533E-3</v>
      </c>
      <c r="AG81" s="8">
        <f t="shared" si="26"/>
        <v>0.33203125</v>
      </c>
      <c r="AH81" s="8">
        <f t="shared" si="27"/>
        <v>2.8312601378421842E-3</v>
      </c>
      <c r="AI81" s="8">
        <f t="shared" si="28"/>
        <v>1.9670159373234228E-5</v>
      </c>
      <c r="AJ81" s="8">
        <f t="shared" si="29"/>
        <v>-3.6244076337454509E-6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0.33203125</v>
      </c>
      <c r="AD82" s="8">
        <f t="shared" si="24"/>
        <v>2.8312601378421842E-3</v>
      </c>
      <c r="AE82" s="8">
        <f t="shared" si="32"/>
        <v>0.3359375</v>
      </c>
      <c r="AF82" s="8">
        <f t="shared" si="25"/>
        <v>-1.2801393928103533E-3</v>
      </c>
      <c r="AG82" s="8">
        <f t="shared" si="26"/>
        <v>0.333984375</v>
      </c>
      <c r="AH82" s="8">
        <f t="shared" si="27"/>
        <v>7.7496668602528018E-4</v>
      </c>
      <c r="AI82" s="8">
        <f t="shared" si="28"/>
        <v>2.1941322862990356E-6</v>
      </c>
      <c r="AJ82" s="8">
        <f t="shared" si="29"/>
        <v>-9.9206538289665382E-7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0.333984375</v>
      </c>
      <c r="AD83" s="8">
        <f t="shared" si="24"/>
        <v>7.7496668602528018E-4</v>
      </c>
      <c r="AE83" s="8">
        <f t="shared" si="32"/>
        <v>0.3359375</v>
      </c>
      <c r="AF83" s="8">
        <f t="shared" si="25"/>
        <v>-1.2801393928103533E-3</v>
      </c>
      <c r="AG83" s="8">
        <f t="shared" si="26"/>
        <v>0.3349609375</v>
      </c>
      <c r="AH83" s="8">
        <f t="shared" si="27"/>
        <v>-2.5273349462506811E-4</v>
      </c>
      <c r="AI83" s="8">
        <f t="shared" si="28"/>
        <v>-1.9586003877717699E-7</v>
      </c>
      <c r="AJ83" s="8">
        <f t="shared" si="29"/>
        <v>3.2353410235217337E-7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0.333984375</v>
      </c>
      <c r="AD84" s="8">
        <f t="shared" si="24"/>
        <v>7.7496668602528018E-4</v>
      </c>
      <c r="AE84" s="8">
        <f t="shared" si="32"/>
        <v>0.3349609375</v>
      </c>
      <c r="AF84" s="8">
        <f t="shared" si="25"/>
        <v>-2.5273349462506811E-4</v>
      </c>
      <c r="AG84" s="8">
        <f t="shared" si="26"/>
        <v>0.33447265625</v>
      </c>
      <c r="AH84" s="8">
        <f t="shared" si="27"/>
        <v>2.6107965149135826E-4</v>
      </c>
      <c r="AI84" s="8">
        <f t="shared" si="28"/>
        <v>2.02328032304893E-7</v>
      </c>
      <c r="AJ84" s="8">
        <f t="shared" si="29"/>
        <v>-6.5983572696905846E-8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0.33447265625</v>
      </c>
      <c r="AD85" s="8">
        <f t="shared" si="24"/>
        <v>2.6107965149135826E-4</v>
      </c>
      <c r="AE85" s="8">
        <f t="shared" si="32"/>
        <v>0.3349609375</v>
      </c>
      <c r="AF85" s="8">
        <f t="shared" si="25"/>
        <v>-2.5273349462506811E-4</v>
      </c>
      <c r="AG85" s="8">
        <f t="shared" si="26"/>
        <v>0.334716796875</v>
      </c>
      <c r="AH85" s="8">
        <f t="shared" si="27"/>
        <v>4.1638623147211007E-6</v>
      </c>
      <c r="AI85" s="8">
        <f t="shared" si="28"/>
        <v>1.0870997219853854E-9</v>
      </c>
      <c r="AJ85" s="8">
        <f t="shared" si="29"/>
        <v>-1.0523474739370891E-9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0.334716796875</v>
      </c>
      <c r="AD86" s="8">
        <f t="shared" si="24"/>
        <v>4.1638623147211007E-6</v>
      </c>
      <c r="AE86" s="8">
        <f t="shared" si="32"/>
        <v>0.3349609375</v>
      </c>
      <c r="AF86" s="8">
        <f t="shared" si="25"/>
        <v>-2.5273349462506811E-4</v>
      </c>
      <c r="AG86" s="8">
        <f t="shared" si="26"/>
        <v>0.3348388671875</v>
      </c>
      <c r="AH86" s="8">
        <f t="shared" si="27"/>
        <v>-1.2428711769929546E-4</v>
      </c>
      <c r="AI86" s="8">
        <f t="shared" si="28"/>
        <v>-5.1751444559340226E-10</v>
      </c>
      <c r="AJ86" s="8">
        <f t="shared" si="29"/>
        <v>3.1411517593020093E-8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0.334716796875</v>
      </c>
      <c r="AD87" s="8">
        <f t="shared" si="24"/>
        <v>4.1638623147211007E-6</v>
      </c>
      <c r="AE87" s="8">
        <f t="shared" si="32"/>
        <v>0.3348388671875</v>
      </c>
      <c r="AF87" s="8">
        <f t="shared" si="25"/>
        <v>-1.2428711769929546E-4</v>
      </c>
      <c r="AG87" s="8">
        <f t="shared" si="26"/>
        <v>0.33477783203125</v>
      </c>
      <c r="AH87" s="8">
        <f t="shared" si="27"/>
        <v>-6.0062203388722146E-5</v>
      </c>
      <c r="AI87" s="8">
        <f t="shared" si="28"/>
        <v>-2.5009074522941412E-10</v>
      </c>
      <c r="AJ87" s="8">
        <f t="shared" si="29"/>
        <v>7.4649581418531313E-9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0.334716796875</v>
      </c>
      <c r="AD88" s="8">
        <f t="shared" si="24"/>
        <v>4.1638623147211007E-6</v>
      </c>
      <c r="AE88" s="8">
        <f t="shared" si="32"/>
        <v>0.33477783203125</v>
      </c>
      <c r="AF88" s="8">
        <f t="shared" si="25"/>
        <v>-6.0062203388722146E-5</v>
      </c>
      <c r="AG88" s="8">
        <f t="shared" si="26"/>
        <v>0.334747314453125</v>
      </c>
      <c r="AH88" s="8">
        <f t="shared" si="27"/>
        <v>-2.7949314499897682E-5</v>
      </c>
      <c r="AI88" s="8">
        <f t="shared" si="28"/>
        <v>-1.1637709736841199E-10</v>
      </c>
      <c r="AJ88" s="8">
        <f t="shared" si="29"/>
        <v>1.6786974120682157E-9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0.334716796875</v>
      </c>
      <c r="AD89" s="8">
        <f t="shared" si="24"/>
        <v>4.1638623147211007E-6</v>
      </c>
      <c r="AE89" s="8">
        <f t="shared" si="32"/>
        <v>0.334747314453125</v>
      </c>
      <c r="AF89" s="8">
        <f t="shared" si="25"/>
        <v>-2.7949314499897682E-5</v>
      </c>
      <c r="AG89" s="8">
        <f t="shared" si="26"/>
        <v>0.3347320556640625</v>
      </c>
      <c r="AH89" s="8">
        <f t="shared" si="27"/>
        <v>-1.1892762088183684E-5</v>
      </c>
      <c r="AI89" s="8">
        <f t="shared" si="28"/>
        <v>-4.9519823876931864E-11</v>
      </c>
      <c r="AJ89" s="8">
        <f t="shared" si="29"/>
        <v>3.3239454787510564E-10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0.334716796875</v>
      </c>
      <c r="AD90" s="8">
        <f t="shared" si="24"/>
        <v>4.1638623147211007E-6</v>
      </c>
      <c r="AE90" s="8">
        <f t="shared" si="32"/>
        <v>0.3347320556640625</v>
      </c>
      <c r="AF90" s="8">
        <f t="shared" si="25"/>
        <v>-1.1892762088183684E-5</v>
      </c>
      <c r="AG90" s="8">
        <f t="shared" si="26"/>
        <v>0.33472442626953125</v>
      </c>
      <c r="AH90" s="8">
        <f t="shared" si="27"/>
        <v>-3.8644588862268847E-6</v>
      </c>
      <c r="AI90" s="8">
        <f t="shared" si="28"/>
        <v>-1.6091074723149201E-11</v>
      </c>
      <c r="AJ90" s="8">
        <f t="shared" si="29"/>
        <v>4.595909013346364E-11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0.334716796875</v>
      </c>
      <c r="AD91" s="8">
        <f t="shared" si="24"/>
        <v>4.1638623147211007E-6</v>
      </c>
      <c r="AE91" s="8">
        <f t="shared" si="32"/>
        <v>0.33472442626953125</v>
      </c>
      <c r="AF91" s="8">
        <f t="shared" si="25"/>
        <v>-3.8644588862268847E-6</v>
      </c>
      <c r="AG91" s="8">
        <f t="shared" si="26"/>
        <v>0.33472061157226562</v>
      </c>
      <c r="AH91" s="8">
        <f t="shared" si="27"/>
        <v>1.4969946432463743E-7</v>
      </c>
      <c r="AI91" s="8">
        <f t="shared" si="28"/>
        <v>6.2332795803529362E-13</v>
      </c>
      <c r="AJ91" s="8">
        <f t="shared" si="29"/>
        <v>-5.7850742517274964E-13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0.33472061157226562</v>
      </c>
      <c r="AD92" s="8">
        <f t="shared" si="24"/>
        <v>1.4969946432463743E-7</v>
      </c>
      <c r="AE92" s="8">
        <f t="shared" si="32"/>
        <v>0.33472442626953125</v>
      </c>
      <c r="AF92" s="8">
        <f t="shared" si="25"/>
        <v>-3.8644588862268847E-6</v>
      </c>
      <c r="AG92" s="8">
        <f t="shared" si="26"/>
        <v>0.33472251892089844</v>
      </c>
      <c r="AH92" s="8">
        <f t="shared" si="27"/>
        <v>-1.8573802734178635E-6</v>
      </c>
      <c r="AI92" s="8">
        <f t="shared" si="28"/>
        <v>-2.7804883197780276E-13</v>
      </c>
      <c r="AJ92" s="8">
        <f t="shared" si="29"/>
        <v>7.1777697027121837E-12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0.33472061157226562</v>
      </c>
      <c r="AD93" s="8">
        <f t="shared" si="24"/>
        <v>1.4969946432463743E-7</v>
      </c>
      <c r="AE93" s="8">
        <f t="shared" si="32"/>
        <v>0.33472251892089844</v>
      </c>
      <c r="AF93" s="8">
        <f t="shared" si="25"/>
        <v>-1.8573802734178635E-6</v>
      </c>
      <c r="AG93" s="8">
        <f t="shared" si="26"/>
        <v>0.33472156524658203</v>
      </c>
      <c r="AH93" s="8">
        <f t="shared" si="27"/>
        <v>-8.5384054521187025E-7</v>
      </c>
      <c r="AI93" s="8">
        <f t="shared" si="28"/>
        <v>-1.2781947223687335E-13</v>
      </c>
      <c r="AJ93" s="8">
        <f t="shared" si="29"/>
        <v>1.5859065853208812E-12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0.33472061157226562</v>
      </c>
      <c r="AD94" s="8">
        <f t="shared" si="24"/>
        <v>1.4969946432463743E-7</v>
      </c>
      <c r="AE94" s="8">
        <f t="shared" si="32"/>
        <v>0.33472156524658203</v>
      </c>
      <c r="AF94" s="8">
        <f t="shared" si="25"/>
        <v>-8.5384054521187025E-7</v>
      </c>
      <c r="AG94" s="8">
        <f t="shared" si="26"/>
        <v>0.33472108840942383</v>
      </c>
      <c r="AH94" s="8">
        <f t="shared" si="27"/>
        <v>-3.5207057558217514E-7</v>
      </c>
      <c r="AI94" s="8">
        <f t="shared" si="28"/>
        <v>-5.2704776569118396E-14</v>
      </c>
      <c r="AJ94" s="8">
        <f t="shared" si="29"/>
        <v>3.0061213220814141E-13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0.33472061157226562</v>
      </c>
      <c r="AD95" s="8">
        <f t="shared" si="24"/>
        <v>1.4969946432463743E-7</v>
      </c>
      <c r="AE95" s="8">
        <f t="shared" si="32"/>
        <v>0.33472108840942383</v>
      </c>
      <c r="AF95" s="8">
        <f t="shared" si="25"/>
        <v>-3.5207057558217514E-7</v>
      </c>
      <c r="AG95" s="8">
        <f t="shared" si="26"/>
        <v>0.33472084999084473</v>
      </c>
      <c r="AH95" s="8">
        <f t="shared" si="27"/>
        <v>-1.0118556442728632E-7</v>
      </c>
      <c r="AI95" s="8">
        <f t="shared" si="28"/>
        <v>-1.514742479215085E-14</v>
      </c>
      <c r="AJ95" s="8">
        <f t="shared" si="29"/>
        <v>3.5624459908521962E-14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0.33472061157226562</v>
      </c>
      <c r="AD96" s="8">
        <f t="shared" si="24"/>
        <v>1.4969946432463743E-7</v>
      </c>
      <c r="AE96" s="8">
        <f t="shared" si="32"/>
        <v>0.33472084999084473</v>
      </c>
      <c r="AF96" s="8">
        <f t="shared" si="25"/>
        <v>-1.0118556442728632E-7</v>
      </c>
      <c r="AG96" s="8">
        <f t="shared" si="26"/>
        <v>0.33472073078155518</v>
      </c>
      <c r="AH96" s="8">
        <f t="shared" si="27"/>
        <v>2.4256947728229505E-8</v>
      </c>
      <c r="AI96" s="8">
        <f t="shared" si="28"/>
        <v>3.6312520810666879E-15</v>
      </c>
      <c r="AJ96" s="8">
        <f t="shared" si="29"/>
        <v>-2.454452947164083E-15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0.33472073078155518</v>
      </c>
      <c r="AD97" s="8">
        <f t="shared" si="24"/>
        <v>2.4256947728229505E-8</v>
      </c>
      <c r="AE97" s="8">
        <f t="shared" si="32"/>
        <v>0.33472084999084473</v>
      </c>
      <c r="AF97" s="8">
        <f t="shared" si="25"/>
        <v>-1.0118556442728632E-7</v>
      </c>
      <c r="AG97" s="8">
        <f t="shared" si="26"/>
        <v>0.33472079038619995</v>
      </c>
      <c r="AH97" s="8">
        <f t="shared" si="27"/>
        <v>-3.8464308904639921E-8</v>
      </c>
      <c r="AI97" s="8">
        <f t="shared" si="28"/>
        <v>-9.3302673050232325E-16</v>
      </c>
      <c r="AJ97" s="8">
        <f t="shared" si="29"/>
        <v>3.8920328068214859E-15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0.33472073078155518</v>
      </c>
      <c r="AD98" s="8">
        <f t="shared" si="24"/>
        <v>2.4256947728229505E-8</v>
      </c>
      <c r="AE98" s="8">
        <f t="shared" si="32"/>
        <v>0.33472079038619995</v>
      </c>
      <c r="AF98" s="8">
        <f t="shared" si="25"/>
        <v>-3.8464308904639921E-8</v>
      </c>
      <c r="AG98" s="8">
        <f t="shared" si="26"/>
        <v>0.33472076058387756</v>
      </c>
      <c r="AH98" s="8">
        <f t="shared" si="27"/>
        <v>-7.1036806992275103E-9</v>
      </c>
      <c r="AI98" s="8">
        <f t="shared" si="28"/>
        <v>-1.7231361139919455E-16</v>
      </c>
      <c r="AJ98" s="8">
        <f t="shared" si="29"/>
        <v>2.7323816877501548E-16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0.33472073078155518</v>
      </c>
      <c r="AD99" s="8">
        <f t="shared" si="24"/>
        <v>2.4256947728229505E-8</v>
      </c>
      <c r="AE99" s="8">
        <f t="shared" si="32"/>
        <v>0.33472076058387756</v>
      </c>
      <c r="AF99" s="8">
        <f t="shared" si="25"/>
        <v>-7.1036806992275103E-9</v>
      </c>
      <c r="AG99" s="8">
        <f t="shared" si="26"/>
        <v>0.33472074568271637</v>
      </c>
      <c r="AH99" s="8">
        <f t="shared" si="27"/>
        <v>8.5766334589898463E-9</v>
      </c>
      <c r="AI99" s="8">
        <f t="shared" si="28"/>
        <v>2.0804294949890092E-16</v>
      </c>
      <c r="AJ99" s="8">
        <f t="shared" si="29"/>
        <v>-6.0925665566975055E-17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0.33472074568271637</v>
      </c>
      <c r="AD100" s="8">
        <f t="shared" si="24"/>
        <v>8.5766334589898463E-9</v>
      </c>
      <c r="AE100" s="8">
        <f t="shared" si="32"/>
        <v>0.33472076058387756</v>
      </c>
      <c r="AF100" s="8">
        <f t="shared" si="25"/>
        <v>-7.1036806992275103E-9</v>
      </c>
      <c r="AG100" s="8">
        <f t="shared" si="26"/>
        <v>0.33472075313329697</v>
      </c>
      <c r="AH100" s="8">
        <f t="shared" si="27"/>
        <v>7.3647637988116799E-10</v>
      </c>
      <c r="AI100" s="8">
        <f t="shared" si="28"/>
        <v>6.3164879614445418E-18</v>
      </c>
      <c r="AJ100" s="8">
        <f t="shared" si="29"/>
        <v>-5.2316930451988009E-18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0.33472075313329697</v>
      </c>
      <c r="AD101" s="8">
        <f t="shared" si="24"/>
        <v>7.3647637988116799E-10</v>
      </c>
      <c r="AE101" s="8">
        <f t="shared" si="32"/>
        <v>0.33472076058387756</v>
      </c>
      <c r="AF101" s="8">
        <f t="shared" si="25"/>
        <v>-7.1036806992275103E-9</v>
      </c>
      <c r="AG101" s="8">
        <f t="shared" si="26"/>
        <v>0.33472075685858727</v>
      </c>
      <c r="AH101" s="8">
        <f t="shared" si="27"/>
        <v>-3.1836021596731712E-9</v>
      </c>
      <c r="AI101" s="8">
        <f t="shared" si="28"/>
        <v>-2.3446477935379652E-18</v>
      </c>
      <c r="AJ101" s="8">
        <f t="shared" si="29"/>
        <v>2.2615293215689325E-17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0.33472075313329697</v>
      </c>
      <c r="AD102" s="8">
        <f t="shared" si="24"/>
        <v>7.3647637988116799E-10</v>
      </c>
      <c r="AE102" s="8">
        <f t="shared" si="32"/>
        <v>0.33472075685858727</v>
      </c>
      <c r="AF102" s="8">
        <f t="shared" si="25"/>
        <v>-3.1836021596731712E-9</v>
      </c>
      <c r="AG102" s="8">
        <f t="shared" si="26"/>
        <v>0.33472075499594212</v>
      </c>
      <c r="AH102" s="8">
        <f t="shared" si="27"/>
        <v>-1.2235629176515772E-9</v>
      </c>
      <c r="AI102" s="8">
        <f t="shared" si="28"/>
        <v>-9.0112518814887324E-19</v>
      </c>
      <c r="AJ102" s="8">
        <f t="shared" si="29"/>
        <v>3.8953375471315677E-18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0.33472075313329697</v>
      </c>
      <c r="AD103" s="8">
        <f t="shared" si="24"/>
        <v>7.3647637988116799E-10</v>
      </c>
      <c r="AE103" s="8">
        <f t="shared" si="32"/>
        <v>0.33472075499594212</v>
      </c>
      <c r="AF103" s="8">
        <f t="shared" si="25"/>
        <v>-1.2235629176515772E-9</v>
      </c>
      <c r="AG103" s="8">
        <f t="shared" si="26"/>
        <v>0.33472075406461954</v>
      </c>
      <c r="AH103" s="8">
        <f t="shared" si="27"/>
        <v>-2.43543241129629E-10</v>
      </c>
      <c r="AI103" s="8">
        <f t="shared" si="28"/>
        <v>-1.7936384457167554E-19</v>
      </c>
      <c r="AJ103" s="8">
        <f t="shared" si="29"/>
        <v>2.9799047869089045E-19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0.33472075313329697</v>
      </c>
      <c r="AD104" s="8">
        <f t="shared" si="24"/>
        <v>7.3647637988116799E-10</v>
      </c>
      <c r="AE104" s="8">
        <f t="shared" si="32"/>
        <v>0.33472075406461954</v>
      </c>
      <c r="AF104" s="8">
        <f t="shared" si="25"/>
        <v>-2.43543241129629E-10</v>
      </c>
      <c r="AG104" s="8">
        <f t="shared" si="26"/>
        <v>0.33472075359895825</v>
      </c>
      <c r="AH104" s="8">
        <f t="shared" si="27"/>
        <v>2.464665693757695E-10</v>
      </c>
      <c r="AI104" s="8">
        <f t="shared" si="28"/>
        <v>1.8151680677559746E-19</v>
      </c>
      <c r="AJ104" s="8">
        <f t="shared" si="29"/>
        <v>-6.0025267135875464E-20</v>
      </c>
      <c r="AK104" s="8">
        <f t="shared" si="30"/>
        <v>9.3132257461547852E-10</v>
      </c>
    </row>
  </sheetData>
  <mergeCells count="16">
    <mergeCell ref="V3:X3"/>
    <mergeCell ref="V19:X19"/>
    <mergeCell ref="B35:D35"/>
    <mergeCell ref="F3:H3"/>
    <mergeCell ref="F20:H20"/>
    <mergeCell ref="B16:D16"/>
    <mergeCell ref="B25:D25"/>
    <mergeCell ref="F10:H10"/>
    <mergeCell ref="F25:H25"/>
    <mergeCell ref="R3:T3"/>
    <mergeCell ref="R16:T16"/>
    <mergeCell ref="B1:D1"/>
    <mergeCell ref="B3:D3"/>
    <mergeCell ref="B11:D11"/>
    <mergeCell ref="N3:P3"/>
    <mergeCell ref="N19:P19"/>
  </mergeCells>
  <conditionalFormatting sqref="K19">
    <cfRule type="containsText" dxfId="11" priority="1" operator="containsText" text="FALSE">
      <formula>NOT(ISERROR(SEARCH("FALSE",K19)))</formula>
    </cfRule>
    <cfRule type="containsText" dxfId="10" priority="2" operator="containsText" text="TRUE">
      <formula>NOT(ISERROR(SEARCH("TRUE",K19)))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NOT(ISERROR(SEARCH("YES",K19)))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tabSelected="1" workbookViewId="0">
      <selection activeCell="K4" sqref="K4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7.6640625" customWidth="1"/>
    <col min="11" max="11" width="14.33203125" customWidth="1"/>
    <col min="12" max="12" width="4.5" customWidth="1"/>
    <col min="13" max="13" width="6" customWidth="1"/>
    <col min="14" max="14" width="12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37" t="s">
        <v>0</v>
      </c>
      <c r="C1" s="37"/>
      <c r="D1" s="37"/>
    </row>
    <row r="2" spans="2:48" x14ac:dyDescent="0.2">
      <c r="AB2" s="6" t="s">
        <v>153</v>
      </c>
      <c r="AM2" s="6" t="s">
        <v>100</v>
      </c>
    </row>
    <row r="3" spans="2:48" x14ac:dyDescent="0.2">
      <c r="B3" s="40" t="s">
        <v>105</v>
      </c>
      <c r="C3" s="41"/>
      <c r="D3" s="41"/>
      <c r="F3" s="44" t="s">
        <v>117</v>
      </c>
      <c r="G3" s="46"/>
      <c r="H3" s="46"/>
      <c r="J3" s="40" t="s">
        <v>36</v>
      </c>
      <c r="K3" s="40"/>
      <c r="L3" s="40"/>
      <c r="N3" s="43" t="s">
        <v>143</v>
      </c>
      <c r="O3" s="43"/>
      <c r="P3" s="43"/>
      <c r="R3" s="43" t="s">
        <v>141</v>
      </c>
      <c r="S3" s="43"/>
      <c r="T3" s="43"/>
      <c r="V3" s="43" t="s">
        <v>161</v>
      </c>
      <c r="W3" s="43"/>
      <c r="X3" s="43"/>
      <c r="AB3" s="7" t="s">
        <v>70</v>
      </c>
      <c r="AC3" s="7" t="s">
        <v>71</v>
      </c>
      <c r="AD3" s="7" t="s">
        <v>72</v>
      </c>
      <c r="AE3" s="7" t="s">
        <v>73</v>
      </c>
      <c r="AF3" s="7" t="s">
        <v>74</v>
      </c>
      <c r="AG3" s="7" t="s">
        <v>75</v>
      </c>
      <c r="AH3" s="7" t="s">
        <v>76</v>
      </c>
      <c r="AI3" s="7" t="s">
        <v>77</v>
      </c>
      <c r="AJ3" s="7" t="s">
        <v>78</v>
      </c>
      <c r="AK3" s="7" t="s">
        <v>79</v>
      </c>
      <c r="AM3" s="7" t="s">
        <v>70</v>
      </c>
      <c r="AN3" s="7" t="s">
        <v>71</v>
      </c>
      <c r="AO3" s="7" t="s">
        <v>72</v>
      </c>
      <c r="AP3" s="7" t="s">
        <v>73</v>
      </c>
      <c r="AQ3" s="7" t="s">
        <v>74</v>
      </c>
      <c r="AR3" s="7" t="s">
        <v>75</v>
      </c>
      <c r="AS3" s="7" t="s">
        <v>76</v>
      </c>
      <c r="AT3" s="7" t="s">
        <v>77</v>
      </c>
      <c r="AU3" s="7" t="s">
        <v>78</v>
      </c>
      <c r="AV3" s="7" t="s">
        <v>79</v>
      </c>
    </row>
    <row r="4" spans="2:48" x14ac:dyDescent="0.2">
      <c r="B4" t="s">
        <v>59</v>
      </c>
      <c r="C4" s="1" t="s">
        <v>1</v>
      </c>
      <c r="F4" t="s">
        <v>123</v>
      </c>
      <c r="G4" s="1">
        <v>2.54</v>
      </c>
      <c r="H4" t="s">
        <v>16</v>
      </c>
      <c r="J4" t="s">
        <v>166</v>
      </c>
      <c r="K4">
        <f xml:space="preserve"> (G6*G8 + G18*G19 + G23*G24 + G34*G35 + G40*G42)/3600</f>
        <v>18782.108669083362</v>
      </c>
      <c r="L4" t="s">
        <v>38</v>
      </c>
      <c r="N4" t="s">
        <v>41</v>
      </c>
      <c r="O4">
        <f>$C$17*$C$31*COS(G16)</f>
        <v>9606.3640597704652</v>
      </c>
      <c r="P4" t="s">
        <v>32</v>
      </c>
      <c r="R4" t="s">
        <v>41</v>
      </c>
      <c r="S4">
        <f xml:space="preserve"> $C$17 * $C$31</f>
        <v>9640.9816304878495</v>
      </c>
      <c r="T4" t="s">
        <v>32</v>
      </c>
      <c r="V4" t="s">
        <v>41</v>
      </c>
      <c r="W4">
        <f>$C$17*$C$31*COS(G32)</f>
        <v>9628.5336429388117</v>
      </c>
      <c r="X4" t="s">
        <v>32</v>
      </c>
      <c r="AB4" s="8">
        <v>0</v>
      </c>
      <c r="AC4" s="9">
        <v>0</v>
      </c>
      <c r="AD4" s="8">
        <f xml:space="preserve"> $S$19 * TAN($S$16) + $S$20 / (2 * SQRT($S$19^2 + AC4^2)) - AC4</f>
        <v>0.85694178955430966</v>
      </c>
      <c r="AE4" s="9">
        <v>1</v>
      </c>
      <c r="AF4" s="8">
        <f xml:space="preserve"> $S$19 * TAN($S$16) + $S$20 / (2 * SQRT($S$19^2 + AE4^2)) - AE4</f>
        <v>-0.66793052131402197</v>
      </c>
      <c r="AG4" s="8">
        <f xml:space="preserve"> (AC4 + AE4)/2</f>
        <v>0.5</v>
      </c>
      <c r="AH4" s="8">
        <f xml:space="preserve"> $S$19 * TAN($S$16) + $S$20 / (2 * SQRT($S$19^2 + AG4^2)) - AG4</f>
        <v>-0.15299414423974039</v>
      </c>
      <c r="AI4" s="8">
        <f>AD4*AH4</f>
        <v>-0.13110707575613331</v>
      </c>
      <c r="AJ4" s="8">
        <f>AF4*AH4</f>
        <v>0.10218945852004248</v>
      </c>
      <c r="AK4" s="8">
        <f>AE4-AC4</f>
        <v>1</v>
      </c>
      <c r="AM4" s="8">
        <v>0</v>
      </c>
      <c r="AN4" s="8"/>
      <c r="AO4" s="8">
        <f>K22</f>
        <v>6.6461325332056731E-10</v>
      </c>
      <c r="AP4" s="8"/>
      <c r="AQ4" s="8">
        <f>K22</f>
        <v>6.6461325332056731E-10</v>
      </c>
      <c r="AR4" s="8"/>
      <c r="AS4" s="8">
        <f>K22</f>
        <v>6.6461325332056731E-10</v>
      </c>
      <c r="AT4" s="8"/>
      <c r="AU4" s="8"/>
      <c r="AV4" s="8"/>
    </row>
    <row r="5" spans="2:48" x14ac:dyDescent="0.2">
      <c r="B5" t="s">
        <v>157</v>
      </c>
      <c r="C5" s="1">
        <v>6</v>
      </c>
      <c r="F5" t="s">
        <v>126</v>
      </c>
      <c r="G5" s="1">
        <v>152.4</v>
      </c>
      <c r="H5" t="s">
        <v>14</v>
      </c>
      <c r="J5" t="s">
        <v>39</v>
      </c>
      <c r="K5">
        <f xml:space="preserve"> G8 + G19 + G24 + G35 +G42</f>
        <v>1160.6891109485039</v>
      </c>
      <c r="L5" t="s">
        <v>23</v>
      </c>
      <c r="N5" t="s">
        <v>42</v>
      </c>
      <c r="O5">
        <f>0.5*$C$30*$G$11^2</f>
        <v>551.25</v>
      </c>
      <c r="P5" t="s">
        <v>43</v>
      </c>
      <c r="R5" t="s">
        <v>42</v>
      </c>
      <c r="S5">
        <f xml:space="preserve"> 0.5 * $C$30 * $C$20^2</f>
        <v>551.25</v>
      </c>
      <c r="T5" t="s">
        <v>43</v>
      </c>
      <c r="V5" t="s">
        <v>42</v>
      </c>
      <c r="W5">
        <f>0.5*$C$30*$G$27^2</f>
        <v>551.25</v>
      </c>
      <c r="X5" t="s">
        <v>43</v>
      </c>
      <c r="AB5" s="8">
        <v>1</v>
      </c>
      <c r="AC5" s="8">
        <f>IF(AI4&gt;0, AG4, AC4)</f>
        <v>0</v>
      </c>
      <c r="AD5" s="8">
        <f xml:space="preserve"> $S$19 * TAN($S$16) + $S$20 / (2 * SQRT($S$19^2 + AC5^2)) - AC5</f>
        <v>0.85694178955430966</v>
      </c>
      <c r="AE5" s="8">
        <f>IF(AJ4&gt;0, AG4, AE4)</f>
        <v>0.5</v>
      </c>
      <c r="AF5" s="8">
        <f xml:space="preserve"> $S$19 * TAN($S$16) + $S$20 / (2 * SQRT($S$19^2 + AE5^2)) - AE5</f>
        <v>-0.15299414423974039</v>
      </c>
      <c r="AG5" s="8">
        <f t="shared" ref="AG5:AG34" si="0" xml:space="preserve"> (AC5 + AE5)/2</f>
        <v>0.25</v>
      </c>
      <c r="AH5" s="8">
        <f xml:space="preserve"> $S$19 * TAN($S$16) + $S$20 / (2 * SQRT($S$19^2 + AG5^2)) - AG5</f>
        <v>0.12663960880725844</v>
      </c>
      <c r="AI5" s="8">
        <f t="shared" ref="AI5:AI34" si="1">AD5*AH5</f>
        <v>0.10852277299974976</v>
      </c>
      <c r="AJ5" s="8">
        <f t="shared" ref="AJ5:AJ34" si="2">AF5*AH5</f>
        <v>-1.9375118576321997E-2</v>
      </c>
      <c r="AK5" s="8">
        <f t="shared" ref="AK5:AK34" si="3">AE5-AC5</f>
        <v>0.5</v>
      </c>
      <c r="AM5" s="8">
        <v>1</v>
      </c>
      <c r="AN5" s="9">
        <v>500</v>
      </c>
      <c r="AO5" s="8">
        <f t="dataTable" ref="AO5:AO44" dt2D="0" dtr="0" r1="C17"/>
        <v>-244.3695500751972</v>
      </c>
      <c r="AP5" s="9">
        <v>2500</v>
      </c>
      <c r="AQ5" s="8">
        <f t="dataTable" ref="AQ5:AQ44" dt2D="0" dtr="0" r1="C17" ca="1"/>
        <v>273.61938777900627</v>
      </c>
      <c r="AR5" s="8">
        <f>(AN5+AP5)/2</f>
        <v>1500</v>
      </c>
      <c r="AS5" s="8">
        <f t="dataTable" ref="AS5:AS44" dt2D="0" dtr="0" r1="C17" ca="1"/>
        <v>191.97163077250752</v>
      </c>
      <c r="AT5" s="8">
        <f>AO5*AS5</f>
        <v>-46912.021039079547</v>
      </c>
      <c r="AU5" s="8">
        <f>AQ5*AS5</f>
        <v>52527.160082910952</v>
      </c>
      <c r="AV5" s="8">
        <f>AP5-AN5</f>
        <v>2000</v>
      </c>
    </row>
    <row r="6" spans="2:48" x14ac:dyDescent="0.2">
      <c r="B6" t="s">
        <v>158</v>
      </c>
      <c r="C6" s="1">
        <v>1</v>
      </c>
      <c r="F6" t="s">
        <v>119</v>
      </c>
      <c r="G6">
        <f xml:space="preserve"> ($C$17*$C$31)/$C$9 * ( ($G$4/2) + SQRT( ($G$4/2)^2 + ($C$17*$C$31)/(2*$C$30*$C$5*PI()*$C$18*$C$18 ) ) )</f>
        <v>202773.61610568393</v>
      </c>
      <c r="H6" t="s">
        <v>30</v>
      </c>
      <c r="N6" t="s">
        <v>61</v>
      </c>
      <c r="O6">
        <f xml:space="preserve"> 1.6 * ($C$17*2.20462/1000)^(2/3) * 0.3048^2</f>
        <v>0.24894655638052482</v>
      </c>
      <c r="P6" t="s">
        <v>18</v>
      </c>
      <c r="R6" t="s">
        <v>61</v>
      </c>
      <c r="S6">
        <f xml:space="preserve"> 1.6 * ($C$17*2.20462/1000)^(2/3) * 0.3048^2</f>
        <v>0.24894655638052482</v>
      </c>
      <c r="T6" t="s">
        <v>18</v>
      </c>
      <c r="V6" t="s">
        <v>61</v>
      </c>
      <c r="W6">
        <f xml:space="preserve"> 1.6 * ($C$17*2.20462/1000)^(2/3) * 0.3048^2</f>
        <v>0.24894655638052482</v>
      </c>
      <c r="X6" t="s">
        <v>18</v>
      </c>
      <c r="AB6" s="8">
        <v>2</v>
      </c>
      <c r="AC6" s="8">
        <f t="shared" ref="AC6:AC34" si="4">IF(AI5&gt;0, AG5, AC5)</f>
        <v>0.25</v>
      </c>
      <c r="AD6" s="8">
        <f xml:space="preserve"> $S$19 * TAN($S$16) + $S$20 / (2 * SQRT($S$19^2 + AC6^2)) - AC6</f>
        <v>0.12663960880725844</v>
      </c>
      <c r="AE6" s="8">
        <f t="shared" ref="AE6:AE34" si="5">IF(AJ5&gt;0, AG5, AE5)</f>
        <v>0.5</v>
      </c>
      <c r="AF6" s="8">
        <f xml:space="preserve"> $S$19 * TAN($S$16) + $S$20 / (2 * SQRT($S$19^2 + AE6^2)) - AE6</f>
        <v>-0.15299414423974039</v>
      </c>
      <c r="AG6" s="8">
        <f t="shared" si="0"/>
        <v>0.375</v>
      </c>
      <c r="AH6" s="8">
        <f xml:space="preserve"> $S$19 * TAN($S$16) + $S$20 / (2 * SQRT($S$19^2 + AG6^2)) - AG6</f>
        <v>-1.8072575550591219E-2</v>
      </c>
      <c r="AI6" s="8">
        <f t="shared" si="1"/>
        <v>-2.2887038978664951E-3</v>
      </c>
      <c r="AJ6" s="8">
        <f t="shared" si="2"/>
        <v>2.7649982305707585E-3</v>
      </c>
      <c r="AK6" s="8">
        <f t="shared" si="3"/>
        <v>0.25</v>
      </c>
      <c r="AM6" s="8">
        <v>2</v>
      </c>
      <c r="AN6" s="8">
        <f>IF(AT5&gt;0,AR5,AN5)</f>
        <v>500</v>
      </c>
      <c r="AO6" s="8">
        <v>-244.3695500751972</v>
      </c>
      <c r="AP6" s="8">
        <f>IF(AU5&gt;0,AR5,AP5)</f>
        <v>1500</v>
      </c>
      <c r="AQ6" s="8">
        <v>191.97163077250752</v>
      </c>
      <c r="AR6" s="8">
        <f t="shared" ref="AR6:AR44" si="6">(AN6+AP6)/2</f>
        <v>1000</v>
      </c>
      <c r="AS6" s="8">
        <v>7.5461778853259602</v>
      </c>
      <c r="AT6" s="8">
        <f t="shared" ref="AT6:AT44" si="7">AO6*AS6</f>
        <v>-1844.056094624508</v>
      </c>
      <c r="AU6" s="8">
        <f t="shared" ref="AU6:AU44" si="8">AQ6*AS6</f>
        <v>1448.652074745457</v>
      </c>
      <c r="AV6" s="8">
        <f t="shared" ref="AV6:AV44" si="9">AP6-AN6</f>
        <v>1000</v>
      </c>
    </row>
    <row r="7" spans="2:48" x14ac:dyDescent="0.2">
      <c r="B7" t="s">
        <v>2</v>
      </c>
      <c r="C7" s="1">
        <v>0.13</v>
      </c>
      <c r="F7" t="s">
        <v>31</v>
      </c>
      <c r="G7">
        <f xml:space="preserve"> $C$17 * $C$31 / $C$5</f>
        <v>1606.8302717479748</v>
      </c>
      <c r="H7" t="s">
        <v>32</v>
      </c>
      <c r="J7" s="21" t="s">
        <v>80</v>
      </c>
      <c r="K7" s="21"/>
      <c r="L7" s="21"/>
      <c r="N7" t="s">
        <v>62</v>
      </c>
      <c r="O7">
        <f xml:space="preserve"> O6 / $C$21</f>
        <v>3.1118319547565602E-2</v>
      </c>
      <c r="R7" t="s">
        <v>62</v>
      </c>
      <c r="S7">
        <f xml:space="preserve"> S6 / $C$21</f>
        <v>3.1118319547565602E-2</v>
      </c>
      <c r="V7" t="s">
        <v>62</v>
      </c>
      <c r="W7">
        <f xml:space="preserve"> W6 / $C$21</f>
        <v>3.1118319547565602E-2</v>
      </c>
      <c r="AB7" s="8">
        <v>3</v>
      </c>
      <c r="AC7" s="8">
        <f t="shared" si="4"/>
        <v>0.25</v>
      </c>
      <c r="AD7" s="8">
        <f xml:space="preserve"> $S$19 * TAN($S$16) + $S$20 / (2 * SQRT($S$19^2 + AC7^2)) - AC7</f>
        <v>0.12663960880725844</v>
      </c>
      <c r="AE7" s="8">
        <f t="shared" si="5"/>
        <v>0.375</v>
      </c>
      <c r="AF7" s="8">
        <f xml:space="preserve"> $S$19 * TAN($S$16) + $S$20 / (2 * SQRT($S$19^2 + AE7^2)) - AE7</f>
        <v>-1.8072575550591219E-2</v>
      </c>
      <c r="AG7" s="8">
        <f t="shared" si="0"/>
        <v>0.3125</v>
      </c>
      <c r="AH7" s="8">
        <f xml:space="preserve"> $S$19 * TAN($S$16) + $S$20 / (2 * SQRT($S$19^2 + AG7^2)) - AG7</f>
        <v>5.2336052909124298E-2</v>
      </c>
      <c r="AI7" s="8">
        <f t="shared" si="1"/>
        <v>6.6278172669274812E-3</v>
      </c>
      <c r="AJ7" s="8">
        <f t="shared" si="2"/>
        <v>-9.4584727021988823E-4</v>
      </c>
      <c r="AK7" s="8">
        <f t="shared" si="3"/>
        <v>0.125</v>
      </c>
      <c r="AM7" s="8">
        <v>3</v>
      </c>
      <c r="AN7" s="8">
        <f t="shared" ref="AN7:AN44" si="10">IF(AT6&gt;0,AR6,AN6)</f>
        <v>500</v>
      </c>
      <c r="AO7" s="8">
        <v>-244.3695500751972</v>
      </c>
      <c r="AP7" s="8">
        <f t="shared" ref="AP7:AP44" si="11">IF(AU6&gt;0,AR6,AP6)</f>
        <v>1000</v>
      </c>
      <c r="AQ7" s="8">
        <v>7.5461778853259602</v>
      </c>
      <c r="AR7" s="8">
        <f t="shared" si="6"/>
        <v>750</v>
      </c>
      <c r="AS7" s="8">
        <v>-111.58872615558255</v>
      </c>
      <c r="AT7" s="8">
        <f t="shared" si="7"/>
        <v>27268.886804104095</v>
      </c>
      <c r="AU7" s="8">
        <f t="shared" si="8"/>
        <v>-842.06837756695154</v>
      </c>
      <c r="AV7" s="8">
        <f t="shared" si="9"/>
        <v>500</v>
      </c>
    </row>
    <row r="8" spans="2:48" x14ac:dyDescent="0.2">
      <c r="B8" t="s">
        <v>164</v>
      </c>
      <c r="C8" s="1">
        <v>0.13</v>
      </c>
      <c r="F8" t="s">
        <v>127</v>
      </c>
      <c r="G8">
        <f xml:space="preserve"> $G$5/$G$4</f>
        <v>60</v>
      </c>
      <c r="H8" t="s">
        <v>23</v>
      </c>
      <c r="J8" s="3" t="s">
        <v>116</v>
      </c>
      <c r="K8" s="5">
        <f>C17</f>
        <v>983.10652776308416</v>
      </c>
      <c r="L8" t="s">
        <v>12</v>
      </c>
      <c r="N8" t="s">
        <v>63</v>
      </c>
      <c r="O8">
        <f xml:space="preserve"> O5 * $C$21 * O7</f>
        <v>137.23178920476431</v>
      </c>
      <c r="P8" t="s">
        <v>32</v>
      </c>
      <c r="R8" t="s">
        <v>63</v>
      </c>
      <c r="S8">
        <f xml:space="preserve"> S5 * $C$21 * S7</f>
        <v>137.23178920476431</v>
      </c>
      <c r="T8" t="s">
        <v>32</v>
      </c>
      <c r="V8" t="s">
        <v>63</v>
      </c>
      <c r="W8">
        <f xml:space="preserve"> W5*W7*$C$21</f>
        <v>137.23178920476431</v>
      </c>
      <c r="X8" t="s">
        <v>32</v>
      </c>
      <c r="AB8" s="8">
        <v>4</v>
      </c>
      <c r="AC8" s="8">
        <f t="shared" si="4"/>
        <v>0.3125</v>
      </c>
      <c r="AD8" s="8">
        <f xml:space="preserve"> $S$19 * TAN($S$16) + $S$20 / (2 * SQRT($S$19^2 + AC8^2)) - AC8</f>
        <v>5.2336052909124298E-2</v>
      </c>
      <c r="AE8" s="8">
        <f t="shared" si="5"/>
        <v>0.375</v>
      </c>
      <c r="AF8" s="8">
        <f xml:space="preserve"> $S$19 * TAN($S$16) + $S$20 / (2 * SQRT($S$19^2 + AE8^2)) - AE8</f>
        <v>-1.8072575550591219E-2</v>
      </c>
      <c r="AG8" s="8">
        <f t="shared" si="0"/>
        <v>0.34375</v>
      </c>
      <c r="AH8" s="8">
        <f xml:space="preserve"> $S$19 * TAN($S$16) + $S$20 / (2 * SQRT($S$19^2 + AG8^2)) - AG8</f>
        <v>1.6775764197959453E-2</v>
      </c>
      <c r="AI8" s="8">
        <f t="shared" si="1"/>
        <v>8.7797728265539903E-4</v>
      </c>
      <c r="AJ8" s="8">
        <f t="shared" si="2"/>
        <v>-3.0318126588652549E-4</v>
      </c>
      <c r="AK8" s="8">
        <f t="shared" si="3"/>
        <v>6.25E-2</v>
      </c>
      <c r="AM8" s="8">
        <v>4</v>
      </c>
      <c r="AN8" s="8">
        <f t="shared" si="10"/>
        <v>750</v>
      </c>
      <c r="AO8" s="8">
        <v>-111.58872615558255</v>
      </c>
      <c r="AP8" s="8">
        <f t="shared" si="11"/>
        <v>1000</v>
      </c>
      <c r="AQ8" s="8">
        <v>7.5461778853259602</v>
      </c>
      <c r="AR8" s="8">
        <f t="shared" si="6"/>
        <v>875</v>
      </c>
      <c r="AS8" s="8">
        <v>-50.078534949673895</v>
      </c>
      <c r="AT8" s="8">
        <f t="shared" si="7"/>
        <v>5588.1999227719298</v>
      </c>
      <c r="AU8" s="8">
        <f t="shared" si="8"/>
        <v>-377.90153296675231</v>
      </c>
      <c r="AV8" s="8">
        <f t="shared" si="9"/>
        <v>250</v>
      </c>
    </row>
    <row r="9" spans="2:48" x14ac:dyDescent="0.2">
      <c r="B9" t="s">
        <v>3</v>
      </c>
      <c r="C9" s="1">
        <v>0.75</v>
      </c>
      <c r="J9" s="16" t="s">
        <v>81</v>
      </c>
      <c r="K9">
        <f xml:space="preserve"> K4 / ($C$12 * $C$13 * $C$14)</f>
        <v>110.48299217107859</v>
      </c>
      <c r="L9" t="s">
        <v>12</v>
      </c>
      <c r="N9" t="s">
        <v>64</v>
      </c>
      <c r="O9">
        <f xml:space="preserve"> 1.78 * (1 - 0.045 * $C$22^0.68) - 0.64</f>
        <v>0.75661729604956662</v>
      </c>
      <c r="R9" t="s">
        <v>64</v>
      </c>
      <c r="S9">
        <f xml:space="preserve"> 1.78 * (1 - 0.045 * $C$22^0.68) - 0.64</f>
        <v>0.75661729604956662</v>
      </c>
      <c r="V9" t="s">
        <v>64</v>
      </c>
      <c r="W9">
        <f xml:space="preserve"> 1.78 * (1 - 0.045 * $C$22^0.68) - 0.64</f>
        <v>0.75661729604956662</v>
      </c>
      <c r="AB9" s="8">
        <v>5</v>
      </c>
      <c r="AC9" s="8">
        <f t="shared" si="4"/>
        <v>0.34375</v>
      </c>
      <c r="AD9" s="8">
        <f xml:space="preserve"> $S$19 * TAN($S$16) + $S$20 / (2 * SQRT($S$19^2 + AC9^2)) - AC9</f>
        <v>1.6775764197959453E-2</v>
      </c>
      <c r="AE9" s="8">
        <f t="shared" si="5"/>
        <v>0.375</v>
      </c>
      <c r="AF9" s="8">
        <f xml:space="preserve"> $S$19 * TAN($S$16) + $S$20 / (2 * SQRT($S$19^2 + AE9^2)) - AE9</f>
        <v>-1.8072575550591219E-2</v>
      </c>
      <c r="AG9" s="8">
        <f t="shared" si="0"/>
        <v>0.359375</v>
      </c>
      <c r="AH9" s="8">
        <f xml:space="preserve"> $S$19 * TAN($S$16) + $S$20 / (2 * SQRT($S$19^2 + AG9^2)) - AG9</f>
        <v>-7.2593447715396664E-4</v>
      </c>
      <c r="AI9" s="8">
        <f t="shared" si="1"/>
        <v>-1.2178105611903928E-5</v>
      </c>
      <c r="AJ9" s="8">
        <f t="shared" si="2"/>
        <v>1.3119505683143997E-5</v>
      </c>
      <c r="AK9" s="8">
        <f t="shared" si="3"/>
        <v>3.125E-2</v>
      </c>
      <c r="AM9" s="8">
        <v>5</v>
      </c>
      <c r="AN9" s="8">
        <f t="shared" si="10"/>
        <v>875</v>
      </c>
      <c r="AO9" s="8">
        <v>-50.078534949673895</v>
      </c>
      <c r="AP9" s="8">
        <f t="shared" si="11"/>
        <v>1000</v>
      </c>
      <c r="AQ9" s="8">
        <v>7.5461778853259602</v>
      </c>
      <c r="AR9" s="8">
        <f t="shared" si="6"/>
        <v>937.5</v>
      </c>
      <c r="AS9" s="8">
        <v>-20.754814382199356</v>
      </c>
      <c r="AT9" s="8">
        <f t="shared" si="7"/>
        <v>1039.3706974129648</v>
      </c>
      <c r="AU9" s="8">
        <f t="shared" si="8"/>
        <v>-156.61952130499796</v>
      </c>
      <c r="AV9" s="8">
        <f t="shared" si="9"/>
        <v>125</v>
      </c>
    </row>
    <row r="10" spans="2:48" x14ac:dyDescent="0.2">
      <c r="F10" s="44" t="s">
        <v>131</v>
      </c>
      <c r="G10" s="46"/>
      <c r="H10" s="46"/>
      <c r="J10" s="12" t="s">
        <v>82</v>
      </c>
      <c r="K10">
        <f xml:space="preserve"> $C$33 * ($C$5 * 0.144 * (2*$C$18*3.28084 * (G6*0.00134102/$C$5) * 4^0.5)^0.782 * 0.453592 + C6 * $C$6 * 0.144 * (2*$C$19*3.28084 * (G18*0.00134102/$C$6) * 4^0.5)^0.782 * 0.453592)</f>
        <v>60.140123313233453</v>
      </c>
      <c r="L10" t="s">
        <v>12</v>
      </c>
      <c r="N10" t="s">
        <v>150</v>
      </c>
      <c r="O10">
        <f>O4/(O5*$C$21)</f>
        <v>2.1783138457529398</v>
      </c>
      <c r="R10" t="s">
        <v>44</v>
      </c>
      <c r="S10">
        <f xml:space="preserve"> S4 / (S5 * $C$21)</f>
        <v>2.1861636350312583</v>
      </c>
      <c r="V10" t="s">
        <v>150</v>
      </c>
      <c r="W10">
        <f>W4 / ( W5 * $C$21)</f>
        <v>2.1833409621176445</v>
      </c>
      <c r="AB10" s="8">
        <v>6</v>
      </c>
      <c r="AC10" s="8">
        <f t="shared" si="4"/>
        <v>0.34375</v>
      </c>
      <c r="AD10" s="8">
        <f xml:space="preserve"> $S$19 * TAN($S$16) + $S$20 / (2 * SQRT($S$19^2 + AC10^2)) - AC10</f>
        <v>1.6775764197959453E-2</v>
      </c>
      <c r="AE10" s="8">
        <f t="shared" si="5"/>
        <v>0.359375</v>
      </c>
      <c r="AF10" s="8">
        <f xml:space="preserve"> $S$19 * TAN($S$16) + $S$20 / (2 * SQRT($S$19^2 + AE10^2)) - AE10</f>
        <v>-7.2593447715396664E-4</v>
      </c>
      <c r="AG10" s="8">
        <f t="shared" si="0"/>
        <v>0.3515625</v>
      </c>
      <c r="AH10" s="8">
        <f xml:space="preserve"> $S$19 * TAN($S$16) + $S$20 / (2 * SQRT($S$19^2 + AG10^2)) - AG10</f>
        <v>8.0042562844198639E-3</v>
      </c>
      <c r="AI10" s="8">
        <f t="shared" si="1"/>
        <v>1.342775160074627E-4</v>
      </c>
      <c r="AJ10" s="8">
        <f t="shared" si="2"/>
        <v>-5.8105656008366852E-6</v>
      </c>
      <c r="AK10" s="8">
        <f t="shared" si="3"/>
        <v>1.5625E-2</v>
      </c>
      <c r="AM10" s="8">
        <v>6</v>
      </c>
      <c r="AN10" s="8">
        <f t="shared" si="10"/>
        <v>937.5</v>
      </c>
      <c r="AO10" s="8">
        <v>-20.754814382199356</v>
      </c>
      <c r="AP10" s="8">
        <f t="shared" si="11"/>
        <v>1000</v>
      </c>
      <c r="AQ10" s="8">
        <v>7.5461778853259602</v>
      </c>
      <c r="AR10" s="8">
        <f t="shared" si="6"/>
        <v>968.75</v>
      </c>
      <c r="AS10" s="8">
        <v>-6.4736124846165239</v>
      </c>
      <c r="AT10" s="8">
        <f t="shared" si="7"/>
        <v>134.35862550050433</v>
      </c>
      <c r="AU10" s="8">
        <f t="shared" si="8"/>
        <v>-48.851031369583254</v>
      </c>
      <c r="AV10" s="8">
        <f t="shared" si="9"/>
        <v>62.5</v>
      </c>
    </row>
    <row r="11" spans="2:48" x14ac:dyDescent="0.2">
      <c r="B11" s="38" t="s">
        <v>6</v>
      </c>
      <c r="C11" s="39"/>
      <c r="D11" s="39"/>
      <c r="F11" s="48" t="s">
        <v>167</v>
      </c>
      <c r="G11" s="1">
        <f>$C$20</f>
        <v>30</v>
      </c>
      <c r="H11" s="47" t="s">
        <v>16</v>
      </c>
      <c r="J11" s="13" t="s">
        <v>83</v>
      </c>
      <c r="K11">
        <f xml:space="preserve"> 0.2138 * (G6/1000) + 0.2138 * (G18/1000)</f>
        <v>58.560879855476628</v>
      </c>
      <c r="L11" t="s">
        <v>12</v>
      </c>
      <c r="N11" t="s">
        <v>149</v>
      </c>
      <c r="O11">
        <f>O7+O10^2/(PI()*O9*$C$22)</f>
        <v>0.23074324468053092</v>
      </c>
      <c r="R11" t="s">
        <v>65</v>
      </c>
      <c r="S11">
        <f xml:space="preserve"> S7 + S10^2 / ( PI() * S9 * $C$22 )</f>
        <v>0.232184576976563</v>
      </c>
      <c r="V11" t="s">
        <v>149</v>
      </c>
      <c r="W11">
        <f xml:space="preserve"> W7 + W10^2 / (PI() * W9 * $C$22)</f>
        <v>0.23166569734999148</v>
      </c>
      <c r="AB11" s="8">
        <v>7</v>
      </c>
      <c r="AC11" s="8">
        <f t="shared" si="4"/>
        <v>0.3515625</v>
      </c>
      <c r="AD11" s="8">
        <f xml:space="preserve"> $S$19 * TAN($S$16) + $S$20 / (2 * SQRT($S$19^2 + AC11^2)) - AC11</f>
        <v>8.0042562844198639E-3</v>
      </c>
      <c r="AE11" s="8">
        <f t="shared" si="5"/>
        <v>0.359375</v>
      </c>
      <c r="AF11" s="8">
        <f xml:space="preserve"> $S$19 * TAN($S$16) + $S$20 / (2 * SQRT($S$19^2 + AE11^2)) - AE11</f>
        <v>-7.2593447715396664E-4</v>
      </c>
      <c r="AG11" s="8">
        <f t="shared" si="0"/>
        <v>0.35546875</v>
      </c>
      <c r="AH11" s="8">
        <f xml:space="preserve"> $S$19 * TAN($S$16) + $S$20 / (2 * SQRT($S$19^2 + AG11^2)) - AG11</f>
        <v>3.6341644401130524E-3</v>
      </c>
      <c r="AI11" s="8">
        <f t="shared" si="1"/>
        <v>2.9088783558390094E-5</v>
      </c>
      <c r="AJ11" s="8">
        <f t="shared" si="2"/>
        <v>-2.6381652627250064E-6</v>
      </c>
      <c r="AK11" s="8">
        <f t="shared" si="3"/>
        <v>7.8125E-3</v>
      </c>
      <c r="AM11" s="8">
        <v>7</v>
      </c>
      <c r="AN11" s="8">
        <f t="shared" si="10"/>
        <v>968.75</v>
      </c>
      <c r="AO11" s="8">
        <v>-6.4736124846165239</v>
      </c>
      <c r="AP11" s="8">
        <f t="shared" si="11"/>
        <v>1000</v>
      </c>
      <c r="AQ11" s="8">
        <v>7.5461778853259602</v>
      </c>
      <c r="AR11" s="8">
        <f t="shared" si="6"/>
        <v>984.375</v>
      </c>
      <c r="AS11" s="8">
        <v>0.56930574020202585</v>
      </c>
      <c r="AT11" s="8">
        <f t="shared" si="7"/>
        <v>-3.6854647473356859</v>
      </c>
      <c r="AU11" s="8">
        <f t="shared" si="8"/>
        <v>4.296082386701654</v>
      </c>
      <c r="AV11" s="8">
        <f t="shared" si="9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133</v>
      </c>
      <c r="G12" s="1">
        <v>2.54</v>
      </c>
      <c r="H12" t="s">
        <v>16</v>
      </c>
      <c r="J12" s="13" t="s">
        <v>114</v>
      </c>
      <c r="K12">
        <f>2.20462 * (49.9/398 * (G6/$C$5/1000 -2) + 0.1) * $C$5 * 0.453592 + 2.20462 * (49.9/398 * (G17/1000 -2) + 0.1) * 0.453592 * $C$6</f>
        <v>33.286007045938419</v>
      </c>
      <c r="L12" t="s">
        <v>12</v>
      </c>
      <c r="N12" t="s">
        <v>151</v>
      </c>
      <c r="O12">
        <f>O5*O11*$C$21</f>
        <v>1017.5777090411414</v>
      </c>
      <c r="P12" t="s">
        <v>32</v>
      </c>
      <c r="R12" t="s">
        <v>66</v>
      </c>
      <c r="S12">
        <f xml:space="preserve"> S5 * S11 * $C$21</f>
        <v>1023.9339844666429</v>
      </c>
      <c r="T12" t="s">
        <v>32</v>
      </c>
      <c r="V12" t="s">
        <v>151</v>
      </c>
      <c r="W12">
        <f xml:space="preserve"> W5 * $C$21 * W11</f>
        <v>1021.6457253134624</v>
      </c>
      <c r="X12" t="s">
        <v>32</v>
      </c>
      <c r="AB12" s="8">
        <v>8</v>
      </c>
      <c r="AC12" s="8">
        <f t="shared" si="4"/>
        <v>0.35546875</v>
      </c>
      <c r="AD12" s="8">
        <f xml:space="preserve"> $S$19 * TAN($S$16) + $S$20 / (2 * SQRT($S$19^2 + AC12^2)) - AC12</f>
        <v>3.6341644401130524E-3</v>
      </c>
      <c r="AE12" s="8">
        <f t="shared" si="5"/>
        <v>0.359375</v>
      </c>
      <c r="AF12" s="8">
        <f xml:space="preserve"> $S$19 * TAN($S$16) + $S$20 / (2 * SQRT($S$19^2 + AE12^2)) - AE12</f>
        <v>-7.2593447715396664E-4</v>
      </c>
      <c r="AG12" s="8">
        <f t="shared" si="0"/>
        <v>0.357421875</v>
      </c>
      <c r="AH12" s="8">
        <f xml:space="preserve"> $S$19 * TAN($S$16) + $S$20 / (2 * SQRT($S$19^2 + AG12^2)) - AG12</f>
        <v>1.4528860962497725E-3</v>
      </c>
      <c r="AI12" s="8">
        <f t="shared" si="1"/>
        <v>5.280026986525593E-6</v>
      </c>
      <c r="AJ12" s="8">
        <f t="shared" si="2"/>
        <v>-1.0547001086453462E-6</v>
      </c>
      <c r="AK12" s="8">
        <f t="shared" si="3"/>
        <v>3.90625E-3</v>
      </c>
      <c r="AM12" s="8">
        <v>8</v>
      </c>
      <c r="AN12" s="8">
        <f t="shared" si="10"/>
        <v>968.75</v>
      </c>
      <c r="AO12" s="8">
        <v>-6.4736124846165239</v>
      </c>
      <c r="AP12" s="8">
        <f t="shared" si="11"/>
        <v>984.375</v>
      </c>
      <c r="AQ12" s="8">
        <v>0.56930574020202585</v>
      </c>
      <c r="AR12" s="8">
        <f t="shared" si="6"/>
        <v>976.5625</v>
      </c>
      <c r="AS12" s="8">
        <v>-2.9439407032704139</v>
      </c>
      <c r="AT12" s="8">
        <f t="shared" si="7"/>
        <v>19.057931290662101</v>
      </c>
      <c r="AU12" s="8">
        <f t="shared" si="8"/>
        <v>-1.6760023411862355</v>
      </c>
      <c r="AV12" s="8">
        <f t="shared" si="9"/>
        <v>15.625</v>
      </c>
    </row>
    <row r="13" spans="2:48" x14ac:dyDescent="0.2">
      <c r="B13" t="s">
        <v>9</v>
      </c>
      <c r="C13" s="1">
        <v>0.85</v>
      </c>
      <c r="F13" t="s">
        <v>132</v>
      </c>
      <c r="G13" s="1">
        <v>304.8</v>
      </c>
      <c r="H13" t="s">
        <v>14</v>
      </c>
      <c r="J13" s="14" t="s">
        <v>91</v>
      </c>
      <c r="K13">
        <f xml:space="preserve"> $C$33 * (14.86 * ($C$17*2.20462)^0.144 * (6.7/(PI()*1.8))^0.778 * (6.7*3.28084)^0.383 * 4^0.455 * 0.453592)</f>
        <v>114.12913662338299</v>
      </c>
      <c r="L13" t="s">
        <v>12</v>
      </c>
      <c r="N13" t="s">
        <v>113</v>
      </c>
      <c r="O13">
        <f>O4/O12</f>
        <v>9.4404230501693043</v>
      </c>
      <c r="R13" t="s">
        <v>113</v>
      </c>
      <c r="S13">
        <f>S10/S11</f>
        <v>9.4156281330087328</v>
      </c>
      <c r="V13" t="s">
        <v>113</v>
      </c>
      <c r="W13">
        <f>W4/W12</f>
        <v>9.4245327948536897</v>
      </c>
      <c r="AB13" s="8">
        <v>9</v>
      </c>
      <c r="AC13" s="8">
        <f t="shared" si="4"/>
        <v>0.357421875</v>
      </c>
      <c r="AD13" s="8">
        <f xml:space="preserve"> $S$19 * TAN($S$16) + $S$20 / (2 * SQRT($S$19^2 + AC13^2)) - AC13</f>
        <v>1.4528860962497725E-3</v>
      </c>
      <c r="AE13" s="8">
        <f t="shared" si="5"/>
        <v>0.359375</v>
      </c>
      <c r="AF13" s="8">
        <f xml:space="preserve"> $S$19 * TAN($S$16) + $S$20 / (2 * SQRT($S$19^2 + AE13^2)) - AE13</f>
        <v>-7.2593447715396664E-4</v>
      </c>
      <c r="AG13" s="8">
        <f t="shared" si="0"/>
        <v>0.3583984375</v>
      </c>
      <c r="AH13" s="8">
        <f xml:space="preserve"> $S$19 * TAN($S$16) + $S$20 / (2 * SQRT($S$19^2 + AG13^2)) - AG13</f>
        <v>3.6317106956340606E-4</v>
      </c>
      <c r="AI13" s="8">
        <f t="shared" si="1"/>
        <v>5.2764619752883159E-7</v>
      </c>
      <c r="AJ13" s="8">
        <f t="shared" si="2"/>
        <v>-2.6363840050095801E-7</v>
      </c>
      <c r="AK13" s="8">
        <f t="shared" si="3"/>
        <v>1.953125E-3</v>
      </c>
      <c r="AM13" s="8">
        <v>9</v>
      </c>
      <c r="AN13" s="8">
        <f t="shared" si="10"/>
        <v>976.5625</v>
      </c>
      <c r="AO13" s="8">
        <v>-2.9439407032704139</v>
      </c>
      <c r="AP13" s="8">
        <f t="shared" si="11"/>
        <v>984.375</v>
      </c>
      <c r="AQ13" s="8">
        <v>0.56930574020202585</v>
      </c>
      <c r="AR13" s="8">
        <f t="shared" si="6"/>
        <v>980.46875</v>
      </c>
      <c r="AS13" s="8">
        <v>-1.1852588786429124</v>
      </c>
      <c r="AT13" s="8">
        <f t="shared" si="7"/>
        <v>3.4893318567495175</v>
      </c>
      <c r="AU13" s="8">
        <f t="shared" si="8"/>
        <v>-0.67477468323682632</v>
      </c>
      <c r="AV13" s="8">
        <f t="shared" si="9"/>
        <v>7.8125</v>
      </c>
    </row>
    <row r="14" spans="2:48" x14ac:dyDescent="0.2">
      <c r="B14" t="s">
        <v>10</v>
      </c>
      <c r="C14" s="1">
        <v>0.8</v>
      </c>
      <c r="F14" t="s">
        <v>134</v>
      </c>
      <c r="G14" s="47">
        <f>SQRT($G$11^2-$G$12^2)</f>
        <v>29.892279939810546</v>
      </c>
      <c r="H14" t="s">
        <v>16</v>
      </c>
      <c r="J14" s="14" t="s">
        <v>92</v>
      </c>
      <c r="K14">
        <f xml:space="preserve"> $C$33 * (0.054 * (0.7*3.28084)^0.501 * ($C$17*2.20462*5.7)^0.684 * 0.453592)</f>
        <v>18.70032868170539</v>
      </c>
      <c r="L14" t="s">
        <v>12</v>
      </c>
      <c r="AB14" s="8">
        <v>10</v>
      </c>
      <c r="AC14" s="8">
        <f t="shared" si="4"/>
        <v>0.3583984375</v>
      </c>
      <c r="AD14" s="8">
        <f xml:space="preserve"> $S$19 * TAN($S$16) + $S$20 / (2 * SQRT($S$19^2 + AC14^2)) - AC14</f>
        <v>3.6317106956340606E-4</v>
      </c>
      <c r="AE14" s="8">
        <f t="shared" si="5"/>
        <v>0.359375</v>
      </c>
      <c r="AF14" s="8">
        <f xml:space="preserve"> $S$19 * TAN($S$16) + $S$20 / (2 * SQRT($S$19^2 + AE14^2)) - AE14</f>
        <v>-7.2593447715396664E-4</v>
      </c>
      <c r="AG14" s="8">
        <f t="shared" si="0"/>
        <v>0.35888671875</v>
      </c>
      <c r="AH14" s="8">
        <f xml:space="preserve"> $S$19 * TAN($S$16) + $S$20 / (2 * SQRT($S$19^2 + AG14^2)) - AG14</f>
        <v>-1.8145758153575997E-4</v>
      </c>
      <c r="AI14" s="8">
        <f t="shared" si="1"/>
        <v>-6.5900143966730909E-8</v>
      </c>
      <c r="AJ14" s="8">
        <f t="shared" si="2"/>
        <v>1.3172631457778518E-7</v>
      </c>
      <c r="AK14" s="8">
        <f t="shared" si="3"/>
        <v>9.765625E-4</v>
      </c>
      <c r="AM14" s="8">
        <v>10</v>
      </c>
      <c r="AN14" s="8">
        <f t="shared" si="10"/>
        <v>980.46875</v>
      </c>
      <c r="AO14" s="8">
        <v>-1.1852588786429124</v>
      </c>
      <c r="AP14" s="8">
        <f t="shared" si="11"/>
        <v>984.375</v>
      </c>
      <c r="AQ14" s="8">
        <v>0.56930574020202585</v>
      </c>
      <c r="AR14" s="8">
        <f t="shared" si="6"/>
        <v>982.421875</v>
      </c>
      <c r="AS14" s="8">
        <v>-0.3074613477059529</v>
      </c>
      <c r="AT14" s="8">
        <f t="shared" si="7"/>
        <v>0.36442129220799629</v>
      </c>
      <c r="AU14" s="8">
        <f t="shared" si="8"/>
        <v>-0.17503951013924995</v>
      </c>
      <c r="AV14" s="8">
        <f t="shared" si="9"/>
        <v>3.90625</v>
      </c>
    </row>
    <row r="15" spans="2:48" x14ac:dyDescent="0.2">
      <c r="F15" t="s">
        <v>135</v>
      </c>
      <c r="G15">
        <f>$G$14 * ($G$13/$G$12)</f>
        <v>3587.0735927772657</v>
      </c>
      <c r="H15" t="s">
        <v>14</v>
      </c>
      <c r="J15" s="14" t="s">
        <v>84</v>
      </c>
      <c r="K15">
        <f xml:space="preserve"> $C$33 * (0.04674 * ($C$17*2.20462)^0.397 * ($C$21*3.28084^2)^0.36 * 3^0.397 * $C$22^1.712 * 0.453592)</f>
        <v>141.85634890934588</v>
      </c>
      <c r="L15" t="s">
        <v>12</v>
      </c>
      <c r="N15" s="44" t="s">
        <v>152</v>
      </c>
      <c r="O15" s="45"/>
      <c r="P15" s="45"/>
      <c r="R15" s="44" t="s">
        <v>142</v>
      </c>
      <c r="S15" s="45"/>
      <c r="T15" s="45"/>
      <c r="V15" s="44" t="s">
        <v>162</v>
      </c>
      <c r="W15" s="45"/>
      <c r="X15" s="45"/>
      <c r="AB15" s="8">
        <v>11</v>
      </c>
      <c r="AC15" s="8">
        <f t="shared" si="4"/>
        <v>0.3583984375</v>
      </c>
      <c r="AD15" s="8">
        <f xml:space="preserve"> $S$19 * TAN($S$16) + $S$20 / (2 * SQRT($S$19^2 + AC15^2)) - AC15</f>
        <v>3.6317106956340606E-4</v>
      </c>
      <c r="AE15" s="8">
        <f t="shared" si="5"/>
        <v>0.35888671875</v>
      </c>
      <c r="AF15" s="8">
        <f xml:space="preserve"> $S$19 * TAN($S$16) + $S$20 / (2 * SQRT($S$19^2 + AE15^2)) - AE15</f>
        <v>-1.8145758153575997E-4</v>
      </c>
      <c r="AG15" s="8">
        <f t="shared" si="0"/>
        <v>0.358642578125</v>
      </c>
      <c r="AH15" s="8">
        <f xml:space="preserve"> $S$19 * TAN($S$16) + $S$20 / (2 * SQRT($S$19^2 + AG15^2)) - AG15</f>
        <v>9.0837736300530825E-5</v>
      </c>
      <c r="AI15" s="8">
        <f t="shared" si="1"/>
        <v>3.2989637848982413E-8</v>
      </c>
      <c r="AJ15" s="8">
        <f t="shared" si="2"/>
        <v>-1.6483195941277435E-8</v>
      </c>
      <c r="AK15" s="8">
        <f t="shared" si="3"/>
        <v>4.8828125E-4</v>
      </c>
      <c r="AM15" s="8">
        <v>11</v>
      </c>
      <c r="AN15" s="8">
        <f t="shared" si="10"/>
        <v>982.421875</v>
      </c>
      <c r="AO15" s="8">
        <v>-0.3074613477059529</v>
      </c>
      <c r="AP15" s="8">
        <f t="shared" si="11"/>
        <v>984.375</v>
      </c>
      <c r="AQ15" s="8">
        <v>0.56930574020202585</v>
      </c>
      <c r="AR15" s="8">
        <f t="shared" si="6"/>
        <v>983.3984375</v>
      </c>
      <c r="AS15" s="8">
        <v>0.13105106310069914</v>
      </c>
      <c r="AT15" s="8">
        <f t="shared" si="7"/>
        <v>-4.0293136479238829E-2</v>
      </c>
      <c r="AU15" s="8">
        <f t="shared" si="8"/>
        <v>7.4608122482805919E-2</v>
      </c>
      <c r="AV15" s="8">
        <f t="shared" si="9"/>
        <v>1.953125</v>
      </c>
    </row>
    <row r="16" spans="2:48" x14ac:dyDescent="0.2">
      <c r="B16" s="40" t="s">
        <v>11</v>
      </c>
      <c r="C16" s="40"/>
      <c r="D16" s="40"/>
      <c r="F16" t="s">
        <v>165</v>
      </c>
      <c r="G16">
        <f>ATAN(G12/G14)</f>
        <v>8.476814908674811E-2</v>
      </c>
      <c r="H16" t="s">
        <v>47</v>
      </c>
      <c r="J16" s="14" t="s">
        <v>93</v>
      </c>
      <c r="K16">
        <f xml:space="preserve"> $C$33 * 0</f>
        <v>0</v>
      </c>
      <c r="L16" t="s">
        <v>12</v>
      </c>
      <c r="N16" t="s">
        <v>46</v>
      </c>
      <c r="O16">
        <f xml:space="preserve"> (90 - $C$32) / 180 * PI()</f>
        <v>1.48352986419518</v>
      </c>
      <c r="P16" t="s">
        <v>47</v>
      </c>
      <c r="R16" t="s">
        <v>46</v>
      </c>
      <c r="S16">
        <f xml:space="preserve"> (90 - $C$32) / 180 * PI()</f>
        <v>1.48352986419518</v>
      </c>
      <c r="T16" t="s">
        <v>47</v>
      </c>
      <c r="V16" t="s">
        <v>46</v>
      </c>
      <c r="W16">
        <f xml:space="preserve"> (90 - $C$32) / 180 * PI()</f>
        <v>1.48352986419518</v>
      </c>
      <c r="X16" t="s">
        <v>47</v>
      </c>
      <c r="AB16" s="8">
        <v>12</v>
      </c>
      <c r="AC16" s="8">
        <f t="shared" si="4"/>
        <v>0.358642578125</v>
      </c>
      <c r="AD16" s="8">
        <f xml:space="preserve"> $S$19 * TAN($S$16) + $S$20 / (2 * SQRT($S$19^2 + AC16^2)) - AC16</f>
        <v>9.0837736300530825E-5</v>
      </c>
      <c r="AE16" s="8">
        <f t="shared" si="5"/>
        <v>0.35888671875</v>
      </c>
      <c r="AF16" s="8">
        <f xml:space="preserve"> $S$19 * TAN($S$16) + $S$20 / (2 * SQRT($S$19^2 + AE16^2)) - AE16</f>
        <v>-1.8145758153575997E-4</v>
      </c>
      <c r="AG16" s="8">
        <f t="shared" si="0"/>
        <v>0.3587646484375</v>
      </c>
      <c r="AH16" s="8">
        <f xml:space="preserve"> $S$19 * TAN($S$16) + $S$20 / (2 * SQRT($S$19^2 + AG16^2)) - AG16</f>
        <v>-4.5314669753160342E-5</v>
      </c>
      <c r="AI16" s="8">
        <f t="shared" si="1"/>
        <v>-4.1162820215832192E-9</v>
      </c>
      <c r="AJ16" s="8">
        <f t="shared" si="2"/>
        <v>8.2226903815001296E-9</v>
      </c>
      <c r="AK16" s="8">
        <f t="shared" si="3"/>
        <v>2.44140625E-4</v>
      </c>
      <c r="AM16" s="8">
        <v>12</v>
      </c>
      <c r="AN16" s="8">
        <f t="shared" si="10"/>
        <v>982.421875</v>
      </c>
      <c r="AO16" s="8">
        <v>-0.3074613477059529</v>
      </c>
      <c r="AP16" s="8">
        <f t="shared" si="11"/>
        <v>983.3984375</v>
      </c>
      <c r="AQ16" s="8">
        <v>0.13105106310069914</v>
      </c>
      <c r="AR16" s="8">
        <f t="shared" si="6"/>
        <v>982.91015625</v>
      </c>
      <c r="AS16" s="8">
        <v>-8.8172797782021917E-2</v>
      </c>
      <c r="AT16" s="8">
        <f t="shared" si="7"/>
        <v>2.7109727237064913E-2</v>
      </c>
      <c r="AU16" s="8">
        <f t="shared" si="8"/>
        <v>-1.1555138885896939E-2</v>
      </c>
      <c r="AV16" s="8">
        <f t="shared" si="9"/>
        <v>0.9765625</v>
      </c>
    </row>
    <row r="17" spans="2:48" x14ac:dyDescent="0.2">
      <c r="B17" s="3" t="s">
        <v>60</v>
      </c>
      <c r="C17" s="3">
        <f>AR44</f>
        <v>983.10652776308416</v>
      </c>
      <c r="D17" s="3" t="s">
        <v>12</v>
      </c>
      <c r="F17" t="s">
        <v>156</v>
      </c>
      <c r="G17">
        <f>O22 + O17 * (O27 * O24 + $G$11 * SIN(O16))</f>
        <v>71131.341122925194</v>
      </c>
      <c r="H17" t="s">
        <v>30</v>
      </c>
      <c r="J17" s="14" t="s">
        <v>94</v>
      </c>
      <c r="K17">
        <f xml:space="preserve"> $C$33 * 0</f>
        <v>0</v>
      </c>
      <c r="L17" t="s">
        <v>12</v>
      </c>
      <c r="N17" t="s">
        <v>31</v>
      </c>
      <c r="O17">
        <f>(O12+$C$17*$C$31*SIN(G16))/$C$6</f>
        <v>1833.8474870891127</v>
      </c>
      <c r="P17" t="s">
        <v>32</v>
      </c>
      <c r="R17" t="s">
        <v>31</v>
      </c>
      <c r="S17">
        <f xml:space="preserve"> S12 / $C$6</f>
        <v>1023.9339844666429</v>
      </c>
      <c r="T17" t="s">
        <v>32</v>
      </c>
      <c r="V17" t="s">
        <v>31</v>
      </c>
      <c r="W17">
        <f>(W12-$C$17*$C$31*SIN(G32))/$C$6</f>
        <v>531.88385848467965</v>
      </c>
      <c r="X17" t="s">
        <v>32</v>
      </c>
      <c r="AB17" s="8">
        <v>13</v>
      </c>
      <c r="AC17" s="8">
        <f t="shared" si="4"/>
        <v>0.358642578125</v>
      </c>
      <c r="AD17" s="8">
        <f xml:space="preserve"> $S$19 * TAN($S$16) + $S$20 / (2 * SQRT($S$19^2 + AC17^2)) - AC17</f>
        <v>9.0837736300530825E-5</v>
      </c>
      <c r="AE17" s="8">
        <f t="shared" si="5"/>
        <v>0.3587646484375</v>
      </c>
      <c r="AF17" s="8">
        <f xml:space="preserve"> $S$19 * TAN($S$16) + $S$20 / (2 * SQRT($S$19^2 + AE17^2)) - AE17</f>
        <v>-4.5314669753160342E-5</v>
      </c>
      <c r="AG17" s="8">
        <f t="shared" si="0"/>
        <v>0.35870361328125</v>
      </c>
      <c r="AH17" s="8">
        <f xml:space="preserve"> $S$19 * TAN($S$16) + $S$20 / (2 * SQRT($S$19^2 + AG17^2)) - AG17</f>
        <v>2.2760345891215117E-5</v>
      </c>
      <c r="AI17" s="8">
        <f t="shared" si="1"/>
        <v>2.0674982981750692E-9</v>
      </c>
      <c r="AJ17" s="8">
        <f t="shared" si="2"/>
        <v>-1.0313775575281129E-9</v>
      </c>
      <c r="AK17" s="8">
        <f t="shared" si="3"/>
        <v>1.220703125E-4</v>
      </c>
      <c r="AM17" s="8">
        <v>13</v>
      </c>
      <c r="AN17" s="8">
        <f t="shared" si="10"/>
        <v>982.91015625</v>
      </c>
      <c r="AO17" s="8">
        <v>-8.8172797782021917E-2</v>
      </c>
      <c r="AP17" s="8">
        <f t="shared" si="11"/>
        <v>983.3984375</v>
      </c>
      <c r="AQ17" s="8">
        <v>0.13105106310069914</v>
      </c>
      <c r="AR17" s="8">
        <f t="shared" si="6"/>
        <v>983.154296875</v>
      </c>
      <c r="AS17" s="8">
        <v>2.1447236065114339E-2</v>
      </c>
      <c r="AT17" s="8">
        <f t="shared" si="7"/>
        <v>-1.891062808552614E-3</v>
      </c>
      <c r="AU17" s="8">
        <f t="shared" si="8"/>
        <v>2.8106830869048896E-3</v>
      </c>
      <c r="AV17" s="8">
        <f t="shared" si="9"/>
        <v>0.48828125</v>
      </c>
    </row>
    <row r="18" spans="2:48" x14ac:dyDescent="0.2">
      <c r="B18" t="s">
        <v>160</v>
      </c>
      <c r="C18" s="1">
        <v>1</v>
      </c>
      <c r="D18" t="s">
        <v>14</v>
      </c>
      <c r="F18" t="s">
        <v>136</v>
      </c>
      <c r="G18">
        <f>$C$6*G17</f>
        <v>71131.341122925194</v>
      </c>
      <c r="H18" t="s">
        <v>30</v>
      </c>
      <c r="J18" s="15" t="s">
        <v>95</v>
      </c>
      <c r="K18">
        <f xml:space="preserve"> $C$33 * (0.0268 * $C$17)</f>
        <v>21.077803955240526</v>
      </c>
      <c r="L18" t="s">
        <v>12</v>
      </c>
      <c r="N18" t="s">
        <v>48</v>
      </c>
      <c r="O18">
        <f xml:space="preserve"> PI() * $G$11 / ($C$19 * $C$23)</f>
        <v>94.247779607693786</v>
      </c>
      <c r="P18" t="s">
        <v>49</v>
      </c>
      <c r="R18" t="s">
        <v>48</v>
      </c>
      <c r="S18">
        <f xml:space="preserve"> PI() * $C$20 / ($C$19 * $C$23)</f>
        <v>94.247779607693786</v>
      </c>
      <c r="T18" t="s">
        <v>49</v>
      </c>
      <c r="V18" t="s">
        <v>48</v>
      </c>
      <c r="W18">
        <f xml:space="preserve"> PI() * $G$27 / ($C$19 * $C$23)</f>
        <v>94.247779607693786</v>
      </c>
      <c r="X18" t="s">
        <v>49</v>
      </c>
      <c r="AB18" s="8">
        <v>14</v>
      </c>
      <c r="AC18" s="8">
        <f t="shared" si="4"/>
        <v>0.35870361328125</v>
      </c>
      <c r="AD18" s="8">
        <f xml:space="preserve"> $S$19 * TAN($S$16) + $S$20 / (2 * SQRT($S$19^2 + AC18^2)) - AC18</f>
        <v>2.2760345891215117E-5</v>
      </c>
      <c r="AE18" s="8">
        <f t="shared" si="5"/>
        <v>0.3587646484375</v>
      </c>
      <c r="AF18" s="8">
        <f xml:space="preserve"> $S$19 * TAN($S$16) + $S$20 / (2 * SQRT($S$19^2 + AE18^2)) - AE18</f>
        <v>-4.5314669753160342E-5</v>
      </c>
      <c r="AG18" s="8">
        <f t="shared" si="0"/>
        <v>0.358734130859375</v>
      </c>
      <c r="AH18" s="8">
        <f xml:space="preserve"> $S$19 * TAN($S$16) + $S$20 / (2 * SQRT($S$19^2 + AG18^2)) - AG18</f>
        <v>-1.1277458701774989E-5</v>
      </c>
      <c r="AI18" s="8">
        <f t="shared" si="1"/>
        <v>-2.5667886082629256E-10</v>
      </c>
      <c r="AJ18" s="8">
        <f t="shared" si="2"/>
        <v>5.1103431672583804E-10</v>
      </c>
      <c r="AK18" s="8">
        <f t="shared" si="3"/>
        <v>6.103515625E-5</v>
      </c>
      <c r="AM18" s="8">
        <v>14</v>
      </c>
      <c r="AN18" s="8">
        <f t="shared" si="10"/>
        <v>982.91015625</v>
      </c>
      <c r="AO18" s="8">
        <v>-8.8172797782021917E-2</v>
      </c>
      <c r="AP18" s="8">
        <f t="shared" si="11"/>
        <v>983.154296875</v>
      </c>
      <c r="AQ18" s="8">
        <v>2.1447236065114339E-2</v>
      </c>
      <c r="AR18" s="8">
        <f t="shared" si="6"/>
        <v>983.0322265625</v>
      </c>
      <c r="AS18" s="8">
        <v>-3.3360837156237722E-2</v>
      </c>
      <c r="AT18" s="8">
        <f t="shared" si="7"/>
        <v>2.9415183484159117E-3</v>
      </c>
      <c r="AU18" s="8">
        <f t="shared" si="8"/>
        <v>-7.154977498196681E-4</v>
      </c>
      <c r="AV18" s="8">
        <f t="shared" si="9"/>
        <v>0.244140625</v>
      </c>
    </row>
    <row r="19" spans="2:48" x14ac:dyDescent="0.2">
      <c r="B19" t="s">
        <v>159</v>
      </c>
      <c r="C19" s="1">
        <v>1</v>
      </c>
      <c r="D19" t="s">
        <v>14</v>
      </c>
      <c r="F19" t="s">
        <v>137</v>
      </c>
      <c r="G19">
        <f>$G$13/$G$12</f>
        <v>120</v>
      </c>
      <c r="H19" t="s">
        <v>23</v>
      </c>
      <c r="J19" s="15" t="s">
        <v>96</v>
      </c>
      <c r="K19">
        <f xml:space="preserve"> $C$33 * (11.5 * ($C$17*2.20462/1000)^0.4 * 0.453592)</f>
        <v>5.6862630002723114</v>
      </c>
      <c r="L19" t="s">
        <v>12</v>
      </c>
      <c r="N19" t="s">
        <v>50</v>
      </c>
      <c r="O19">
        <f xml:space="preserve"> $G$11 * COS(O16) / (O18 * $C$19)</f>
        <v>2.7742534554270875E-2</v>
      </c>
      <c r="R19" t="s">
        <v>50</v>
      </c>
      <c r="S19">
        <f xml:space="preserve"> $C$20 * COS(S16) / (S18 * $C$19)</f>
        <v>2.7742534554270875E-2</v>
      </c>
      <c r="V19" t="s">
        <v>50</v>
      </c>
      <c r="W19">
        <f xml:space="preserve"> $G$27 * COS(W16) / (W18 * $C$19)</f>
        <v>2.7742534554270875E-2</v>
      </c>
      <c r="AB19" s="8">
        <v>15</v>
      </c>
      <c r="AC19" s="8">
        <f t="shared" si="4"/>
        <v>0.35870361328125</v>
      </c>
      <c r="AD19" s="8">
        <f xml:space="preserve"> $S$19 * TAN($S$16) + $S$20 / (2 * SQRT($S$19^2 + AC19^2)) - AC19</f>
        <v>2.2760345891215117E-5</v>
      </c>
      <c r="AE19" s="8">
        <f t="shared" si="5"/>
        <v>0.358734130859375</v>
      </c>
      <c r="AF19" s="8">
        <f xml:space="preserve"> $S$19 * TAN($S$16) + $S$20 / (2 * SQRT($S$19^2 + AE19^2)) - AE19</f>
        <v>-1.1277458701774989E-5</v>
      </c>
      <c r="AG19" s="8">
        <f t="shared" si="0"/>
        <v>0.3587188720703125</v>
      </c>
      <c r="AH19" s="8">
        <f xml:space="preserve"> $S$19 * TAN($S$16) + $S$20 / (2 * SQRT($S$19^2 + AG19^2)) - AG19</f>
        <v>5.7413693926866571E-6</v>
      </c>
      <c r="AI19" s="8">
        <f t="shared" si="1"/>
        <v>1.3067555326678399E-10</v>
      </c>
      <c r="AJ19" s="8">
        <f t="shared" si="2"/>
        <v>-6.4748056217658734E-11</v>
      </c>
      <c r="AK19" s="8">
        <f t="shared" si="3"/>
        <v>3.0517578125E-5</v>
      </c>
      <c r="AM19" s="8">
        <v>15</v>
      </c>
      <c r="AN19" s="8">
        <f t="shared" si="10"/>
        <v>983.0322265625</v>
      </c>
      <c r="AO19" s="8">
        <v>-3.3360837156237722E-2</v>
      </c>
      <c r="AP19" s="8">
        <f t="shared" si="11"/>
        <v>983.154296875</v>
      </c>
      <c r="AQ19" s="8">
        <v>2.1447236065114339E-2</v>
      </c>
      <c r="AR19" s="8">
        <f t="shared" si="6"/>
        <v>983.09326171875</v>
      </c>
      <c r="AS19" s="8">
        <v>-5.956235222356554E-3</v>
      </c>
      <c r="AT19" s="8">
        <f t="shared" si="7"/>
        <v>1.9870499331728437E-4</v>
      </c>
      <c r="AU19" s="8">
        <f t="shared" si="8"/>
        <v>-1.2774478287322981E-4</v>
      </c>
      <c r="AV19" s="8">
        <f t="shared" si="9"/>
        <v>0.1220703125</v>
      </c>
    </row>
    <row r="20" spans="2:48" x14ac:dyDescent="0.2">
      <c r="B20" t="s">
        <v>15</v>
      </c>
      <c r="C20" s="1">
        <v>30</v>
      </c>
      <c r="D20" t="s">
        <v>16</v>
      </c>
      <c r="J20" s="15" t="s">
        <v>97</v>
      </c>
      <c r="K20">
        <f xml:space="preserve"> $C$33 * (8 * ($C$17/1000))</f>
        <v>6.2918817776837388</v>
      </c>
      <c r="L20" t="s">
        <v>12</v>
      </c>
      <c r="N20" t="s">
        <v>51</v>
      </c>
      <c r="O20">
        <f xml:space="preserve"> O17 / ( $C$30 * PI() * $C$19^2 * O18^2 * $C$19^2)</f>
        <v>5.3645710090785392E-2</v>
      </c>
      <c r="R20" t="s">
        <v>51</v>
      </c>
      <c r="S20">
        <f xml:space="preserve"> S17 / ( $C$30 * PI() * $C$19^2 * S18^2 * $C$19^2)</f>
        <v>2.9953235516869927E-2</v>
      </c>
      <c r="V20" t="s">
        <v>51</v>
      </c>
      <c r="W20">
        <f xml:space="preserve"> W17 / ( $C$30 * PI() * $C$19^2 * W18^2 * $C$19^2)</f>
        <v>1.5559247688328032E-2</v>
      </c>
      <c r="AB20" s="8">
        <v>16</v>
      </c>
      <c r="AC20" s="8">
        <f t="shared" si="4"/>
        <v>0.3587188720703125</v>
      </c>
      <c r="AD20" s="8">
        <f xml:space="preserve"> $S$19 * TAN($S$16) + $S$20 / (2 * SQRT($S$19^2 + AC20^2)) - AC20</f>
        <v>5.7413693926866571E-6</v>
      </c>
      <c r="AE20" s="8">
        <f t="shared" si="5"/>
        <v>0.358734130859375</v>
      </c>
      <c r="AF20" s="8">
        <f xml:space="preserve"> $S$19 * TAN($S$16) + $S$20 / (2 * SQRT($S$19^2 + AE20^2)) - AE20</f>
        <v>-1.1277458701774989E-5</v>
      </c>
      <c r="AG20" s="8">
        <f t="shared" si="0"/>
        <v>0.35872650146484375</v>
      </c>
      <c r="AH20" s="8">
        <f xml:space="preserve"> $S$19 * TAN($S$16) + $S$20 / (2 * SQRT($S$19^2 + AG20^2)) - AG20</f>
        <v>-2.7680632038729058E-6</v>
      </c>
      <c r="AI20" s="8">
        <f t="shared" si="1"/>
        <v>-1.5892473355738069E-11</v>
      </c>
      <c r="AJ20" s="8">
        <f t="shared" si="2"/>
        <v>3.1216718465579657E-11</v>
      </c>
      <c r="AK20" s="8">
        <f t="shared" si="3"/>
        <v>1.52587890625E-5</v>
      </c>
      <c r="AM20" s="8">
        <v>16</v>
      </c>
      <c r="AN20" s="8">
        <f t="shared" si="10"/>
        <v>983.09326171875</v>
      </c>
      <c r="AO20" s="8">
        <v>-5.956235222356554E-3</v>
      </c>
      <c r="AP20" s="8">
        <f t="shared" si="11"/>
        <v>983.154296875</v>
      </c>
      <c r="AQ20" s="8">
        <v>2.1447236065114339E-2</v>
      </c>
      <c r="AR20" s="8">
        <f t="shared" si="6"/>
        <v>983.123779296875</v>
      </c>
      <c r="AS20" s="8">
        <v>7.7456128252606504E-3</v>
      </c>
      <c r="AT20" s="8">
        <f t="shared" si="7"/>
        <v>-4.6134691928554149E-5</v>
      </c>
      <c r="AU20" s="8">
        <f t="shared" si="8"/>
        <v>1.661219867323424E-4</v>
      </c>
      <c r="AV20" s="8">
        <f t="shared" si="9"/>
        <v>6.103515625E-2</v>
      </c>
    </row>
    <row r="21" spans="2:48" x14ac:dyDescent="0.2">
      <c r="B21" t="s">
        <v>17</v>
      </c>
      <c r="C21" s="1">
        <v>8</v>
      </c>
      <c r="D21" t="s">
        <v>18</v>
      </c>
      <c r="F21" s="44" t="s">
        <v>125</v>
      </c>
      <c r="G21" s="46"/>
      <c r="H21" s="46"/>
      <c r="J21" s="15" t="s">
        <v>98</v>
      </c>
      <c r="K21">
        <f xml:space="preserve"> $C$33 * (13 * ($C$17*2.20462/1000)^1.3 * 0.453592)</f>
        <v>12.894762429061593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4"/>
        <v>0.3587188720703125</v>
      </c>
      <c r="AD21" s="8">
        <f xml:space="preserve"> $S$19 * TAN($S$16) + $S$20 / (2 * SQRT($S$19^2 + AC21^2)) - AC21</f>
        <v>5.7413693926866571E-6</v>
      </c>
      <c r="AE21" s="8">
        <f t="shared" si="5"/>
        <v>0.35872650146484375</v>
      </c>
      <c r="AF21" s="8">
        <f xml:space="preserve"> $S$19 * TAN($S$16) + $S$20 / (2 * SQRT($S$19^2 + AE21^2)) - AE21</f>
        <v>-2.7680632038729058E-6</v>
      </c>
      <c r="AG21" s="8">
        <f t="shared" si="0"/>
        <v>0.35872268676757812</v>
      </c>
      <c r="AH21" s="8">
        <f xml:space="preserve"> $S$19 * TAN($S$16) + $S$20 / (2 * SQRT($S$19^2 + AG21^2)) - AG21</f>
        <v>1.4866484568942795E-6</v>
      </c>
      <c r="AI21" s="8">
        <f t="shared" si="1"/>
        <v>8.5353979480976653E-12</v>
      </c>
      <c r="AJ21" s="8">
        <f t="shared" si="2"/>
        <v>-4.1151368906234909E-12</v>
      </c>
      <c r="AK21" s="8">
        <f t="shared" si="3"/>
        <v>7.62939453125E-6</v>
      </c>
      <c r="AM21" s="8">
        <v>17</v>
      </c>
      <c r="AN21" s="8">
        <f t="shared" si="10"/>
        <v>983.09326171875</v>
      </c>
      <c r="AO21" s="8">
        <v>-5.956235222356554E-3</v>
      </c>
      <c r="AP21" s="8">
        <f t="shared" si="11"/>
        <v>983.123779296875</v>
      </c>
      <c r="AQ21" s="8">
        <v>7.7456128252606504E-3</v>
      </c>
      <c r="AR21" s="8">
        <f t="shared" si="6"/>
        <v>983.1085205078125</v>
      </c>
      <c r="AS21" s="8">
        <v>8.945916506490903E-4</v>
      </c>
      <c r="AT21" s="8">
        <f t="shared" si="7"/>
        <v>-5.3283982992222008E-6</v>
      </c>
      <c r="AU21" s="8">
        <f t="shared" si="8"/>
        <v>6.9291605626386895E-6</v>
      </c>
      <c r="AV21" s="8">
        <f t="shared" si="9"/>
        <v>3.0517578125E-2</v>
      </c>
    </row>
    <row r="22" spans="2:48" x14ac:dyDescent="0.2">
      <c r="B22" t="s">
        <v>5</v>
      </c>
      <c r="C22" s="1">
        <v>10</v>
      </c>
      <c r="F22" s="4" t="s">
        <v>121</v>
      </c>
      <c r="G22">
        <f xml:space="preserve"> S22 + S17 * (S27 * S24 + $C$20 * SIN(S16))</f>
        <v>36375.856769129314</v>
      </c>
      <c r="H22" t="s">
        <v>30</v>
      </c>
      <c r="J22" s="3" t="s">
        <v>85</v>
      </c>
      <c r="K22" s="3">
        <f>$C$17 - $C$26 - SUM(K9:K21)</f>
        <v>6.6461325332056731E-10</v>
      </c>
      <c r="L22" s="3" t="s">
        <v>12</v>
      </c>
      <c r="N22" t="s">
        <v>52</v>
      </c>
      <c r="O22">
        <f xml:space="preserve"> ($C$8 * $O$21 / 8) * (1 + 4.65 * O19^2) * ( PI() * $C$30 * O18^3 * $C$19^ 5)</f>
        <v>630.50053776545394</v>
      </c>
      <c r="P22" t="s">
        <v>30</v>
      </c>
      <c r="R22" t="s">
        <v>52</v>
      </c>
      <c r="S22">
        <f xml:space="preserve"> ($C$8 * $S$21 / 8) * (1 + 4.65 * S19^2) * ( PI() * $C$30 * S18^3 * $C$19^5)</f>
        <v>630.50053776545394</v>
      </c>
      <c r="T22" t="s">
        <v>30</v>
      </c>
      <c r="V22" t="s">
        <v>52</v>
      </c>
      <c r="W22">
        <f xml:space="preserve"> ($C$8 * $W$21 / 8) * (1 + 4.65 * W19^2) * ( PI() * $C$30 * W18^3 * $C$19^ 5)</f>
        <v>630.50053776545394</v>
      </c>
      <c r="X22" t="s">
        <v>30</v>
      </c>
      <c r="AB22" s="8">
        <v>18</v>
      </c>
      <c r="AC22" s="8">
        <f t="shared" si="4"/>
        <v>0.35872268676757812</v>
      </c>
      <c r="AD22" s="8">
        <f xml:space="preserve"> $S$19 * TAN($S$16) + $S$20 / (2 * SQRT($S$19^2 + AC22^2)) - AC22</f>
        <v>1.4866484568942795E-6</v>
      </c>
      <c r="AE22" s="8">
        <f t="shared" si="5"/>
        <v>0.35872650146484375</v>
      </c>
      <c r="AF22" s="8">
        <f xml:space="preserve"> $S$19 * TAN($S$16) + $S$20 / (2 * SQRT($S$19^2 + AE22^2)) - AE22</f>
        <v>-2.7680632038729058E-6</v>
      </c>
      <c r="AG22" s="8">
        <f t="shared" si="0"/>
        <v>0.35872459411621094</v>
      </c>
      <c r="AH22" s="8">
        <f xml:space="preserve"> $S$19 * TAN($S$16) + $S$20 / (2 * SQRT($S$19^2 + AG22^2)) - AG22</f>
        <v>-6.4070853283970663E-7</v>
      </c>
      <c r="AI22" s="8">
        <f t="shared" si="1"/>
        <v>-9.525083516651477E-13</v>
      </c>
      <c r="AJ22" s="8">
        <f t="shared" si="2"/>
        <v>1.7735217141609872E-12</v>
      </c>
      <c r="AK22" s="8">
        <f t="shared" si="3"/>
        <v>3.814697265625E-6</v>
      </c>
      <c r="AM22" s="8">
        <v>18</v>
      </c>
      <c r="AN22" s="8">
        <f t="shared" si="10"/>
        <v>983.09326171875</v>
      </c>
      <c r="AO22" s="8">
        <v>-5.956235222356554E-3</v>
      </c>
      <c r="AP22" s="8">
        <f t="shared" si="11"/>
        <v>983.1085205078125</v>
      </c>
      <c r="AQ22" s="8">
        <v>8.945916506490903E-4</v>
      </c>
      <c r="AR22" s="8">
        <f t="shared" si="6"/>
        <v>983.10089111328125</v>
      </c>
      <c r="AS22" s="8">
        <v>-2.5307502211262545E-3</v>
      </c>
      <c r="AT22" s="8">
        <f t="shared" si="7"/>
        <v>1.5073743606058835E-5</v>
      </c>
      <c r="AU22" s="8">
        <f t="shared" si="8"/>
        <v>-2.2639880176978864E-6</v>
      </c>
      <c r="AV22" s="8">
        <f t="shared" si="9"/>
        <v>1.52587890625E-2</v>
      </c>
    </row>
    <row r="23" spans="2:48" x14ac:dyDescent="0.2">
      <c r="B23" t="s">
        <v>19</v>
      </c>
      <c r="C23" s="1">
        <v>1</v>
      </c>
      <c r="F23" s="4" t="s">
        <v>120</v>
      </c>
      <c r="G23">
        <f xml:space="preserve"> $C$6 * G22</f>
        <v>36375.856769129314</v>
      </c>
      <c r="H23" t="s">
        <v>30</v>
      </c>
      <c r="J23" t="s">
        <v>86</v>
      </c>
      <c r="K23" s="10" t="str">
        <f>IF(ABS(K22)&lt;0.00001, "TRUE", "FALSE")</f>
        <v>TRUE</v>
      </c>
      <c r="N23" t="s">
        <v>53</v>
      </c>
      <c r="O23" s="5">
        <f>AG69</f>
        <v>0.38634714158251882</v>
      </c>
      <c r="R23" t="s">
        <v>53</v>
      </c>
      <c r="S23" s="5">
        <f>AG34</f>
        <v>0.35872401995584369</v>
      </c>
      <c r="V23" t="s">
        <v>53</v>
      </c>
      <c r="W23" s="5">
        <f>AG104</f>
        <v>0.33991006994619966</v>
      </c>
      <c r="AB23" s="8">
        <v>19</v>
      </c>
      <c r="AC23" s="8">
        <f t="shared" si="4"/>
        <v>0.35872268676757812</v>
      </c>
      <c r="AD23" s="8">
        <f xml:space="preserve"> $S$19 * TAN($S$16) + $S$20 / (2 * SQRT($S$19^2 + AC23^2)) - AC23</f>
        <v>1.4866484568942795E-6</v>
      </c>
      <c r="AE23" s="8">
        <f t="shared" si="5"/>
        <v>0.35872459411621094</v>
      </c>
      <c r="AF23" s="8">
        <f xml:space="preserve"> $S$19 * TAN($S$16) + $S$20 / (2 * SQRT($S$19^2 + AE23^2)) - AE23</f>
        <v>-6.4070853283970663E-7</v>
      </c>
      <c r="AG23" s="8">
        <f t="shared" si="0"/>
        <v>0.35872364044189453</v>
      </c>
      <c r="AH23" s="8">
        <f xml:space="preserve"> $S$19 * TAN($S$16) + $S$20 / (2 * SQRT($S$19^2 + AG23^2)) - AG23</f>
        <v>4.2296967217581027E-7</v>
      </c>
      <c r="AI23" s="8">
        <f t="shared" si="1"/>
        <v>6.2880721045324763E-13</v>
      </c>
      <c r="AJ23" s="8">
        <f t="shared" si="2"/>
        <v>-2.7100027809545507E-13</v>
      </c>
      <c r="AK23" s="8">
        <f t="shared" si="3"/>
        <v>1.9073486328125E-6</v>
      </c>
      <c r="AM23" s="8">
        <v>19</v>
      </c>
      <c r="AN23" s="8">
        <f t="shared" si="10"/>
        <v>983.10089111328125</v>
      </c>
      <c r="AO23" s="8">
        <v>-2.5307502211262545E-3</v>
      </c>
      <c r="AP23" s="8">
        <f t="shared" si="11"/>
        <v>983.1085205078125</v>
      </c>
      <c r="AQ23" s="8">
        <v>8.945916506490903E-4</v>
      </c>
      <c r="AR23" s="8">
        <f t="shared" si="6"/>
        <v>983.10470581054688</v>
      </c>
      <c r="AS23" s="8">
        <v>-8.1795001653972577E-4</v>
      </c>
      <c r="AT23" s="8">
        <f t="shared" si="7"/>
        <v>2.0700271852281347E-6</v>
      </c>
      <c r="AU23" s="8">
        <f t="shared" si="8"/>
        <v>-7.3173125544472396E-7</v>
      </c>
      <c r="AV23" s="8">
        <f t="shared" si="9"/>
        <v>7.62939453125E-3</v>
      </c>
    </row>
    <row r="24" spans="2:48" x14ac:dyDescent="0.2">
      <c r="F24" s="4" t="s">
        <v>128</v>
      </c>
      <c r="G24">
        <f xml:space="preserve"> ($C$27-G15-G31)/$C$20</f>
        <v>680.68911094850387</v>
      </c>
      <c r="H24" t="s">
        <v>23</v>
      </c>
      <c r="N24" t="s">
        <v>54</v>
      </c>
      <c r="O24">
        <f xml:space="preserve"> O18 * $C$19 * O23 - $G$11 * SIN(O16)</f>
        <v>6.526519309179335</v>
      </c>
      <c r="P24" t="s">
        <v>16</v>
      </c>
      <c r="R24" t="s">
        <v>54</v>
      </c>
      <c r="S24">
        <f xml:space="preserve"> S18 * $C$19 * S23 - $C$20 * SIN(S16)</f>
        <v>3.9231014300319345</v>
      </c>
      <c r="T24" t="s">
        <v>16</v>
      </c>
      <c r="V24" t="s">
        <v>54</v>
      </c>
      <c r="W24">
        <f xml:space="preserve"> W18 * $C$19 * W23 - $G$27 * SIN(W16)</f>
        <v>2.1499284159728376</v>
      </c>
      <c r="X24" t="s">
        <v>16</v>
      </c>
      <c r="AB24" s="8">
        <v>20</v>
      </c>
      <c r="AC24" s="8">
        <f t="shared" si="4"/>
        <v>0.35872364044189453</v>
      </c>
      <c r="AD24" s="8">
        <f xml:space="preserve"> $S$19 * TAN($S$16) + $S$20 / (2 * SQRT($S$19^2 + AC24^2)) - AC24</f>
        <v>4.2296967217581027E-7</v>
      </c>
      <c r="AE24" s="8">
        <f t="shared" si="5"/>
        <v>0.35872459411621094</v>
      </c>
      <c r="AF24" s="8">
        <f xml:space="preserve"> $S$19 * TAN($S$16) + $S$20 / (2 * SQRT($S$19^2 + AE24^2)) - AE24</f>
        <v>-6.4070853283970663E-7</v>
      </c>
      <c r="AG24" s="8">
        <f t="shared" si="0"/>
        <v>0.35872411727905273</v>
      </c>
      <c r="AH24" s="8">
        <f xml:space="preserve"> $S$19 * TAN($S$16) + $S$20 / (2 * SQRT($S$19^2 + AG24^2)) - AG24</f>
        <v>-1.0886950280175611E-7</v>
      </c>
      <c r="AI24" s="8">
        <f t="shared" si="1"/>
        <v>-4.6048497910002244E-14</v>
      </c>
      <c r="AJ24" s="8">
        <f t="shared" si="2"/>
        <v>6.9753619411101486E-14</v>
      </c>
      <c r="AK24" s="8">
        <f t="shared" si="3"/>
        <v>9.5367431640625E-7</v>
      </c>
      <c r="AM24" s="8">
        <v>20</v>
      </c>
      <c r="AN24" s="8">
        <f t="shared" si="10"/>
        <v>983.10470581054688</v>
      </c>
      <c r="AO24" s="8">
        <v>-8.1795001653972577E-4</v>
      </c>
      <c r="AP24" s="8">
        <f t="shared" si="11"/>
        <v>983.1085205078125</v>
      </c>
      <c r="AQ24" s="8">
        <v>8.945916506490903E-4</v>
      </c>
      <c r="AR24" s="8">
        <f t="shared" si="6"/>
        <v>983.10661315917969</v>
      </c>
      <c r="AS24" s="8">
        <v>3.8384662047974416E-5</v>
      </c>
      <c r="AT24" s="8">
        <f t="shared" si="7"/>
        <v>-3.1396734957012461E-8</v>
      </c>
      <c r="AU24" s="8">
        <f t="shared" si="8"/>
        <v>3.4338598181104927E-8</v>
      </c>
      <c r="AV24" s="8">
        <f t="shared" si="9"/>
        <v>3.814697265625E-3</v>
      </c>
    </row>
    <row r="25" spans="2:48" x14ac:dyDescent="0.2">
      <c r="B25" s="43" t="s">
        <v>20</v>
      </c>
      <c r="C25" s="43"/>
      <c r="D25" s="43"/>
      <c r="F25" s="4"/>
      <c r="J25" s="2" t="s">
        <v>87</v>
      </c>
      <c r="K25" s="2"/>
      <c r="L25" s="2"/>
      <c r="N25" t="s">
        <v>55</v>
      </c>
      <c r="O25">
        <f xml:space="preserve"> 1/$C$9 - O22 * SQRT( (2*$C$30*PI()*$C$19^2) / O17^3 )</f>
        <v>1.3110593126757131</v>
      </c>
      <c r="R25" t="s">
        <v>55</v>
      </c>
      <c r="S25">
        <f xml:space="preserve"> 1/$C$9 - S22 * SQRT( (2*$C$30*PI()*$C$19^2) / S17^3 )</f>
        <v>1.2799463349865809</v>
      </c>
      <c r="V25" t="s">
        <v>55</v>
      </c>
      <c r="W25">
        <f xml:space="preserve"> 1/$C$9 - W22 * SQRT( (2*$C$30*PI()*$C$19^2) / W17^3 )</f>
        <v>1.1907337607127801</v>
      </c>
      <c r="AB25" s="8">
        <v>21</v>
      </c>
      <c r="AC25" s="8">
        <f t="shared" si="4"/>
        <v>0.35872364044189453</v>
      </c>
      <c r="AD25" s="8">
        <f xml:space="preserve"> $S$19 * TAN($S$16) + $S$20 / (2 * SQRT($S$19^2 + AC25^2)) - AC25</f>
        <v>4.2296967217581027E-7</v>
      </c>
      <c r="AE25" s="8">
        <f t="shared" si="5"/>
        <v>0.35872411727905273</v>
      </c>
      <c r="AF25" s="8">
        <f xml:space="preserve"> $S$19 * TAN($S$16) + $S$20 / (2 * SQRT($S$19^2 + AE25^2)) - AE25</f>
        <v>-1.0886950280175611E-7</v>
      </c>
      <c r="AG25" s="8">
        <f t="shared" si="0"/>
        <v>0.35872387886047363</v>
      </c>
      <c r="AH25" s="8">
        <f xml:space="preserve"> $S$19 * TAN($S$16) + $S$20 / (2 * SQRT($S$19^2 + AG25^2)) - AG25</f>
        <v>1.5705006661814735E-7</v>
      </c>
      <c r="AI25" s="8">
        <f t="shared" si="1"/>
        <v>6.642741519266695E-14</v>
      </c>
      <c r="AJ25" s="8">
        <f t="shared" si="2"/>
        <v>-1.7097962667700379E-14</v>
      </c>
      <c r="AK25" s="8">
        <f t="shared" si="3"/>
        <v>4.76837158203125E-7</v>
      </c>
      <c r="AM25" s="8">
        <v>21</v>
      </c>
      <c r="AN25" s="8">
        <f t="shared" si="10"/>
        <v>983.10470581054688</v>
      </c>
      <c r="AO25" s="8">
        <v>-8.1795001653972577E-4</v>
      </c>
      <c r="AP25" s="8">
        <f t="shared" si="11"/>
        <v>983.10661315917969</v>
      </c>
      <c r="AQ25" s="8">
        <v>3.8384662047974416E-5</v>
      </c>
      <c r="AR25" s="8">
        <f t="shared" si="6"/>
        <v>983.10565948486328</v>
      </c>
      <c r="AS25" s="8">
        <v>-3.8977341012014222E-4</v>
      </c>
      <c r="AT25" s="8">
        <f t="shared" si="7"/>
        <v>3.1881516725451565E-7</v>
      </c>
      <c r="AU25" s="8">
        <f t="shared" si="8"/>
        <v>-1.4961320622748189E-8</v>
      </c>
      <c r="AV25" s="8">
        <f t="shared" si="9"/>
        <v>1.9073486328125E-3</v>
      </c>
    </row>
    <row r="26" spans="2:48" x14ac:dyDescent="0.2">
      <c r="B26" t="s">
        <v>99</v>
      </c>
      <c r="C26" s="1">
        <v>400</v>
      </c>
      <c r="D26" t="s">
        <v>12</v>
      </c>
      <c r="F26" s="44" t="s">
        <v>138</v>
      </c>
      <c r="G26" s="46"/>
      <c r="H26" s="46"/>
      <c r="J26" t="s">
        <v>88</v>
      </c>
      <c r="K26">
        <f>ROUND($C$26/$C$17 * 100, 2)</f>
        <v>40.69</v>
      </c>
      <c r="L26" t="s">
        <v>89</v>
      </c>
      <c r="N26" t="s">
        <v>56</v>
      </c>
      <c r="O26" s="1">
        <v>1.1499999999999999</v>
      </c>
      <c r="R26" t="s">
        <v>56</v>
      </c>
      <c r="S26" s="1">
        <v>1.1499999999999999</v>
      </c>
      <c r="V26" t="s">
        <v>56</v>
      </c>
      <c r="W26" s="1">
        <v>1.1499999999999999</v>
      </c>
      <c r="AB26" s="8">
        <v>22</v>
      </c>
      <c r="AC26" s="8">
        <f t="shared" si="4"/>
        <v>0.35872387886047363</v>
      </c>
      <c r="AD26" s="8">
        <f xml:space="preserve"> $S$19 * TAN($S$16) + $S$20 / (2 * SQRT($S$19^2 + AC26^2)) - AC26</f>
        <v>1.5705006661814735E-7</v>
      </c>
      <c r="AE26" s="8">
        <f t="shared" si="5"/>
        <v>0.35872411727905273</v>
      </c>
      <c r="AF26" s="8">
        <f xml:space="preserve"> $S$19 * TAN($S$16) + $S$20 / (2 * SQRT($S$19^2 + AE26^2)) - AE26</f>
        <v>-1.0886950280175611E-7</v>
      </c>
      <c r="AG26" s="8">
        <f t="shared" si="0"/>
        <v>0.35872399806976318</v>
      </c>
      <c r="AH26" s="8">
        <f xml:space="preserve"> $S$19 * TAN($S$16) + $S$20 / (2 * SQRT($S$19^2 + AG26^2)) - AG26</f>
        <v>2.4090277384036796E-8</v>
      </c>
      <c r="AI26" s="8">
        <f t="shared" si="1"/>
        <v>3.7833796680126271E-15</v>
      </c>
      <c r="AJ26" s="8">
        <f t="shared" si="2"/>
        <v>-2.622696521156476E-15</v>
      </c>
      <c r="AK26" s="8">
        <f t="shared" si="3"/>
        <v>2.384185791015625E-7</v>
      </c>
      <c r="AM26" s="8">
        <v>22</v>
      </c>
      <c r="AN26" s="8">
        <f t="shared" si="10"/>
        <v>983.10565948486328</v>
      </c>
      <c r="AO26" s="8">
        <v>-3.8977341012014222E-4</v>
      </c>
      <c r="AP26" s="8">
        <f t="shared" si="11"/>
        <v>983.10661315917969</v>
      </c>
      <c r="AQ26" s="8">
        <v>3.8384662047974416E-5</v>
      </c>
      <c r="AR26" s="8">
        <f t="shared" si="6"/>
        <v>983.10613632202148</v>
      </c>
      <c r="AS26" s="8">
        <v>-1.7583087299044564E-4</v>
      </c>
      <c r="AT26" s="8">
        <f t="shared" si="7"/>
        <v>6.8534198969887612E-8</v>
      </c>
      <c r="AU26" s="8">
        <f t="shared" si="8"/>
        <v>-6.749208637338569E-9</v>
      </c>
      <c r="AV26" s="8">
        <f t="shared" si="9"/>
        <v>9.5367431640625E-4</v>
      </c>
    </row>
    <row r="27" spans="2:48" x14ac:dyDescent="0.2">
      <c r="B27" t="s">
        <v>21</v>
      </c>
      <c r="C27" s="1">
        <v>30000</v>
      </c>
      <c r="D27" t="s">
        <v>14</v>
      </c>
      <c r="F27" s="48" t="s">
        <v>167</v>
      </c>
      <c r="G27" s="1">
        <f>$C$20</f>
        <v>30</v>
      </c>
      <c r="H27" s="47" t="s">
        <v>16</v>
      </c>
      <c r="J27" s="16" t="s">
        <v>81</v>
      </c>
      <c r="K27">
        <f>ROUND(K9/$C$17 * 100, 2)</f>
        <v>11.24</v>
      </c>
      <c r="L27" t="s">
        <v>89</v>
      </c>
      <c r="N27" t="s">
        <v>57</v>
      </c>
      <c r="O27">
        <f xml:space="preserve"> 1/$C$36 * LN( EXP($C$36 * O25) + EXP($C$36 * O26) )</f>
        <v>1.3113240030682365</v>
      </c>
      <c r="R27" t="s">
        <v>57</v>
      </c>
      <c r="S27">
        <f xml:space="preserve"> 1/$C$36 * LN( EXP($C$36 * S25) + EXP($C$36 * S26) )</f>
        <v>1.2806153927993775</v>
      </c>
      <c r="V27" t="s">
        <v>57</v>
      </c>
      <c r="W27">
        <f xml:space="preserve"> 1/$C$36 * LN( EXP($C$36 * W25) + EXP($C$36 * W26) )</f>
        <v>1.1993414265605467</v>
      </c>
      <c r="AB27" s="8">
        <v>23</v>
      </c>
      <c r="AC27" s="8">
        <f t="shared" si="4"/>
        <v>0.35872399806976318</v>
      </c>
      <c r="AD27" s="8">
        <f xml:space="preserve"> $S$19 * TAN($S$16) + $S$20 / (2 * SQRT($S$19^2 + AC27^2)) - AC27</f>
        <v>2.4090277384036796E-8</v>
      </c>
      <c r="AE27" s="8">
        <f t="shared" si="5"/>
        <v>0.35872411727905273</v>
      </c>
      <c r="AF27" s="8">
        <f xml:space="preserve"> $S$19 * TAN($S$16) + $S$20 / (2 * SQRT($S$19^2 + AE27^2)) - AE27</f>
        <v>-1.0886950280175611E-7</v>
      </c>
      <c r="AG27" s="8">
        <f t="shared" si="0"/>
        <v>0.35872405767440796</v>
      </c>
      <c r="AH27" s="8">
        <f xml:space="preserve"> $S$19 * TAN($S$16) + $S$20 / (2 * SQRT($S$19^2 + AG27^2)) - AG27</f>
        <v>-4.2389613819082683E-8</v>
      </c>
      <c r="AI27" s="8">
        <f t="shared" si="1"/>
        <v>-1.0211775551039013E-15</v>
      </c>
      <c r="AJ27" s="8">
        <f t="shared" si="2"/>
        <v>4.6149361804419821E-15</v>
      </c>
      <c r="AK27" s="8">
        <f t="shared" si="3"/>
        <v>1.1920928955078125E-7</v>
      </c>
      <c r="AM27" s="8">
        <v>23</v>
      </c>
      <c r="AN27" s="8">
        <f t="shared" si="10"/>
        <v>983.10613632202148</v>
      </c>
      <c r="AO27" s="8">
        <v>-1.7583087299044564E-4</v>
      </c>
      <c r="AP27" s="8">
        <f t="shared" si="11"/>
        <v>983.10661315917969</v>
      </c>
      <c r="AQ27" s="8">
        <v>3.8384662047974416E-5</v>
      </c>
      <c r="AR27" s="8">
        <f t="shared" si="6"/>
        <v>983.10637474060059</v>
      </c>
      <c r="AS27" s="8">
        <v>-6.8649941908915935E-5</v>
      </c>
      <c r="AT27" s="8">
        <f t="shared" si="7"/>
        <v>1.2070779216588068E-8</v>
      </c>
      <c r="AU27" s="8">
        <f t="shared" si="8"/>
        <v>-2.6351048197868137E-9</v>
      </c>
      <c r="AV27" s="8">
        <f t="shared" si="9"/>
        <v>4.76837158203125E-4</v>
      </c>
    </row>
    <row r="28" spans="2:48" x14ac:dyDescent="0.2">
      <c r="F28" t="s">
        <v>133</v>
      </c>
      <c r="G28" s="1">
        <v>1.524</v>
      </c>
      <c r="H28" t="s">
        <v>16</v>
      </c>
      <c r="J28" s="18" t="s">
        <v>115</v>
      </c>
      <c r="K28">
        <f>ROUND(SUM(K10:K12)/$C$17 * 100, 2)</f>
        <v>15.46</v>
      </c>
      <c r="L28" t="s">
        <v>89</v>
      </c>
      <c r="AB28" s="8">
        <v>24</v>
      </c>
      <c r="AC28" s="8">
        <f t="shared" si="4"/>
        <v>0.35872399806976318</v>
      </c>
      <c r="AD28" s="8">
        <f xml:space="preserve"> $S$19 * TAN($S$16) + $S$20 / (2 * SQRT($S$19^2 + AC28^2)) - AC28</f>
        <v>2.4090277384036796E-8</v>
      </c>
      <c r="AE28" s="8">
        <f t="shared" si="5"/>
        <v>0.35872405767440796</v>
      </c>
      <c r="AF28" s="8">
        <f xml:space="preserve"> $S$19 * TAN($S$16) + $S$20 / (2 * SQRT($S$19^2 + AE28^2)) - AE28</f>
        <v>-4.2389613819082683E-8</v>
      </c>
      <c r="AG28" s="8">
        <f t="shared" si="0"/>
        <v>0.35872402787208557</v>
      </c>
      <c r="AH28" s="8">
        <f xml:space="preserve"> $S$19 * TAN($S$16) + $S$20 / (2 * SQRT($S$19^2 + AG28^2)) - AG28</f>
        <v>-9.1496685228342756E-9</v>
      </c>
      <c r="AI28" s="8">
        <f t="shared" si="1"/>
        <v>-2.2041805268706791E-16</v>
      </c>
      <c r="AJ28" s="8">
        <f t="shared" si="2"/>
        <v>3.8785091525556166E-16</v>
      </c>
      <c r="AK28" s="8">
        <f t="shared" si="3"/>
        <v>5.9604644775390625E-8</v>
      </c>
      <c r="AM28" s="8">
        <v>24</v>
      </c>
      <c r="AN28" s="8">
        <f t="shared" si="10"/>
        <v>983.10637474060059</v>
      </c>
      <c r="AO28" s="8">
        <v>-6.8649941908915935E-5</v>
      </c>
      <c r="AP28" s="8">
        <f t="shared" si="11"/>
        <v>983.10661315917969</v>
      </c>
      <c r="AQ28" s="8">
        <v>3.8384662047974416E-5</v>
      </c>
      <c r="AR28" s="8">
        <f t="shared" si="6"/>
        <v>983.10649394989014</v>
      </c>
      <c r="AS28" s="8">
        <v>-1.5141787343964097E-5</v>
      </c>
      <c r="AT28" s="8">
        <f t="shared" si="7"/>
        <v>1.0394828215602938E-9</v>
      </c>
      <c r="AU28" s="8">
        <f t="shared" si="8"/>
        <v>-5.8121239000035796E-10</v>
      </c>
      <c r="AV28" s="8">
        <f t="shared" si="9"/>
        <v>2.384185791015625E-4</v>
      </c>
    </row>
    <row r="29" spans="2:48" x14ac:dyDescent="0.2">
      <c r="B29" s="19" t="s">
        <v>104</v>
      </c>
      <c r="C29" s="19"/>
      <c r="D29" s="19"/>
      <c r="F29" t="s">
        <v>132</v>
      </c>
      <c r="G29" s="1">
        <v>304.8</v>
      </c>
      <c r="H29" t="s">
        <v>14</v>
      </c>
      <c r="J29" s="17" t="s">
        <v>102</v>
      </c>
      <c r="K29">
        <f>ROUND(SUM(K13:K17)/$C$17 * 100, 2)</f>
        <v>27.94</v>
      </c>
      <c r="L29" t="s">
        <v>89</v>
      </c>
      <c r="AB29" s="8">
        <v>25</v>
      </c>
      <c r="AC29" s="8">
        <f t="shared" si="4"/>
        <v>0.35872399806976318</v>
      </c>
      <c r="AD29" s="8">
        <f xml:space="preserve"> $S$19 * TAN($S$16) + $S$20 / (2 * SQRT($S$19^2 + AC29^2)) - AC29</f>
        <v>2.4090277384036796E-8</v>
      </c>
      <c r="AE29" s="8">
        <f t="shared" si="5"/>
        <v>0.35872402787208557</v>
      </c>
      <c r="AF29" s="8">
        <f xml:space="preserve"> $S$19 * TAN($S$16) + $S$20 / (2 * SQRT($S$19^2 + AE29^2)) - AE29</f>
        <v>-9.1496685228342756E-9</v>
      </c>
      <c r="AG29" s="8">
        <f t="shared" si="0"/>
        <v>0.35872401297092438</v>
      </c>
      <c r="AH29" s="8">
        <f xml:space="preserve"> $S$19 * TAN($S$16) + $S$20 / (2 * SQRT($S$19^2 + AG29^2)) - AG29</f>
        <v>7.4703043750901088E-9</v>
      </c>
      <c r="AI29" s="8">
        <f t="shared" si="1"/>
        <v>1.7996170453910438E-16</v>
      </c>
      <c r="AJ29" s="8">
        <f t="shared" si="2"/>
        <v>-6.8350808796753142E-17</v>
      </c>
      <c r="AK29" s="8">
        <f t="shared" si="3"/>
        <v>2.9802322387695312E-8</v>
      </c>
      <c r="AM29" s="8">
        <v>25</v>
      </c>
      <c r="AN29" s="8">
        <f t="shared" si="10"/>
        <v>983.10649394989014</v>
      </c>
      <c r="AO29" s="8">
        <v>-1.5141787343964097E-5</v>
      </c>
      <c r="AP29" s="8">
        <f t="shared" si="11"/>
        <v>983.10661315917969</v>
      </c>
      <c r="AQ29" s="8">
        <v>3.8384662047974416E-5</v>
      </c>
      <c r="AR29" s="8">
        <f t="shared" si="6"/>
        <v>983.10655355453491</v>
      </c>
      <c r="AS29" s="8">
        <v>1.1494058298922027E-5</v>
      </c>
      <c r="AT29" s="8">
        <f t="shared" si="7"/>
        <v>-1.7404058648140305E-10</v>
      </c>
      <c r="AU29" s="8">
        <f t="shared" si="8"/>
        <v>4.4119554336383772E-10</v>
      </c>
      <c r="AV29" s="8">
        <f t="shared" si="9"/>
        <v>1.1920928955078125E-4</v>
      </c>
    </row>
    <row r="30" spans="2:48" x14ac:dyDescent="0.2">
      <c r="B30" t="s">
        <v>24</v>
      </c>
      <c r="C30" s="1">
        <v>1.2250000000000001</v>
      </c>
      <c r="D30" t="s">
        <v>25</v>
      </c>
      <c r="F30" t="s">
        <v>134</v>
      </c>
      <c r="G30" s="47">
        <f>SQRT($G$27^2-$G$28^2)</f>
        <v>29.96126539383809</v>
      </c>
      <c r="H30" t="s">
        <v>16</v>
      </c>
      <c r="J30" s="15" t="s">
        <v>103</v>
      </c>
      <c r="K30">
        <f>ROUND(SUM(K18:K21)/$C$17*100, 2)</f>
        <v>4.67</v>
      </c>
      <c r="L30" t="s">
        <v>89</v>
      </c>
      <c r="AB30" s="8">
        <v>26</v>
      </c>
      <c r="AC30" s="8">
        <f>IF(AI29&gt;0, AG29, AC29)</f>
        <v>0.35872401297092438</v>
      </c>
      <c r="AD30" s="8">
        <f xml:space="preserve"> $S$19 * TAN($S$16) + $S$20 / (2 * SQRT($S$19^2 + AC30^2)) - AC30</f>
        <v>7.4703043750901088E-9</v>
      </c>
      <c r="AE30" s="8">
        <f t="shared" si="5"/>
        <v>0.35872402787208557</v>
      </c>
      <c r="AF30" s="8">
        <f xml:space="preserve"> $S$19 * TAN($S$16) + $S$20 / (2 * SQRT($S$19^2 + AE30^2)) - AE30</f>
        <v>-9.1496685228342756E-9</v>
      </c>
      <c r="AG30" s="8">
        <f t="shared" si="0"/>
        <v>0.35872402042150497</v>
      </c>
      <c r="AH30" s="8">
        <f xml:space="preserve"> $S$19 * TAN($S$16) + $S$20 / (2 * SQRT($S$19^2 + AG30^2)) - AG30</f>
        <v>-8.3968210162765899E-10</v>
      </c>
      <c r="AI30" s="8">
        <f t="shared" si="1"/>
        <v>-6.2726808774739584E-18</v>
      </c>
      <c r="AJ30" s="8">
        <f t="shared" si="2"/>
        <v>7.6828128944499227E-18</v>
      </c>
      <c r="AK30" s="8">
        <f t="shared" si="3"/>
        <v>1.4901161193847656E-8</v>
      </c>
      <c r="AM30" s="8">
        <v>26</v>
      </c>
      <c r="AN30" s="8">
        <f t="shared" si="10"/>
        <v>983.10649394989014</v>
      </c>
      <c r="AO30" s="8">
        <v>-1.5141787343964097E-5</v>
      </c>
      <c r="AP30" s="8">
        <f t="shared" si="11"/>
        <v>983.10655355453491</v>
      </c>
      <c r="AQ30" s="8">
        <v>1.1494058298922027E-5</v>
      </c>
      <c r="AR30" s="8">
        <f t="shared" si="6"/>
        <v>983.10652375221252</v>
      </c>
      <c r="AS30" s="8">
        <v>-1.7507079519418767E-6</v>
      </c>
      <c r="AT30" s="8">
        <f t="shared" si="7"/>
        <v>2.6508847509690813E-11</v>
      </c>
      <c r="AU30" s="8">
        <f t="shared" si="8"/>
        <v>-2.0122739264006314E-11</v>
      </c>
      <c r="AV30" s="8">
        <f t="shared" si="9"/>
        <v>5.9604644775390625E-5</v>
      </c>
    </row>
    <row r="31" spans="2:48" x14ac:dyDescent="0.2">
      <c r="B31" t="s">
        <v>26</v>
      </c>
      <c r="C31" s="1">
        <v>9.8066499999999994</v>
      </c>
      <c r="D31" t="s">
        <v>27</v>
      </c>
      <c r="F31" t="s">
        <v>135</v>
      </c>
      <c r="G31">
        <f>$G$30 * ($G$29/$G$28)</f>
        <v>5992.2530787676178</v>
      </c>
      <c r="H31" t="s">
        <v>14</v>
      </c>
      <c r="J31" s="3" t="s">
        <v>90</v>
      </c>
      <c r="K31" s="3">
        <f>SUM(K26:K30)</f>
        <v>100</v>
      </c>
      <c r="L31" s="3" t="s">
        <v>89</v>
      </c>
      <c r="AB31" s="8">
        <v>27</v>
      </c>
      <c r="AC31" s="8">
        <f t="shared" si="4"/>
        <v>0.35872401297092438</v>
      </c>
      <c r="AD31" s="8">
        <f xml:space="preserve"> $S$19 * TAN($S$16) + $S$20 / (2 * SQRT($S$19^2 + AC31^2)) - AC31</f>
        <v>7.4703043750901088E-9</v>
      </c>
      <c r="AE31" s="8">
        <f t="shared" si="5"/>
        <v>0.35872402042150497</v>
      </c>
      <c r="AF31" s="8">
        <f xml:space="preserve"> $S$19 * TAN($S$16) + $S$20 / (2 * SQRT($S$19^2 + AE31^2)) - AE31</f>
        <v>-8.3968210162765899E-10</v>
      </c>
      <c r="AG31" s="8">
        <f t="shared" si="0"/>
        <v>0.35872401669621468</v>
      </c>
      <c r="AH31" s="8">
        <f xml:space="preserve"> $S$19 * TAN($S$16) + $S$20 / (2 * SQRT($S$19^2 + AG31^2)) - AG31</f>
        <v>3.3153111367312249E-9</v>
      </c>
      <c r="AI31" s="8">
        <f t="shared" si="1"/>
        <v>2.4766383289508231E-17</v>
      </c>
      <c r="AJ31" s="8">
        <f t="shared" si="2"/>
        <v>-2.7838074228400581E-18</v>
      </c>
      <c r="AK31" s="8">
        <f t="shared" si="3"/>
        <v>7.4505805969238281E-9</v>
      </c>
      <c r="AM31" s="8">
        <v>27</v>
      </c>
      <c r="AN31" s="8">
        <f t="shared" si="10"/>
        <v>983.10652375221252</v>
      </c>
      <c r="AO31" s="8">
        <v>-1.7507079519418767E-6</v>
      </c>
      <c r="AP31" s="8">
        <f t="shared" si="11"/>
        <v>983.10655355453491</v>
      </c>
      <c r="AQ31" s="8">
        <v>1.1494058298922027E-5</v>
      </c>
      <c r="AR31" s="8">
        <f t="shared" si="6"/>
        <v>983.10653865337372</v>
      </c>
      <c r="AS31" s="8">
        <v>4.8801892944538849E-6</v>
      </c>
      <c r="AT31" s="8">
        <f t="shared" si="7"/>
        <v>-8.543786204782033E-12</v>
      </c>
      <c r="AU31" s="8">
        <f t="shared" si="8"/>
        <v>5.609318026022811E-11</v>
      </c>
      <c r="AV31" s="8">
        <f t="shared" si="9"/>
        <v>2.9802322387695312E-5</v>
      </c>
    </row>
    <row r="32" spans="2:48" x14ac:dyDescent="0.2">
      <c r="B32" t="s">
        <v>67</v>
      </c>
      <c r="C32" s="1">
        <v>5</v>
      </c>
      <c r="D32" t="s">
        <v>68</v>
      </c>
      <c r="F32" t="s">
        <v>165</v>
      </c>
      <c r="G32">
        <f>ATAN(G28/G30)</f>
        <v>5.0821874831179017E-2</v>
      </c>
      <c r="H32" t="s">
        <v>47</v>
      </c>
      <c r="AB32" s="8">
        <v>28</v>
      </c>
      <c r="AC32" s="8">
        <f t="shared" si="4"/>
        <v>0.35872401669621468</v>
      </c>
      <c r="AD32" s="8">
        <f xml:space="preserve"> $S$19 * TAN($S$16) + $S$20 / (2 * SQRT($S$19^2 + AC32^2)) - AC32</f>
        <v>3.3153111367312249E-9</v>
      </c>
      <c r="AE32" s="8">
        <f t="shared" si="5"/>
        <v>0.35872402042150497</v>
      </c>
      <c r="AF32" s="8">
        <f xml:space="preserve"> $S$19 * TAN($S$16) + $S$20 / (2 * SQRT($S$19^2 + AE32^2)) - AE32</f>
        <v>-8.3968210162765899E-10</v>
      </c>
      <c r="AG32" s="8">
        <f t="shared" si="0"/>
        <v>0.35872401855885983</v>
      </c>
      <c r="AH32" s="8">
        <f xml:space="preserve"> $S$19 * TAN($S$16) + $S$20 / (2 * SQRT($S$19^2 + AG32^2)) - AG32</f>
        <v>1.237814517551783E-9</v>
      </c>
      <c r="AI32" s="8">
        <f t="shared" si="1"/>
        <v>4.1037402552470143E-18</v>
      </c>
      <c r="AJ32" s="8">
        <f t="shared" si="2"/>
        <v>-1.0393706955231079E-18</v>
      </c>
      <c r="AK32" s="8">
        <f t="shared" si="3"/>
        <v>3.7252902984619141E-9</v>
      </c>
      <c r="AM32" s="8">
        <v>28</v>
      </c>
      <c r="AN32" s="8">
        <f t="shared" si="10"/>
        <v>983.10652375221252</v>
      </c>
      <c r="AO32" s="8">
        <v>-1.7507079519418767E-6</v>
      </c>
      <c r="AP32" s="8">
        <f t="shared" si="11"/>
        <v>983.10653865337372</v>
      </c>
      <c r="AQ32" s="8">
        <v>4.8801892944538849E-6</v>
      </c>
      <c r="AR32" s="8">
        <f t="shared" si="6"/>
        <v>983.10653120279312</v>
      </c>
      <c r="AS32" s="8">
        <v>1.483070150243293E-6</v>
      </c>
      <c r="AT32" s="8">
        <f t="shared" si="7"/>
        <v>-2.5964227053185669E-12</v>
      </c>
      <c r="AU32" s="8">
        <f t="shared" si="8"/>
        <v>7.2376630701414333E-12</v>
      </c>
      <c r="AV32" s="8">
        <f t="shared" si="9"/>
        <v>1.4901161193847656E-5</v>
      </c>
    </row>
    <row r="33" spans="2:48" x14ac:dyDescent="0.2">
      <c r="B33" t="s">
        <v>112</v>
      </c>
      <c r="C33" s="1">
        <v>0.8</v>
      </c>
      <c r="F33" t="s">
        <v>156</v>
      </c>
      <c r="G33">
        <f>W22 + W17 * (W27 * W24 + $G$27 * SIN(W16))</f>
        <v>17897.758511303509</v>
      </c>
      <c r="H33" t="s">
        <v>30</v>
      </c>
      <c r="AB33" s="8">
        <v>29</v>
      </c>
      <c r="AC33" s="8">
        <f t="shared" si="4"/>
        <v>0.35872401855885983</v>
      </c>
      <c r="AD33" s="8">
        <f xml:space="preserve"> $S$19 * TAN($S$16) + $S$20 / (2 * SQRT($S$19^2 + AC33^2)) - AC33</f>
        <v>1.237814517551783E-9</v>
      </c>
      <c r="AE33" s="8">
        <f t="shared" si="5"/>
        <v>0.35872402042150497</v>
      </c>
      <c r="AF33" s="8">
        <f xml:space="preserve"> $S$19 * TAN($S$16) + $S$20 / (2 * SQRT($S$19^2 + AE33^2)) - AE33</f>
        <v>-8.3968210162765899E-10</v>
      </c>
      <c r="AG33" s="8">
        <f t="shared" si="0"/>
        <v>0.3587240194901824</v>
      </c>
      <c r="AH33" s="8">
        <f xml:space="preserve"> $S$19 * TAN($S$16) + $S$20 / (2 * SQRT($S$19^2 + AG33^2)) - AG33</f>
        <v>1.9906620796206198E-10</v>
      </c>
      <c r="AI33" s="8">
        <f t="shared" si="1"/>
        <v>2.4640704216942265E-19</v>
      </c>
      <c r="AJ33" s="8">
        <f t="shared" si="2"/>
        <v>-1.6715233186463283E-19</v>
      </c>
      <c r="AK33" s="8">
        <f t="shared" si="3"/>
        <v>1.862645149230957E-9</v>
      </c>
      <c r="AM33" s="8">
        <v>29</v>
      </c>
      <c r="AN33" s="8">
        <f t="shared" si="10"/>
        <v>983.10652375221252</v>
      </c>
      <c r="AO33" s="8">
        <v>-1.7507079519418767E-6</v>
      </c>
      <c r="AP33" s="8">
        <f t="shared" si="11"/>
        <v>983.10653120279312</v>
      </c>
      <c r="AQ33" s="8">
        <v>1.483070150243293E-6</v>
      </c>
      <c r="AR33" s="8">
        <f t="shared" si="6"/>
        <v>983.10652747750282</v>
      </c>
      <c r="AS33" s="8">
        <v>-1.3445401236822363E-7</v>
      </c>
      <c r="AT33" s="8">
        <f t="shared" si="7"/>
        <v>2.3538970862354055E-13</v>
      </c>
      <c r="AU33" s="8">
        <f t="shared" si="8"/>
        <v>-1.99404732323755E-13</v>
      </c>
      <c r="AV33" s="8">
        <f t="shared" si="9"/>
        <v>7.4505805969238281E-6</v>
      </c>
    </row>
    <row r="34" spans="2:48" x14ac:dyDescent="0.2">
      <c r="F34" t="s">
        <v>140</v>
      </c>
      <c r="G34">
        <f>$C$6*G33</f>
        <v>17897.758511303509</v>
      </c>
      <c r="H34" t="s">
        <v>30</v>
      </c>
      <c r="AB34" s="8">
        <v>30</v>
      </c>
      <c r="AC34" s="8">
        <f t="shared" si="4"/>
        <v>0.3587240194901824</v>
      </c>
      <c r="AD34" s="8">
        <f xml:space="preserve"> $S$19 * TAN($S$16) + $S$20 / (2 * SQRT($S$19^2 + AC34^2)) - AC34</f>
        <v>1.9906620796206198E-10</v>
      </c>
      <c r="AE34" s="8">
        <f t="shared" si="5"/>
        <v>0.35872402042150497</v>
      </c>
      <c r="AF34" s="8">
        <f xml:space="preserve"> $S$19 * TAN($S$16) + $S$20 / (2 * SQRT($S$19^2 + AE34^2)) - AE34</f>
        <v>-8.3968210162765899E-10</v>
      </c>
      <c r="AG34" s="8">
        <f t="shared" si="0"/>
        <v>0.35872401995584369</v>
      </c>
      <c r="AH34" s="8">
        <f xml:space="preserve"> $S$19 * TAN($S$16) + $S$20 / (2 * SQRT($S$19^2 + AG34^2)) - AG34</f>
        <v>-3.2030794683279851E-10</v>
      </c>
      <c r="AI34" s="8">
        <f t="shared" si="1"/>
        <v>-6.376248835611896E-20</v>
      </c>
      <c r="AJ34" s="8">
        <f t="shared" si="2"/>
        <v>2.6895684996460471E-19</v>
      </c>
      <c r="AK34" s="8">
        <f t="shared" si="3"/>
        <v>9.3132257461547852E-10</v>
      </c>
      <c r="AM34" s="8">
        <v>30</v>
      </c>
      <c r="AN34" s="8">
        <f t="shared" si="10"/>
        <v>983.10652747750282</v>
      </c>
      <c r="AO34" s="8">
        <v>-1.3445401236822363E-7</v>
      </c>
      <c r="AP34" s="8">
        <f t="shared" si="11"/>
        <v>983.10653120279312</v>
      </c>
      <c r="AQ34" s="8">
        <v>1.483070150243293E-6</v>
      </c>
      <c r="AR34" s="8">
        <f t="shared" si="6"/>
        <v>983.10652934014797</v>
      </c>
      <c r="AS34" s="8">
        <v>6.0178695093782153E-7</v>
      </c>
      <c r="AT34" s="8">
        <f t="shared" si="7"/>
        <v>-8.0912670144429443E-14</v>
      </c>
      <c r="AU34" s="8">
        <f t="shared" si="8"/>
        <v>8.9249226374180819E-13</v>
      </c>
      <c r="AV34" s="8">
        <f t="shared" si="9"/>
        <v>3.7252902984619141E-6</v>
      </c>
    </row>
    <row r="35" spans="2:48" x14ac:dyDescent="0.2">
      <c r="B35" s="40" t="s">
        <v>28</v>
      </c>
      <c r="C35" s="40"/>
      <c r="D35" s="40"/>
      <c r="F35" t="s">
        <v>139</v>
      </c>
      <c r="G35">
        <f>$G$29/$G$28</f>
        <v>200</v>
      </c>
      <c r="H35" t="s">
        <v>23</v>
      </c>
      <c r="AM35" s="8">
        <v>31</v>
      </c>
      <c r="AN35" s="8">
        <f t="shared" si="10"/>
        <v>983.10652747750282</v>
      </c>
      <c r="AO35">
        <v>-1.3445401236822363E-7</v>
      </c>
      <c r="AP35" s="8">
        <f t="shared" si="11"/>
        <v>983.10652934014797</v>
      </c>
      <c r="AQ35">
        <v>6.0178695093782153E-7</v>
      </c>
      <c r="AR35" s="8">
        <f t="shared" si="6"/>
        <v>983.1065284088254</v>
      </c>
      <c r="AS35">
        <v>1.6114495338115375E-7</v>
      </c>
      <c r="AT35" s="8">
        <f t="shared" si="7"/>
        <v>-2.1666585554986467E-14</v>
      </c>
      <c r="AU35" s="8">
        <f t="shared" si="8"/>
        <v>9.6974930154261912E-14</v>
      </c>
      <c r="AV35" s="8">
        <f t="shared" si="9"/>
        <v>1.862645149230957E-6</v>
      </c>
    </row>
    <row r="36" spans="2:48" x14ac:dyDescent="0.2">
      <c r="B36" t="s">
        <v>29</v>
      </c>
      <c r="C36" s="1">
        <v>30</v>
      </c>
      <c r="AM36" s="8">
        <v>32</v>
      </c>
      <c r="AN36" s="8">
        <f t="shared" si="10"/>
        <v>983.10652747750282</v>
      </c>
      <c r="AO36">
        <v>-1.3445401236822363E-7</v>
      </c>
      <c r="AP36" s="8">
        <f t="shared" si="11"/>
        <v>983.1065284088254</v>
      </c>
      <c r="AQ36">
        <v>1.6114495338115375E-7</v>
      </c>
      <c r="AR36" s="8">
        <f t="shared" si="6"/>
        <v>983.10652794316411</v>
      </c>
      <c r="AS36">
        <v>8.5866759036434814E-8</v>
      </c>
      <c r="AT36" s="8">
        <f t="shared" si="7"/>
        <v>-1.1545130281504085E-14</v>
      </c>
      <c r="AU36" s="8">
        <f t="shared" si="8"/>
        <v>1.3836994881917051E-14</v>
      </c>
      <c r="AV36" s="8">
        <f t="shared" si="9"/>
        <v>9.3132257461547852E-7</v>
      </c>
    </row>
    <row r="37" spans="2:48" x14ac:dyDescent="0.2">
      <c r="F37" s="21" t="s">
        <v>118</v>
      </c>
      <c r="G37" s="22"/>
      <c r="H37" s="22"/>
      <c r="AB37" s="6" t="s">
        <v>154</v>
      </c>
      <c r="AM37" s="8">
        <v>33</v>
      </c>
      <c r="AN37" s="8">
        <f t="shared" si="10"/>
        <v>983.10652747750282</v>
      </c>
      <c r="AO37">
        <v>-1.3445401236822363E-7</v>
      </c>
      <c r="AP37" s="8">
        <f t="shared" si="11"/>
        <v>983.10652794316411</v>
      </c>
      <c r="AQ37">
        <v>8.5866759036434814E-8</v>
      </c>
      <c r="AR37" s="8">
        <f t="shared" si="6"/>
        <v>983.10652771033347</v>
      </c>
      <c r="AS37">
        <v>-2.4293512979056686E-8</v>
      </c>
      <c r="AT37" s="8">
        <f t="shared" si="7"/>
        <v>3.266360294553689E-15</v>
      </c>
      <c r="AU37" s="8">
        <f t="shared" si="8"/>
        <v>-2.0860052251211622E-15</v>
      </c>
      <c r="AV37" s="8">
        <f t="shared" si="9"/>
        <v>4.6566128730773926E-7</v>
      </c>
    </row>
    <row r="38" spans="2:48" x14ac:dyDescent="0.2">
      <c r="F38" t="s">
        <v>124</v>
      </c>
      <c r="G38" s="1">
        <v>1.524</v>
      </c>
      <c r="H38" t="s">
        <v>16</v>
      </c>
      <c r="AB38" s="7" t="s">
        <v>70</v>
      </c>
      <c r="AC38" s="7" t="s">
        <v>71</v>
      </c>
      <c r="AD38" s="7" t="s">
        <v>72</v>
      </c>
      <c r="AE38" s="7" t="s">
        <v>73</v>
      </c>
      <c r="AF38" s="7" t="s">
        <v>74</v>
      </c>
      <c r="AG38" s="7" t="s">
        <v>75</v>
      </c>
      <c r="AH38" s="7" t="s">
        <v>76</v>
      </c>
      <c r="AI38" s="7" t="s">
        <v>77</v>
      </c>
      <c r="AJ38" s="7" t="s">
        <v>78</v>
      </c>
      <c r="AK38" s="7" t="s">
        <v>79</v>
      </c>
      <c r="AM38" s="8">
        <v>34</v>
      </c>
      <c r="AN38" s="8">
        <f t="shared" si="10"/>
        <v>983.10652771033347</v>
      </c>
      <c r="AO38">
        <v>-2.4293512979056686E-8</v>
      </c>
      <c r="AP38" s="8">
        <f t="shared" si="11"/>
        <v>983.10652794316411</v>
      </c>
      <c r="AQ38">
        <v>8.5866759036434814E-8</v>
      </c>
      <c r="AR38" s="8">
        <f t="shared" si="6"/>
        <v>983.10652782674879</v>
      </c>
      <c r="AS38">
        <v>3.0786736715526786E-8</v>
      </c>
      <c r="AT38" s="8">
        <f t="shared" si="7"/>
        <v>-7.4791798798145098E-16</v>
      </c>
      <c r="AU38" s="8">
        <f t="shared" si="8"/>
        <v>2.6435573030702991E-15</v>
      </c>
      <c r="AV38" s="8">
        <f t="shared" si="9"/>
        <v>2.3283064365386963E-7</v>
      </c>
    </row>
    <row r="39" spans="2:48" x14ac:dyDescent="0.2">
      <c r="F39" t="s">
        <v>130</v>
      </c>
      <c r="G39" s="1">
        <v>152.4</v>
      </c>
      <c r="H39" t="s">
        <v>14</v>
      </c>
      <c r="AB39" s="8">
        <v>0</v>
      </c>
      <c r="AC39" s="9">
        <v>0</v>
      </c>
      <c r="AD39" s="8">
        <f xml:space="preserve"> $O$19 * TAN($O$16) + $O$20 / (2 * SQRT($O$19^2 + AC39^2)) - AC39</f>
        <v>1.2839480987213301</v>
      </c>
      <c r="AE39" s="9">
        <v>1</v>
      </c>
      <c r="AF39" s="8">
        <f xml:space="preserve"> $O$19 * TAN($O$16) + $O$20 / (2 * SQRT($O$19^2 + AE39^2)) - AE39</f>
        <v>-0.65608884011503554</v>
      </c>
      <c r="AG39" s="8">
        <f xml:space="preserve"> (AC39 + AE39)/2</f>
        <v>0.5</v>
      </c>
      <c r="AH39" s="8">
        <f xml:space="preserve"> $O$19 * TAN($O$16) + $O$20 / (2 * SQRT($O$19^2 + AG39^2)) - AG39</f>
        <v>-0.12933805541659193</v>
      </c>
      <c r="AI39" s="8">
        <f>AD39*AH39</f>
        <v>-0.16606335034444725</v>
      </c>
      <c r="AJ39" s="8">
        <f>AF39*AH39</f>
        <v>8.4857254761005987E-2</v>
      </c>
      <c r="AK39" s="8">
        <f>AE39-AC39</f>
        <v>1</v>
      </c>
      <c r="AM39" s="8">
        <v>35</v>
      </c>
      <c r="AN39" s="8">
        <f t="shared" si="10"/>
        <v>983.10652771033347</v>
      </c>
      <c r="AO39">
        <v>-2.4293512979056686E-8</v>
      </c>
      <c r="AP39" s="8">
        <f t="shared" si="11"/>
        <v>983.10652782674879</v>
      </c>
      <c r="AQ39">
        <v>3.0786736715526786E-8</v>
      </c>
      <c r="AR39" s="8">
        <f t="shared" si="6"/>
        <v>983.10652776854113</v>
      </c>
      <c r="AS39">
        <v>3.2464413379784673E-9</v>
      </c>
      <c r="AT39" s="8">
        <f t="shared" si="7"/>
        <v>-7.886746477992605E-17</v>
      </c>
      <c r="AU39" s="8">
        <f t="shared" si="8"/>
        <v>9.9947334734745583E-17</v>
      </c>
      <c r="AV39" s="8">
        <f t="shared" si="9"/>
        <v>1.1641532182693481E-7</v>
      </c>
    </row>
    <row r="40" spans="2:48" x14ac:dyDescent="0.2">
      <c r="F40" t="s">
        <v>122</v>
      </c>
      <c r="G40">
        <f xml:space="preserve"> IF( $G$38&gt;=2*SQRT(($C$17*$C$31)/(2*$C$30*$C$5*PI()*$C$18*$C$18)), ($C$17*$C$31)/$C$9 * ( ($G$38/2) - SQRT( ($G$38/2)^2 - ($C$17*$C$31)/(2*$C$30*$C$5*PI()*$C$18*$C$18 ) ) ), 1/$C$9 * SQRT(($C$17*$C$31)^3/(2*$C$30*$C$5*PI()*$C$18*$C$18)) )</f>
        <v>185732.12001178591</v>
      </c>
      <c r="H40" t="s">
        <v>30</v>
      </c>
      <c r="AB40" s="8">
        <v>1</v>
      </c>
      <c r="AC40" s="8">
        <f>IF(AI39&gt;0, AG39, AC39)</f>
        <v>0</v>
      </c>
      <c r="AD40" s="8">
        <f xml:space="preserve"> $O$19 * TAN($O$16) + $O$20 / (2 * SQRT($O$19^2 + AC40^2)) - AC40</f>
        <v>1.2839480987213301</v>
      </c>
      <c r="AE40" s="8">
        <f>IF(AJ39&gt;0, AG39, AE39)</f>
        <v>0.5</v>
      </c>
      <c r="AF40" s="8">
        <f xml:space="preserve"> $O$19 * TAN($O$16) + $O$20 / (2 * SQRT($O$19^2 + AE40^2)) - AE40</f>
        <v>-0.12933805541659193</v>
      </c>
      <c r="AG40" s="8">
        <f t="shared" ref="AG40:AG69" si="12" xml:space="preserve"> (AC40 + AE40)/2</f>
        <v>0.25</v>
      </c>
      <c r="AH40" s="8">
        <f xml:space="preserve"> $O$19 * TAN($O$16) + $O$20 / (2 * SQRT($O$19^2 + AG40^2)) - AG40</f>
        <v>0.17373546727399958</v>
      </c>
      <c r="AI40" s="8">
        <f t="shared" ref="AI40:AI69" si="13">AD40*AH40</f>
        <v>0.22306732288691361</v>
      </c>
      <c r="AJ40" s="8">
        <f t="shared" ref="AJ40:AJ69" si="14">AF40*AH40</f>
        <v>-2.2470607494112053E-2</v>
      </c>
      <c r="AK40" s="8">
        <f t="shared" ref="AK40:AK69" si="15">AE40-AC40</f>
        <v>0.5</v>
      </c>
      <c r="AM40" s="8">
        <v>36</v>
      </c>
      <c r="AN40" s="8">
        <f t="shared" si="10"/>
        <v>983.10652771033347</v>
      </c>
      <c r="AO40">
        <v>-2.4293512979056686E-8</v>
      </c>
      <c r="AP40" s="8">
        <f t="shared" si="11"/>
        <v>983.10652776854113</v>
      </c>
      <c r="AQ40">
        <v>3.2464413379784673E-9</v>
      </c>
      <c r="AR40" s="8">
        <f t="shared" si="6"/>
        <v>983.1065277394373</v>
      </c>
      <c r="AS40">
        <v>-1.0523535820539109E-8</v>
      </c>
      <c r="AT40" s="8">
        <f t="shared" si="7"/>
        <v>2.5565365404183481E-16</v>
      </c>
      <c r="AU40" s="8">
        <f t="shared" si="8"/>
        <v>-3.4164041709495315E-17</v>
      </c>
      <c r="AV40" s="8">
        <f t="shared" si="9"/>
        <v>5.8207660913467407E-8</v>
      </c>
    </row>
    <row r="41" spans="2:48" x14ac:dyDescent="0.2">
      <c r="F41" t="s">
        <v>31</v>
      </c>
      <c r="G41">
        <f xml:space="preserve"> $C$17 * $C$31 / $C$5</f>
        <v>1606.8302717479748</v>
      </c>
      <c r="H41" t="s">
        <v>32</v>
      </c>
      <c r="AB41" s="8">
        <v>2</v>
      </c>
      <c r="AC41" s="8">
        <f t="shared" ref="AC41:AC69" si="16">IF(AI40&gt;0, AG40, AC40)</f>
        <v>0.25</v>
      </c>
      <c r="AD41" s="8">
        <f xml:space="preserve"> $O$19 * TAN($O$16) + $O$20 / (2 * SQRT($O$19^2 + AC41^2)) - AC41</f>
        <v>0.17373546727399958</v>
      </c>
      <c r="AE41" s="8">
        <f t="shared" ref="AE41:AE69" si="17">IF(AJ40&gt;0, AG40, AE40)</f>
        <v>0.5</v>
      </c>
      <c r="AF41" s="8">
        <f xml:space="preserve"> $O$19 * TAN($O$16) + $O$20 / (2 * SQRT($O$19^2 + AE41^2)) - AE41</f>
        <v>-0.12933805541659193</v>
      </c>
      <c r="AG41" s="8">
        <f t="shared" si="12"/>
        <v>0.375</v>
      </c>
      <c r="AH41" s="8">
        <f xml:space="preserve"> $O$19 * TAN($O$16) + $O$20 / (2 * SQRT($O$19^2 + AG41^2)) - AG41</f>
        <v>1.3431296987562957E-2</v>
      </c>
      <c r="AI41" s="8">
        <f t="shared" si="13"/>
        <v>2.3334926582301132E-3</v>
      </c>
      <c r="AJ41" s="8">
        <f t="shared" si="14"/>
        <v>-1.737177834094122E-3</v>
      </c>
      <c r="AK41" s="8">
        <f t="shared" si="15"/>
        <v>0.25</v>
      </c>
      <c r="AM41" s="8">
        <v>37</v>
      </c>
      <c r="AN41" s="8">
        <f t="shared" si="10"/>
        <v>983.1065277394373</v>
      </c>
      <c r="AO41">
        <v>-1.0523535820539109E-8</v>
      </c>
      <c r="AP41" s="8">
        <f t="shared" si="11"/>
        <v>983.10652776854113</v>
      </c>
      <c r="AQ41">
        <v>3.2464413379784673E-9</v>
      </c>
      <c r="AR41" s="8">
        <f t="shared" si="6"/>
        <v>983.10652775398921</v>
      </c>
      <c r="AS41">
        <v>-3.6384335544425994E-9</v>
      </c>
      <c r="AT41" s="8">
        <f t="shared" si="7"/>
        <v>3.8289185840828129E-17</v>
      </c>
      <c r="AU41" s="8">
        <f t="shared" si="8"/>
        <v>-1.1811961096630383E-17</v>
      </c>
      <c r="AV41" s="8">
        <f t="shared" si="9"/>
        <v>2.9103830456733704E-8</v>
      </c>
    </row>
    <row r="42" spans="2:48" x14ac:dyDescent="0.2">
      <c r="F42" t="s">
        <v>129</v>
      </c>
      <c r="G42">
        <f xml:space="preserve"> $G$39/$G$38</f>
        <v>100</v>
      </c>
      <c r="H42" t="s">
        <v>23</v>
      </c>
      <c r="AB42" s="8">
        <v>3</v>
      </c>
      <c r="AC42" s="8">
        <f>IF(AI41&gt;0, AG41, AC41)</f>
        <v>0.375</v>
      </c>
      <c r="AD42" s="8">
        <f xml:space="preserve"> $O$19 * TAN($O$16) + $O$20 / (2 * SQRT($O$19^2 + AC42^2)) - AC42</f>
        <v>1.3431296987562957E-2</v>
      </c>
      <c r="AE42" s="8">
        <f t="shared" si="17"/>
        <v>0.5</v>
      </c>
      <c r="AF42" s="8">
        <f xml:space="preserve"> $O$19 * TAN($O$16) + $O$20 / (2 * SQRT($O$19^2 + AE42^2)) - AE42</f>
        <v>-0.12933805541659193</v>
      </c>
      <c r="AG42" s="8">
        <f t="shared" si="12"/>
        <v>0.4375</v>
      </c>
      <c r="AH42" s="8">
        <f xml:space="preserve"> $O$19 * TAN($O$16) + $O$20 / (2 * SQRT($O$19^2 + AG42^2)) - AG42</f>
        <v>-5.9214888687156242E-2</v>
      </c>
      <c r="AI42" s="8">
        <f t="shared" si="13"/>
        <v>-7.9533275604267751E-4</v>
      </c>
      <c r="AJ42" s="8">
        <f t="shared" si="14"/>
        <v>7.6587385545067365E-3</v>
      </c>
      <c r="AK42" s="8">
        <f t="shared" si="15"/>
        <v>0.125</v>
      </c>
      <c r="AM42" s="8">
        <v>38</v>
      </c>
      <c r="AN42" s="8">
        <f t="shared" si="10"/>
        <v>983.10652775398921</v>
      </c>
      <c r="AO42">
        <v>-3.6384335544425994E-9</v>
      </c>
      <c r="AP42" s="8">
        <f t="shared" si="11"/>
        <v>983.10652776854113</v>
      </c>
      <c r="AQ42">
        <v>3.2464413379784673E-9</v>
      </c>
      <c r="AR42" s="8">
        <f t="shared" si="6"/>
        <v>983.10652776126517</v>
      </c>
      <c r="AS42">
        <v>-1.9610979506978765E-10</v>
      </c>
      <c r="AT42" s="8">
        <f t="shared" si="7"/>
        <v>7.1353245873677724E-19</v>
      </c>
      <c r="AU42" s="8">
        <f t="shared" si="8"/>
        <v>-6.3665894549704446E-19</v>
      </c>
      <c r="AV42" s="8">
        <f t="shared" si="9"/>
        <v>1.4551915228366852E-8</v>
      </c>
    </row>
    <row r="43" spans="2:48" x14ac:dyDescent="0.2">
      <c r="AB43" s="8">
        <v>4</v>
      </c>
      <c r="AC43" s="8">
        <f t="shared" si="16"/>
        <v>0.375</v>
      </c>
      <c r="AD43" s="8">
        <f xml:space="preserve"> $O$19 * TAN($O$16) + $O$20 / (2 * SQRT($O$19^2 + AC43^2)) - AC43</f>
        <v>1.3431296987562957E-2</v>
      </c>
      <c r="AE43" s="8">
        <f t="shared" si="17"/>
        <v>0.4375</v>
      </c>
      <c r="AF43" s="8">
        <f xml:space="preserve"> $O$19 * TAN($O$16) + $O$20 / (2 * SQRT($O$19^2 + AE43^2)) - AE43</f>
        <v>-5.9214888687156242E-2</v>
      </c>
      <c r="AG43" s="8">
        <f t="shared" si="12"/>
        <v>0.40625</v>
      </c>
      <c r="AH43" s="8">
        <f xml:space="preserve"> $O$19 * TAN($O$16) + $O$20 / (2 * SQRT($O$19^2 + AG43^2)) - AG43</f>
        <v>-2.327930595999661E-2</v>
      </c>
      <c r="AI43" s="8">
        <f t="shared" si="13"/>
        <v>-3.1267127201305888E-4</v>
      </c>
      <c r="AJ43" s="8">
        <f t="shared" si="14"/>
        <v>1.3784815111354521E-3</v>
      </c>
      <c r="AK43" s="8">
        <f t="shared" si="15"/>
        <v>6.25E-2</v>
      </c>
      <c r="AM43" s="8">
        <v>39</v>
      </c>
      <c r="AN43" s="8">
        <f t="shared" si="10"/>
        <v>983.10652776126517</v>
      </c>
      <c r="AO43">
        <v>-1.9610979506978765E-10</v>
      </c>
      <c r="AP43" s="8">
        <f t="shared" si="11"/>
        <v>983.10652776854113</v>
      </c>
      <c r="AQ43">
        <v>3.2464413379784673E-9</v>
      </c>
      <c r="AR43" s="8">
        <f t="shared" si="6"/>
        <v>983.10652776490315</v>
      </c>
      <c r="AS43">
        <v>1.5254499885486439E-9</v>
      </c>
      <c r="AT43" s="8">
        <f t="shared" si="7"/>
        <v>-2.9915568464348447E-19</v>
      </c>
      <c r="AU43" s="8">
        <f t="shared" si="8"/>
        <v>4.9522839018430972E-18</v>
      </c>
      <c r="AV43" s="8">
        <f t="shared" si="9"/>
        <v>7.2759576141834259E-9</v>
      </c>
    </row>
    <row r="44" spans="2:48" x14ac:dyDescent="0.2">
      <c r="AB44" s="8">
        <v>5</v>
      </c>
      <c r="AC44" s="8">
        <f t="shared" si="16"/>
        <v>0.375</v>
      </c>
      <c r="AD44" s="8">
        <f xml:space="preserve"> $O$19 * TAN($O$16) + $O$20 / (2 * SQRT($O$19^2 + AC44^2)) - AC44</f>
        <v>1.3431296987562957E-2</v>
      </c>
      <c r="AE44" s="8">
        <f t="shared" si="17"/>
        <v>0.40625</v>
      </c>
      <c r="AF44" s="8">
        <f xml:space="preserve"> $O$19 * TAN($O$16) + $O$20 / (2 * SQRT($O$19^2 + AE44^2)) - AE44</f>
        <v>-2.327930595999661E-2</v>
      </c>
      <c r="AG44" s="8">
        <f t="shared" si="12"/>
        <v>0.390625</v>
      </c>
      <c r="AH44" s="8">
        <f xml:space="preserve"> $O$19 * TAN($O$16) + $O$20 / (2 * SQRT($O$19^2 + AG44^2)) - AG44</f>
        <v>-5.0323935278850929E-3</v>
      </c>
      <c r="AI44" s="8">
        <f t="shared" si="13"/>
        <v>-6.7591572031314376E-5</v>
      </c>
      <c r="AJ44" s="8">
        <f t="shared" si="14"/>
        <v>1.1715062864674381E-4</v>
      </c>
      <c r="AK44" s="8">
        <f t="shared" si="15"/>
        <v>3.125E-2</v>
      </c>
      <c r="AM44" s="8">
        <v>40</v>
      </c>
      <c r="AN44" s="8">
        <f t="shared" si="10"/>
        <v>983.10652776126517</v>
      </c>
      <c r="AO44">
        <v>-1.9610979506978765E-10</v>
      </c>
      <c r="AP44" s="8">
        <f t="shared" si="11"/>
        <v>983.10652776490315</v>
      </c>
      <c r="AQ44">
        <v>1.5254499885486439E-9</v>
      </c>
      <c r="AR44" s="11">
        <f t="shared" si="6"/>
        <v>983.10652776308416</v>
      </c>
      <c r="AS44">
        <v>6.6461325332056731E-10</v>
      </c>
      <c r="AT44" s="8">
        <f t="shared" si="7"/>
        <v>-1.3033716890936132E-19</v>
      </c>
      <c r="AU44" s="8">
        <f t="shared" si="8"/>
        <v>1.0138342796671364E-18</v>
      </c>
      <c r="AV44" s="8">
        <f t="shared" si="9"/>
        <v>3.637978807091713E-9</v>
      </c>
    </row>
    <row r="45" spans="2:48" x14ac:dyDescent="0.2">
      <c r="AB45" s="8">
        <v>6</v>
      </c>
      <c r="AC45" s="8">
        <f t="shared" si="16"/>
        <v>0.375</v>
      </c>
      <c r="AD45" s="8">
        <f xml:space="preserve"> $O$19 * TAN($O$16) + $O$20 / (2 * SQRT($O$19^2 + AC45^2)) - AC45</f>
        <v>1.3431296987562957E-2</v>
      </c>
      <c r="AE45" s="8">
        <f t="shared" si="17"/>
        <v>0.390625</v>
      </c>
      <c r="AF45" s="8">
        <f xml:space="preserve"> $O$19 * TAN($O$16) + $O$20 / (2 * SQRT($O$19^2 + AE45^2)) - AE45</f>
        <v>-5.0323935278850929E-3</v>
      </c>
      <c r="AG45" s="8">
        <f t="shared" si="12"/>
        <v>0.3828125</v>
      </c>
      <c r="AH45" s="8">
        <f xml:space="preserve"> $O$19 * TAN($O$16) + $O$20 / (2 * SQRT($O$19^2 + AG45^2)) - AG45</f>
        <v>4.1707125639185438E-3</v>
      </c>
      <c r="AI45" s="8">
        <f t="shared" si="13"/>
        <v>5.6018079095750116E-5</v>
      </c>
      <c r="AJ45" s="8">
        <f t="shared" si="14"/>
        <v>-2.0988666913332721E-5</v>
      </c>
      <c r="AK45" s="8">
        <f t="shared" si="15"/>
        <v>1.5625E-2</v>
      </c>
    </row>
    <row r="46" spans="2:48" x14ac:dyDescent="0.2">
      <c r="AB46" s="8">
        <v>7</v>
      </c>
      <c r="AC46" s="8">
        <f t="shared" si="16"/>
        <v>0.3828125</v>
      </c>
      <c r="AD46" s="8">
        <f xml:space="preserve"> $O$19 * TAN($O$16) + $O$20 / (2 * SQRT($O$19^2 + AC46^2)) - AC46</f>
        <v>4.1707125639185438E-3</v>
      </c>
      <c r="AE46" s="8">
        <f t="shared" si="17"/>
        <v>0.390625</v>
      </c>
      <c r="AF46" s="8">
        <f xml:space="preserve"> $O$19 * TAN($O$16) + $O$20 / (2 * SQRT($O$19^2 + AE46^2)) - AE46</f>
        <v>-5.0323935278850929E-3</v>
      </c>
      <c r="AG46" s="8">
        <f t="shared" si="12"/>
        <v>0.38671875</v>
      </c>
      <c r="AH46" s="8">
        <f xml:space="preserve"> $O$19 * TAN($O$16) + $O$20 / (2 * SQRT($O$19^2 + AG46^2)) - AG46</f>
        <v>-4.3780980245844425E-4</v>
      </c>
      <c r="AI46" s="8">
        <f t="shared" si="13"/>
        <v>-1.8259788437201292E-6</v>
      </c>
      <c r="AJ46" s="8">
        <f t="shared" si="14"/>
        <v>2.2032312163365259E-6</v>
      </c>
      <c r="AK46" s="8">
        <f t="shared" si="15"/>
        <v>7.8125E-3</v>
      </c>
    </row>
    <row r="47" spans="2:48" x14ac:dyDescent="0.2">
      <c r="AB47" s="8">
        <v>8</v>
      </c>
      <c r="AC47" s="8">
        <f t="shared" si="16"/>
        <v>0.3828125</v>
      </c>
      <c r="AD47" s="8">
        <f xml:space="preserve"> $O$19 * TAN($O$16) + $O$20 / (2 * SQRT($O$19^2 + AC47^2)) - AC47</f>
        <v>4.1707125639185438E-3</v>
      </c>
      <c r="AE47" s="8">
        <f t="shared" si="17"/>
        <v>0.38671875</v>
      </c>
      <c r="AF47" s="8">
        <f xml:space="preserve"> $O$19 * TAN($O$16) + $O$20 / (2 * SQRT($O$19^2 + AE47^2)) - AE47</f>
        <v>-4.3780980245844425E-4</v>
      </c>
      <c r="AG47" s="8">
        <f t="shared" si="12"/>
        <v>0.384765625</v>
      </c>
      <c r="AH47" s="8">
        <f xml:space="preserve"> $O$19 * TAN($O$16) + $O$20 / (2 * SQRT($O$19^2 + AG47^2)) - AG47</f>
        <v>1.8646827914431952E-3</v>
      </c>
      <c r="AI47" s="8">
        <f t="shared" si="13"/>
        <v>7.7770559459948362E-6</v>
      </c>
      <c r="AJ47" s="8">
        <f t="shared" si="14"/>
        <v>-8.1637640456940571E-7</v>
      </c>
      <c r="AK47" s="8">
        <f t="shared" si="15"/>
        <v>3.90625E-3</v>
      </c>
    </row>
    <row r="48" spans="2:48" x14ac:dyDescent="0.2">
      <c r="AB48" s="8">
        <v>9</v>
      </c>
      <c r="AC48" s="8">
        <f t="shared" si="16"/>
        <v>0.384765625</v>
      </c>
      <c r="AD48" s="8">
        <f xml:space="preserve"> $O$19 * TAN($O$16) + $O$20 / (2 * SQRT($O$19^2 + AC48^2)) - AC48</f>
        <v>1.8646827914431952E-3</v>
      </c>
      <c r="AE48" s="8">
        <f t="shared" si="17"/>
        <v>0.38671875</v>
      </c>
      <c r="AF48" s="8">
        <f xml:space="preserve"> $O$19 * TAN($O$16) + $O$20 / (2 * SQRT($O$19^2 + AE48^2)) - AE48</f>
        <v>-4.3780980245844425E-4</v>
      </c>
      <c r="AG48" s="8">
        <f t="shared" si="12"/>
        <v>0.3857421875</v>
      </c>
      <c r="AH48" s="8">
        <f xml:space="preserve"> $O$19 * TAN($O$16) + $O$20 / (2 * SQRT($O$19^2 + AG48^2)) - AG48</f>
        <v>7.1299767057986241E-4</v>
      </c>
      <c r="AI48" s="8">
        <f t="shared" si="13"/>
        <v>1.3295144866693536E-6</v>
      </c>
      <c r="AJ48" s="8">
        <f t="shared" si="14"/>
        <v>-3.1215736930990045E-7</v>
      </c>
      <c r="AK48" s="8">
        <f t="shared" si="15"/>
        <v>1.953125E-3</v>
      </c>
    </row>
    <row r="49" spans="28:39" x14ac:dyDescent="0.2">
      <c r="AB49" s="8">
        <v>10</v>
      </c>
      <c r="AC49" s="8">
        <f t="shared" si="16"/>
        <v>0.3857421875</v>
      </c>
      <c r="AD49" s="8">
        <f xml:space="preserve"> $O$19 * TAN($O$16) + $O$20 / (2 * SQRT($O$19^2 + AC49^2)) - AC49</f>
        <v>7.1299767057986241E-4</v>
      </c>
      <c r="AE49" s="8">
        <f t="shared" si="17"/>
        <v>0.38671875</v>
      </c>
      <c r="AF49" s="8">
        <f xml:space="preserve"> $O$19 * TAN($O$16) + $O$20 / (2 * SQRT($O$19^2 + AE49^2)) - AE49</f>
        <v>-4.3780980245844425E-4</v>
      </c>
      <c r="AG49" s="8">
        <f t="shared" si="12"/>
        <v>0.38623046875</v>
      </c>
      <c r="AH49" s="8">
        <f xml:space="preserve"> $O$19 * TAN($O$16) + $O$20 / (2 * SQRT($O$19^2 + AG49^2)) - AG49</f>
        <v>1.3748463987989235E-4</v>
      </c>
      <c r="AI49" s="8">
        <f t="shared" si="13"/>
        <v>9.8026227974874502E-8</v>
      </c>
      <c r="AJ49" s="8">
        <f t="shared" si="14"/>
        <v>-6.0192123026886014E-8</v>
      </c>
      <c r="AK49" s="8">
        <f t="shared" si="15"/>
        <v>9.765625E-4</v>
      </c>
    </row>
    <row r="50" spans="28:39" x14ac:dyDescent="0.2">
      <c r="AB50" s="8">
        <v>11</v>
      </c>
      <c r="AC50" s="8">
        <f t="shared" si="16"/>
        <v>0.38623046875</v>
      </c>
      <c r="AD50" s="8">
        <f xml:space="preserve"> $O$19 * TAN($O$16) + $O$20 / (2 * SQRT($O$19^2 + AC50^2)) - AC50</f>
        <v>1.3748463987989235E-4</v>
      </c>
      <c r="AE50" s="8">
        <f t="shared" si="17"/>
        <v>0.38671875</v>
      </c>
      <c r="AF50" s="8">
        <f xml:space="preserve"> $O$19 * TAN($O$16) + $O$20 / (2 * SQRT($O$19^2 + AE50^2)) - AE50</f>
        <v>-4.3780980245844425E-4</v>
      </c>
      <c r="AG50" s="8">
        <f t="shared" si="12"/>
        <v>0.386474609375</v>
      </c>
      <c r="AH50" s="8">
        <f xml:space="preserve"> $O$19 * TAN($O$16) + $O$20 / (2 * SQRT($O$19^2 + AG50^2)) - AG50</f>
        <v>-1.5018985358450365E-4</v>
      </c>
      <c r="AI50" s="8">
        <f t="shared" si="13"/>
        <v>-2.0648797933679243E-8</v>
      </c>
      <c r="AJ50" s="8">
        <f t="shared" si="14"/>
        <v>6.5754590129094204E-8</v>
      </c>
      <c r="AK50" s="8">
        <f t="shared" si="15"/>
        <v>4.8828125E-4</v>
      </c>
    </row>
    <row r="51" spans="28:39" x14ac:dyDescent="0.2">
      <c r="AB51" s="8">
        <v>12</v>
      </c>
      <c r="AC51" s="8">
        <f t="shared" si="16"/>
        <v>0.38623046875</v>
      </c>
      <c r="AD51" s="8">
        <f xml:space="preserve"> $O$19 * TAN($O$16) + $O$20 / (2 * SQRT($O$19^2 + AC51^2)) - AC51</f>
        <v>1.3748463987989235E-4</v>
      </c>
      <c r="AE51" s="8">
        <f t="shared" si="17"/>
        <v>0.386474609375</v>
      </c>
      <c r="AF51" s="8">
        <f xml:space="preserve"> $O$19 * TAN($O$16) + $O$20 / (2 * SQRT($O$19^2 + AE51^2)) - AE51</f>
        <v>-1.5018985358450365E-4</v>
      </c>
      <c r="AG51" s="8">
        <f t="shared" si="12"/>
        <v>0.3863525390625</v>
      </c>
      <c r="AH51" s="8">
        <f xml:space="preserve"> $O$19 * TAN($O$16) + $O$20 / (2 * SQRT($O$19^2 + AG51^2)) - AG51</f>
        <v>-6.3594313223780397E-6</v>
      </c>
      <c r="AI51" s="8">
        <f t="shared" si="13"/>
        <v>-8.7432412519805238E-10</v>
      </c>
      <c r="AJ51" s="8">
        <f t="shared" si="14"/>
        <v>9.5512205918866422E-10</v>
      </c>
      <c r="AK51" s="8">
        <f t="shared" si="15"/>
        <v>2.44140625E-4</v>
      </c>
    </row>
    <row r="52" spans="28:39" x14ac:dyDescent="0.2">
      <c r="AB52" s="8">
        <v>13</v>
      </c>
      <c r="AC52" s="8">
        <f t="shared" si="16"/>
        <v>0.38623046875</v>
      </c>
      <c r="AD52" s="8">
        <f xml:space="preserve"> $O$19 * TAN($O$16) + $O$20 / (2 * SQRT($O$19^2 + AC52^2)) - AC52</f>
        <v>1.3748463987989235E-4</v>
      </c>
      <c r="AE52" s="8">
        <f t="shared" si="17"/>
        <v>0.3863525390625</v>
      </c>
      <c r="AF52" s="8">
        <f xml:space="preserve"> $O$19 * TAN($O$16) + $O$20 / (2 * SQRT($O$19^2 + AE52^2)) - AE52</f>
        <v>-6.3594313223780397E-6</v>
      </c>
      <c r="AG52" s="8">
        <f t="shared" si="12"/>
        <v>0.38629150390625</v>
      </c>
      <c r="AH52" s="8">
        <f xml:space="preserve"> $O$19 * TAN($O$16) + $O$20 / (2 * SQRT($O$19^2 + AG52^2)) - AG52</f>
        <v>6.5560897360872339E-5</v>
      </c>
      <c r="AI52" s="8">
        <f t="shared" si="13"/>
        <v>9.0136163638621175E-9</v>
      </c>
      <c r="AJ52" s="8">
        <f t="shared" si="14"/>
        <v>-4.169300241999433E-10</v>
      </c>
      <c r="AK52" s="8">
        <f t="shared" si="15"/>
        <v>1.220703125E-4</v>
      </c>
    </row>
    <row r="53" spans="28:39" x14ac:dyDescent="0.2">
      <c r="AB53" s="8">
        <v>14</v>
      </c>
      <c r="AC53" s="8">
        <f t="shared" si="16"/>
        <v>0.38629150390625</v>
      </c>
      <c r="AD53" s="8">
        <f xml:space="preserve"> $O$19 * TAN($O$16) + $O$20 / (2 * SQRT($O$19^2 + AC53^2)) - AC53</f>
        <v>6.5560897360872339E-5</v>
      </c>
      <c r="AE53" s="8">
        <f t="shared" si="17"/>
        <v>0.3863525390625</v>
      </c>
      <c r="AF53" s="8">
        <f xml:space="preserve"> $O$19 * TAN($O$16) + $O$20 / (2 * SQRT($O$19^2 + AE53^2)) - AE53</f>
        <v>-6.3594313223780397E-6</v>
      </c>
      <c r="AG53" s="8">
        <f t="shared" si="12"/>
        <v>0.386322021484375</v>
      </c>
      <c r="AH53" s="8">
        <f xml:space="preserve"> $O$19 * TAN($O$16) + $O$20 / (2 * SQRT($O$19^2 + AG53^2)) - AG53</f>
        <v>2.960030638987643E-5</v>
      </c>
      <c r="AI53" s="8">
        <f t="shared" si="13"/>
        <v>1.9406226490770624E-9</v>
      </c>
      <c r="AJ53" s="8">
        <f t="shared" si="14"/>
        <v>-1.8824111560776699E-10</v>
      </c>
      <c r="AK53" s="8">
        <f t="shared" si="15"/>
        <v>6.103515625E-5</v>
      </c>
    </row>
    <row r="54" spans="28:39" x14ac:dyDescent="0.2">
      <c r="AB54" s="8">
        <v>15</v>
      </c>
      <c r="AC54" s="8">
        <f t="shared" si="16"/>
        <v>0.386322021484375</v>
      </c>
      <c r="AD54" s="8">
        <f xml:space="preserve"> $O$19 * TAN($O$16) + $O$20 / (2 * SQRT($O$19^2 + AC54^2)) - AC54</f>
        <v>2.960030638987643E-5</v>
      </c>
      <c r="AE54" s="8">
        <f t="shared" si="17"/>
        <v>0.3863525390625</v>
      </c>
      <c r="AF54" s="8">
        <f xml:space="preserve"> $O$19 * TAN($O$16) + $O$20 / (2 * SQRT($O$19^2 + AE54^2)) - AE54</f>
        <v>-6.3594313223780397E-6</v>
      </c>
      <c r="AG54" s="8">
        <f t="shared" si="12"/>
        <v>0.3863372802734375</v>
      </c>
      <c r="AH54" s="8">
        <f xml:space="preserve"> $O$19 * TAN($O$16) + $O$20 / (2 * SQRT($O$19^2 + AG54^2)) - AG54</f>
        <v>1.1620330888917341E-5</v>
      </c>
      <c r="AI54" s="8">
        <f t="shared" si="13"/>
        <v>3.4396535466369839E-10</v>
      </c>
      <c r="AJ54" s="8">
        <f t="shared" si="14"/>
        <v>-7.3898696231377987E-11</v>
      </c>
      <c r="AK54" s="8">
        <f t="shared" si="15"/>
        <v>3.0517578125E-5</v>
      </c>
    </row>
    <row r="55" spans="28:39" x14ac:dyDescent="0.2">
      <c r="AB55" s="8">
        <v>16</v>
      </c>
      <c r="AC55" s="8">
        <f t="shared" si="16"/>
        <v>0.3863372802734375</v>
      </c>
      <c r="AD55" s="8">
        <f xml:space="preserve"> $O$19 * TAN($O$16) + $O$20 / (2 * SQRT($O$19^2 + AC55^2)) - AC55</f>
        <v>1.1620330888917341E-5</v>
      </c>
      <c r="AE55" s="8">
        <f t="shared" si="17"/>
        <v>0.3863525390625</v>
      </c>
      <c r="AF55" s="8">
        <f xml:space="preserve"> $O$19 * TAN($O$16) + $O$20 / (2 * SQRT($O$19^2 + AE55^2)) - AE55</f>
        <v>-6.3594313223780397E-6</v>
      </c>
      <c r="AG55" s="8">
        <f t="shared" si="12"/>
        <v>0.38634490966796875</v>
      </c>
      <c r="AH55" s="8">
        <f xml:space="preserve"> $O$19 * TAN($O$16) + $O$20 / (2 * SQRT($O$19^2 + AG55^2)) - AG55</f>
        <v>2.6304231236506936E-6</v>
      </c>
      <c r="AI55" s="8">
        <f t="shared" si="13"/>
        <v>3.0566387074680592E-11</v>
      </c>
      <c r="AJ55" s="8">
        <f t="shared" si="14"/>
        <v>-1.6727995203651705E-11</v>
      </c>
      <c r="AK55" s="8">
        <f t="shared" si="15"/>
        <v>1.52587890625E-5</v>
      </c>
      <c r="AM55" s="8"/>
    </row>
    <row r="56" spans="28:39" x14ac:dyDescent="0.2">
      <c r="AB56" s="8">
        <v>17</v>
      </c>
      <c r="AC56" s="8">
        <f t="shared" si="16"/>
        <v>0.38634490966796875</v>
      </c>
      <c r="AD56" s="8">
        <f xml:space="preserve"> $O$19 * TAN($O$16) + $O$20 / (2 * SQRT($O$19^2 + AC56^2)) - AC56</f>
        <v>2.6304231236506936E-6</v>
      </c>
      <c r="AE56" s="8">
        <f t="shared" si="17"/>
        <v>0.3863525390625</v>
      </c>
      <c r="AF56" s="8">
        <f xml:space="preserve"> $O$19 * TAN($O$16) + $O$20 / (2 * SQRT($O$19^2 + AE56^2)) - AE56</f>
        <v>-6.3594313223780397E-6</v>
      </c>
      <c r="AG56" s="8">
        <f t="shared" si="12"/>
        <v>0.38634872436523438</v>
      </c>
      <c r="AH56" s="8">
        <f xml:space="preserve"> $O$19 * TAN($O$16) + $O$20 / (2 * SQRT($O$19^2 + AG56^2)) - AG56</f>
        <v>-1.8645107641157566E-6</v>
      </c>
      <c r="AI56" s="8">
        <f t="shared" si="13"/>
        <v>-4.9044522282257098E-12</v>
      </c>
      <c r="AJ56" s="8">
        <f t="shared" si="14"/>
        <v>1.1857228154228755E-11</v>
      </c>
      <c r="AK56" s="8">
        <f t="shared" si="15"/>
        <v>7.62939453125E-6</v>
      </c>
      <c r="AM56" s="8"/>
    </row>
    <row r="57" spans="28:39" x14ac:dyDescent="0.2">
      <c r="AB57" s="8">
        <v>18</v>
      </c>
      <c r="AC57" s="8">
        <f t="shared" si="16"/>
        <v>0.38634490966796875</v>
      </c>
      <c r="AD57" s="8">
        <f xml:space="preserve"> $O$19 * TAN($O$16) + $O$20 / (2 * SQRT($O$19^2 + AC57^2)) - AC57</f>
        <v>2.6304231236506936E-6</v>
      </c>
      <c r="AE57" s="8">
        <f t="shared" si="17"/>
        <v>0.38634872436523438</v>
      </c>
      <c r="AF57" s="8">
        <f xml:space="preserve"> $O$19 * TAN($O$16) + $O$20 / (2 * SQRT($O$19^2 + AE57^2)) - AE57</f>
        <v>-1.8645107641157566E-6</v>
      </c>
      <c r="AG57" s="8">
        <f t="shared" si="12"/>
        <v>0.38634681701660156</v>
      </c>
      <c r="AH57" s="8">
        <f xml:space="preserve"> $O$19 * TAN($O$16) + $O$20 / (2 * SQRT($O$19^2 + AG57^2)) - AG57</f>
        <v>3.8295451354475318E-7</v>
      </c>
      <c r="AI57" s="8">
        <f t="shared" si="13"/>
        <v>1.0073324077345215E-12</v>
      </c>
      <c r="AJ57" s="8">
        <f t="shared" si="14"/>
        <v>-7.1402281267090562E-13</v>
      </c>
      <c r="AK57" s="8">
        <f t="shared" si="15"/>
        <v>3.814697265625E-6</v>
      </c>
      <c r="AM57" s="8"/>
    </row>
    <row r="58" spans="28:39" x14ac:dyDescent="0.2">
      <c r="AB58" s="8">
        <v>19</v>
      </c>
      <c r="AC58" s="8">
        <f t="shared" si="16"/>
        <v>0.38634681701660156</v>
      </c>
      <c r="AD58" s="8">
        <f xml:space="preserve"> $O$19 * TAN($O$16) + $O$20 / (2 * SQRT($O$19^2 + AC58^2)) - AC58</f>
        <v>3.8295451354475318E-7</v>
      </c>
      <c r="AE58" s="8">
        <f t="shared" si="17"/>
        <v>0.38634872436523438</v>
      </c>
      <c r="AF58" s="8">
        <f xml:space="preserve"> $O$19 * TAN($O$16) + $O$20 / (2 * SQRT($O$19^2 + AE58^2)) - AE58</f>
        <v>-1.8645107641157566E-6</v>
      </c>
      <c r="AG58" s="8">
        <f t="shared" si="12"/>
        <v>0.38634777069091797</v>
      </c>
      <c r="AH58" s="8">
        <f xml:space="preserve"> $O$19 * TAN($O$16) + $O$20 / (2 * SQRT($O$19^2 + AG58^2)) - AG58</f>
        <v>-7.4077854184118053E-7</v>
      </c>
      <c r="AI58" s="8">
        <f t="shared" si="13"/>
        <v>-2.8368448613518089E-13</v>
      </c>
      <c r="AJ58" s="8">
        <f t="shared" si="14"/>
        <v>1.3811895650888554E-12</v>
      </c>
      <c r="AK58" s="8">
        <f t="shared" si="15"/>
        <v>1.9073486328125E-6</v>
      </c>
    </row>
    <row r="59" spans="28:39" x14ac:dyDescent="0.2">
      <c r="AB59" s="8">
        <v>20</v>
      </c>
      <c r="AC59" s="8">
        <f t="shared" si="16"/>
        <v>0.38634681701660156</v>
      </c>
      <c r="AD59" s="8">
        <f xml:space="preserve"> $O$19 * TAN($O$16) + $O$20 / (2 * SQRT($O$19^2 + AC59^2)) - AC59</f>
        <v>3.8295451354475318E-7</v>
      </c>
      <c r="AE59" s="8">
        <f t="shared" si="17"/>
        <v>0.38634777069091797</v>
      </c>
      <c r="AF59" s="8">
        <f xml:space="preserve"> $O$19 * TAN($O$16) + $O$20 / (2 * SQRT($O$19^2 + AE59^2)) - AE59</f>
        <v>-7.4077854184118053E-7</v>
      </c>
      <c r="AG59" s="8">
        <f t="shared" si="12"/>
        <v>0.38634729385375977</v>
      </c>
      <c r="AH59" s="8">
        <f xml:space="preserve"> $O$19 * TAN($O$16) + $O$20 / (2 * SQRT($O$19^2 + AG59^2)) - AG59</f>
        <v>-1.7891211823162223E-7</v>
      </c>
      <c r="AI59" s="8">
        <f t="shared" si="13"/>
        <v>-6.851520320465226E-14</v>
      </c>
      <c r="AJ59" s="8">
        <f t="shared" si="14"/>
        <v>1.3253425806133801E-13</v>
      </c>
      <c r="AK59" s="8">
        <f t="shared" si="15"/>
        <v>9.5367431640625E-7</v>
      </c>
    </row>
    <row r="60" spans="28:39" x14ac:dyDescent="0.2">
      <c r="AB60" s="8">
        <v>21</v>
      </c>
      <c r="AC60" s="8">
        <f t="shared" si="16"/>
        <v>0.38634681701660156</v>
      </c>
      <c r="AD60" s="8">
        <f xml:space="preserve"> $O$19 * TAN($O$16) + $O$20 / (2 * SQRT($O$19^2 + AC60^2)) - AC60</f>
        <v>3.8295451354475318E-7</v>
      </c>
      <c r="AE60" s="8">
        <f t="shared" si="17"/>
        <v>0.38634729385375977</v>
      </c>
      <c r="AF60" s="8">
        <f xml:space="preserve"> $O$19 * TAN($O$16) + $O$20 / (2 * SQRT($O$19^2 + AE60^2)) - AE60</f>
        <v>-1.7891211823162223E-7</v>
      </c>
      <c r="AG60" s="8">
        <f t="shared" si="12"/>
        <v>0.38634705543518066</v>
      </c>
      <c r="AH60" s="8">
        <f xml:space="preserve"> $O$19 * TAN($O$16) + $O$20 / (2 * SQRT($O$19^2 + AG60^2)) - AG60</f>
        <v>1.0202117162183555E-7</v>
      </c>
      <c r="AI60" s="8">
        <f t="shared" si="13"/>
        <v>3.9069468149705812E-14</v>
      </c>
      <c r="AJ60" s="8">
        <f t="shared" si="14"/>
        <v>-1.8252823919334464E-14</v>
      </c>
      <c r="AK60" s="8">
        <f t="shared" si="15"/>
        <v>4.76837158203125E-7</v>
      </c>
    </row>
    <row r="61" spans="28:39" x14ac:dyDescent="0.2">
      <c r="AB61" s="8">
        <v>22</v>
      </c>
      <c r="AC61" s="8">
        <f t="shared" si="16"/>
        <v>0.38634705543518066</v>
      </c>
      <c r="AD61" s="8">
        <f xml:space="preserve"> $O$19 * TAN($O$16) + $O$20 / (2 * SQRT($O$19^2 + AC61^2)) - AC61</f>
        <v>1.0202117162183555E-7</v>
      </c>
      <c r="AE61" s="8">
        <f t="shared" si="17"/>
        <v>0.38634729385375977</v>
      </c>
      <c r="AF61" s="8">
        <f xml:space="preserve"> $O$19 * TAN($O$16) + $O$20 / (2 * SQRT($O$19^2 + AE61^2)) - AE61</f>
        <v>-1.7891211823162223E-7</v>
      </c>
      <c r="AG61" s="8">
        <f t="shared" si="12"/>
        <v>0.38634717464447021</v>
      </c>
      <c r="AH61" s="8">
        <f xml:space="preserve"> $O$19 * TAN($O$16) + $O$20 / (2 * SQRT($O$19^2 + AG61^2)) - AG61</f>
        <v>-3.8445479799698035E-8</v>
      </c>
      <c r="AI61" s="8">
        <f t="shared" si="13"/>
        <v>-3.9222528927288052E-15</v>
      </c>
      <c r="AJ61" s="8">
        <f t="shared" si="14"/>
        <v>6.8783622273950192E-15</v>
      </c>
      <c r="AK61" s="8">
        <f t="shared" si="15"/>
        <v>2.384185791015625E-7</v>
      </c>
    </row>
    <row r="62" spans="28:39" x14ac:dyDescent="0.2">
      <c r="AB62" s="8">
        <v>23</v>
      </c>
      <c r="AC62" s="8">
        <f t="shared" si="16"/>
        <v>0.38634705543518066</v>
      </c>
      <c r="AD62" s="8">
        <f xml:space="preserve"> $O$19 * TAN($O$16) + $O$20 / (2 * SQRT($O$19^2 + AC62^2)) - AC62</f>
        <v>1.0202117162183555E-7</v>
      </c>
      <c r="AE62" s="8">
        <f t="shared" si="17"/>
        <v>0.38634717464447021</v>
      </c>
      <c r="AF62" s="8">
        <f xml:space="preserve"> $O$19 * TAN($O$16) + $O$20 / (2 * SQRT($O$19^2 + AE62^2)) - AE62</f>
        <v>-3.8445479799698035E-8</v>
      </c>
      <c r="AG62" s="8">
        <f t="shared" si="12"/>
        <v>0.38634711503982544</v>
      </c>
      <c r="AH62" s="8">
        <f xml:space="preserve"> $O$19 * TAN($O$16) + $O$20 / (2 * SQRT($O$19^2 + AG62^2)) - AG62</f>
        <v>3.178784424573422E-8</v>
      </c>
      <c r="AI62" s="8">
        <f t="shared" si="13"/>
        <v>3.2430331132822286E-15</v>
      </c>
      <c r="AJ62" s="8">
        <f t="shared" si="14"/>
        <v>-1.2220989238253223E-15</v>
      </c>
      <c r="AK62" s="8">
        <f t="shared" si="15"/>
        <v>1.1920928955078125E-7</v>
      </c>
    </row>
    <row r="63" spans="28:39" x14ac:dyDescent="0.2">
      <c r="AB63" s="8">
        <v>24</v>
      </c>
      <c r="AC63" s="8">
        <f t="shared" si="16"/>
        <v>0.38634711503982544</v>
      </c>
      <c r="AD63" s="8">
        <f xml:space="preserve"> $O$19 * TAN($O$16) + $O$20 / (2 * SQRT($O$19^2 + AC63^2)) - AC63</f>
        <v>3.178784424573422E-8</v>
      </c>
      <c r="AE63" s="8">
        <f t="shared" si="17"/>
        <v>0.38634717464447021</v>
      </c>
      <c r="AF63" s="8">
        <f xml:space="preserve"> $O$19 * TAN($O$16) + $O$20 / (2 * SQRT($O$19^2 + AE63^2)) - AE63</f>
        <v>-3.8445479799698035E-8</v>
      </c>
      <c r="AG63" s="8">
        <f t="shared" si="12"/>
        <v>0.38634714484214783</v>
      </c>
      <c r="AH63" s="8">
        <f xml:space="preserve"> $O$19 * TAN($O$16) + $O$20 / (2 * SQRT($O$19^2 + AG63^2)) - AG63</f>
        <v>-3.328818221071117E-9</v>
      </c>
      <c r="AI63" s="8">
        <f t="shared" si="13"/>
        <v>-1.0581595513377073E-16</v>
      </c>
      <c r="AJ63" s="8">
        <f t="shared" si="14"/>
        <v>1.2797801367505636E-16</v>
      </c>
      <c r="AK63" s="8">
        <f t="shared" si="15"/>
        <v>5.9604644775390625E-8</v>
      </c>
    </row>
    <row r="64" spans="28:39" x14ac:dyDescent="0.2">
      <c r="AB64" s="8">
        <v>25</v>
      </c>
      <c r="AC64" s="8">
        <f t="shared" si="16"/>
        <v>0.38634711503982544</v>
      </c>
      <c r="AD64" s="8">
        <f xml:space="preserve"> $O$19 * TAN($O$16) + $O$20 / (2 * SQRT($O$19^2 + AC64^2)) - AC64</f>
        <v>3.178784424573422E-8</v>
      </c>
      <c r="AE64" s="8">
        <f t="shared" si="17"/>
        <v>0.38634714484214783</v>
      </c>
      <c r="AF64" s="8">
        <f xml:space="preserve"> $O$19 * TAN($O$16) + $O$20 / (2 * SQRT($O$19^2 + AE64^2)) - AE64</f>
        <v>-3.328818221071117E-9</v>
      </c>
      <c r="AG64" s="8">
        <f t="shared" si="12"/>
        <v>0.38634712994098663</v>
      </c>
      <c r="AH64" s="8">
        <f xml:space="preserve"> $O$19 * TAN($O$16) + $O$20 / (2 * SQRT($O$19^2 + AG64^2)) - AG64</f>
        <v>1.42295129568204E-8</v>
      </c>
      <c r="AI64" s="8">
        <f t="shared" si="13"/>
        <v>4.5232554156406388E-16</v>
      </c>
      <c r="AJ64" s="8">
        <f t="shared" si="14"/>
        <v>-4.7367462007631296E-17</v>
      </c>
      <c r="AK64" s="8">
        <f t="shared" si="15"/>
        <v>2.9802322387695312E-8</v>
      </c>
    </row>
    <row r="65" spans="28:37" x14ac:dyDescent="0.2">
      <c r="AB65" s="8">
        <v>26</v>
      </c>
      <c r="AC65" s="8">
        <f t="shared" si="16"/>
        <v>0.38634712994098663</v>
      </c>
      <c r="AD65" s="8">
        <f xml:space="preserve"> $O$19 * TAN($O$16) + $O$20 / (2 * SQRT($O$19^2 + AC65^2)) - AC65</f>
        <v>1.42295129568204E-8</v>
      </c>
      <c r="AE65" s="8">
        <f t="shared" si="17"/>
        <v>0.38634714484214783</v>
      </c>
      <c r="AF65" s="8">
        <f xml:space="preserve"> $O$19 * TAN($O$16) + $O$20 / (2 * SQRT($O$19^2 + AE65^2)) - AE65</f>
        <v>-3.328818221071117E-9</v>
      </c>
      <c r="AG65" s="8">
        <f t="shared" si="12"/>
        <v>0.38634713739156723</v>
      </c>
      <c r="AH65" s="8">
        <f xml:space="preserve"> $O$19 * TAN($O$16) + $O$20 / (2 * SQRT($O$19^2 + AG65^2)) - AG65</f>
        <v>5.4503473401190661E-9</v>
      </c>
      <c r="AI65" s="8">
        <f t="shared" si="13"/>
        <v>7.7555788095395853E-17</v>
      </c>
      <c r="AJ65" s="8">
        <f t="shared" si="14"/>
        <v>-1.8143215536954844E-17</v>
      </c>
      <c r="AK65" s="8">
        <f t="shared" si="15"/>
        <v>1.4901161193847656E-8</v>
      </c>
    </row>
    <row r="66" spans="28:37" x14ac:dyDescent="0.2">
      <c r="AB66" s="8">
        <v>27</v>
      </c>
      <c r="AC66" s="8">
        <f t="shared" si="16"/>
        <v>0.38634713739156723</v>
      </c>
      <c r="AD66" s="8">
        <f xml:space="preserve"> $O$19 * TAN($O$16) + $O$20 / (2 * SQRT($O$19^2 + AC66^2)) - AC66</f>
        <v>5.4503473401190661E-9</v>
      </c>
      <c r="AE66" s="8">
        <f t="shared" si="17"/>
        <v>0.38634714484214783</v>
      </c>
      <c r="AF66" s="8">
        <f xml:space="preserve"> $O$19 * TAN($O$16) + $O$20 / (2 * SQRT($O$19^2 + AE66^2)) - AE66</f>
        <v>-3.328818221071117E-9</v>
      </c>
      <c r="AG66" s="8">
        <f t="shared" si="12"/>
        <v>0.38634714111685753</v>
      </c>
      <c r="AH66" s="8">
        <f xml:space="preserve"> $O$19 * TAN($O$16) + $O$20 / (2 * SQRT($O$19^2 + AG66^2)) - AG66</f>
        <v>1.0607645872795501E-9</v>
      </c>
      <c r="AI66" s="8">
        <f t="shared" si="13"/>
        <v>5.781535446771595E-18</v>
      </c>
      <c r="AJ66" s="8">
        <f t="shared" si="14"/>
        <v>-3.5310924864031498E-18</v>
      </c>
      <c r="AK66" s="8">
        <f t="shared" si="15"/>
        <v>7.4505805969238281E-9</v>
      </c>
    </row>
    <row r="67" spans="28:37" x14ac:dyDescent="0.2">
      <c r="AB67" s="8">
        <v>28</v>
      </c>
      <c r="AC67" s="8">
        <f t="shared" si="16"/>
        <v>0.38634714111685753</v>
      </c>
      <c r="AD67" s="8">
        <f xml:space="preserve"> $O$19 * TAN($O$16) + $O$20 / (2 * SQRT($O$19^2 + AC67^2)) - AC67</f>
        <v>1.0607645872795501E-9</v>
      </c>
      <c r="AE67" s="8">
        <f t="shared" si="17"/>
        <v>0.38634714484214783</v>
      </c>
      <c r="AF67" s="8">
        <f xml:space="preserve"> $O$19 * TAN($O$16) + $O$20 / (2 * SQRT($O$19^2 + AE67^2)) - AE67</f>
        <v>-3.328818221071117E-9</v>
      </c>
      <c r="AG67" s="8">
        <f t="shared" si="12"/>
        <v>0.38634714297950268</v>
      </c>
      <c r="AH67" s="8">
        <f xml:space="preserve"> $O$19 * TAN($O$16) + $O$20 / (2 * SQRT($O$19^2 + AG67^2)) - AG67</f>
        <v>-1.1340268168957834E-9</v>
      </c>
      <c r="AI67" s="8">
        <f t="shared" si="13"/>
        <v>-1.2029354883883977E-18</v>
      </c>
      <c r="AJ67" s="8">
        <f t="shared" si="14"/>
        <v>3.7749691312659632E-18</v>
      </c>
      <c r="AK67" s="8">
        <f t="shared" si="15"/>
        <v>3.7252902984619141E-9</v>
      </c>
    </row>
    <row r="68" spans="28:37" x14ac:dyDescent="0.2">
      <c r="AB68" s="8">
        <v>29</v>
      </c>
      <c r="AC68" s="8">
        <f t="shared" si="16"/>
        <v>0.38634714111685753</v>
      </c>
      <c r="AD68" s="8">
        <f xml:space="preserve"> $O$19 * TAN($O$16) + $O$20 / (2 * SQRT($O$19^2 + AC68^2)) - AC68</f>
        <v>1.0607645872795501E-9</v>
      </c>
      <c r="AE68" s="8">
        <f t="shared" si="17"/>
        <v>0.38634714297950268</v>
      </c>
      <c r="AF68" s="8">
        <f xml:space="preserve"> $O$19 * TAN($O$16) + $O$20 / (2 * SQRT($O$19^2 + AE68^2)) - AE68</f>
        <v>-1.1340268168957834E-9</v>
      </c>
      <c r="AG68" s="8">
        <f t="shared" si="12"/>
        <v>0.3863471420481801</v>
      </c>
      <c r="AH68" s="8">
        <f xml:space="preserve"> $O$19 * TAN($O$16) + $O$20 / (2 * SQRT($O$19^2 + AG68^2)) - AG68</f>
        <v>-3.6631142563692265E-11</v>
      </c>
      <c r="AI68" s="8">
        <f t="shared" si="13"/>
        <v>-3.8857018823153388E-20</v>
      </c>
      <c r="AJ68" s="8">
        <f t="shared" si="14"/>
        <v>4.1540698000759587E-20</v>
      </c>
      <c r="AK68" s="8">
        <f t="shared" si="15"/>
        <v>1.862645149230957E-9</v>
      </c>
    </row>
    <row r="69" spans="28:37" x14ac:dyDescent="0.2">
      <c r="AB69" s="8">
        <v>30</v>
      </c>
      <c r="AC69" s="8">
        <f t="shared" si="16"/>
        <v>0.38634714111685753</v>
      </c>
      <c r="AD69" s="8">
        <f xml:space="preserve"> $O$19 * TAN($O$16) + $O$20 / (2 * SQRT($O$19^2 + AC69^2)) - AC69</f>
        <v>1.0607645872795501E-9</v>
      </c>
      <c r="AE69" s="8">
        <f t="shared" si="17"/>
        <v>0.3863471420481801</v>
      </c>
      <c r="AF69" s="8">
        <f xml:space="preserve"> $O$19 * TAN($O$16) + $O$20 / (2 * SQRT($O$19^2 + AE69^2)) - AE69</f>
        <v>-3.6631142563692265E-11</v>
      </c>
      <c r="AG69" s="8">
        <f t="shared" si="12"/>
        <v>0.38634714158251882</v>
      </c>
      <c r="AH69" s="8">
        <f xml:space="preserve"> $O$19 * TAN($O$16) + $O$20 / (2 * SQRT($O$19^2 + AG69^2)) - AG69</f>
        <v>5.1206672235792894E-10</v>
      </c>
      <c r="AI69" s="8">
        <f t="shared" si="13"/>
        <v>5.4318224540160048E-19</v>
      </c>
      <c r="AJ69" s="8">
        <f t="shared" si="14"/>
        <v>-1.875758910881592E-20</v>
      </c>
      <c r="AK69" s="8">
        <f t="shared" si="15"/>
        <v>9.3132257461547852E-10</v>
      </c>
    </row>
    <row r="72" spans="28:37" x14ac:dyDescent="0.2">
      <c r="AB72" s="6" t="s">
        <v>163</v>
      </c>
    </row>
    <row r="73" spans="28:37" x14ac:dyDescent="0.2">
      <c r="AB73" s="7" t="s">
        <v>70</v>
      </c>
      <c r="AC73" s="7" t="s">
        <v>71</v>
      </c>
      <c r="AD73" s="7" t="s">
        <v>72</v>
      </c>
      <c r="AE73" s="7" t="s">
        <v>73</v>
      </c>
      <c r="AF73" s="7" t="s">
        <v>74</v>
      </c>
      <c r="AG73" s="7" t="s">
        <v>75</v>
      </c>
      <c r="AH73" s="7" t="s">
        <v>76</v>
      </c>
      <c r="AI73" s="7" t="s">
        <v>77</v>
      </c>
      <c r="AJ73" s="7" t="s">
        <v>78</v>
      </c>
      <c r="AK73" s="7" t="s">
        <v>79</v>
      </c>
    </row>
    <row r="74" spans="28:37" x14ac:dyDescent="0.2">
      <c r="AB74" s="8">
        <v>0</v>
      </c>
      <c r="AC74" s="9">
        <v>0</v>
      </c>
      <c r="AD74" s="8">
        <f xml:space="preserve"> $W$19 * TAN($W$16) + $W$20 / (2 * SQRT($W$19^2 + AC74^2)) - AC74</f>
        <v>0.5975208667762576</v>
      </c>
      <c r="AE74" s="9">
        <v>1</v>
      </c>
      <c r="AF74" s="8">
        <f xml:space="preserve"> $W$19 * TAN($W$16) + $W$20 / (2 * SQRT($W$19^2 + AE74^2)) - AE74</f>
        <v>-0.67512474724917793</v>
      </c>
      <c r="AG74" s="8">
        <f xml:space="preserve"> (AC74 + AE74)/2</f>
        <v>0.5</v>
      </c>
      <c r="AH74" s="8">
        <f xml:space="preserve"> $W$19 * TAN($W$16) + $W$20 / (2 * SQRT($W$19^2 + AG74^2)) - AG74</f>
        <v>-0.16736602648146237</v>
      </c>
      <c r="AI74" s="8">
        <f>AD74*AH74</f>
        <v>-0.10000469321210148</v>
      </c>
      <c r="AJ74" s="8">
        <f>AF74*AH74</f>
        <v>0.1129929463263965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18" xml:space="preserve"> $W$19 * TAN($W$16) + $W$20 / (2 * SQRT($W$19^2 + AC75^2)) - AC75</f>
        <v>0.5975208667762576</v>
      </c>
      <c r="AE75" s="8">
        <f>IF(AJ74&gt;0, AG74, AE74)</f>
        <v>0.5</v>
      </c>
      <c r="AF75" s="8">
        <f t="shared" ref="AF75:AF104" si="19" xml:space="preserve"> $W$19 * TAN($W$16) + $W$20 / (2 * SQRT($W$19^2 + AE75^2)) - AE75</f>
        <v>-0.16736602648146237</v>
      </c>
      <c r="AG75" s="8">
        <f t="shared" ref="AG75:AG104" si="20" xml:space="preserve"> (AC75 + AE75)/2</f>
        <v>0.25</v>
      </c>
      <c r="AH75" s="8">
        <f t="shared" ref="AH75:AH104" si="21" xml:space="preserve"> $W$19 * TAN($W$16) + $W$20 / (2 * SQRT($W$19^2 + AG75^2)) - AG75</f>
        <v>9.8027265616592196E-2</v>
      </c>
      <c r="AI75" s="8">
        <f t="shared" ref="AI75:AI104" si="22">AD75*AH75</f>
        <v>5.8573336718932605E-2</v>
      </c>
      <c r="AJ75" s="8">
        <f t="shared" ref="AJ75:AJ104" si="23">AF75*AH75</f>
        <v>-1.6406433933091914E-2</v>
      </c>
      <c r="AK75" s="8">
        <f t="shared" ref="AK75:AK104" si="24">AE75-AC75</f>
        <v>0.5</v>
      </c>
    </row>
    <row r="76" spans="28:37" x14ac:dyDescent="0.2">
      <c r="AB76" s="8">
        <v>2</v>
      </c>
      <c r="AC76" s="8">
        <f t="shared" ref="AC76:AC104" si="25">IF(AI75&gt;0, AG75, AC75)</f>
        <v>0.25</v>
      </c>
      <c r="AD76" s="8">
        <f t="shared" si="18"/>
        <v>9.8027265616592196E-2</v>
      </c>
      <c r="AE76" s="8">
        <f t="shared" ref="AE76:AE104" si="26">IF(AJ75&gt;0, AG75, AE75)</f>
        <v>0.5</v>
      </c>
      <c r="AF76" s="8">
        <f t="shared" si="19"/>
        <v>-0.16736602648146237</v>
      </c>
      <c r="AG76" s="8">
        <f t="shared" si="20"/>
        <v>0.375</v>
      </c>
      <c r="AH76" s="8">
        <f t="shared" si="21"/>
        <v>-3.7212254542391243E-2</v>
      </c>
      <c r="AI76" s="8">
        <f t="shared" si="22"/>
        <v>-3.647815560219226E-3</v>
      </c>
      <c r="AJ76" s="8">
        <f t="shared" si="23"/>
        <v>6.228067179176771E-3</v>
      </c>
      <c r="AK76" s="8">
        <f t="shared" si="24"/>
        <v>0.25</v>
      </c>
    </row>
    <row r="77" spans="28:37" x14ac:dyDescent="0.2">
      <c r="AB77" s="8">
        <v>3</v>
      </c>
      <c r="AC77" s="8">
        <f t="shared" si="25"/>
        <v>0.25</v>
      </c>
      <c r="AD77" s="8">
        <f xml:space="preserve"> $W$19 * TAN($W$16) + $W$20 / (2 * SQRT($W$19^2 + AC77^2)) - AC77</f>
        <v>9.8027265616592196E-2</v>
      </c>
      <c r="AE77" s="8">
        <f t="shared" si="26"/>
        <v>0.375</v>
      </c>
      <c r="AF77" s="8">
        <f t="shared" si="19"/>
        <v>-3.7212254542391243E-2</v>
      </c>
      <c r="AG77" s="8">
        <f t="shared" si="20"/>
        <v>0.3125</v>
      </c>
      <c r="AH77" s="8">
        <f t="shared" si="21"/>
        <v>2.9395892940052515E-2</v>
      </c>
      <c r="AI77" s="8">
        <f t="shared" si="22"/>
        <v>2.8815990052714351E-3</v>
      </c>
      <c r="AJ77" s="8">
        <f t="shared" si="23"/>
        <v>-1.0938874505861159E-3</v>
      </c>
      <c r="AK77" s="8">
        <f t="shared" si="24"/>
        <v>0.125</v>
      </c>
    </row>
    <row r="78" spans="28:37" x14ac:dyDescent="0.2">
      <c r="AB78" s="8">
        <v>4</v>
      </c>
      <c r="AC78" s="8">
        <f t="shared" si="25"/>
        <v>0.3125</v>
      </c>
      <c r="AD78" s="8">
        <f t="shared" si="18"/>
        <v>2.9395892940052515E-2</v>
      </c>
      <c r="AE78" s="8">
        <f t="shared" si="26"/>
        <v>0.375</v>
      </c>
      <c r="AF78" s="8">
        <f t="shared" si="19"/>
        <v>-3.7212254542391243E-2</v>
      </c>
      <c r="AG78" s="8">
        <f t="shared" si="20"/>
        <v>0.34375</v>
      </c>
      <c r="AH78" s="8">
        <f t="shared" si="21"/>
        <v>-4.0930922149050586E-3</v>
      </c>
      <c r="AI78" s="8">
        <f t="shared" si="22"/>
        <v>-1.2032010054311153E-4</v>
      </c>
      <c r="AJ78" s="8">
        <f t="shared" si="23"/>
        <v>1.5231318936652699E-4</v>
      </c>
      <c r="AK78" s="8">
        <f t="shared" si="24"/>
        <v>6.25E-2</v>
      </c>
    </row>
    <row r="79" spans="28:37" x14ac:dyDescent="0.2">
      <c r="AB79" s="8">
        <v>5</v>
      </c>
      <c r="AC79" s="8">
        <f t="shared" si="25"/>
        <v>0.3125</v>
      </c>
      <c r="AD79" s="8">
        <f t="shared" si="18"/>
        <v>2.9395892940052515E-2</v>
      </c>
      <c r="AE79" s="8">
        <f t="shared" si="26"/>
        <v>0.34375</v>
      </c>
      <c r="AF79" s="8">
        <f t="shared" si="19"/>
        <v>-4.0930922149050586E-3</v>
      </c>
      <c r="AG79" s="8">
        <f t="shared" si="20"/>
        <v>0.328125</v>
      </c>
      <c r="AH79" s="8">
        <f t="shared" si="21"/>
        <v>1.259865960423584E-2</v>
      </c>
      <c r="AI79" s="8">
        <f t="shared" si="22"/>
        <v>3.7034884891428115E-4</v>
      </c>
      <c r="AJ79" s="8">
        <f t="shared" si="23"/>
        <v>-5.1567475544336564E-5</v>
      </c>
      <c r="AK79" s="8">
        <f t="shared" si="24"/>
        <v>3.125E-2</v>
      </c>
    </row>
    <row r="80" spans="28:37" x14ac:dyDescent="0.2">
      <c r="AB80" s="8">
        <v>6</v>
      </c>
      <c r="AC80" s="8">
        <f t="shared" si="25"/>
        <v>0.328125</v>
      </c>
      <c r="AD80" s="8">
        <f t="shared" si="18"/>
        <v>1.259865960423584E-2</v>
      </c>
      <c r="AE80" s="8">
        <f t="shared" si="26"/>
        <v>0.34375</v>
      </c>
      <c r="AF80" s="8">
        <f t="shared" si="19"/>
        <v>-4.0930922149050586E-3</v>
      </c>
      <c r="AG80" s="8">
        <f t="shared" si="20"/>
        <v>0.3359375</v>
      </c>
      <c r="AH80" s="8">
        <f t="shared" si="21"/>
        <v>4.2405056803919705E-3</v>
      </c>
      <c r="AI80" s="8">
        <f t="shared" si="22"/>
        <v>5.3424687617086936E-5</v>
      </c>
      <c r="AJ80" s="8">
        <f t="shared" si="23"/>
        <v>-1.7356780787673053E-5</v>
      </c>
      <c r="AK80" s="8">
        <f t="shared" si="24"/>
        <v>1.5625E-2</v>
      </c>
    </row>
    <row r="81" spans="28:37" x14ac:dyDescent="0.2">
      <c r="AB81" s="8">
        <v>7</v>
      </c>
      <c r="AC81" s="8">
        <f t="shared" si="25"/>
        <v>0.3359375</v>
      </c>
      <c r="AD81" s="8">
        <f t="shared" si="18"/>
        <v>4.2405056803919705E-3</v>
      </c>
      <c r="AE81" s="8">
        <f t="shared" si="26"/>
        <v>0.34375</v>
      </c>
      <c r="AF81" s="8">
        <f t="shared" si="19"/>
        <v>-4.0930922149050586E-3</v>
      </c>
      <c r="AG81" s="8">
        <f t="shared" si="20"/>
        <v>0.33984375</v>
      </c>
      <c r="AH81" s="8">
        <f t="shared" si="21"/>
        <v>7.074165775849961E-5</v>
      </c>
      <c r="AI81" s="8">
        <f t="shared" si="22"/>
        <v>2.9998040156526229E-7</v>
      </c>
      <c r="AJ81" s="8">
        <f t="shared" si="23"/>
        <v>-2.895521286407928E-7</v>
      </c>
      <c r="AK81" s="8">
        <f t="shared" si="24"/>
        <v>7.8125E-3</v>
      </c>
    </row>
    <row r="82" spans="28:37" x14ac:dyDescent="0.2">
      <c r="AB82" s="8">
        <v>8</v>
      </c>
      <c r="AC82" s="8">
        <f t="shared" si="25"/>
        <v>0.33984375</v>
      </c>
      <c r="AD82" s="8">
        <f t="shared" si="18"/>
        <v>7.074165775849961E-5</v>
      </c>
      <c r="AE82" s="8">
        <f t="shared" si="26"/>
        <v>0.34375</v>
      </c>
      <c r="AF82" s="8">
        <f t="shared" si="19"/>
        <v>-4.0930922149050586E-3</v>
      </c>
      <c r="AG82" s="8">
        <f t="shared" si="20"/>
        <v>0.341796875</v>
      </c>
      <c r="AH82" s="8">
        <f t="shared" si="21"/>
        <v>-2.0119040072004157E-3</v>
      </c>
      <c r="AI82" s="8">
        <f t="shared" si="22"/>
        <v>-1.4232542472032574E-7</v>
      </c>
      <c r="AJ82" s="8">
        <f t="shared" si="23"/>
        <v>8.2349086290083132E-6</v>
      </c>
      <c r="AK82" s="8">
        <f t="shared" si="24"/>
        <v>3.90625E-3</v>
      </c>
    </row>
    <row r="83" spans="28:37" x14ac:dyDescent="0.2">
      <c r="AB83" s="8">
        <v>9</v>
      </c>
      <c r="AC83" s="8">
        <f t="shared" si="25"/>
        <v>0.33984375</v>
      </c>
      <c r="AD83" s="8">
        <f t="shared" si="18"/>
        <v>7.074165775849961E-5</v>
      </c>
      <c r="AE83" s="8">
        <f t="shared" si="26"/>
        <v>0.341796875</v>
      </c>
      <c r="AF83" s="8">
        <f t="shared" si="19"/>
        <v>-2.0119040072004157E-3</v>
      </c>
      <c r="AG83" s="8">
        <f t="shared" si="20"/>
        <v>0.3408203125</v>
      </c>
      <c r="AH83" s="8">
        <f t="shared" si="21"/>
        <v>-9.7076490230724177E-4</v>
      </c>
      <c r="AI83" s="8">
        <f t="shared" si="22"/>
        <v>-6.8673518482982205E-8</v>
      </c>
      <c r="AJ83" s="8">
        <f t="shared" si="23"/>
        <v>1.9530857970014599E-6</v>
      </c>
      <c r="AK83" s="8">
        <f t="shared" si="24"/>
        <v>1.953125E-3</v>
      </c>
    </row>
    <row r="84" spans="28:37" x14ac:dyDescent="0.2">
      <c r="AB84" s="8">
        <v>10</v>
      </c>
      <c r="AC84" s="8">
        <f t="shared" si="25"/>
        <v>0.33984375</v>
      </c>
      <c r="AD84" s="8">
        <f t="shared" si="18"/>
        <v>7.074165775849961E-5</v>
      </c>
      <c r="AE84" s="8">
        <f t="shared" si="26"/>
        <v>0.3408203125</v>
      </c>
      <c r="AF84" s="8">
        <f t="shared" si="19"/>
        <v>-9.7076490230724177E-4</v>
      </c>
      <c r="AG84" s="8">
        <f t="shared" si="20"/>
        <v>0.34033203125</v>
      </c>
      <c r="AH84" s="8">
        <f t="shared" si="21"/>
        <v>-4.5005774925765962E-4</v>
      </c>
      <c r="AI84" s="8">
        <f t="shared" si="22"/>
        <v>-3.1837831269545987E-8</v>
      </c>
      <c r="AJ84" s="8">
        <f t="shared" si="23"/>
        <v>4.3690026699072908E-7</v>
      </c>
      <c r="AK84" s="8">
        <f t="shared" si="24"/>
        <v>9.765625E-4</v>
      </c>
    </row>
    <row r="85" spans="28:37" x14ac:dyDescent="0.2">
      <c r="AB85" s="8">
        <v>11</v>
      </c>
      <c r="AC85" s="8">
        <f t="shared" si="25"/>
        <v>0.33984375</v>
      </c>
      <c r="AD85" s="8">
        <f t="shared" si="18"/>
        <v>7.074165775849961E-5</v>
      </c>
      <c r="AE85" s="8">
        <f t="shared" si="26"/>
        <v>0.34033203125</v>
      </c>
      <c r="AF85" s="8">
        <f t="shared" si="19"/>
        <v>-4.5005774925765962E-4</v>
      </c>
      <c r="AG85" s="8">
        <f t="shared" si="20"/>
        <v>0.340087890625</v>
      </c>
      <c r="AH85" s="8">
        <f t="shared" si="21"/>
        <v>-1.8966960200172966E-4</v>
      </c>
      <c r="AI85" s="8">
        <f t="shared" si="22"/>
        <v>-1.3417542071997193E-8</v>
      </c>
      <c r="AJ85" s="8">
        <f t="shared" si="23"/>
        <v>8.5362274179494548E-8</v>
      </c>
      <c r="AK85" s="8">
        <f t="shared" si="24"/>
        <v>4.8828125E-4</v>
      </c>
    </row>
    <row r="86" spans="28:37" x14ac:dyDescent="0.2">
      <c r="AB86" s="8">
        <v>12</v>
      </c>
      <c r="AC86" s="8">
        <f t="shared" si="25"/>
        <v>0.33984375</v>
      </c>
      <c r="AD86" s="8">
        <f t="shared" si="18"/>
        <v>7.074165775849961E-5</v>
      </c>
      <c r="AE86" s="8">
        <f t="shared" si="26"/>
        <v>0.340087890625</v>
      </c>
      <c r="AF86" s="8">
        <f t="shared" si="19"/>
        <v>-1.8966960200172966E-4</v>
      </c>
      <c r="AG86" s="8">
        <f t="shared" si="20"/>
        <v>0.3399658203125</v>
      </c>
      <c r="AH86" s="8">
        <f t="shared" si="21"/>
        <v>-5.9466864255508511E-5</v>
      </c>
      <c r="AI86" s="8">
        <f t="shared" si="22"/>
        <v>-4.2067845591343372E-9</v>
      </c>
      <c r="AJ86" s="8">
        <f t="shared" si="23"/>
        <v>1.1279056475633183E-8</v>
      </c>
      <c r="AK86" s="8">
        <f t="shared" si="24"/>
        <v>2.44140625E-4</v>
      </c>
    </row>
    <row r="87" spans="28:37" x14ac:dyDescent="0.2">
      <c r="AB87" s="8">
        <v>13</v>
      </c>
      <c r="AC87" s="8">
        <f t="shared" si="25"/>
        <v>0.33984375</v>
      </c>
      <c r="AD87" s="8">
        <f t="shared" si="18"/>
        <v>7.074165775849961E-5</v>
      </c>
      <c r="AE87" s="8">
        <f t="shared" si="26"/>
        <v>0.3399658203125</v>
      </c>
      <c r="AF87" s="8">
        <f t="shared" si="19"/>
        <v>-5.9466864255508511E-5</v>
      </c>
      <c r="AG87" s="8">
        <f t="shared" si="20"/>
        <v>0.33990478515625</v>
      </c>
      <c r="AH87" s="8">
        <f t="shared" si="21"/>
        <v>5.6366733336976615E-6</v>
      </c>
      <c r="AI87" s="8">
        <f t="shared" si="22"/>
        <v>3.9874761586890104E-10</v>
      </c>
      <c r="AJ87" s="8">
        <f t="shared" si="23"/>
        <v>-3.3519528798764348E-10</v>
      </c>
      <c r="AK87" s="8">
        <f t="shared" si="24"/>
        <v>1.220703125E-4</v>
      </c>
    </row>
    <row r="88" spans="28:37" x14ac:dyDescent="0.2">
      <c r="AB88" s="8">
        <v>14</v>
      </c>
      <c r="AC88" s="8">
        <f t="shared" si="25"/>
        <v>0.33990478515625</v>
      </c>
      <c r="AD88" s="8">
        <f t="shared" si="18"/>
        <v>5.6366733336976615E-6</v>
      </c>
      <c r="AE88" s="8">
        <f t="shared" si="26"/>
        <v>0.3399658203125</v>
      </c>
      <c r="AF88" s="8">
        <f t="shared" si="19"/>
        <v>-5.9466864255508511E-5</v>
      </c>
      <c r="AG88" s="8">
        <f t="shared" si="20"/>
        <v>0.339935302734375</v>
      </c>
      <c r="AH88" s="8">
        <f t="shared" si="21"/>
        <v>-2.6915276267303057E-5</v>
      </c>
      <c r="AI88" s="8">
        <f t="shared" si="22"/>
        <v>-1.5171262000501266E-10</v>
      </c>
      <c r="AJ88" s="8">
        <f t="shared" si="23"/>
        <v>1.6005670801872208E-9</v>
      </c>
      <c r="AK88" s="8">
        <f t="shared" si="24"/>
        <v>6.103515625E-5</v>
      </c>
    </row>
    <row r="89" spans="28:37" x14ac:dyDescent="0.2">
      <c r="AB89" s="8">
        <v>15</v>
      </c>
      <c r="AC89" s="8">
        <f t="shared" si="25"/>
        <v>0.33990478515625</v>
      </c>
      <c r="AD89" s="8">
        <f t="shared" si="18"/>
        <v>5.6366733336976615E-6</v>
      </c>
      <c r="AE89" s="8">
        <f t="shared" si="26"/>
        <v>0.339935302734375</v>
      </c>
      <c r="AF89" s="8">
        <f t="shared" si="19"/>
        <v>-2.6915276267303057E-5</v>
      </c>
      <c r="AG89" s="8">
        <f t="shared" si="20"/>
        <v>0.3399200439453125</v>
      </c>
      <c r="AH89" s="8">
        <f t="shared" si="21"/>
        <v>-1.0639346674445882E-5</v>
      </c>
      <c r="AI89" s="8">
        <f t="shared" si="22"/>
        <v>-5.9970521687814002E-11</v>
      </c>
      <c r="AJ89" s="8">
        <f t="shared" si="23"/>
        <v>2.8636095504632294E-10</v>
      </c>
      <c r="AK89" s="8">
        <f t="shared" si="24"/>
        <v>3.0517578125E-5</v>
      </c>
    </row>
    <row r="90" spans="28:37" x14ac:dyDescent="0.2">
      <c r="AB90" s="8">
        <v>16</v>
      </c>
      <c r="AC90" s="8">
        <f t="shared" si="25"/>
        <v>0.33990478515625</v>
      </c>
      <c r="AD90" s="8">
        <f t="shared" si="18"/>
        <v>5.6366733336976615E-6</v>
      </c>
      <c r="AE90" s="8">
        <f t="shared" si="26"/>
        <v>0.3399200439453125</v>
      </c>
      <c r="AF90" s="8">
        <f t="shared" si="19"/>
        <v>-1.0639346674445882E-5</v>
      </c>
      <c r="AG90" s="8">
        <f t="shared" si="20"/>
        <v>0.33991241455078125</v>
      </c>
      <c r="AH90" s="8">
        <f t="shared" si="21"/>
        <v>-2.501347973027368E-6</v>
      </c>
      <c r="AI90" s="8">
        <f t="shared" si="22"/>
        <v>-1.4099281417862063E-11</v>
      </c>
      <c r="AJ90" s="8">
        <f t="shared" si="23"/>
        <v>2.6612708238460676E-11</v>
      </c>
      <c r="AK90" s="8">
        <f t="shared" si="24"/>
        <v>1.52587890625E-5</v>
      </c>
    </row>
    <row r="91" spans="28:37" x14ac:dyDescent="0.2">
      <c r="AB91" s="8">
        <v>17</v>
      </c>
      <c r="AC91" s="8">
        <f t="shared" si="25"/>
        <v>0.33990478515625</v>
      </c>
      <c r="AD91" s="8">
        <f t="shared" si="18"/>
        <v>5.6366733336976615E-6</v>
      </c>
      <c r="AE91" s="8">
        <f t="shared" si="26"/>
        <v>0.33991241455078125</v>
      </c>
      <c r="AF91" s="8">
        <f t="shared" si="19"/>
        <v>-2.501347973027368E-6</v>
      </c>
      <c r="AG91" s="8">
        <f t="shared" si="20"/>
        <v>0.33990859985351562</v>
      </c>
      <c r="AH91" s="8">
        <f t="shared" si="21"/>
        <v>1.5676598545955045E-6</v>
      </c>
      <c r="AI91" s="8">
        <f t="shared" si="22"/>
        <v>8.836386498706834E-12</v>
      </c>
      <c r="AJ91" s="8">
        <f t="shared" si="23"/>
        <v>-3.9212627996888434E-12</v>
      </c>
      <c r="AK91" s="8">
        <f t="shared" si="24"/>
        <v>7.62939453125E-6</v>
      </c>
    </row>
    <row r="92" spans="28:37" x14ac:dyDescent="0.2">
      <c r="AB92" s="8">
        <v>18</v>
      </c>
      <c r="AC92" s="8">
        <f t="shared" si="25"/>
        <v>0.33990859985351562</v>
      </c>
      <c r="AD92" s="8">
        <f t="shared" si="18"/>
        <v>1.5676598545955045E-6</v>
      </c>
      <c r="AE92" s="8">
        <f t="shared" si="26"/>
        <v>0.33991241455078125</v>
      </c>
      <c r="AF92" s="8">
        <f t="shared" si="19"/>
        <v>-2.501347973027368E-6</v>
      </c>
      <c r="AG92" s="8">
        <f t="shared" si="20"/>
        <v>0.33991050720214844</v>
      </c>
      <c r="AH92" s="8">
        <f t="shared" si="21"/>
        <v>-4.6684476562308674E-7</v>
      </c>
      <c r="AI92" s="8">
        <f t="shared" si="22"/>
        <v>-7.3185379739536055E-13</v>
      </c>
      <c r="AJ92" s="8">
        <f t="shared" si="23"/>
        <v>1.1677412082097447E-12</v>
      </c>
      <c r="AK92" s="8">
        <f t="shared" si="24"/>
        <v>3.814697265625E-6</v>
      </c>
    </row>
    <row r="93" spans="28:37" x14ac:dyDescent="0.2">
      <c r="AB93" s="8">
        <v>19</v>
      </c>
      <c r="AC93" s="8">
        <f t="shared" si="25"/>
        <v>0.33990859985351562</v>
      </c>
      <c r="AD93" s="8">
        <f t="shared" si="18"/>
        <v>1.5676598545955045E-6</v>
      </c>
      <c r="AE93" s="8">
        <f t="shared" si="26"/>
        <v>0.33991050720214844</v>
      </c>
      <c r="AF93" s="8">
        <f t="shared" si="19"/>
        <v>-4.6684476562308674E-7</v>
      </c>
      <c r="AG93" s="8">
        <f t="shared" si="20"/>
        <v>0.33990955352783203</v>
      </c>
      <c r="AH93" s="8">
        <f t="shared" si="21"/>
        <v>5.5040736784972566E-7</v>
      </c>
      <c r="AI93" s="8">
        <f t="shared" si="22"/>
        <v>8.6285153425159528E-13</v>
      </c>
      <c r="AJ93" s="8">
        <f t="shared" si="23"/>
        <v>-2.5695479864102528E-13</v>
      </c>
      <c r="AK93" s="8">
        <f t="shared" si="24"/>
        <v>1.9073486328125E-6</v>
      </c>
    </row>
    <row r="94" spans="28:37" x14ac:dyDescent="0.2">
      <c r="AB94" s="8">
        <v>20</v>
      </c>
      <c r="AC94" s="8">
        <f t="shared" si="25"/>
        <v>0.33990955352783203</v>
      </c>
      <c r="AD94" s="8">
        <f t="shared" si="18"/>
        <v>5.5040736784972566E-7</v>
      </c>
      <c r="AE94" s="8">
        <f t="shared" si="26"/>
        <v>0.33991050720214844</v>
      </c>
      <c r="AF94" s="8">
        <f t="shared" si="19"/>
        <v>-4.6684476562308674E-7</v>
      </c>
      <c r="AG94" s="8">
        <f t="shared" si="20"/>
        <v>0.33991003036499023</v>
      </c>
      <c r="AH94" s="8">
        <f t="shared" si="21"/>
        <v>4.1781256954198653E-8</v>
      </c>
      <c r="AI94" s="8">
        <f t="shared" si="22"/>
        <v>2.2996711665613527E-14</v>
      </c>
      <c r="AJ94" s="8">
        <f t="shared" si="23"/>
        <v>-1.9505361110220835E-14</v>
      </c>
      <c r="AK94" s="8">
        <f t="shared" si="24"/>
        <v>9.5367431640625E-7</v>
      </c>
    </row>
    <row r="95" spans="28:37" x14ac:dyDescent="0.2">
      <c r="AB95" s="8">
        <v>21</v>
      </c>
      <c r="AC95" s="8">
        <f t="shared" si="25"/>
        <v>0.33991003036499023</v>
      </c>
      <c r="AD95" s="8">
        <f t="shared" si="18"/>
        <v>4.1781256954198653E-8</v>
      </c>
      <c r="AE95" s="8">
        <f t="shared" si="26"/>
        <v>0.33991050720214844</v>
      </c>
      <c r="AF95" s="8">
        <f t="shared" si="19"/>
        <v>-4.6684476562308674E-7</v>
      </c>
      <c r="AG95" s="8">
        <f t="shared" si="20"/>
        <v>0.33991026878356934</v>
      </c>
      <c r="AH95" s="8">
        <f t="shared" si="21"/>
        <v>-2.1253176540891872E-7</v>
      </c>
      <c r="AI95" s="8">
        <f t="shared" si="22"/>
        <v>-8.8798443014795027E-15</v>
      </c>
      <c r="AJ95" s="8">
        <f t="shared" si="23"/>
        <v>9.9219342209787508E-14</v>
      </c>
      <c r="AK95" s="8">
        <f t="shared" si="24"/>
        <v>4.76837158203125E-7</v>
      </c>
    </row>
    <row r="96" spans="28:37" x14ac:dyDescent="0.2">
      <c r="AB96" s="8">
        <v>22</v>
      </c>
      <c r="AC96" s="8">
        <f t="shared" si="25"/>
        <v>0.33991003036499023</v>
      </c>
      <c r="AD96" s="8">
        <f t="shared" si="18"/>
        <v>4.1781256954198653E-8</v>
      </c>
      <c r="AE96" s="8">
        <f t="shared" si="26"/>
        <v>0.33991026878356934</v>
      </c>
      <c r="AF96" s="8">
        <f t="shared" si="19"/>
        <v>-2.1253176540891872E-7</v>
      </c>
      <c r="AG96" s="8">
        <f t="shared" si="20"/>
        <v>0.33991014957427979</v>
      </c>
      <c r="AH96" s="8">
        <f t="shared" si="21"/>
        <v>-8.5375256975162017E-8</v>
      </c>
      <c r="AI96" s="8">
        <f t="shared" si="22"/>
        <v>-3.5670855492099851E-15</v>
      </c>
      <c r="AJ96" s="8">
        <f t="shared" si="23"/>
        <v>1.8144954087171285E-14</v>
      </c>
      <c r="AK96" s="8">
        <f t="shared" si="24"/>
        <v>2.384185791015625E-7</v>
      </c>
    </row>
    <row r="97" spans="28:37" x14ac:dyDescent="0.2">
      <c r="AB97" s="8">
        <v>23</v>
      </c>
      <c r="AC97" s="8">
        <f t="shared" si="25"/>
        <v>0.33991003036499023</v>
      </c>
      <c r="AD97" s="8">
        <f t="shared" si="18"/>
        <v>4.1781256954198653E-8</v>
      </c>
      <c r="AE97" s="8">
        <f t="shared" si="26"/>
        <v>0.33991014957427979</v>
      </c>
      <c r="AF97" s="8">
        <f t="shared" si="19"/>
        <v>-8.5375256975162017E-8</v>
      </c>
      <c r="AG97" s="8">
        <f t="shared" si="20"/>
        <v>0.33991008996963501</v>
      </c>
      <c r="AH97" s="8">
        <f t="shared" si="21"/>
        <v>-2.1797000704371072E-8</v>
      </c>
      <c r="AI97" s="8">
        <f t="shared" si="22"/>
        <v>-9.1070608726017689E-16</v>
      </c>
      <c r="AJ97" s="8">
        <f t="shared" si="23"/>
        <v>1.8609245364234678E-15</v>
      </c>
      <c r="AK97" s="8">
        <f t="shared" si="24"/>
        <v>1.1920928955078125E-7</v>
      </c>
    </row>
    <row r="98" spans="28:37" x14ac:dyDescent="0.2">
      <c r="AB98" s="8">
        <v>24</v>
      </c>
      <c r="AC98" s="8">
        <f t="shared" si="25"/>
        <v>0.33991003036499023</v>
      </c>
      <c r="AD98" s="8">
        <f t="shared" si="18"/>
        <v>4.1781256954198653E-8</v>
      </c>
      <c r="AE98" s="8">
        <f t="shared" si="26"/>
        <v>0.33991008996963501</v>
      </c>
      <c r="AF98" s="8">
        <f t="shared" si="19"/>
        <v>-2.1797000704371072E-8</v>
      </c>
      <c r="AG98" s="8">
        <f t="shared" si="20"/>
        <v>0.33991006016731262</v>
      </c>
      <c r="AH98" s="8">
        <f t="shared" si="21"/>
        <v>9.9921279583803368E-9</v>
      </c>
      <c r="AI98" s="8">
        <f t="shared" si="22"/>
        <v>4.1748366574832126E-16</v>
      </c>
      <c r="AJ98" s="8">
        <f t="shared" si="23"/>
        <v>-2.1779842014698209E-16</v>
      </c>
      <c r="AK98" s="8">
        <f t="shared" si="24"/>
        <v>5.9604644775390625E-8</v>
      </c>
    </row>
    <row r="99" spans="28:37" x14ac:dyDescent="0.2">
      <c r="AB99" s="8">
        <v>25</v>
      </c>
      <c r="AC99" s="8">
        <f t="shared" si="25"/>
        <v>0.33991006016731262</v>
      </c>
      <c r="AD99" s="8">
        <f t="shared" si="18"/>
        <v>9.9921279583803368E-9</v>
      </c>
      <c r="AE99" s="8">
        <f t="shared" si="26"/>
        <v>0.33991008996963501</v>
      </c>
      <c r="AF99" s="8">
        <f t="shared" si="19"/>
        <v>-2.1797000704371072E-8</v>
      </c>
      <c r="AG99" s="8">
        <f t="shared" si="20"/>
        <v>0.33991007506847382</v>
      </c>
      <c r="AH99" s="8">
        <f t="shared" si="21"/>
        <v>-5.902436428506519E-9</v>
      </c>
      <c r="AI99" s="8">
        <f t="shared" si="22"/>
        <v>-5.8977900059842576E-17</v>
      </c>
      <c r="AJ99" s="8">
        <f t="shared" si="23"/>
        <v>1.2865541098966206E-16</v>
      </c>
      <c r="AK99" s="8">
        <f t="shared" si="24"/>
        <v>2.9802322387695312E-8</v>
      </c>
    </row>
    <row r="100" spans="28:37" x14ac:dyDescent="0.2">
      <c r="AB100" s="8">
        <v>26</v>
      </c>
      <c r="AC100" s="8">
        <f t="shared" si="25"/>
        <v>0.33991006016731262</v>
      </c>
      <c r="AD100" s="8">
        <f t="shared" si="18"/>
        <v>9.9921279583803368E-9</v>
      </c>
      <c r="AE100" s="8">
        <f t="shared" si="26"/>
        <v>0.33991007506847382</v>
      </c>
      <c r="AF100" s="8">
        <f t="shared" si="19"/>
        <v>-5.902436428506519E-9</v>
      </c>
      <c r="AG100" s="8">
        <f t="shared" si="20"/>
        <v>0.33991006761789322</v>
      </c>
      <c r="AH100" s="8">
        <f t="shared" si="21"/>
        <v>2.0448457371813333E-9</v>
      </c>
      <c r="AI100" s="8">
        <f t="shared" si="22"/>
        <v>2.0432360261064451E-17</v>
      </c>
      <c r="AJ100" s="8">
        <f t="shared" si="23"/>
        <v>-1.2069571969815369E-17</v>
      </c>
      <c r="AK100" s="8">
        <f t="shared" si="24"/>
        <v>1.4901161193847656E-8</v>
      </c>
    </row>
    <row r="101" spans="28:37" x14ac:dyDescent="0.2">
      <c r="AB101" s="8">
        <v>27</v>
      </c>
      <c r="AC101" s="8">
        <f t="shared" si="25"/>
        <v>0.33991006761789322</v>
      </c>
      <c r="AD101" s="8">
        <f t="shared" si="18"/>
        <v>2.0448457371813333E-9</v>
      </c>
      <c r="AE101" s="8">
        <f t="shared" si="26"/>
        <v>0.33991007506847382</v>
      </c>
      <c r="AF101" s="8">
        <f t="shared" si="19"/>
        <v>-5.902436428506519E-9</v>
      </c>
      <c r="AG101" s="8">
        <f t="shared" si="20"/>
        <v>0.33991007134318352</v>
      </c>
      <c r="AH101" s="8">
        <f t="shared" si="21"/>
        <v>-1.9287953456625928E-9</v>
      </c>
      <c r="AI101" s="8">
        <f t="shared" si="22"/>
        <v>-3.9440889404733492E-18</v>
      </c>
      <c r="AJ101" s="8">
        <f t="shared" si="23"/>
        <v>1.1384591911372711E-17</v>
      </c>
      <c r="AK101" s="8">
        <f t="shared" si="24"/>
        <v>7.4505805969238281E-9</v>
      </c>
    </row>
    <row r="102" spans="28:37" x14ac:dyDescent="0.2">
      <c r="AB102" s="8">
        <v>28</v>
      </c>
      <c r="AC102" s="8">
        <f t="shared" si="25"/>
        <v>0.33991006761789322</v>
      </c>
      <c r="AD102" s="8">
        <f t="shared" si="18"/>
        <v>2.0448457371813333E-9</v>
      </c>
      <c r="AE102" s="8">
        <f t="shared" si="26"/>
        <v>0.33991007134318352</v>
      </c>
      <c r="AF102" s="8">
        <f t="shared" si="19"/>
        <v>-1.9287953456625928E-9</v>
      </c>
      <c r="AG102" s="8">
        <f t="shared" si="20"/>
        <v>0.33991006948053837</v>
      </c>
      <c r="AH102" s="8">
        <f t="shared" si="21"/>
        <v>5.8025195759370263E-11</v>
      </c>
      <c r="AI102" s="8">
        <f t="shared" si="22"/>
        <v>1.1865257419766066E-19</v>
      </c>
      <c r="AJ102" s="8">
        <f t="shared" si="23"/>
        <v>-1.1191872751183418E-19</v>
      </c>
      <c r="AK102" s="8">
        <f t="shared" si="24"/>
        <v>3.7252902984619141E-9</v>
      </c>
    </row>
    <row r="103" spans="28:37" x14ac:dyDescent="0.2">
      <c r="AB103" s="8">
        <v>29</v>
      </c>
      <c r="AC103" s="8">
        <f t="shared" si="25"/>
        <v>0.33991006948053837</v>
      </c>
      <c r="AD103" s="8">
        <f t="shared" si="18"/>
        <v>5.8025195759370263E-11</v>
      </c>
      <c r="AE103" s="8">
        <f t="shared" si="26"/>
        <v>0.33991007134318352</v>
      </c>
      <c r="AF103" s="8">
        <f t="shared" si="19"/>
        <v>-1.9287953456625928E-9</v>
      </c>
      <c r="AG103" s="8">
        <f t="shared" si="20"/>
        <v>0.33991007041186094</v>
      </c>
      <c r="AH103" s="8">
        <f t="shared" si="21"/>
        <v>-9.3538504719603566E-10</v>
      </c>
      <c r="AI103" s="8">
        <f t="shared" si="22"/>
        <v>-5.4275900473937761E-20</v>
      </c>
      <c r="AJ103" s="8">
        <f t="shared" si="23"/>
        <v>1.8041663254340983E-18</v>
      </c>
      <c r="AK103" s="8">
        <f t="shared" si="24"/>
        <v>1.862645149230957E-9</v>
      </c>
    </row>
    <row r="104" spans="28:37" x14ac:dyDescent="0.2">
      <c r="AB104" s="8">
        <v>30</v>
      </c>
      <c r="AC104" s="8">
        <f t="shared" si="25"/>
        <v>0.33991006948053837</v>
      </c>
      <c r="AD104" s="8">
        <f t="shared" si="18"/>
        <v>5.8025195759370263E-11</v>
      </c>
      <c r="AE104" s="8">
        <f t="shared" si="26"/>
        <v>0.33991007041186094</v>
      </c>
      <c r="AF104" s="8">
        <f t="shared" si="19"/>
        <v>-9.3538504719603566E-10</v>
      </c>
      <c r="AG104" s="8">
        <f t="shared" si="20"/>
        <v>0.33991006994619966</v>
      </c>
      <c r="AH104" s="8">
        <f t="shared" si="21"/>
        <v>-4.386799257183327E-10</v>
      </c>
      <c r="AI104" s="8">
        <f t="shared" si="22"/>
        <v>-2.545448856551226E-20</v>
      </c>
      <c r="AJ104" s="8">
        <f t="shared" si="23"/>
        <v>4.1033464302199605E-19</v>
      </c>
      <c r="AK104" s="8">
        <f t="shared" si="24"/>
        <v>9.3132257461547852E-10</v>
      </c>
    </row>
  </sheetData>
  <mergeCells count="17">
    <mergeCell ref="F21:H21"/>
    <mergeCell ref="B25:D25"/>
    <mergeCell ref="F26:H26"/>
    <mergeCell ref="B35:D35"/>
    <mergeCell ref="F10:H10"/>
    <mergeCell ref="B11:D11"/>
    <mergeCell ref="B16:D16"/>
    <mergeCell ref="R15:T15"/>
    <mergeCell ref="N15:P15"/>
    <mergeCell ref="V15:X15"/>
    <mergeCell ref="B1:D1"/>
    <mergeCell ref="B3:D3"/>
    <mergeCell ref="F3:H3"/>
    <mergeCell ref="N3:P3"/>
    <mergeCell ref="R3:T3"/>
    <mergeCell ref="V3:X3"/>
    <mergeCell ref="J3:L3"/>
  </mergeCells>
  <conditionalFormatting sqref="K23">
    <cfRule type="containsText" dxfId="5" priority="1" operator="containsText" text="FALSE">
      <formula>NOT(ISERROR(SEARCH("FALSE",K23)))</formula>
    </cfRule>
    <cfRule type="containsText" dxfId="4" priority="2" operator="containsText" text="TRUE">
      <formula>NOT(ISERROR(SEARCH("TRUE",K23)))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NOT(ISERROR(SEARCH("YES",K23)))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lift+cruise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2024-08-06T19:40:07Z</dcterms:modified>
</cp:coreProperties>
</file>