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168DB739-823E-7B48-84A9-F722E29896EF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_aerofidelity" sheetId="6" r:id="rId1"/>
    <sheet name="lift+cruise_aerofidelit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8" l="1"/>
  <c r="C10" i="8"/>
  <c r="C8" i="8"/>
  <c r="AN10" i="8"/>
  <c r="BD43" i="8"/>
  <c r="AN34" i="8"/>
  <c r="AN33" i="8"/>
  <c r="AN32" i="8"/>
  <c r="AN31" i="8"/>
  <c r="AN30" i="8"/>
  <c r="AN29" i="8"/>
  <c r="AN28" i="8"/>
  <c r="AN27" i="8"/>
  <c r="AN26" i="8"/>
  <c r="AN25" i="8"/>
  <c r="AN24" i="8"/>
  <c r="AN23" i="8"/>
  <c r="AN22" i="8"/>
  <c r="AN21" i="8"/>
  <c r="AN20" i="8"/>
  <c r="AN19" i="8"/>
  <c r="V65" i="8" l="1"/>
  <c r="U65" i="8"/>
  <c r="V64" i="8"/>
  <c r="U64" i="8"/>
  <c r="V63" i="8"/>
  <c r="U63" i="8"/>
  <c r="V62" i="8"/>
  <c r="U62" i="8"/>
  <c r="V61" i="8"/>
  <c r="U61" i="8"/>
  <c r="V60" i="8"/>
  <c r="U60" i="8"/>
  <c r="V59" i="8"/>
  <c r="U59" i="8"/>
  <c r="V58" i="8"/>
  <c r="U58" i="8"/>
  <c r="V57" i="8"/>
  <c r="U57" i="8"/>
  <c r="V56" i="8"/>
  <c r="U56" i="8"/>
  <c r="V55" i="8"/>
  <c r="U55" i="8"/>
  <c r="V54" i="8"/>
  <c r="U54" i="8"/>
  <c r="V53" i="8"/>
  <c r="U53" i="8"/>
  <c r="V52" i="8"/>
  <c r="U52" i="8"/>
  <c r="V51" i="8"/>
  <c r="U51" i="8"/>
  <c r="V50" i="8"/>
  <c r="U50" i="8"/>
  <c r="V49" i="8"/>
  <c r="U49" i="8"/>
  <c r="V48" i="8"/>
  <c r="U48" i="8"/>
  <c r="V47" i="8"/>
  <c r="U47" i="8"/>
  <c r="V46" i="8"/>
  <c r="U46" i="8"/>
  <c r="V45" i="8"/>
  <c r="U45" i="8"/>
  <c r="V44" i="8"/>
  <c r="U44" i="8"/>
  <c r="V43" i="8"/>
  <c r="U43" i="8"/>
  <c r="V42" i="8"/>
  <c r="U42" i="8"/>
  <c r="V41" i="8"/>
  <c r="U41" i="8"/>
  <c r="V40" i="8"/>
  <c r="U40" i="8"/>
  <c r="V39" i="8"/>
  <c r="U39" i="8"/>
  <c r="V38" i="8"/>
  <c r="U38" i="8"/>
  <c r="V37" i="8"/>
  <c r="U37" i="8"/>
  <c r="W36" i="8"/>
  <c r="V36" i="8"/>
  <c r="Q37" i="8" s="1"/>
  <c r="U36" i="8"/>
  <c r="O37" i="8" s="1"/>
  <c r="S36" i="8"/>
  <c r="AN9" i="8"/>
  <c r="AN8" i="8"/>
  <c r="AN46" i="8"/>
  <c r="AN45" i="8"/>
  <c r="CD136" i="8"/>
  <c r="CC136" i="8"/>
  <c r="BS136" i="8"/>
  <c r="BR136" i="8"/>
  <c r="CD135" i="8"/>
  <c r="CC135" i="8"/>
  <c r="BS135" i="8"/>
  <c r="BR135" i="8"/>
  <c r="CD134" i="8"/>
  <c r="CC134" i="8"/>
  <c r="BS134" i="8"/>
  <c r="BR134" i="8"/>
  <c r="CD133" i="8"/>
  <c r="CC133" i="8"/>
  <c r="BS133" i="8"/>
  <c r="BR133" i="8"/>
  <c r="CD132" i="8"/>
  <c r="CC132" i="8"/>
  <c r="BS132" i="8"/>
  <c r="BR132" i="8"/>
  <c r="CD131" i="8"/>
  <c r="CC131" i="8"/>
  <c r="BS131" i="8"/>
  <c r="BR131" i="8"/>
  <c r="CD130" i="8"/>
  <c r="CC130" i="8"/>
  <c r="BS130" i="8"/>
  <c r="BR130" i="8"/>
  <c r="CD129" i="8"/>
  <c r="CC129" i="8"/>
  <c r="BS129" i="8"/>
  <c r="BR129" i="8"/>
  <c r="CD128" i="8"/>
  <c r="CC128" i="8"/>
  <c r="BS128" i="8"/>
  <c r="BR128" i="8"/>
  <c r="CD127" i="8"/>
  <c r="CC127" i="8"/>
  <c r="BS127" i="8"/>
  <c r="BR127" i="8"/>
  <c r="CD126" i="8"/>
  <c r="CC126" i="8"/>
  <c r="BS126" i="8"/>
  <c r="BR126" i="8"/>
  <c r="CD125" i="8"/>
  <c r="CC125" i="8"/>
  <c r="BS125" i="8"/>
  <c r="BR125" i="8"/>
  <c r="CD124" i="8"/>
  <c r="CC124" i="8"/>
  <c r="BS124" i="8"/>
  <c r="BR124" i="8"/>
  <c r="CD123" i="8"/>
  <c r="CC123" i="8"/>
  <c r="BS123" i="8"/>
  <c r="BR123" i="8"/>
  <c r="CD122" i="8"/>
  <c r="CC122" i="8"/>
  <c r="BS122" i="8"/>
  <c r="BR122" i="8"/>
  <c r="CD121" i="8"/>
  <c r="CC121" i="8"/>
  <c r="BS121" i="8"/>
  <c r="BR121" i="8"/>
  <c r="CD120" i="8"/>
  <c r="CC120" i="8"/>
  <c r="BS120" i="8"/>
  <c r="BR120" i="8"/>
  <c r="CD119" i="8"/>
  <c r="CC119" i="8"/>
  <c r="BS119" i="8"/>
  <c r="BR119" i="8"/>
  <c r="CD118" i="8"/>
  <c r="CC118" i="8"/>
  <c r="BS118" i="8"/>
  <c r="BR118" i="8"/>
  <c r="CD117" i="8"/>
  <c r="CC117" i="8"/>
  <c r="BS117" i="8"/>
  <c r="BR117" i="8"/>
  <c r="CD116" i="8"/>
  <c r="CC116" i="8"/>
  <c r="BS116" i="8"/>
  <c r="BR116" i="8"/>
  <c r="CD115" i="8"/>
  <c r="CC115" i="8"/>
  <c r="BS115" i="8"/>
  <c r="BR115" i="8"/>
  <c r="CD114" i="8"/>
  <c r="CC114" i="8"/>
  <c r="BS114" i="8"/>
  <c r="BR114" i="8"/>
  <c r="CD113" i="8"/>
  <c r="CC113" i="8"/>
  <c r="BS113" i="8"/>
  <c r="BR113" i="8"/>
  <c r="CD112" i="8"/>
  <c r="CC112" i="8"/>
  <c r="BS112" i="8"/>
  <c r="BR112" i="8"/>
  <c r="CD111" i="8"/>
  <c r="CC111" i="8"/>
  <c r="BS111" i="8"/>
  <c r="BR111" i="8"/>
  <c r="CD110" i="8"/>
  <c r="CC110" i="8"/>
  <c r="BS110" i="8"/>
  <c r="BR110" i="8"/>
  <c r="CD109" i="8"/>
  <c r="CC109" i="8"/>
  <c r="BS109" i="8"/>
  <c r="BR109" i="8"/>
  <c r="CD108" i="8"/>
  <c r="CC108" i="8"/>
  <c r="BS108" i="8"/>
  <c r="BR108" i="8"/>
  <c r="CD107" i="8"/>
  <c r="CC107" i="8"/>
  <c r="BY107" i="8"/>
  <c r="BW107" i="8"/>
  <c r="BS107" i="8"/>
  <c r="BR107" i="8"/>
  <c r="BN107" i="8"/>
  <c r="BT107" i="8" s="1"/>
  <c r="BL107" i="8"/>
  <c r="BP107" i="8" s="1"/>
  <c r="CD102" i="8"/>
  <c r="CC102" i="8"/>
  <c r="BS102" i="8"/>
  <c r="BR102" i="8"/>
  <c r="CD101" i="8"/>
  <c r="CC101" i="8"/>
  <c r="BS101" i="8"/>
  <c r="BR101" i="8"/>
  <c r="CD100" i="8"/>
  <c r="CC100" i="8"/>
  <c r="BS100" i="8"/>
  <c r="BR100" i="8"/>
  <c r="CD99" i="8"/>
  <c r="CC99" i="8"/>
  <c r="BS99" i="8"/>
  <c r="BR99" i="8"/>
  <c r="CD98" i="8"/>
  <c r="CC98" i="8"/>
  <c r="BS98" i="8"/>
  <c r="BR98" i="8"/>
  <c r="CD97" i="8"/>
  <c r="CC97" i="8"/>
  <c r="BS97" i="8"/>
  <c r="BR97" i="8"/>
  <c r="CD96" i="8"/>
  <c r="CC96" i="8"/>
  <c r="BS96" i="8"/>
  <c r="BR96" i="8"/>
  <c r="CD95" i="8"/>
  <c r="CC95" i="8"/>
  <c r="BS95" i="8"/>
  <c r="BR95" i="8"/>
  <c r="CD94" i="8"/>
  <c r="CC94" i="8"/>
  <c r="BS94" i="8"/>
  <c r="BR94" i="8"/>
  <c r="CD93" i="8"/>
  <c r="CC93" i="8"/>
  <c r="BS93" i="8"/>
  <c r="BR93" i="8"/>
  <c r="CD92" i="8"/>
  <c r="CC92" i="8"/>
  <c r="BS92" i="8"/>
  <c r="BR92" i="8"/>
  <c r="CD91" i="8"/>
  <c r="CC91" i="8"/>
  <c r="BS91" i="8"/>
  <c r="BR91" i="8"/>
  <c r="CD90" i="8"/>
  <c r="CC90" i="8"/>
  <c r="BS90" i="8"/>
  <c r="BR90" i="8"/>
  <c r="CD89" i="8"/>
  <c r="CC89" i="8"/>
  <c r="BS89" i="8"/>
  <c r="BR89" i="8"/>
  <c r="CD88" i="8"/>
  <c r="CC88" i="8"/>
  <c r="BS88" i="8"/>
  <c r="BR88" i="8"/>
  <c r="CD87" i="8"/>
  <c r="CC87" i="8"/>
  <c r="BS87" i="8"/>
  <c r="BR87" i="8"/>
  <c r="CD86" i="8"/>
  <c r="CC86" i="8"/>
  <c r="BS86" i="8"/>
  <c r="BR86" i="8"/>
  <c r="CD85" i="8"/>
  <c r="CC85" i="8"/>
  <c r="BS85" i="8"/>
  <c r="BR85" i="8"/>
  <c r="CD84" i="8"/>
  <c r="CC84" i="8"/>
  <c r="BS84" i="8"/>
  <c r="BR84" i="8"/>
  <c r="CD83" i="8"/>
  <c r="CC83" i="8"/>
  <c r="BS83" i="8"/>
  <c r="BR83" i="8"/>
  <c r="CD82" i="8"/>
  <c r="CC82" i="8"/>
  <c r="BS82" i="8"/>
  <c r="BR82" i="8"/>
  <c r="CD81" i="8"/>
  <c r="CC81" i="8"/>
  <c r="BS81" i="8"/>
  <c r="BR81" i="8"/>
  <c r="CD80" i="8"/>
  <c r="CC80" i="8"/>
  <c r="BS80" i="8"/>
  <c r="BR80" i="8"/>
  <c r="CD79" i="8"/>
  <c r="CC79" i="8"/>
  <c r="BS79" i="8"/>
  <c r="BR79" i="8"/>
  <c r="CD78" i="8"/>
  <c r="CC78" i="8"/>
  <c r="BS78" i="8"/>
  <c r="BR78" i="8"/>
  <c r="CD77" i="8"/>
  <c r="CC77" i="8"/>
  <c r="BS77" i="8"/>
  <c r="BR77" i="8"/>
  <c r="CD76" i="8"/>
  <c r="CC76" i="8"/>
  <c r="BS76" i="8"/>
  <c r="BR76" i="8"/>
  <c r="CD75" i="8"/>
  <c r="CC75" i="8"/>
  <c r="BS75" i="8"/>
  <c r="BR75" i="8"/>
  <c r="CD74" i="8"/>
  <c r="CC74" i="8"/>
  <c r="BS74" i="8"/>
  <c r="BR74" i="8"/>
  <c r="CD73" i="8"/>
  <c r="CC73" i="8"/>
  <c r="BW74" i="8" s="1"/>
  <c r="BY73" i="8"/>
  <c r="CE73" i="8" s="1"/>
  <c r="BW73" i="8"/>
  <c r="BS73" i="8"/>
  <c r="BR73" i="8"/>
  <c r="BL74" i="8" s="1"/>
  <c r="BN73" i="8"/>
  <c r="BT73" i="8" s="1"/>
  <c r="BL73" i="8"/>
  <c r="BP73" i="8" s="1"/>
  <c r="CD68" i="8"/>
  <c r="CC68" i="8"/>
  <c r="BS68" i="8"/>
  <c r="BR68" i="8"/>
  <c r="CD67" i="8"/>
  <c r="CC67" i="8"/>
  <c r="BS67" i="8"/>
  <c r="BR67" i="8"/>
  <c r="CD66" i="8"/>
  <c r="CC66" i="8"/>
  <c r="BS66" i="8"/>
  <c r="BR66" i="8"/>
  <c r="CD65" i="8"/>
  <c r="CC65" i="8"/>
  <c r="BS65" i="8"/>
  <c r="BR65" i="8"/>
  <c r="CD64" i="8"/>
  <c r="CC64" i="8"/>
  <c r="BS64" i="8"/>
  <c r="BR64" i="8"/>
  <c r="CD63" i="8"/>
  <c r="CC63" i="8"/>
  <c r="BS63" i="8"/>
  <c r="BR63" i="8"/>
  <c r="CD62" i="8"/>
  <c r="CC62" i="8"/>
  <c r="BS62" i="8"/>
  <c r="BR62" i="8"/>
  <c r="BH62" i="8"/>
  <c r="BD62" i="8"/>
  <c r="CD61" i="8"/>
  <c r="CC61" i="8"/>
  <c r="BS61" i="8"/>
  <c r="BR61" i="8"/>
  <c r="CD60" i="8"/>
  <c r="CC60" i="8"/>
  <c r="BS60" i="8"/>
  <c r="BR60" i="8"/>
  <c r="CD59" i="8"/>
  <c r="CC59" i="8"/>
  <c r="BS59" i="8"/>
  <c r="BR59" i="8"/>
  <c r="CD58" i="8"/>
  <c r="CC58" i="8"/>
  <c r="BS58" i="8"/>
  <c r="BR58" i="8"/>
  <c r="CD57" i="8"/>
  <c r="CC57" i="8"/>
  <c r="BS57" i="8"/>
  <c r="BR57" i="8"/>
  <c r="CD56" i="8"/>
  <c r="CC56" i="8"/>
  <c r="BS56" i="8"/>
  <c r="BR56" i="8"/>
  <c r="CD55" i="8"/>
  <c r="CC55" i="8"/>
  <c r="BS55" i="8"/>
  <c r="BR55" i="8"/>
  <c r="CD54" i="8"/>
  <c r="CC54" i="8"/>
  <c r="BS54" i="8"/>
  <c r="BR54" i="8"/>
  <c r="CD53" i="8"/>
  <c r="CC53" i="8"/>
  <c r="BS53" i="8"/>
  <c r="BR53" i="8"/>
  <c r="CD52" i="8"/>
  <c r="CC52" i="8"/>
  <c r="BS52" i="8"/>
  <c r="BR52" i="8"/>
  <c r="CD51" i="8"/>
  <c r="CC51" i="8"/>
  <c r="BS51" i="8"/>
  <c r="BR51" i="8"/>
  <c r="CD50" i="8"/>
  <c r="CC50" i="8"/>
  <c r="BS50" i="8"/>
  <c r="BR50" i="8"/>
  <c r="CD49" i="8"/>
  <c r="CC49" i="8"/>
  <c r="BS49" i="8"/>
  <c r="BR49" i="8"/>
  <c r="CD48" i="8"/>
  <c r="CC48" i="8"/>
  <c r="BS48" i="8"/>
  <c r="BR48" i="8"/>
  <c r="CD47" i="8"/>
  <c r="CC47" i="8"/>
  <c r="BS47" i="8"/>
  <c r="BR47" i="8"/>
  <c r="CD46" i="8"/>
  <c r="CC46" i="8"/>
  <c r="BS46" i="8"/>
  <c r="BR46" i="8"/>
  <c r="CD45" i="8"/>
  <c r="CC45" i="8"/>
  <c r="BS45" i="8"/>
  <c r="BR45" i="8"/>
  <c r="CD44" i="8"/>
  <c r="CC44" i="8"/>
  <c r="BS44" i="8"/>
  <c r="BR44" i="8"/>
  <c r="CD43" i="8"/>
  <c r="CC43" i="8"/>
  <c r="BS43" i="8"/>
  <c r="BR43" i="8"/>
  <c r="BH43" i="8"/>
  <c r="CD42" i="8"/>
  <c r="CC42" i="8"/>
  <c r="BS42" i="8"/>
  <c r="BR42" i="8"/>
  <c r="CD41" i="8"/>
  <c r="CC41" i="8"/>
  <c r="BS41" i="8"/>
  <c r="BR41" i="8"/>
  <c r="CD40" i="8"/>
  <c r="CC40" i="8"/>
  <c r="BS40" i="8"/>
  <c r="BR40" i="8"/>
  <c r="CD39" i="8"/>
  <c r="CC39" i="8"/>
  <c r="BY39" i="8"/>
  <c r="BW39" i="8"/>
  <c r="CA39" i="8" s="1"/>
  <c r="BT39" i="8"/>
  <c r="BS39" i="8"/>
  <c r="BR39" i="8"/>
  <c r="BN39" i="8"/>
  <c r="BL39" i="8"/>
  <c r="BP39" i="8" s="1"/>
  <c r="CD34" i="8"/>
  <c r="CC34" i="8"/>
  <c r="BS34" i="8"/>
  <c r="BR34" i="8"/>
  <c r="CD33" i="8"/>
  <c r="CC33" i="8"/>
  <c r="BS33" i="8"/>
  <c r="BR33" i="8"/>
  <c r="CD32" i="8"/>
  <c r="CC32" i="8"/>
  <c r="BS32" i="8"/>
  <c r="BR32" i="8"/>
  <c r="CD31" i="8"/>
  <c r="CC31" i="8"/>
  <c r="BS31" i="8"/>
  <c r="BR31" i="8"/>
  <c r="CD30" i="8"/>
  <c r="CC30" i="8"/>
  <c r="BS30" i="8"/>
  <c r="BR30" i="8"/>
  <c r="CD29" i="8"/>
  <c r="CC29" i="8"/>
  <c r="BS29" i="8"/>
  <c r="BR29" i="8"/>
  <c r="CD28" i="8"/>
  <c r="CC28" i="8"/>
  <c r="BS28" i="8"/>
  <c r="BR28" i="8"/>
  <c r="CD27" i="8"/>
  <c r="CC27" i="8"/>
  <c r="BS27" i="8"/>
  <c r="BR27" i="8"/>
  <c r="CD26" i="8"/>
  <c r="CC26" i="8"/>
  <c r="BS26" i="8"/>
  <c r="BR26" i="8"/>
  <c r="CD25" i="8"/>
  <c r="CC25" i="8"/>
  <c r="BS25" i="8"/>
  <c r="BR25" i="8"/>
  <c r="CD24" i="8"/>
  <c r="CC24" i="8"/>
  <c r="BS24" i="8"/>
  <c r="BR24" i="8"/>
  <c r="BH24" i="8"/>
  <c r="BD24" i="8"/>
  <c r="CD23" i="8"/>
  <c r="CC23" i="8"/>
  <c r="BS23" i="8"/>
  <c r="BR23" i="8"/>
  <c r="CD22" i="8"/>
  <c r="CC22" i="8"/>
  <c r="BS22" i="8"/>
  <c r="BR22" i="8"/>
  <c r="CD21" i="8"/>
  <c r="CC21" i="8"/>
  <c r="BS21" i="8"/>
  <c r="BR21" i="8"/>
  <c r="CD20" i="8"/>
  <c r="CC20" i="8"/>
  <c r="BS20" i="8"/>
  <c r="BR20" i="8"/>
  <c r="CD19" i="8"/>
  <c r="CC19" i="8"/>
  <c r="BS19" i="8"/>
  <c r="BR19" i="8"/>
  <c r="CD18" i="8"/>
  <c r="CC18" i="8"/>
  <c r="BS18" i="8"/>
  <c r="BR18" i="8"/>
  <c r="CD17" i="8"/>
  <c r="CC17" i="8"/>
  <c r="BS17" i="8"/>
  <c r="BR17" i="8"/>
  <c r="CD16" i="8"/>
  <c r="CC16" i="8"/>
  <c r="BS16" i="8"/>
  <c r="BR16" i="8"/>
  <c r="CD15" i="8"/>
  <c r="CC15" i="8"/>
  <c r="BS15" i="8"/>
  <c r="BR15" i="8"/>
  <c r="CD14" i="8"/>
  <c r="CC14" i="8"/>
  <c r="BS14" i="8"/>
  <c r="BR14" i="8"/>
  <c r="CD13" i="8"/>
  <c r="CC13" i="8"/>
  <c r="BS13" i="8"/>
  <c r="BR13" i="8"/>
  <c r="CD12" i="8"/>
  <c r="CC12" i="8"/>
  <c r="BS12" i="8"/>
  <c r="BR12" i="8"/>
  <c r="CD11" i="8"/>
  <c r="CC11" i="8"/>
  <c r="BS11" i="8"/>
  <c r="BR11" i="8"/>
  <c r="CD10" i="8"/>
  <c r="CC10" i="8"/>
  <c r="BS10" i="8"/>
  <c r="BR10" i="8"/>
  <c r="CD9" i="8"/>
  <c r="CC9" i="8"/>
  <c r="BS9" i="8"/>
  <c r="BR9" i="8"/>
  <c r="CD8" i="8"/>
  <c r="CC8" i="8"/>
  <c r="BS8" i="8"/>
  <c r="BR8" i="8"/>
  <c r="CD7" i="8"/>
  <c r="CC7" i="8"/>
  <c r="BS7" i="8"/>
  <c r="BR7" i="8"/>
  <c r="CD6" i="8"/>
  <c r="CC6" i="8"/>
  <c r="BS6" i="8"/>
  <c r="BR6" i="8"/>
  <c r="CD5" i="8"/>
  <c r="CC5" i="8"/>
  <c r="BY5" i="8"/>
  <c r="BW5" i="8"/>
  <c r="CE5" i="8" s="1"/>
  <c r="BT5" i="8"/>
  <c r="BS5" i="8"/>
  <c r="BR5" i="8"/>
  <c r="BN5" i="8"/>
  <c r="BL5" i="8"/>
  <c r="BH5" i="8"/>
  <c r="BD5" i="8"/>
  <c r="AN3" i="8"/>
  <c r="W6" i="8"/>
  <c r="W7" i="8" s="1"/>
  <c r="W9" i="8" s="1"/>
  <c r="S6" i="8"/>
  <c r="S7" i="8" s="1"/>
  <c r="S9" i="8" s="1"/>
  <c r="O7" i="8"/>
  <c r="O9" i="8" s="1"/>
  <c r="O11" i="8"/>
  <c r="O6" i="8"/>
  <c r="W37" i="8" l="1"/>
  <c r="S37" i="8"/>
  <c r="O38" i="8" s="1"/>
  <c r="BL108" i="8"/>
  <c r="BL109" i="8" s="1"/>
  <c r="BL110" i="8" s="1"/>
  <c r="BP5" i="8"/>
  <c r="CA73" i="8"/>
  <c r="BW6" i="8"/>
  <c r="BW7" i="8" s="1"/>
  <c r="BL6" i="8"/>
  <c r="BL40" i="8"/>
  <c r="BL41" i="8" s="1"/>
  <c r="BL42" i="8" s="1"/>
  <c r="BN74" i="8"/>
  <c r="BT74" i="8" s="1"/>
  <c r="BN6" i="8"/>
  <c r="BN108" i="8"/>
  <c r="BY74" i="8"/>
  <c r="CA74" i="8" s="1"/>
  <c r="BY75" i="8" s="1"/>
  <c r="BL75" i="8"/>
  <c r="BY40" i="8"/>
  <c r="BW40" i="8"/>
  <c r="BW41" i="8" s="1"/>
  <c r="BW42" i="8" s="1"/>
  <c r="CA5" i="8"/>
  <c r="BY6" i="8" s="1"/>
  <c r="AZ4" i="8"/>
  <c r="AR3" i="8"/>
  <c r="AZ31" i="8"/>
  <c r="BD65" i="8"/>
  <c r="CE39" i="8"/>
  <c r="CA107" i="8"/>
  <c r="BY108" i="8" s="1"/>
  <c r="BW108" i="8"/>
  <c r="BD8" i="8"/>
  <c r="AV13" i="8"/>
  <c r="BD27" i="8"/>
  <c r="BH8" i="8"/>
  <c r="BH65" i="8"/>
  <c r="BH27" i="8"/>
  <c r="BN40" i="8"/>
  <c r="CE107" i="8"/>
  <c r="BW75" i="8"/>
  <c r="BT6" i="8" l="1"/>
  <c r="Q38" i="8"/>
  <c r="S38" i="8" s="1"/>
  <c r="BT108" i="8"/>
  <c r="BP74" i="8"/>
  <c r="BN75" i="8" s="1"/>
  <c r="BP75" i="8" s="1"/>
  <c r="BN76" i="8" s="1"/>
  <c r="BP6" i="8"/>
  <c r="BN7" i="8" s="1"/>
  <c r="BL7" i="8"/>
  <c r="BP108" i="8"/>
  <c r="BN109" i="8" s="1"/>
  <c r="BT109" i="8" s="1"/>
  <c r="AV22" i="8"/>
  <c r="CE74" i="8"/>
  <c r="CE40" i="8"/>
  <c r="CA40" i="8"/>
  <c r="BY41" i="8" s="1"/>
  <c r="CE41" i="8" s="1"/>
  <c r="BL76" i="8"/>
  <c r="CE108" i="8"/>
  <c r="CE6" i="8"/>
  <c r="CA6" i="8"/>
  <c r="BY7" i="8" s="1"/>
  <c r="CE7" i="8" s="1"/>
  <c r="BW8" i="8"/>
  <c r="BW76" i="8"/>
  <c r="CA75" i="8"/>
  <c r="BY76" i="8" s="1"/>
  <c r="BD46" i="8"/>
  <c r="BT40" i="8"/>
  <c r="BP40" i="8"/>
  <c r="BN41" i="8" s="1"/>
  <c r="CA108" i="8"/>
  <c r="BY109" i="8" s="1"/>
  <c r="BW109" i="8"/>
  <c r="AZ13" i="8"/>
  <c r="BH46" i="8"/>
  <c r="CE75" i="8"/>
  <c r="AZ22" i="8"/>
  <c r="AV4" i="8"/>
  <c r="AR4" i="8"/>
  <c r="AV31" i="8"/>
  <c r="W38" i="8" l="1"/>
  <c r="Q39" i="8"/>
  <c r="O39" i="8"/>
  <c r="BT75" i="8"/>
  <c r="BP76" i="8"/>
  <c r="BN77" i="8" s="1"/>
  <c r="BP109" i="8"/>
  <c r="BN110" i="8" s="1"/>
  <c r="BP110" i="8" s="1"/>
  <c r="BP7" i="8"/>
  <c r="BN8" i="8" s="1"/>
  <c r="BT7" i="8"/>
  <c r="CA41" i="8"/>
  <c r="BY42" i="8" s="1"/>
  <c r="CE76" i="8"/>
  <c r="BT76" i="8"/>
  <c r="CA109" i="8"/>
  <c r="BY110" i="8" s="1"/>
  <c r="BW110" i="8"/>
  <c r="CA7" i="8"/>
  <c r="BY8" i="8" s="1"/>
  <c r="CA8" i="8" s="1"/>
  <c r="BW9" i="8" s="1"/>
  <c r="BT41" i="8"/>
  <c r="BP41" i="8"/>
  <c r="BN42" i="8" s="1"/>
  <c r="CA76" i="8"/>
  <c r="BY77" i="8" s="1"/>
  <c r="CE109" i="8"/>
  <c r="BW77" i="8" l="1"/>
  <c r="CA77" i="8" s="1"/>
  <c r="BW78" i="8" s="1"/>
  <c r="BN111" i="8"/>
  <c r="BL111" i="8"/>
  <c r="BL77" i="8"/>
  <c r="BP77" i="8" s="1"/>
  <c r="BL78" i="8" s="1"/>
  <c r="BL8" i="8"/>
  <c r="BP8" i="8" s="1"/>
  <c r="W39" i="8"/>
  <c r="S39" i="8"/>
  <c r="O40" i="8" s="1"/>
  <c r="Q40" i="8"/>
  <c r="BT110" i="8"/>
  <c r="CA42" i="8"/>
  <c r="CE42" i="8"/>
  <c r="CE110" i="8"/>
  <c r="BT42" i="8"/>
  <c r="BP42" i="8"/>
  <c r="BL43" i="8" s="1"/>
  <c r="BY9" i="8"/>
  <c r="CE9" i="8" s="1"/>
  <c r="CE8" i="8"/>
  <c r="CA110" i="8"/>
  <c r="BY111" i="8" s="1"/>
  <c r="CE77" i="8" l="1"/>
  <c r="BW111" i="8"/>
  <c r="CA111" i="8" s="1"/>
  <c r="BW112" i="8" s="1"/>
  <c r="BT111" i="8"/>
  <c r="BT77" i="8"/>
  <c r="BP111" i="8"/>
  <c r="BY43" i="8"/>
  <c r="BW43" i="8"/>
  <c r="BL9" i="8"/>
  <c r="BN9" i="8"/>
  <c r="BT8" i="8"/>
  <c r="BN78" i="8"/>
  <c r="BP78" i="8" s="1"/>
  <c r="W40" i="8"/>
  <c r="S40" i="8"/>
  <c r="BY78" i="8"/>
  <c r="CA78" i="8" s="1"/>
  <c r="BW79" i="8" s="1"/>
  <c r="BN43" i="8"/>
  <c r="BT43" i="8" s="1"/>
  <c r="CA9" i="8"/>
  <c r="CE111" i="8" l="1"/>
  <c r="CA43" i="8"/>
  <c r="BW44" i="8" s="1"/>
  <c r="BT9" i="8"/>
  <c r="BL112" i="8"/>
  <c r="BN112" i="8"/>
  <c r="BT78" i="8"/>
  <c r="CE43" i="8"/>
  <c r="BP9" i="8"/>
  <c r="BL10" i="8" s="1"/>
  <c r="Q41" i="8"/>
  <c r="O41" i="8"/>
  <c r="BY112" i="8"/>
  <c r="CE112" i="8" s="1"/>
  <c r="BY79" i="8"/>
  <c r="CE79" i="8" s="1"/>
  <c r="CE78" i="8"/>
  <c r="BL79" i="8"/>
  <c r="BN79" i="8"/>
  <c r="BP43" i="8"/>
  <c r="BN44" i="8" s="1"/>
  <c r="BY10" i="8"/>
  <c r="BW10" i="8"/>
  <c r="BY44" i="8" l="1"/>
  <c r="CE44" i="8" s="1"/>
  <c r="BN10" i="8"/>
  <c r="BT10" i="8" s="1"/>
  <c r="BT112" i="8"/>
  <c r="BP112" i="8"/>
  <c r="CA79" i="8"/>
  <c r="BW80" i="8" s="1"/>
  <c r="CA112" i="8"/>
  <c r="BW113" i="8" s="1"/>
  <c r="S41" i="8"/>
  <c r="Q42" i="8" s="1"/>
  <c r="W41" i="8"/>
  <c r="BT79" i="8"/>
  <c r="BL44" i="8"/>
  <c r="BP44" i="8" s="1"/>
  <c r="BN45" i="8" s="1"/>
  <c r="BP79" i="8"/>
  <c r="BN80" i="8" s="1"/>
  <c r="CE10" i="8"/>
  <c r="CA10" i="8"/>
  <c r="BY45" i="8" l="1"/>
  <c r="O42" i="8"/>
  <c r="W42" i="8" s="1"/>
  <c r="CA44" i="8"/>
  <c r="BW45" i="8" s="1"/>
  <c r="BP10" i="8"/>
  <c r="BL11" i="8" s="1"/>
  <c r="BY80" i="8"/>
  <c r="CE80" i="8" s="1"/>
  <c r="BY113" i="8"/>
  <c r="CA113" i="8" s="1"/>
  <c r="BN113" i="8"/>
  <c r="BL113" i="8"/>
  <c r="BN11" i="8"/>
  <c r="BT44" i="8"/>
  <c r="BL45" i="8"/>
  <c r="BP45" i="8" s="1"/>
  <c r="BL46" i="8" s="1"/>
  <c r="BL80" i="8"/>
  <c r="BP80" i="8" s="1"/>
  <c r="BW11" i="8"/>
  <c r="BY11" i="8"/>
  <c r="S42" i="8" l="1"/>
  <c r="Q43" i="8" s="1"/>
  <c r="CA45" i="8"/>
  <c r="BY46" i="8" s="1"/>
  <c r="CE11" i="8"/>
  <c r="CE45" i="8"/>
  <c r="CE113" i="8"/>
  <c r="CA80" i="8"/>
  <c r="BW81" i="8" s="1"/>
  <c r="BT11" i="8"/>
  <c r="BT113" i="8"/>
  <c r="BP113" i="8"/>
  <c r="BN46" i="8"/>
  <c r="BT46" i="8" s="1"/>
  <c r="BP11" i="8"/>
  <c r="O43" i="8"/>
  <c r="BY81" i="8"/>
  <c r="BW114" i="8"/>
  <c r="BY114" i="8"/>
  <c r="BT45" i="8"/>
  <c r="BT80" i="8"/>
  <c r="BL81" i="8"/>
  <c r="BN81" i="8"/>
  <c r="CA11" i="8"/>
  <c r="BW46" i="8" l="1"/>
  <c r="CA46" i="8" s="1"/>
  <c r="BW47" i="8" s="1"/>
  <c r="S43" i="8"/>
  <c r="O44" i="8" s="1"/>
  <c r="CE81" i="8"/>
  <c r="BY47" i="8"/>
  <c r="BP46" i="8"/>
  <c r="BL47" i="8" s="1"/>
  <c r="BN114" i="8"/>
  <c r="BL114" i="8"/>
  <c r="BN12" i="8"/>
  <c r="BL12" i="8"/>
  <c r="CA81" i="8"/>
  <c r="BY82" i="8" s="1"/>
  <c r="Q44" i="8"/>
  <c r="W43" i="8"/>
  <c r="CE114" i="8"/>
  <c r="CA114" i="8"/>
  <c r="BP81" i="8"/>
  <c r="BT81" i="8"/>
  <c r="BW12" i="8"/>
  <c r="BY12" i="8"/>
  <c r="CE46" i="8" l="1"/>
  <c r="CA47" i="8"/>
  <c r="BW48" i="8" s="1"/>
  <c r="CE47" i="8"/>
  <c r="BW82" i="8"/>
  <c r="CE82" i="8" s="1"/>
  <c r="BN47" i="8"/>
  <c r="BN48" i="8" s="1"/>
  <c r="BY48" i="8"/>
  <c r="BP114" i="8"/>
  <c r="BN115" i="8" s="1"/>
  <c r="BT12" i="8"/>
  <c r="BL115" i="8"/>
  <c r="BT114" i="8"/>
  <c r="BP12" i="8"/>
  <c r="W44" i="8"/>
  <c r="S44" i="8"/>
  <c r="BY115" i="8"/>
  <c r="BW115" i="8"/>
  <c r="BL82" i="8"/>
  <c r="BN82" i="8"/>
  <c r="CE12" i="8"/>
  <c r="CA12" i="8"/>
  <c r="BT47" i="8" l="1"/>
  <c r="CA82" i="8"/>
  <c r="BW83" i="8" s="1"/>
  <c r="BP47" i="8"/>
  <c r="BL48" i="8" s="1"/>
  <c r="BP48" i="8" s="1"/>
  <c r="BN49" i="8" s="1"/>
  <c r="CA48" i="8"/>
  <c r="BY49" i="8" s="1"/>
  <c r="CE48" i="8"/>
  <c r="BW49" i="8"/>
  <c r="BP115" i="8"/>
  <c r="BN116" i="8" s="1"/>
  <c r="BL116" i="8"/>
  <c r="BT115" i="8"/>
  <c r="BL13" i="8"/>
  <c r="BN13" i="8"/>
  <c r="Q45" i="8"/>
  <c r="O45" i="8"/>
  <c r="CA115" i="8"/>
  <c r="BY116" i="8" s="1"/>
  <c r="BT82" i="8"/>
  <c r="CE115" i="8"/>
  <c r="BP82" i="8"/>
  <c r="BY13" i="8"/>
  <c r="BW13" i="8"/>
  <c r="BY83" i="8" l="1"/>
  <c r="CE83" i="8" s="1"/>
  <c r="BT48" i="8"/>
  <c r="CA49" i="8"/>
  <c r="BW50" i="8" s="1"/>
  <c r="BW51" i="8" s="1"/>
  <c r="BY50" i="8"/>
  <c r="CE49" i="8"/>
  <c r="BT13" i="8"/>
  <c r="BP116" i="8"/>
  <c r="BT116" i="8"/>
  <c r="BP13" i="8"/>
  <c r="BW116" i="8"/>
  <c r="CE116" i="8" s="1"/>
  <c r="BL49" i="8"/>
  <c r="BP49" i="8" s="1"/>
  <c r="BN50" i="8" s="1"/>
  <c r="S45" i="8"/>
  <c r="O46" i="8" s="1"/>
  <c r="W45" i="8"/>
  <c r="CA13" i="8"/>
  <c r="BY14" i="8" s="1"/>
  <c r="BL83" i="8"/>
  <c r="BN83" i="8"/>
  <c r="CE13" i="8"/>
  <c r="CA83" i="8" l="1"/>
  <c r="BW84" i="8" s="1"/>
  <c r="BW85" i="8" s="1"/>
  <c r="CE50" i="8"/>
  <c r="CA50" i="8"/>
  <c r="BY51" i="8" s="1"/>
  <c r="CE51" i="8" s="1"/>
  <c r="Q46" i="8"/>
  <c r="W46" i="8" s="1"/>
  <c r="BT49" i="8"/>
  <c r="BN117" i="8"/>
  <c r="BL117" i="8"/>
  <c r="CA116" i="8"/>
  <c r="BY117" i="8" s="1"/>
  <c r="BN14" i="8"/>
  <c r="BL14" i="8"/>
  <c r="BL50" i="8"/>
  <c r="BT50" i="8" s="1"/>
  <c r="BW14" i="8"/>
  <c r="CA14" i="8" s="1"/>
  <c r="BT83" i="8"/>
  <c r="BP83" i="8"/>
  <c r="BN84" i="8" s="1"/>
  <c r="BY84" i="8" l="1"/>
  <c r="CA84" i="8" s="1"/>
  <c r="BY85" i="8" s="1"/>
  <c r="CA85" i="8" s="1"/>
  <c r="BW86" i="8" s="1"/>
  <c r="CA51" i="8"/>
  <c r="BW52" i="8" s="1"/>
  <c r="S46" i="8"/>
  <c r="Q47" i="8" s="1"/>
  <c r="BP14" i="8"/>
  <c r="BN15" i="8" s="1"/>
  <c r="BW117" i="8"/>
  <c r="CA117" i="8" s="1"/>
  <c r="BW118" i="8" s="1"/>
  <c r="BT117" i="8"/>
  <c r="BP117" i="8"/>
  <c r="BL15" i="8"/>
  <c r="BT14" i="8"/>
  <c r="BP50" i="8"/>
  <c r="BL51" i="8" s="1"/>
  <c r="BY52" i="8"/>
  <c r="CE14" i="8"/>
  <c r="BL84" i="8"/>
  <c r="BT84" i="8" s="1"/>
  <c r="BY15" i="8"/>
  <c r="BW15" i="8"/>
  <c r="CE84" i="8" l="1"/>
  <c r="BY86" i="8"/>
  <c r="CE86" i="8" s="1"/>
  <c r="CE85" i="8"/>
  <c r="O47" i="8"/>
  <c r="W47" i="8" s="1"/>
  <c r="CA52" i="8"/>
  <c r="BW53" i="8" s="1"/>
  <c r="CE117" i="8"/>
  <c r="BP15" i="8"/>
  <c r="BN16" i="8" s="1"/>
  <c r="BN51" i="8"/>
  <c r="BP51" i="8" s="1"/>
  <c r="BL118" i="8"/>
  <c r="BN118" i="8"/>
  <c r="CE52" i="8"/>
  <c r="BL16" i="8"/>
  <c r="BT15" i="8"/>
  <c r="BY118" i="8"/>
  <c r="CA118" i="8" s="1"/>
  <c r="BY119" i="8" s="1"/>
  <c r="BY53" i="8"/>
  <c r="BP84" i="8"/>
  <c r="BN85" i="8" s="1"/>
  <c r="CA15" i="8"/>
  <c r="BY16" i="8" s="1"/>
  <c r="CE15" i="8"/>
  <c r="BW16" i="8" l="1"/>
  <c r="CA16" i="8" s="1"/>
  <c r="CA86" i="8"/>
  <c r="BY87" i="8" s="1"/>
  <c r="S47" i="8"/>
  <c r="BT51" i="8"/>
  <c r="BT16" i="8"/>
  <c r="BP118" i="8"/>
  <c r="BT118" i="8"/>
  <c r="CE118" i="8"/>
  <c r="BP16" i="8"/>
  <c r="BN17" i="8" s="1"/>
  <c r="BL17" i="8"/>
  <c r="CE53" i="8"/>
  <c r="CA53" i="8"/>
  <c r="BL85" i="8"/>
  <c r="BT85" i="8" s="1"/>
  <c r="BW119" i="8"/>
  <c r="CA119" i="8" s="1"/>
  <c r="BL52" i="8"/>
  <c r="BN52" i="8"/>
  <c r="CE16" i="8" l="1"/>
  <c r="BW87" i="8"/>
  <c r="CA87" i="8" s="1"/>
  <c r="BY88" i="8" s="1"/>
  <c r="O48" i="8"/>
  <c r="Q48" i="8"/>
  <c r="BP17" i="8"/>
  <c r="BL18" i="8" s="1"/>
  <c r="BL119" i="8"/>
  <c r="BN119" i="8"/>
  <c r="BN18" i="8"/>
  <c r="BT17" i="8"/>
  <c r="BY54" i="8"/>
  <c r="BW54" i="8"/>
  <c r="BP85" i="8"/>
  <c r="BN86" i="8" s="1"/>
  <c r="BW120" i="8"/>
  <c r="BY120" i="8"/>
  <c r="CE119" i="8"/>
  <c r="BT52" i="8"/>
  <c r="BP52" i="8"/>
  <c r="BW17" i="8"/>
  <c r="BY17" i="8"/>
  <c r="CE87" i="8" l="1"/>
  <c r="BW88" i="8"/>
  <c r="BW89" i="8" s="1"/>
  <c r="W48" i="8"/>
  <c r="Q49" i="8"/>
  <c r="S48" i="8"/>
  <c r="O49" i="8" s="1"/>
  <c r="O50" i="8" s="1"/>
  <c r="BT18" i="8"/>
  <c r="BP119" i="8"/>
  <c r="BT119" i="8"/>
  <c r="CA54" i="8"/>
  <c r="BW55" i="8" s="1"/>
  <c r="BP18" i="8"/>
  <c r="BL86" i="8"/>
  <c r="BP86" i="8" s="1"/>
  <c r="CE54" i="8"/>
  <c r="CE120" i="8"/>
  <c r="CA120" i="8"/>
  <c r="CE17" i="8"/>
  <c r="BL53" i="8"/>
  <c r="BN53" i="8"/>
  <c r="CA17" i="8"/>
  <c r="CA88" i="8" l="1"/>
  <c r="BY89" i="8" s="1"/>
  <c r="CE89" i="8" s="1"/>
  <c r="CE88" i="8"/>
  <c r="W49" i="8"/>
  <c r="BY55" i="8"/>
  <c r="CA55" i="8" s="1"/>
  <c r="BW56" i="8" s="1"/>
  <c r="S49" i="8"/>
  <c r="Q50" i="8" s="1"/>
  <c r="W50" i="8" s="1"/>
  <c r="BT86" i="8"/>
  <c r="BN120" i="8"/>
  <c r="BL120" i="8"/>
  <c r="BL19" i="8"/>
  <c r="BN19" i="8"/>
  <c r="BN87" i="8"/>
  <c r="BL87" i="8"/>
  <c r="BT53" i="8"/>
  <c r="BY121" i="8"/>
  <c r="BW121" i="8"/>
  <c r="BP53" i="8"/>
  <c r="BY18" i="8"/>
  <c r="BW18" i="8"/>
  <c r="CA89" i="8" l="1"/>
  <c r="CE55" i="8"/>
  <c r="BY56" i="8"/>
  <c r="CA56" i="8" s="1"/>
  <c r="S50" i="8"/>
  <c r="O51" i="8" s="1"/>
  <c r="BT19" i="8"/>
  <c r="Q51" i="8"/>
  <c r="BP120" i="8"/>
  <c r="BN121" i="8" s="1"/>
  <c r="BL121" i="8"/>
  <c r="BT120" i="8"/>
  <c r="BP19" i="8"/>
  <c r="BN20" i="8" s="1"/>
  <c r="BL20" i="8"/>
  <c r="BP87" i="8"/>
  <c r="BN88" i="8" s="1"/>
  <c r="BT87" i="8"/>
  <c r="CA121" i="8"/>
  <c r="BW122" i="8" s="1"/>
  <c r="CE121" i="8"/>
  <c r="CA18" i="8"/>
  <c r="BW19" i="8" s="1"/>
  <c r="BN54" i="8"/>
  <c r="BL54" i="8"/>
  <c r="CE18" i="8"/>
  <c r="BW90" i="8" l="1"/>
  <c r="BY90" i="8"/>
  <c r="CE56" i="8"/>
  <c r="S51" i="8"/>
  <c r="O52" i="8" s="1"/>
  <c r="W51" i="8"/>
  <c r="BL88" i="8"/>
  <c r="BP88" i="8" s="1"/>
  <c r="BN89" i="8" s="1"/>
  <c r="BT121" i="8"/>
  <c r="BP121" i="8"/>
  <c r="BP20" i="8"/>
  <c r="BN21" i="8" s="1"/>
  <c r="BL21" i="8"/>
  <c r="BT20" i="8"/>
  <c r="BW57" i="8"/>
  <c r="BY57" i="8"/>
  <c r="Q52" i="8"/>
  <c r="BY122" i="8"/>
  <c r="CA122" i="8" s="1"/>
  <c r="BP54" i="8"/>
  <c r="BL55" i="8" s="1"/>
  <c r="BY19" i="8"/>
  <c r="CE19" i="8" s="1"/>
  <c r="BT54" i="8"/>
  <c r="CE90" i="8" l="1"/>
  <c r="CA90" i="8"/>
  <c r="BT88" i="8"/>
  <c r="CE57" i="8"/>
  <c r="BL89" i="8"/>
  <c r="BT89" i="8" s="1"/>
  <c r="BT21" i="8"/>
  <c r="BL122" i="8"/>
  <c r="BN122" i="8"/>
  <c r="BP21" i="8"/>
  <c r="W52" i="8"/>
  <c r="CA57" i="8"/>
  <c r="S52" i="8"/>
  <c r="CE122" i="8"/>
  <c r="BY123" i="8"/>
  <c r="BW123" i="8"/>
  <c r="BN55" i="8"/>
  <c r="BT55" i="8" s="1"/>
  <c r="CA19" i="8"/>
  <c r="BY20" i="8" s="1"/>
  <c r="BW91" i="8" l="1"/>
  <c r="BY91" i="8"/>
  <c r="BP89" i="8"/>
  <c r="BN90" i="8" s="1"/>
  <c r="BT122" i="8"/>
  <c r="BP122" i="8"/>
  <c r="BN22" i="8"/>
  <c r="BL22" i="8"/>
  <c r="BY58" i="8"/>
  <c r="BW58" i="8"/>
  <c r="CA123" i="8"/>
  <c r="BW124" i="8" s="1"/>
  <c r="BY124" i="8"/>
  <c r="O53" i="8"/>
  <c r="Q53" i="8"/>
  <c r="BL90" i="8"/>
  <c r="CE123" i="8"/>
  <c r="BP55" i="8"/>
  <c r="BN56" i="8" s="1"/>
  <c r="BW20" i="8"/>
  <c r="CA20" i="8" s="1"/>
  <c r="BY21" i="8" s="1"/>
  <c r="CE91" i="8" l="1"/>
  <c r="CA91" i="8"/>
  <c r="BP90" i="8"/>
  <c r="BL91" i="8" s="1"/>
  <c r="BP22" i="8"/>
  <c r="BL23" i="8" s="1"/>
  <c r="BL123" i="8"/>
  <c r="BN123" i="8"/>
  <c r="BN23" i="8"/>
  <c r="BT22" i="8"/>
  <c r="CA58" i="8"/>
  <c r="BY59" i="8" s="1"/>
  <c r="CE58" i="8"/>
  <c r="BT90" i="8"/>
  <c r="CE124" i="8"/>
  <c r="CA124" i="8"/>
  <c r="BY125" i="8" s="1"/>
  <c r="BL56" i="8"/>
  <c r="BP56" i="8" s="1"/>
  <c r="BL57" i="8" s="1"/>
  <c r="BN91" i="8"/>
  <c r="W53" i="8"/>
  <c r="S53" i="8"/>
  <c r="CE20" i="8"/>
  <c r="BW21" i="8"/>
  <c r="CA21" i="8" s="1"/>
  <c r="BW22" i="8" s="1"/>
  <c r="BW92" i="8" l="1"/>
  <c r="BY92" i="8"/>
  <c r="BT91" i="8"/>
  <c r="BP23" i="8"/>
  <c r="BT123" i="8"/>
  <c r="BP123" i="8"/>
  <c r="BT23" i="8"/>
  <c r="BW59" i="8"/>
  <c r="CA59" i="8" s="1"/>
  <c r="BW125" i="8"/>
  <c r="CE125" i="8" s="1"/>
  <c r="BT56" i="8"/>
  <c r="BP91" i="8"/>
  <c r="BN92" i="8" s="1"/>
  <c r="Q54" i="8"/>
  <c r="O54" i="8"/>
  <c r="BY22" i="8"/>
  <c r="CA22" i="8" s="1"/>
  <c r="BW23" i="8" s="1"/>
  <c r="CE21" i="8"/>
  <c r="BN57" i="8"/>
  <c r="BP57" i="8" s="1"/>
  <c r="CA92" i="8" l="1"/>
  <c r="BW93" i="8" s="1"/>
  <c r="BY93" i="8"/>
  <c r="CE92" i="8"/>
  <c r="BL24" i="8"/>
  <c r="BN24" i="8"/>
  <c r="S54" i="8"/>
  <c r="Q55" i="8" s="1"/>
  <c r="BN124" i="8"/>
  <c r="BL124" i="8"/>
  <c r="BW60" i="8"/>
  <c r="BY60" i="8"/>
  <c r="CE59" i="8"/>
  <c r="BL92" i="8"/>
  <c r="BP92" i="8" s="1"/>
  <c r="BL93" i="8" s="1"/>
  <c r="CA125" i="8"/>
  <c r="BY126" i="8" s="1"/>
  <c r="CE22" i="8"/>
  <c r="W54" i="8"/>
  <c r="BT57" i="8"/>
  <c r="BY23" i="8"/>
  <c r="CA23" i="8" s="1"/>
  <c r="BN58" i="8"/>
  <c r="BL58" i="8"/>
  <c r="CE93" i="8" l="1"/>
  <c r="O55" i="8"/>
  <c r="W55" i="8" s="1"/>
  <c r="CA93" i="8"/>
  <c r="BY94" i="8" s="1"/>
  <c r="BW94" i="8"/>
  <c r="BP124" i="8"/>
  <c r="BL125" i="8" s="1"/>
  <c r="BT24" i="8"/>
  <c r="BP24" i="8"/>
  <c r="BW126" i="8"/>
  <c r="CA126" i="8" s="1"/>
  <c r="BW127" i="8" s="1"/>
  <c r="BN93" i="8"/>
  <c r="BT93" i="8" s="1"/>
  <c r="BN125" i="8"/>
  <c r="BT124" i="8"/>
  <c r="BT92" i="8"/>
  <c r="CE60" i="8"/>
  <c r="CA60" i="8"/>
  <c r="CE23" i="8"/>
  <c r="BP58" i="8"/>
  <c r="BL59" i="8" s="1"/>
  <c r="BT58" i="8"/>
  <c r="BY24" i="8"/>
  <c r="BW24" i="8"/>
  <c r="CA94" i="8" l="1"/>
  <c r="BY95" i="8" s="1"/>
  <c r="S55" i="8"/>
  <c r="Q56" i="8" s="1"/>
  <c r="BW95" i="8"/>
  <c r="CE94" i="8"/>
  <c r="CE126" i="8"/>
  <c r="BP93" i="8"/>
  <c r="BN94" i="8" s="1"/>
  <c r="BN25" i="8"/>
  <c r="BL25" i="8"/>
  <c r="BT125" i="8"/>
  <c r="BY127" i="8"/>
  <c r="CE127" i="8" s="1"/>
  <c r="BP125" i="8"/>
  <c r="BY61" i="8"/>
  <c r="BW61" i="8"/>
  <c r="O56" i="8"/>
  <c r="BN59" i="8"/>
  <c r="BP59" i="8" s="1"/>
  <c r="CA24" i="8"/>
  <c r="CE24" i="8"/>
  <c r="CA95" i="8" l="1"/>
  <c r="BW96" i="8" s="1"/>
  <c r="CE95" i="8"/>
  <c r="BP25" i="8"/>
  <c r="BN26" i="8" s="1"/>
  <c r="BL94" i="8"/>
  <c r="BP94" i="8" s="1"/>
  <c r="BN95" i="8" s="1"/>
  <c r="BL26" i="8"/>
  <c r="BT25" i="8"/>
  <c r="CA127" i="8"/>
  <c r="BL126" i="8"/>
  <c r="BN126" i="8"/>
  <c r="CA61" i="8"/>
  <c r="CE61" i="8"/>
  <c r="S56" i="8"/>
  <c r="Q57" i="8" s="1"/>
  <c r="O57" i="8"/>
  <c r="W56" i="8"/>
  <c r="BT59" i="8"/>
  <c r="BY96" i="8"/>
  <c r="BL60" i="8"/>
  <c r="BN60" i="8"/>
  <c r="BW25" i="8"/>
  <c r="BY25" i="8"/>
  <c r="CA96" i="8" l="1"/>
  <c r="BW97" i="8" s="1"/>
  <c r="BL95" i="8"/>
  <c r="BT95" i="8" s="1"/>
  <c r="BT94" i="8"/>
  <c r="BP26" i="8"/>
  <c r="BL27" i="8" s="1"/>
  <c r="BN27" i="8"/>
  <c r="BT26" i="8"/>
  <c r="BY128" i="8"/>
  <c r="BW128" i="8"/>
  <c r="BT126" i="8"/>
  <c r="BP126" i="8"/>
  <c r="BW62" i="8"/>
  <c r="BY62" i="8"/>
  <c r="CE96" i="8"/>
  <c r="W57" i="8"/>
  <c r="S57" i="8"/>
  <c r="CE25" i="8"/>
  <c r="BY97" i="8"/>
  <c r="BT60" i="8"/>
  <c r="BP60" i="8"/>
  <c r="CA25" i="8"/>
  <c r="CE62" i="8" l="1"/>
  <c r="BP95" i="8"/>
  <c r="BL96" i="8" s="1"/>
  <c r="BT27" i="8"/>
  <c r="BP27" i="8"/>
  <c r="CA128" i="8"/>
  <c r="BY129" i="8" s="1"/>
  <c r="BW129" i="8"/>
  <c r="CE128" i="8"/>
  <c r="BL127" i="8"/>
  <c r="BN127" i="8"/>
  <c r="CA62" i="8"/>
  <c r="O58" i="8"/>
  <c r="Q58" i="8"/>
  <c r="CA97" i="8"/>
  <c r="BW98" i="8" s="1"/>
  <c r="CE97" i="8"/>
  <c r="BN96" i="8"/>
  <c r="BL61" i="8"/>
  <c r="BN61" i="8"/>
  <c r="BW26" i="8"/>
  <c r="BY26" i="8"/>
  <c r="BL28" i="8" l="1"/>
  <c r="BN28" i="8"/>
  <c r="CA129" i="8"/>
  <c r="BY98" i="8"/>
  <c r="CE98" i="8" s="1"/>
  <c r="CE129" i="8"/>
  <c r="BT127" i="8"/>
  <c r="BP127" i="8"/>
  <c r="BW63" i="8"/>
  <c r="BY63" i="8"/>
  <c r="W58" i="8"/>
  <c r="S58" i="8"/>
  <c r="BP96" i="8"/>
  <c r="BN97" i="8" s="1"/>
  <c r="CE26" i="8"/>
  <c r="BT96" i="8"/>
  <c r="BP61" i="8"/>
  <c r="BT61" i="8"/>
  <c r="CA26" i="8"/>
  <c r="BT28" i="8" l="1"/>
  <c r="BW130" i="8"/>
  <c r="BY130" i="8"/>
  <c r="BP28" i="8"/>
  <c r="CA98" i="8"/>
  <c r="BW99" i="8" s="1"/>
  <c r="BN128" i="8"/>
  <c r="BL128" i="8"/>
  <c r="CA63" i="8"/>
  <c r="BY64" i="8" s="1"/>
  <c r="CE63" i="8"/>
  <c r="BL97" i="8"/>
  <c r="BP97" i="8" s="1"/>
  <c r="O59" i="8"/>
  <c r="Q59" i="8"/>
  <c r="BL62" i="8"/>
  <c r="BN62" i="8"/>
  <c r="BY27" i="8"/>
  <c r="BW27" i="8"/>
  <c r="CA130" i="8" l="1"/>
  <c r="BY131" i="8" s="1"/>
  <c r="BW131" i="8"/>
  <c r="BY99" i="8"/>
  <c r="CA99" i="8" s="1"/>
  <c r="BY100" i="8" s="1"/>
  <c r="CE130" i="8"/>
  <c r="BL29" i="8"/>
  <c r="BN29" i="8"/>
  <c r="BT97" i="8"/>
  <c r="BP128" i="8"/>
  <c r="BL129" i="8" s="1"/>
  <c r="BN129" i="8"/>
  <c r="BT128" i="8"/>
  <c r="BW64" i="8"/>
  <c r="CA64" i="8" s="1"/>
  <c r="W59" i="8"/>
  <c r="S59" i="8"/>
  <c r="BN98" i="8"/>
  <c r="BL98" i="8"/>
  <c r="CA27" i="8"/>
  <c r="BW28" i="8" s="1"/>
  <c r="BT62" i="8"/>
  <c r="BP62" i="8"/>
  <c r="CE27" i="8"/>
  <c r="BT29" i="8" l="1"/>
  <c r="CE99" i="8"/>
  <c r="CE131" i="8"/>
  <c r="CA131" i="8"/>
  <c r="BW132" i="8" s="1"/>
  <c r="BY132" i="8"/>
  <c r="BT129" i="8"/>
  <c r="BP29" i="8"/>
  <c r="BW100" i="8"/>
  <c r="CA100" i="8" s="1"/>
  <c r="BW101" i="8" s="1"/>
  <c r="BP129" i="8"/>
  <c r="BY65" i="8"/>
  <c r="BW65" i="8"/>
  <c r="CE64" i="8"/>
  <c r="O60" i="8"/>
  <c r="Q60" i="8"/>
  <c r="BY28" i="8"/>
  <c r="CA28" i="8" s="1"/>
  <c r="BT98" i="8"/>
  <c r="BP98" i="8"/>
  <c r="BL63" i="8"/>
  <c r="BN63" i="8"/>
  <c r="CA65" i="8" l="1"/>
  <c r="BW66" i="8" s="1"/>
  <c r="CE100" i="8"/>
  <c r="CE132" i="8"/>
  <c r="CA132" i="8"/>
  <c r="BN30" i="8"/>
  <c r="BL30" i="8"/>
  <c r="BN130" i="8"/>
  <c r="BL130" i="8"/>
  <c r="BY66" i="8"/>
  <c r="CE65" i="8"/>
  <c r="BY101" i="8"/>
  <c r="CE101" i="8" s="1"/>
  <c r="W60" i="8"/>
  <c r="S60" i="8"/>
  <c r="CE28" i="8"/>
  <c r="BW29" i="8"/>
  <c r="BY29" i="8"/>
  <c r="BT63" i="8"/>
  <c r="BN99" i="8"/>
  <c r="BL99" i="8"/>
  <c r="BP63" i="8"/>
  <c r="BP30" i="8" l="1"/>
  <c r="BN31" i="8" s="1"/>
  <c r="CA66" i="8"/>
  <c r="BW133" i="8"/>
  <c r="BY133" i="8"/>
  <c r="BL31" i="8"/>
  <c r="BT30" i="8"/>
  <c r="BP130" i="8"/>
  <c r="BL131" i="8" s="1"/>
  <c r="CA101" i="8"/>
  <c r="BY102" i="8" s="1"/>
  <c r="BN131" i="8"/>
  <c r="BT130" i="8"/>
  <c r="CE66" i="8"/>
  <c r="Q61" i="8"/>
  <c r="O61" i="8"/>
  <c r="CA29" i="8"/>
  <c r="BY30" i="8" s="1"/>
  <c r="BP99" i="8"/>
  <c r="BN100" i="8" s="1"/>
  <c r="CE29" i="8"/>
  <c r="BT99" i="8"/>
  <c r="BN64" i="8"/>
  <c r="BL64" i="8"/>
  <c r="BT31" i="8" l="1"/>
  <c r="CE133" i="8"/>
  <c r="BW102" i="8"/>
  <c r="CA102" i="8" s="1"/>
  <c r="BH42" i="8" s="1"/>
  <c r="BH48" i="8" s="1"/>
  <c r="BW67" i="8"/>
  <c r="BY67" i="8"/>
  <c r="CA133" i="8"/>
  <c r="BP31" i="8"/>
  <c r="BT131" i="8"/>
  <c r="BP131" i="8"/>
  <c r="BW30" i="8"/>
  <c r="CA30" i="8" s="1"/>
  <c r="S61" i="8"/>
  <c r="O62" i="8" s="1"/>
  <c r="W61" i="8"/>
  <c r="BL100" i="8"/>
  <c r="BT100" i="8" s="1"/>
  <c r="BT64" i="8"/>
  <c r="BP64" i="8"/>
  <c r="CE102" i="8" l="1"/>
  <c r="CE67" i="8"/>
  <c r="CA67" i="8"/>
  <c r="BY68" i="8" s="1"/>
  <c r="BW134" i="8"/>
  <c r="BY134" i="8"/>
  <c r="BN32" i="8"/>
  <c r="BL32" i="8"/>
  <c r="BH44" i="8"/>
  <c r="BH45" i="8" s="1"/>
  <c r="BH50" i="8" s="1"/>
  <c r="BH47" i="8"/>
  <c r="BH49" i="8" s="1"/>
  <c r="CE30" i="8"/>
  <c r="BN132" i="8"/>
  <c r="BL132" i="8"/>
  <c r="Q62" i="8"/>
  <c r="W62" i="8" s="1"/>
  <c r="BP100" i="8"/>
  <c r="BL101" i="8" s="1"/>
  <c r="BN65" i="8"/>
  <c r="BL65" i="8"/>
  <c r="BY31" i="8"/>
  <c r="BW31" i="8"/>
  <c r="BP32" i="8" l="1"/>
  <c r="BL33" i="8" s="1"/>
  <c r="BP132" i="8"/>
  <c r="BN133" i="8" s="1"/>
  <c r="CE134" i="8"/>
  <c r="BW68" i="8"/>
  <c r="CE68" i="8" s="1"/>
  <c r="CA134" i="8"/>
  <c r="BH51" i="8"/>
  <c r="BH52" i="8" s="1"/>
  <c r="BH54" i="8" s="1"/>
  <c r="BH56" i="8" s="1"/>
  <c r="AQ53" i="8"/>
  <c r="AV53" i="8" s="1"/>
  <c r="BN33" i="8"/>
  <c r="BT32" i="8"/>
  <c r="BL133" i="8"/>
  <c r="BT132" i="8"/>
  <c r="BN101" i="8"/>
  <c r="BT101" i="8" s="1"/>
  <c r="S62" i="8"/>
  <c r="Q63" i="8" s="1"/>
  <c r="BP65" i="8"/>
  <c r="BN66" i="8" s="1"/>
  <c r="CA31" i="8"/>
  <c r="BW32" i="8" s="1"/>
  <c r="BT65" i="8"/>
  <c r="CE31" i="8"/>
  <c r="BT133" i="8" l="1"/>
  <c r="BP33" i="8"/>
  <c r="BL34" i="8" s="1"/>
  <c r="CA68" i="8"/>
  <c r="BH23" i="8" s="1"/>
  <c r="BH29" i="8" s="1"/>
  <c r="BH53" i="8"/>
  <c r="BH55" i="8" s="1"/>
  <c r="BH57" i="8" s="1"/>
  <c r="AR53" i="8"/>
  <c r="AS53" i="8" s="1"/>
  <c r="AT53" i="8" s="1"/>
  <c r="BW135" i="8"/>
  <c r="BY135" i="8"/>
  <c r="BN34" i="8"/>
  <c r="BT33" i="8"/>
  <c r="BP101" i="8"/>
  <c r="BL102" i="8" s="1"/>
  <c r="BP133" i="8"/>
  <c r="BY32" i="8"/>
  <c r="CA32" i="8" s="1"/>
  <c r="BL66" i="8"/>
  <c r="BP66" i="8" s="1"/>
  <c r="BL67" i="8" s="1"/>
  <c r="O63" i="8"/>
  <c r="S63" i="8" s="1"/>
  <c r="O64" i="8" s="1"/>
  <c r="AZ23" i="8"/>
  <c r="BH25" i="8" l="1"/>
  <c r="BH26" i="8" s="1"/>
  <c r="AQ51" i="8" s="1"/>
  <c r="BH28" i="8"/>
  <c r="BH30" i="8" s="1"/>
  <c r="CE135" i="8"/>
  <c r="BT34" i="8"/>
  <c r="BN102" i="8"/>
  <c r="BT102" i="8" s="1"/>
  <c r="CA135" i="8"/>
  <c r="BP34" i="8"/>
  <c r="BD4" i="8" s="1"/>
  <c r="CE32" i="8"/>
  <c r="BL134" i="8"/>
  <c r="BN134" i="8"/>
  <c r="BT66" i="8"/>
  <c r="W63" i="8"/>
  <c r="Q64" i="8"/>
  <c r="W64" i="8" s="1"/>
  <c r="BN67" i="8"/>
  <c r="BT67" i="8" s="1"/>
  <c r="BW33" i="8"/>
  <c r="BY33" i="8"/>
  <c r="BH32" i="8" l="1"/>
  <c r="BH31" i="8"/>
  <c r="BP102" i="8"/>
  <c r="BD42" i="8" s="1"/>
  <c r="BD44" i="8" s="1"/>
  <c r="BD45" i="8" s="1"/>
  <c r="BT134" i="8"/>
  <c r="AR51" i="8"/>
  <c r="AS51" i="8" s="1"/>
  <c r="AT51" i="8" s="1"/>
  <c r="AV51" i="8"/>
  <c r="BY136" i="8"/>
  <c r="BW136" i="8"/>
  <c r="BD6" i="8"/>
  <c r="BD7" i="8" s="1"/>
  <c r="BD10" i="8"/>
  <c r="BD9" i="8"/>
  <c r="BP134" i="8"/>
  <c r="BP67" i="8"/>
  <c r="BL68" i="8" s="1"/>
  <c r="S64" i="8"/>
  <c r="O65" i="8" s="1"/>
  <c r="CE33" i="8"/>
  <c r="CA33" i="8"/>
  <c r="BH34" i="8" l="1"/>
  <c r="BH36" i="8" s="1"/>
  <c r="BH38" i="8" s="1"/>
  <c r="BH33" i="8"/>
  <c r="BH35" i="8" s="1"/>
  <c r="BH37" i="8" s="1"/>
  <c r="AZ14" i="8" s="1"/>
  <c r="BD48" i="8"/>
  <c r="CA136" i="8"/>
  <c r="BH61" i="8" s="1"/>
  <c r="BH63" i="8" s="1"/>
  <c r="BH64" i="8" s="1"/>
  <c r="BN68" i="8"/>
  <c r="BP68" i="8" s="1"/>
  <c r="BD23" i="8" s="1"/>
  <c r="BD25" i="8" s="1"/>
  <c r="BD26" i="8" s="1"/>
  <c r="BD47" i="8"/>
  <c r="CE136" i="8"/>
  <c r="BD11" i="8"/>
  <c r="BD13" i="8"/>
  <c r="AQ48" i="8"/>
  <c r="BD12" i="8"/>
  <c r="AQ52" i="8"/>
  <c r="AR52" i="8" s="1"/>
  <c r="AS52" i="8" s="1"/>
  <c r="AT52" i="8" s="1"/>
  <c r="BD51" i="8"/>
  <c r="BD50" i="8"/>
  <c r="BL135" i="8"/>
  <c r="BN135" i="8"/>
  <c r="Q65" i="8"/>
  <c r="S65" i="8" s="1"/>
  <c r="C6" i="8" s="1"/>
  <c r="BY34" i="8"/>
  <c r="BW34" i="8"/>
  <c r="AN4" i="8" l="1"/>
  <c r="G7" i="8"/>
  <c r="BD49" i="8"/>
  <c r="BH66" i="8"/>
  <c r="BH67" i="8"/>
  <c r="BT68" i="8"/>
  <c r="BD53" i="8"/>
  <c r="AV52" i="8"/>
  <c r="BH70" i="8"/>
  <c r="AQ55" i="8"/>
  <c r="BH69" i="8"/>
  <c r="BD14" i="8"/>
  <c r="BD16" i="8" s="1"/>
  <c r="BD18" i="8" s="1"/>
  <c r="AV5" i="8" s="1"/>
  <c r="BD15" i="8"/>
  <c r="BD17" i="8" s="1"/>
  <c r="BD19" i="8" s="1"/>
  <c r="AV48" i="8"/>
  <c r="AR48" i="8"/>
  <c r="AS48" i="8" s="1"/>
  <c r="AT48" i="8" s="1"/>
  <c r="BD52" i="8"/>
  <c r="W65" i="8"/>
  <c r="BT135" i="8"/>
  <c r="BP135" i="8"/>
  <c r="BD29" i="8"/>
  <c r="BD28" i="8"/>
  <c r="AR6" i="8"/>
  <c r="AR7" i="8" s="1"/>
  <c r="AR5" i="8"/>
  <c r="CA34" i="8"/>
  <c r="BH4" i="8" s="1"/>
  <c r="BH10" i="8" s="1"/>
  <c r="AQ50" i="8"/>
  <c r="BD32" i="8"/>
  <c r="BD31" i="8"/>
  <c r="CE34" i="8"/>
  <c r="BD55" i="8" l="1"/>
  <c r="BD57" i="8" s="1"/>
  <c r="AV24" i="8" s="1"/>
  <c r="BD54" i="8"/>
  <c r="BD56" i="8" s="1"/>
  <c r="AV23" i="8" s="1"/>
  <c r="BH68" i="8"/>
  <c r="AR55" i="8"/>
  <c r="AS55" i="8" s="1"/>
  <c r="AT55" i="8" s="1"/>
  <c r="AV55" i="8"/>
  <c r="BH72" i="8"/>
  <c r="BH71" i="8"/>
  <c r="BL136" i="8"/>
  <c r="BN136" i="8"/>
  <c r="BH9" i="8"/>
  <c r="BH11" i="8" s="1"/>
  <c r="BH6" i="8"/>
  <c r="BH7" i="8" s="1"/>
  <c r="BH13" i="8" s="1"/>
  <c r="BD30" i="8"/>
  <c r="AV6" i="8"/>
  <c r="AV7" i="8" s="1"/>
  <c r="BD20" i="8"/>
  <c r="AZ15" i="8"/>
  <c r="AZ16" i="8" s="1"/>
  <c r="AZ24" i="8"/>
  <c r="AZ25" i="8" s="1"/>
  <c r="BH58" i="8"/>
  <c r="BH39" i="8"/>
  <c r="BD33" i="8"/>
  <c r="BD34" i="8"/>
  <c r="AR50" i="8"/>
  <c r="AS50" i="8" s="1"/>
  <c r="AT50" i="8" s="1"/>
  <c r="AV50" i="8"/>
  <c r="BD58" i="8" l="1"/>
  <c r="BM72" i="8" s="1"/>
  <c r="AV25" i="8"/>
  <c r="AV28" i="8" s="1"/>
  <c r="BH73" i="8"/>
  <c r="BH75" i="8" s="1"/>
  <c r="AZ32" i="8" s="1"/>
  <c r="BH74" i="8"/>
  <c r="BH76" i="8" s="1"/>
  <c r="AZ33" i="8" s="1"/>
  <c r="BT136" i="8"/>
  <c r="BP136" i="8"/>
  <c r="BD61" i="8" s="1"/>
  <c r="BH12" i="8"/>
  <c r="BH15" i="8" s="1"/>
  <c r="BH17" i="8" s="1"/>
  <c r="BH19" i="8" s="1"/>
  <c r="AZ6" i="8" s="1"/>
  <c r="AQ49" i="8"/>
  <c r="AR49" i="8" s="1"/>
  <c r="AS49" i="8" s="1"/>
  <c r="AT49" i="8" s="1"/>
  <c r="BD36" i="8"/>
  <c r="BD38" i="8" s="1"/>
  <c r="AV15" i="8" s="1"/>
  <c r="BD35" i="8"/>
  <c r="BD37" i="8" s="1"/>
  <c r="AV14" i="8" s="1"/>
  <c r="CB38" i="8"/>
  <c r="BX38" i="8"/>
  <c r="AR26" i="8"/>
  <c r="BZ38" i="8"/>
  <c r="AZ17" i="8"/>
  <c r="AZ19" i="8"/>
  <c r="AZ18" i="8"/>
  <c r="BX72" i="8"/>
  <c r="AR28" i="8"/>
  <c r="BZ72" i="8"/>
  <c r="CB72" i="8"/>
  <c r="AZ26" i="8"/>
  <c r="AZ27" i="8"/>
  <c r="AZ28" i="8"/>
  <c r="BQ4" i="8"/>
  <c r="BO4" i="8"/>
  <c r="BM4" i="8"/>
  <c r="AR23" i="8"/>
  <c r="AV9" i="8"/>
  <c r="AV8" i="8"/>
  <c r="AV10" i="8"/>
  <c r="BO72" i="8" l="1"/>
  <c r="AR27" i="8"/>
  <c r="BQ72" i="8"/>
  <c r="AV27" i="8"/>
  <c r="AV26" i="8"/>
  <c r="AZ34" i="8"/>
  <c r="AZ37" i="8" s="1"/>
  <c r="BH77" i="8"/>
  <c r="BH14" i="8"/>
  <c r="BH16" i="8" s="1"/>
  <c r="BH18" i="8" s="1"/>
  <c r="BH20" i="8" s="1"/>
  <c r="AV49" i="8"/>
  <c r="AV16" i="8"/>
  <c r="AV19" i="8" s="1"/>
  <c r="BD39" i="8"/>
  <c r="AR25" i="8" s="1"/>
  <c r="BD63" i="8"/>
  <c r="BD64" i="8" s="1"/>
  <c r="BD67" i="8"/>
  <c r="BD66" i="8"/>
  <c r="AZ36" i="8" l="1"/>
  <c r="AZ35" i="8"/>
  <c r="AV17" i="8"/>
  <c r="AV18" i="8"/>
  <c r="CB106" i="8"/>
  <c r="BZ106" i="8"/>
  <c r="BX106" i="8"/>
  <c r="AZ5" i="8"/>
  <c r="AZ7" i="8" s="1"/>
  <c r="AZ10" i="8" s="1"/>
  <c r="BD68" i="8"/>
  <c r="BO38" i="8"/>
  <c r="BM38" i="8"/>
  <c r="BQ38" i="8"/>
  <c r="BD69" i="8"/>
  <c r="AQ54" i="8"/>
  <c r="BD70" i="8"/>
  <c r="BX4" i="8"/>
  <c r="AR24" i="8"/>
  <c r="CB4" i="8"/>
  <c r="BZ4" i="8"/>
  <c r="AZ8" i="8" l="1"/>
  <c r="AZ9" i="8"/>
  <c r="AV54" i="8"/>
  <c r="AR54" i="8"/>
  <c r="AS54" i="8" s="1"/>
  <c r="AT54" i="8" s="1"/>
  <c r="BD72" i="8"/>
  <c r="BD74" i="8" s="1"/>
  <c r="BD76" i="8" s="1"/>
  <c r="AV33" i="8" s="1"/>
  <c r="BD71" i="8"/>
  <c r="BD73" i="8" s="1"/>
  <c r="BD75" i="8" s="1"/>
  <c r="AV32" i="8" l="1"/>
  <c r="AV34" i="8" s="1"/>
  <c r="BD77" i="8"/>
  <c r="AV35" i="8" l="1"/>
  <c r="AV37" i="8"/>
  <c r="AR11" i="8" s="1"/>
  <c r="AV36" i="8"/>
  <c r="AR10" i="8" s="1"/>
  <c r="BM106" i="8"/>
  <c r="BQ106" i="8"/>
  <c r="BO106" i="8"/>
  <c r="AR29" i="8"/>
  <c r="AR30" i="8" s="1"/>
  <c r="G8" i="8"/>
  <c r="C41" i="8"/>
  <c r="AR18" i="8" l="1"/>
  <c r="AR19" i="8" s="1"/>
  <c r="AR12" i="8"/>
  <c r="G13" i="8" s="1"/>
  <c r="AR15" i="8"/>
  <c r="AR17" i="8"/>
  <c r="G10" i="8"/>
  <c r="C30" i="8"/>
  <c r="AR16" i="8" l="1"/>
  <c r="AR20" i="8"/>
  <c r="AK74" i="8"/>
  <c r="AG74" i="8"/>
  <c r="C56" i="8"/>
  <c r="C51" i="8"/>
  <c r="G51" i="8"/>
  <c r="G52" i="8"/>
  <c r="G53" i="8"/>
  <c r="AK39" i="8"/>
  <c r="AG39" i="8"/>
  <c r="G39" i="8"/>
  <c r="G36" i="8"/>
  <c r="G19" i="8"/>
  <c r="S21" i="8"/>
  <c r="G30" i="8" s="1"/>
  <c r="G31" i="8" s="1"/>
  <c r="W19" i="8"/>
  <c r="S19" i="8"/>
  <c r="S22" i="8" s="1"/>
  <c r="O19" i="8"/>
  <c r="G16" i="8"/>
  <c r="G22" i="8" s="1"/>
  <c r="W11" i="8"/>
  <c r="S11" i="8"/>
  <c r="G6" i="8"/>
  <c r="G9" i="8"/>
  <c r="G11" i="8" s="1"/>
  <c r="P35" i="8" s="1"/>
  <c r="S5" i="8"/>
  <c r="S10" i="8" s="1"/>
  <c r="AK4" i="8"/>
  <c r="AG4" i="8"/>
  <c r="S4" i="8"/>
  <c r="G12" i="8" l="1"/>
  <c r="T35" i="8"/>
  <c r="R35" i="8"/>
  <c r="S12" i="8"/>
  <c r="S13" i="8"/>
  <c r="W21" i="8"/>
  <c r="G42" i="8"/>
  <c r="W5" i="8"/>
  <c r="W10" i="8" s="1"/>
  <c r="O5" i="8"/>
  <c r="O10" i="8" s="1"/>
  <c r="O21" i="8"/>
  <c r="G24" i="8"/>
  <c r="O4" i="8" s="1"/>
  <c r="G23" i="8"/>
  <c r="S25" i="8"/>
  <c r="G44" i="8"/>
  <c r="W4" i="8" s="1"/>
  <c r="W12" i="8" s="1"/>
  <c r="W13" i="8" s="1"/>
  <c r="G43" i="8"/>
  <c r="K4" i="8"/>
  <c r="K5" i="8" s="1"/>
  <c r="O22" i="8" l="1"/>
  <c r="O25" i="8" s="1"/>
  <c r="G20" i="8"/>
  <c r="G21" i="8" s="1"/>
  <c r="W22" i="8"/>
  <c r="W25" i="8" s="1"/>
  <c r="G40" i="8"/>
  <c r="G41" i="8" s="1"/>
  <c r="W16" i="8"/>
  <c r="W14" i="8"/>
  <c r="W20" i="8" s="1"/>
  <c r="W23" i="8" s="1"/>
  <c r="O12" i="8"/>
  <c r="O13" i="8" s="1"/>
  <c r="S14" i="8"/>
  <c r="S20" i="8" s="1"/>
  <c r="S23" i="8" s="1"/>
  <c r="AH4" i="8" s="1"/>
  <c r="S16" i="8"/>
  <c r="S15" i="8"/>
  <c r="G29" i="8"/>
  <c r="K12" i="8" s="1"/>
  <c r="AD4" i="8"/>
  <c r="S28" i="8" l="1"/>
  <c r="S30" i="8" s="1"/>
  <c r="AI4" i="8"/>
  <c r="AC5" i="8" s="1"/>
  <c r="AF4" i="8"/>
  <c r="AJ4" i="8" s="1"/>
  <c r="AE5" i="8" s="1"/>
  <c r="AF5" i="8" s="1"/>
  <c r="O14" i="8"/>
  <c r="O16" i="8"/>
  <c r="AD5" i="8"/>
  <c r="W15" i="8"/>
  <c r="AH74" i="8"/>
  <c r="AF74" i="8"/>
  <c r="AD74" i="8"/>
  <c r="W28" i="8"/>
  <c r="W30" i="8" s="1"/>
  <c r="AK5" i="8" l="1"/>
  <c r="AG5" i="8"/>
  <c r="AH5" i="8" s="1"/>
  <c r="AJ5" i="8" s="1"/>
  <c r="AE6" i="8" s="1"/>
  <c r="O20" i="8"/>
  <c r="O15" i="8"/>
  <c r="AI74" i="8"/>
  <c r="AC75" i="8" s="1"/>
  <c r="AD75" i="8" s="1"/>
  <c r="AI5" i="8"/>
  <c r="AC6" i="8" s="1"/>
  <c r="AD6" i="8" s="1"/>
  <c r="AJ74" i="8"/>
  <c r="AE75" i="8" s="1"/>
  <c r="AF75" i="8" s="1"/>
  <c r="AF6" i="8" l="1"/>
  <c r="AK6" i="8"/>
  <c r="AG6" i="8"/>
  <c r="AH6" i="8" s="1"/>
  <c r="O23" i="8"/>
  <c r="O28" i="8"/>
  <c r="O30" i="8" s="1"/>
  <c r="AK75" i="8"/>
  <c r="AJ6" i="8"/>
  <c r="AE7" i="8" s="1"/>
  <c r="AF7" i="8" s="1"/>
  <c r="AI6" i="8"/>
  <c r="AC7" i="8" s="1"/>
  <c r="AG75" i="8"/>
  <c r="AH75" i="8" s="1"/>
  <c r="AJ75" i="8" s="1"/>
  <c r="AE76" i="8" s="1"/>
  <c r="AG7" i="8"/>
  <c r="AH7" i="8" s="1"/>
  <c r="AD7" i="8"/>
  <c r="AK7" i="8"/>
  <c r="AD39" i="8" l="1"/>
  <c r="AF39" i="8"/>
  <c r="AH39" i="8"/>
  <c r="AJ7" i="8"/>
  <c r="AE8" i="8" s="1"/>
  <c r="AF76" i="8"/>
  <c r="AI75" i="8"/>
  <c r="AC76" i="8" s="1"/>
  <c r="AI7" i="8"/>
  <c r="AC8" i="8" s="1"/>
  <c r="AK8" i="8" s="1"/>
  <c r="AF8" i="8"/>
  <c r="AJ39" i="8" l="1"/>
  <c r="AE40" i="8" s="1"/>
  <c r="AF40" i="8"/>
  <c r="AI39" i="8"/>
  <c r="AC40" i="8" s="1"/>
  <c r="AK40" i="8" s="1"/>
  <c r="AG76" i="8"/>
  <c r="AH76" i="8" s="1"/>
  <c r="AD76" i="8"/>
  <c r="AJ76" i="8"/>
  <c r="AE77" i="8" s="1"/>
  <c r="AK76" i="8"/>
  <c r="AG8" i="8"/>
  <c r="AH8" i="8" s="1"/>
  <c r="AJ8" i="8" s="1"/>
  <c r="AE9" i="8" s="1"/>
  <c r="AD8" i="8"/>
  <c r="AD40" i="8" l="1"/>
  <c r="AG40" i="8"/>
  <c r="AH40" i="8" s="1"/>
  <c r="AJ40" i="8" s="1"/>
  <c r="AE41" i="8" s="1"/>
  <c r="AI76" i="8"/>
  <c r="AC77" i="8" s="1"/>
  <c r="AK77" i="8" s="1"/>
  <c r="AF77" i="8"/>
  <c r="AI8" i="8"/>
  <c r="AC9" i="8" s="1"/>
  <c r="AG77" i="8"/>
  <c r="AH77" i="8" s="1"/>
  <c r="AD77" i="8"/>
  <c r="AK9" i="8"/>
  <c r="AF9" i="8"/>
  <c r="AG9" i="8"/>
  <c r="AH9" i="8" s="1"/>
  <c r="AD9" i="8"/>
  <c r="AF41" i="8" l="1"/>
  <c r="AI40" i="8"/>
  <c r="AC41" i="8" s="1"/>
  <c r="AK41" i="8" s="1"/>
  <c r="AI77" i="8"/>
  <c r="AC78" i="8" s="1"/>
  <c r="AD78" i="8" s="1"/>
  <c r="AJ77" i="8"/>
  <c r="AE78" i="8" s="1"/>
  <c r="AI9" i="8"/>
  <c r="AC10" i="8" s="1"/>
  <c r="AD10" i="8"/>
  <c r="AJ9" i="8"/>
  <c r="AE10" i="8" s="1"/>
  <c r="AG10" i="8" s="1"/>
  <c r="AH10" i="8" s="1"/>
  <c r="AD41" i="8" l="1"/>
  <c r="AG41" i="8"/>
  <c r="AH41" i="8" s="1"/>
  <c r="AJ41" i="8" s="1"/>
  <c r="AE42" i="8" s="1"/>
  <c r="AK78" i="8"/>
  <c r="AF78" i="8"/>
  <c r="AG78" i="8"/>
  <c r="AH78" i="8" s="1"/>
  <c r="AI78" i="8" s="1"/>
  <c r="AC79" i="8" s="1"/>
  <c r="AK10" i="8"/>
  <c r="AF10" i="8"/>
  <c r="AJ10" i="8" s="1"/>
  <c r="AE11" i="8" s="1"/>
  <c r="AI10" i="8"/>
  <c r="AC11" i="8" s="1"/>
  <c r="AF42" i="8" l="1"/>
  <c r="AI41" i="8"/>
  <c r="AC42" i="8" s="1"/>
  <c r="AD79" i="8"/>
  <c r="AJ78" i="8"/>
  <c r="AE79" i="8" s="1"/>
  <c r="AG79" i="8" s="1"/>
  <c r="AH79" i="8" s="1"/>
  <c r="AG11" i="8"/>
  <c r="AH11" i="8" s="1"/>
  <c r="AD11" i="8"/>
  <c r="AK11" i="8"/>
  <c r="AF11" i="8"/>
  <c r="AG42" i="8" l="1"/>
  <c r="AH42" i="8" s="1"/>
  <c r="AJ42" i="8" s="1"/>
  <c r="AE43" i="8" s="1"/>
  <c r="AD42" i="8"/>
  <c r="AI42" i="8" s="1"/>
  <c r="AC43" i="8" s="1"/>
  <c r="AK42" i="8"/>
  <c r="AJ11" i="8"/>
  <c r="AE12" i="8" s="1"/>
  <c r="AI11" i="8"/>
  <c r="AC12" i="8" s="1"/>
  <c r="AG12" i="8" s="1"/>
  <c r="AH12" i="8" s="1"/>
  <c r="AK79" i="8"/>
  <c r="AF79" i="8"/>
  <c r="AJ79" i="8" s="1"/>
  <c r="AE80" i="8" s="1"/>
  <c r="AI79" i="8"/>
  <c r="AC80" i="8" s="1"/>
  <c r="AF12" i="8"/>
  <c r="AG43" i="8" l="1"/>
  <c r="AH43" i="8" s="1"/>
  <c r="AD43" i="8"/>
  <c r="AI43" i="8" s="1"/>
  <c r="AC44" i="8" s="1"/>
  <c r="AD44" i="8" s="1"/>
  <c r="AF43" i="8"/>
  <c r="AJ43" i="8" s="1"/>
  <c r="AE44" i="8" s="1"/>
  <c r="AK43" i="8"/>
  <c r="AK12" i="8"/>
  <c r="AD12" i="8"/>
  <c r="AI12" i="8" s="1"/>
  <c r="AC13" i="8" s="1"/>
  <c r="AD13" i="8" s="1"/>
  <c r="AD80" i="8"/>
  <c r="AG80" i="8"/>
  <c r="AH80" i="8" s="1"/>
  <c r="AF80" i="8"/>
  <c r="AK80" i="8"/>
  <c r="AJ12" i="8"/>
  <c r="AE13" i="8" s="1"/>
  <c r="AF13" i="8" s="1"/>
  <c r="AG44" i="8" l="1"/>
  <c r="AH44" i="8" s="1"/>
  <c r="AI44" i="8" s="1"/>
  <c r="AC45" i="8" s="1"/>
  <c r="AF44" i="8"/>
  <c r="AJ44" i="8" s="1"/>
  <c r="AE45" i="8" s="1"/>
  <c r="AK44" i="8"/>
  <c r="AG13" i="8"/>
  <c r="AH13" i="8" s="1"/>
  <c r="AK13" i="8"/>
  <c r="AI80" i="8"/>
  <c r="AC81" i="8" s="1"/>
  <c r="AD81" i="8" s="1"/>
  <c r="AI13" i="8"/>
  <c r="AC14" i="8" s="1"/>
  <c r="AJ13" i="8"/>
  <c r="AE14" i="8" s="1"/>
  <c r="AF14" i="8" s="1"/>
  <c r="AJ80" i="8"/>
  <c r="AE81" i="8" s="1"/>
  <c r="AG14" i="8" l="1"/>
  <c r="AH14" i="8" s="1"/>
  <c r="AD45" i="8"/>
  <c r="AG45" i="8"/>
  <c r="AH45" i="8" s="1"/>
  <c r="AK45" i="8"/>
  <c r="AF45" i="8"/>
  <c r="AJ45" i="8" s="1"/>
  <c r="AE46" i="8" s="1"/>
  <c r="AF46" i="8" s="1"/>
  <c r="AD14" i="8"/>
  <c r="AK14" i="8"/>
  <c r="AG81" i="8"/>
  <c r="AH81" i="8" s="1"/>
  <c r="AI81" i="8" s="1"/>
  <c r="AC82" i="8" s="1"/>
  <c r="AD82" i="8" s="1"/>
  <c r="AK81" i="8"/>
  <c r="AF81" i="8"/>
  <c r="AI14" i="8"/>
  <c r="AC15" i="8" s="1"/>
  <c r="AJ14" i="8"/>
  <c r="AE15" i="8" s="1"/>
  <c r="AI45" i="8" l="1"/>
  <c r="AC46" i="8" s="1"/>
  <c r="AJ81" i="8"/>
  <c r="AE82" i="8" s="1"/>
  <c r="AF82" i="8" s="1"/>
  <c r="AK15" i="8"/>
  <c r="AF15" i="8"/>
  <c r="AG15" i="8"/>
  <c r="AH15" i="8" s="1"/>
  <c r="AD15" i="8"/>
  <c r="AD46" i="8" l="1"/>
  <c r="AG46" i="8"/>
  <c r="AH46" i="8" s="1"/>
  <c r="AK46" i="8"/>
  <c r="AK82" i="8"/>
  <c r="AG82" i="8"/>
  <c r="AH82" i="8" s="1"/>
  <c r="AI15" i="8"/>
  <c r="AC16" i="8" s="1"/>
  <c r="AD16" i="8" s="1"/>
  <c r="AJ15" i="8"/>
  <c r="AE16" i="8" s="1"/>
  <c r="AI46" i="8" l="1"/>
  <c r="AC47" i="8" s="1"/>
  <c r="AJ46" i="8"/>
  <c r="AE47" i="8" s="1"/>
  <c r="AI82" i="8"/>
  <c r="AC83" i="8" s="1"/>
  <c r="AJ82" i="8"/>
  <c r="AE83" i="8" s="1"/>
  <c r="AK16" i="8"/>
  <c r="AF16" i="8"/>
  <c r="AG16" i="8"/>
  <c r="AH16" i="8" s="1"/>
  <c r="AI16" i="8" s="1"/>
  <c r="AC17" i="8" s="1"/>
  <c r="AK47" i="8" l="1"/>
  <c r="AF47" i="8"/>
  <c r="AD47" i="8"/>
  <c r="AG47" i="8"/>
  <c r="AH47" i="8" s="1"/>
  <c r="AK83" i="8"/>
  <c r="AF83" i="8"/>
  <c r="AD83" i="8"/>
  <c r="AG83" i="8"/>
  <c r="AH83" i="8" s="1"/>
  <c r="AD17" i="8"/>
  <c r="AJ16" i="8"/>
  <c r="AE17" i="8" s="1"/>
  <c r="AI47" i="8" l="1"/>
  <c r="AC48" i="8" s="1"/>
  <c r="AJ47" i="8"/>
  <c r="AE48" i="8" s="1"/>
  <c r="AI83" i="8"/>
  <c r="AC84" i="8" s="1"/>
  <c r="AD84" i="8" s="1"/>
  <c r="AJ83" i="8"/>
  <c r="AE84" i="8" s="1"/>
  <c r="AK17" i="8"/>
  <c r="AF17" i="8"/>
  <c r="AG17" i="8"/>
  <c r="AH17" i="8" s="1"/>
  <c r="AI17" i="8" s="1"/>
  <c r="AC18" i="8" s="1"/>
  <c r="AK48" i="8" l="1"/>
  <c r="AF48" i="8"/>
  <c r="AD48" i="8"/>
  <c r="AG48" i="8"/>
  <c r="AH48" i="8" s="1"/>
  <c r="AK84" i="8"/>
  <c r="AG84" i="8"/>
  <c r="AH84" i="8" s="1"/>
  <c r="AI84" i="8" s="1"/>
  <c r="AC85" i="8" s="1"/>
  <c r="AD85" i="8" s="1"/>
  <c r="AF84" i="8"/>
  <c r="AD18" i="8"/>
  <c r="AJ17" i="8"/>
  <c r="AE18" i="8" s="1"/>
  <c r="AI48" i="8" l="1"/>
  <c r="AC49" i="8" s="1"/>
  <c r="AJ48" i="8"/>
  <c r="AE49" i="8" s="1"/>
  <c r="AJ84" i="8"/>
  <c r="AE85" i="8" s="1"/>
  <c r="AG85" i="8" s="1"/>
  <c r="AH85" i="8" s="1"/>
  <c r="AI85" i="8" s="1"/>
  <c r="AC86" i="8" s="1"/>
  <c r="AD86" i="8" s="1"/>
  <c r="AK18" i="8"/>
  <c r="AF18" i="8"/>
  <c r="AG18" i="8"/>
  <c r="AH18" i="8" s="1"/>
  <c r="AI18" i="8" s="1"/>
  <c r="AC19" i="8" s="1"/>
  <c r="AK49" i="8" l="1"/>
  <c r="AF49" i="8"/>
  <c r="AD49" i="8"/>
  <c r="AG49" i="8"/>
  <c r="AH49" i="8" s="1"/>
  <c r="AF85" i="8"/>
  <c r="AJ85" i="8" s="1"/>
  <c r="AE86" i="8" s="1"/>
  <c r="AG86" i="8" s="1"/>
  <c r="AH86" i="8" s="1"/>
  <c r="AI86" i="8" s="1"/>
  <c r="AC87" i="8" s="1"/>
  <c r="AK85" i="8"/>
  <c r="AD19" i="8"/>
  <c r="AJ18" i="8"/>
  <c r="AE19" i="8" s="1"/>
  <c r="AF86" i="8" l="1"/>
  <c r="AK86" i="8"/>
  <c r="AI49" i="8"/>
  <c r="AC50" i="8" s="1"/>
  <c r="AD50" i="8" s="1"/>
  <c r="AJ49" i="8"/>
  <c r="AE50" i="8" s="1"/>
  <c r="AD87" i="8"/>
  <c r="AK19" i="8"/>
  <c r="AF19" i="8"/>
  <c r="AJ86" i="8"/>
  <c r="AE87" i="8" s="1"/>
  <c r="AG19" i="8"/>
  <c r="AH19" i="8" s="1"/>
  <c r="AI19" i="8" s="1"/>
  <c r="AC20" i="8" s="1"/>
  <c r="AG50" i="8" l="1"/>
  <c r="AH50" i="8" s="1"/>
  <c r="AI50" i="8" s="1"/>
  <c r="AC51" i="8" s="1"/>
  <c r="AK50" i="8"/>
  <c r="AF50" i="8"/>
  <c r="AJ50" i="8" s="1"/>
  <c r="AE51" i="8" s="1"/>
  <c r="AF51" i="8" s="1"/>
  <c r="AD20" i="8"/>
  <c r="AK87" i="8"/>
  <c r="AF87" i="8"/>
  <c r="AJ19" i="8"/>
  <c r="AE20" i="8" s="1"/>
  <c r="AG87" i="8"/>
  <c r="AH87" i="8" s="1"/>
  <c r="AI87" i="8" s="1"/>
  <c r="AC88" i="8" s="1"/>
  <c r="AK51" i="8" l="1"/>
  <c r="AG51" i="8"/>
  <c r="AH51" i="8" s="1"/>
  <c r="AJ51" i="8" s="1"/>
  <c r="AE52" i="8" s="1"/>
  <c r="AD51" i="8"/>
  <c r="AI51" i="8" s="1"/>
  <c r="AC52" i="8" s="1"/>
  <c r="AD88" i="8"/>
  <c r="AK20" i="8"/>
  <c r="AF20" i="8"/>
  <c r="AJ87" i="8"/>
  <c r="AE88" i="8" s="1"/>
  <c r="AG20" i="8"/>
  <c r="AH20" i="8" s="1"/>
  <c r="AI20" i="8" s="1"/>
  <c r="AC21" i="8" s="1"/>
  <c r="AK52" i="8" l="1"/>
  <c r="AF52" i="8"/>
  <c r="AD52" i="8"/>
  <c r="AG52" i="8"/>
  <c r="AH52" i="8" s="1"/>
  <c r="AI52" i="8" s="1"/>
  <c r="AC53" i="8" s="1"/>
  <c r="AD21" i="8"/>
  <c r="AK88" i="8"/>
  <c r="AF88" i="8"/>
  <c r="AJ20" i="8"/>
  <c r="AE21" i="8" s="1"/>
  <c r="AG88" i="8"/>
  <c r="AH88" i="8" s="1"/>
  <c r="AI88" i="8" s="1"/>
  <c r="AC89" i="8" s="1"/>
  <c r="AD53" i="8" l="1"/>
  <c r="AJ52" i="8"/>
  <c r="AE53" i="8" s="1"/>
  <c r="AD89" i="8"/>
  <c r="AK21" i="8"/>
  <c r="AF21" i="8"/>
  <c r="AJ88" i="8"/>
  <c r="AE89" i="8" s="1"/>
  <c r="AG21" i="8"/>
  <c r="AH21" i="8" s="1"/>
  <c r="AI21" i="8" s="1"/>
  <c r="AC22" i="8" s="1"/>
  <c r="AF53" i="8" l="1"/>
  <c r="AK53" i="8"/>
  <c r="AG53" i="8"/>
  <c r="AH53" i="8" s="1"/>
  <c r="AI53" i="8" s="1"/>
  <c r="AC54" i="8" s="1"/>
  <c r="AD22" i="8"/>
  <c r="AK89" i="8"/>
  <c r="AF89" i="8"/>
  <c r="AJ21" i="8"/>
  <c r="AE22" i="8" s="1"/>
  <c r="AG89" i="8"/>
  <c r="AH89" i="8" s="1"/>
  <c r="AI89" i="8" s="1"/>
  <c r="AC90" i="8" s="1"/>
  <c r="AD54" i="8" l="1"/>
  <c r="AJ53" i="8"/>
  <c r="AE54" i="8" s="1"/>
  <c r="AG54" i="8" s="1"/>
  <c r="AH54" i="8" s="1"/>
  <c r="AI54" i="8" s="1"/>
  <c r="AC55" i="8" s="1"/>
  <c r="AD90" i="8"/>
  <c r="AJ89" i="8"/>
  <c r="AE90" i="8" s="1"/>
  <c r="AK22" i="8"/>
  <c r="AF22" i="8"/>
  <c r="AG22" i="8"/>
  <c r="AH22" i="8" s="1"/>
  <c r="AI22" i="8" s="1"/>
  <c r="AC23" i="8" s="1"/>
  <c r="AD55" i="8" l="1"/>
  <c r="AK54" i="8"/>
  <c r="AF54" i="8"/>
  <c r="AJ54" i="8" s="1"/>
  <c r="AE55" i="8" s="1"/>
  <c r="AD23" i="8"/>
  <c r="AK90" i="8"/>
  <c r="AF90" i="8"/>
  <c r="AJ22" i="8"/>
  <c r="AE23" i="8" s="1"/>
  <c r="AG90" i="8"/>
  <c r="AH90" i="8" s="1"/>
  <c r="AI90" i="8" s="1"/>
  <c r="AC91" i="8" s="1"/>
  <c r="AK55" i="8" l="1"/>
  <c r="AF55" i="8"/>
  <c r="AG55" i="8"/>
  <c r="AH55" i="8" s="1"/>
  <c r="AI55" i="8" s="1"/>
  <c r="AC56" i="8" s="1"/>
  <c r="AD56" i="8" s="1"/>
  <c r="AD91" i="8"/>
  <c r="AK23" i="8"/>
  <c r="AF23" i="8"/>
  <c r="AJ90" i="8"/>
  <c r="AE91" i="8" s="1"/>
  <c r="AG23" i="8"/>
  <c r="AH23" i="8" s="1"/>
  <c r="AI23" i="8" s="1"/>
  <c r="AC24" i="8" s="1"/>
  <c r="AJ55" i="8" l="1"/>
  <c r="AE56" i="8" s="1"/>
  <c r="AD24" i="8"/>
  <c r="AK91" i="8"/>
  <c r="AF91" i="8"/>
  <c r="AJ23" i="8"/>
  <c r="AE24" i="8" s="1"/>
  <c r="AG91" i="8"/>
  <c r="AH91" i="8" s="1"/>
  <c r="AI91" i="8" s="1"/>
  <c r="AC92" i="8" s="1"/>
  <c r="AK56" i="8" l="1"/>
  <c r="AF56" i="8"/>
  <c r="AG56" i="8"/>
  <c r="AH56" i="8" s="1"/>
  <c r="AI56" i="8" s="1"/>
  <c r="AC57" i="8" s="1"/>
  <c r="AD57" i="8" s="1"/>
  <c r="AD92" i="8"/>
  <c r="AK24" i="8"/>
  <c r="AF24" i="8"/>
  <c r="AJ91" i="8"/>
  <c r="AE92" i="8" s="1"/>
  <c r="AG24" i="8"/>
  <c r="AH24" i="8" s="1"/>
  <c r="AI24" i="8" s="1"/>
  <c r="AC25" i="8" s="1"/>
  <c r="AJ56" i="8" l="1"/>
  <c r="AE57" i="8" s="1"/>
  <c r="AD25" i="8"/>
  <c r="AJ24" i="8"/>
  <c r="AE25" i="8" s="1"/>
  <c r="AK92" i="8"/>
  <c r="AF92" i="8"/>
  <c r="AG92" i="8"/>
  <c r="AH92" i="8" s="1"/>
  <c r="AI92" i="8" s="1"/>
  <c r="AC93" i="8" s="1"/>
  <c r="AF57" i="8" l="1"/>
  <c r="AG57" i="8"/>
  <c r="AH57" i="8" s="1"/>
  <c r="AI57" i="8" s="1"/>
  <c r="AC58" i="8" s="1"/>
  <c r="AD58" i="8" s="1"/>
  <c r="AK57" i="8"/>
  <c r="AD93" i="8"/>
  <c r="AJ92" i="8"/>
  <c r="AE93" i="8" s="1"/>
  <c r="AK25" i="8"/>
  <c r="AF25" i="8"/>
  <c r="AG25" i="8"/>
  <c r="AH25" i="8" s="1"/>
  <c r="AI25" i="8" s="1"/>
  <c r="AC26" i="8" s="1"/>
  <c r="AJ57" i="8" l="1"/>
  <c r="AE58" i="8" s="1"/>
  <c r="AD26" i="8"/>
  <c r="AJ25" i="8"/>
  <c r="AE26" i="8" s="1"/>
  <c r="AK93" i="8"/>
  <c r="AF93" i="8"/>
  <c r="AG93" i="8"/>
  <c r="AH93" i="8" s="1"/>
  <c r="AI93" i="8" s="1"/>
  <c r="AC94" i="8" s="1"/>
  <c r="AG58" i="8" l="1"/>
  <c r="AH58" i="8" s="1"/>
  <c r="AI58" i="8" s="1"/>
  <c r="AC59" i="8" s="1"/>
  <c r="AD59" i="8" s="1"/>
  <c r="AK58" i="8"/>
  <c r="AF58" i="8"/>
  <c r="AJ58" i="8" s="1"/>
  <c r="AE59" i="8" s="1"/>
  <c r="AD94" i="8"/>
  <c r="AJ93" i="8"/>
  <c r="AE94" i="8" s="1"/>
  <c r="AK59" i="8"/>
  <c r="AF59" i="8"/>
  <c r="AG59" i="8"/>
  <c r="AH59" i="8" s="1"/>
  <c r="AI59" i="8" s="1"/>
  <c r="AC60" i="8" s="1"/>
  <c r="AK26" i="8"/>
  <c r="AF26" i="8"/>
  <c r="AG26" i="8"/>
  <c r="AH26" i="8" s="1"/>
  <c r="AI26" i="8" s="1"/>
  <c r="AC27" i="8" s="1"/>
  <c r="AD27" i="8" l="1"/>
  <c r="AK94" i="8"/>
  <c r="AF94" i="8"/>
  <c r="AJ26" i="8"/>
  <c r="AE27" i="8" s="1"/>
  <c r="AD60" i="8"/>
  <c r="AJ59" i="8"/>
  <c r="AE60" i="8" s="1"/>
  <c r="AG94" i="8"/>
  <c r="AH94" i="8" s="1"/>
  <c r="AI94" i="8" s="1"/>
  <c r="AC95" i="8" s="1"/>
  <c r="AD95" i="8" l="1"/>
  <c r="AK60" i="8"/>
  <c r="AF60" i="8"/>
  <c r="AK27" i="8"/>
  <c r="AF27" i="8"/>
  <c r="AG60" i="8"/>
  <c r="AH60" i="8" s="1"/>
  <c r="AI60" i="8" s="1"/>
  <c r="AC61" i="8" s="1"/>
  <c r="AJ94" i="8"/>
  <c r="AE95" i="8" s="1"/>
  <c r="AG27" i="8"/>
  <c r="AH27" i="8" s="1"/>
  <c r="AI27" i="8" s="1"/>
  <c r="AC28" i="8" s="1"/>
  <c r="AD28" i="8" l="1"/>
  <c r="AD61" i="8"/>
  <c r="AJ27" i="8"/>
  <c r="AE28" i="8" s="1"/>
  <c r="AK95" i="8"/>
  <c r="AF95" i="8"/>
  <c r="AJ60" i="8"/>
  <c r="AE61" i="8" s="1"/>
  <c r="AG95" i="8"/>
  <c r="AH95" i="8" s="1"/>
  <c r="AI95" i="8" s="1"/>
  <c r="AC96" i="8" s="1"/>
  <c r="AD96" i="8" l="1"/>
  <c r="AJ95" i="8"/>
  <c r="AE96" i="8" s="1"/>
  <c r="AK28" i="8"/>
  <c r="AF28" i="8"/>
  <c r="AK61" i="8"/>
  <c r="AF61" i="8"/>
  <c r="AG61" i="8"/>
  <c r="AH61" i="8" s="1"/>
  <c r="AI61" i="8" s="1"/>
  <c r="AC62" i="8" s="1"/>
  <c r="AG28" i="8"/>
  <c r="AH28" i="8" s="1"/>
  <c r="AI28" i="8" s="1"/>
  <c r="AC29" i="8" s="1"/>
  <c r="AD29" i="8" l="1"/>
  <c r="AD62" i="8"/>
  <c r="AJ28" i="8"/>
  <c r="AE29" i="8" s="1"/>
  <c r="AK96" i="8"/>
  <c r="AF96" i="8"/>
  <c r="AJ61" i="8"/>
  <c r="AE62" i="8" s="1"/>
  <c r="AG96" i="8"/>
  <c r="AH96" i="8" s="1"/>
  <c r="AI96" i="8" s="1"/>
  <c r="AC97" i="8" s="1"/>
  <c r="AD97" i="8" l="1"/>
  <c r="AK29" i="8"/>
  <c r="AF29" i="8"/>
  <c r="AK62" i="8"/>
  <c r="AF62" i="8"/>
  <c r="AJ96" i="8"/>
  <c r="AE97" i="8" s="1"/>
  <c r="AG62" i="8"/>
  <c r="AH62" i="8" s="1"/>
  <c r="AI62" i="8" s="1"/>
  <c r="AC63" i="8" s="1"/>
  <c r="AG29" i="8"/>
  <c r="AH29" i="8" s="1"/>
  <c r="AI29" i="8" s="1"/>
  <c r="AC30" i="8" s="1"/>
  <c r="AD30" i="8" l="1"/>
  <c r="AD63" i="8"/>
  <c r="AK97" i="8"/>
  <c r="AF97" i="8"/>
  <c r="AJ62" i="8"/>
  <c r="AE63" i="8" s="1"/>
  <c r="AJ29" i="8"/>
  <c r="AE30" i="8" s="1"/>
  <c r="AG97" i="8"/>
  <c r="AH97" i="8" s="1"/>
  <c r="AI97" i="8" s="1"/>
  <c r="AC98" i="8" s="1"/>
  <c r="AD98" i="8" l="1"/>
  <c r="AK30" i="8"/>
  <c r="AF30" i="8"/>
  <c r="AJ97" i="8"/>
  <c r="AE98" i="8" s="1"/>
  <c r="AK63" i="8"/>
  <c r="AF63" i="8"/>
  <c r="AG63" i="8"/>
  <c r="AH63" i="8" s="1"/>
  <c r="AI63" i="8" s="1"/>
  <c r="AC64" i="8" s="1"/>
  <c r="AG30" i="8"/>
  <c r="AH30" i="8" s="1"/>
  <c r="AI30" i="8" s="1"/>
  <c r="AC31" i="8" s="1"/>
  <c r="AD31" i="8" l="1"/>
  <c r="AD64" i="8"/>
  <c r="AJ63" i="8"/>
  <c r="AE64" i="8" s="1"/>
  <c r="AK98" i="8"/>
  <c r="AF98" i="8"/>
  <c r="AJ30" i="8"/>
  <c r="AE31" i="8" s="1"/>
  <c r="AG98" i="8"/>
  <c r="AH98" i="8" s="1"/>
  <c r="AI98" i="8" s="1"/>
  <c r="AC99" i="8" s="1"/>
  <c r="AD99" i="8" l="1"/>
  <c r="AK31" i="8"/>
  <c r="AF31" i="8"/>
  <c r="AJ98" i="8"/>
  <c r="AE99" i="8" s="1"/>
  <c r="AK64" i="8"/>
  <c r="AF64" i="8"/>
  <c r="AG64" i="8"/>
  <c r="AH64" i="8" s="1"/>
  <c r="AI64" i="8" s="1"/>
  <c r="AC65" i="8" s="1"/>
  <c r="AG31" i="8"/>
  <c r="AH31" i="8" s="1"/>
  <c r="AI31" i="8" s="1"/>
  <c r="AC32" i="8" s="1"/>
  <c r="AD32" i="8" l="1"/>
  <c r="AD65" i="8"/>
  <c r="AJ64" i="8"/>
  <c r="AE65" i="8" s="1"/>
  <c r="AK99" i="8"/>
  <c r="AF99" i="8"/>
  <c r="AJ31" i="8"/>
  <c r="AE32" i="8" s="1"/>
  <c r="AG99" i="8"/>
  <c r="AH99" i="8" s="1"/>
  <c r="AI99" i="8" s="1"/>
  <c r="AC100" i="8" s="1"/>
  <c r="AD100" i="8" l="1"/>
  <c r="AK32" i="8"/>
  <c r="AF32" i="8"/>
  <c r="AK65" i="8"/>
  <c r="AF65" i="8"/>
  <c r="AJ99" i="8"/>
  <c r="AE100" i="8" s="1"/>
  <c r="AG65" i="8"/>
  <c r="AH65" i="8" s="1"/>
  <c r="AI65" i="8" s="1"/>
  <c r="AC66" i="8" s="1"/>
  <c r="AG32" i="8"/>
  <c r="AH32" i="8" s="1"/>
  <c r="AI32" i="8" s="1"/>
  <c r="AC33" i="8" s="1"/>
  <c r="AD33" i="8" l="1"/>
  <c r="AD66" i="8"/>
  <c r="AJ65" i="8"/>
  <c r="AE66" i="8" s="1"/>
  <c r="AK100" i="8"/>
  <c r="AF100" i="8"/>
  <c r="AJ32" i="8"/>
  <c r="AE33" i="8" s="1"/>
  <c r="AG100" i="8"/>
  <c r="AH100" i="8" s="1"/>
  <c r="AI100" i="8" s="1"/>
  <c r="AC101" i="8" s="1"/>
  <c r="AD101" i="8" l="1"/>
  <c r="AK33" i="8"/>
  <c r="AF33" i="8"/>
  <c r="AK66" i="8"/>
  <c r="AF66" i="8"/>
  <c r="AJ100" i="8"/>
  <c r="AE101" i="8" s="1"/>
  <c r="AG66" i="8"/>
  <c r="AH66" i="8" s="1"/>
  <c r="AI66" i="8" s="1"/>
  <c r="AC67" i="8" s="1"/>
  <c r="AG33" i="8"/>
  <c r="AH33" i="8" s="1"/>
  <c r="AI33" i="8" s="1"/>
  <c r="AC34" i="8" s="1"/>
  <c r="AJ66" i="8" l="1"/>
  <c r="AE67" i="8" s="1"/>
  <c r="AD34" i="8"/>
  <c r="AG67" i="8"/>
  <c r="AH67" i="8" s="1"/>
  <c r="AD67" i="8"/>
  <c r="AK67" i="8"/>
  <c r="AF67" i="8"/>
  <c r="AJ33" i="8"/>
  <c r="AE34" i="8" s="1"/>
  <c r="AK101" i="8"/>
  <c r="AF101" i="8"/>
  <c r="AG101" i="8"/>
  <c r="AH101" i="8" s="1"/>
  <c r="AI101" i="8" s="1"/>
  <c r="AC102" i="8" s="1"/>
  <c r="AJ67" i="8" l="1"/>
  <c r="AE68" i="8" s="1"/>
  <c r="AI67" i="8"/>
  <c r="AC68" i="8" s="1"/>
  <c r="AG68" i="8" s="1"/>
  <c r="AH68" i="8" s="1"/>
  <c r="AD102" i="8"/>
  <c r="AJ101" i="8"/>
  <c r="AE102" i="8" s="1"/>
  <c r="AK34" i="8"/>
  <c r="AF34" i="8"/>
  <c r="AD68" i="8"/>
  <c r="AK68" i="8"/>
  <c r="AF68" i="8"/>
  <c r="AG34" i="8"/>
  <c r="AJ68" i="8" l="1"/>
  <c r="AE69" i="8" s="1"/>
  <c r="AI68" i="8"/>
  <c r="AC69" i="8" s="1"/>
  <c r="AG69" i="8" s="1"/>
  <c r="S26" i="8"/>
  <c r="S27" i="8" s="1"/>
  <c r="G32" i="8" s="1"/>
  <c r="G33" i="8" s="1"/>
  <c r="AH34" i="8"/>
  <c r="AI34" i="8" s="1"/>
  <c r="AD69" i="8"/>
  <c r="AK69" i="8"/>
  <c r="AF69" i="8"/>
  <c r="AJ34" i="8"/>
  <c r="AK102" i="8"/>
  <c r="AF102" i="8"/>
  <c r="AG102" i="8"/>
  <c r="AH102" i="8" s="1"/>
  <c r="AI102" i="8" s="1"/>
  <c r="AC103" i="8" s="1"/>
  <c r="AD103" i="8" l="1"/>
  <c r="O26" i="8"/>
  <c r="O27" i="8" s="1"/>
  <c r="G25" i="8" s="1"/>
  <c r="G26" i="8" s="1"/>
  <c r="AH69" i="8"/>
  <c r="AJ69" i="8" s="1"/>
  <c r="AJ102" i="8"/>
  <c r="AE103" i="8" s="1"/>
  <c r="AI69" i="8" l="1"/>
  <c r="AK103" i="8"/>
  <c r="AF103" i="8"/>
  <c r="AG103" i="8"/>
  <c r="AH103" i="8" s="1"/>
  <c r="AI103" i="8" s="1"/>
  <c r="AC104" i="8" s="1"/>
  <c r="AD104" i="8" l="1"/>
  <c r="AJ103" i="8"/>
  <c r="AE104" i="8" s="1"/>
  <c r="AK104" i="8" l="1"/>
  <c r="AF104" i="8"/>
  <c r="AG104" i="8"/>
  <c r="W26" i="8" l="1"/>
  <c r="W27" i="8" s="1"/>
  <c r="G45" i="8" s="1"/>
  <c r="G46" i="8" s="1"/>
  <c r="AH104" i="8"/>
  <c r="AI104" i="8" s="1"/>
  <c r="K6" i="8" l="1"/>
  <c r="K7" i="8" s="1"/>
  <c r="K11" i="8"/>
  <c r="AJ104" i="8"/>
  <c r="C19" i="6" l="1"/>
  <c r="W5" i="6"/>
  <c r="W6" i="6" s="1"/>
  <c r="W8" i="6" s="1"/>
  <c r="S5" i="6"/>
  <c r="S6" i="6" s="1"/>
  <c r="S8" i="6" s="1"/>
  <c r="O5" i="6"/>
  <c r="O6" i="6" s="1"/>
  <c r="O8" i="6" s="1"/>
  <c r="O11" i="6" l="1"/>
  <c r="O9" i="6"/>
  <c r="O10" i="6" s="1"/>
  <c r="S11" i="6"/>
  <c r="S9" i="6"/>
  <c r="W11" i="6"/>
  <c r="W9" i="6"/>
  <c r="BD5" i="6"/>
  <c r="V65" i="6"/>
  <c r="U65" i="6"/>
  <c r="V64" i="6"/>
  <c r="U64" i="6"/>
  <c r="V63" i="6"/>
  <c r="U63" i="6"/>
  <c r="V62" i="6"/>
  <c r="U62" i="6"/>
  <c r="V61" i="6"/>
  <c r="U61" i="6"/>
  <c r="V60" i="6"/>
  <c r="U60" i="6"/>
  <c r="V59" i="6"/>
  <c r="U59" i="6"/>
  <c r="V58" i="6"/>
  <c r="U58" i="6"/>
  <c r="V57" i="6"/>
  <c r="U57" i="6"/>
  <c r="V56" i="6"/>
  <c r="U56" i="6"/>
  <c r="V55" i="6"/>
  <c r="U55" i="6"/>
  <c r="V54" i="6"/>
  <c r="U54" i="6"/>
  <c r="V53" i="6"/>
  <c r="U53" i="6"/>
  <c r="V52" i="6"/>
  <c r="U52" i="6"/>
  <c r="V51" i="6"/>
  <c r="U51" i="6"/>
  <c r="V50" i="6"/>
  <c r="U50" i="6"/>
  <c r="V49" i="6"/>
  <c r="U49" i="6"/>
  <c r="V48" i="6"/>
  <c r="U48" i="6"/>
  <c r="V47" i="6"/>
  <c r="U47" i="6"/>
  <c r="V46" i="6"/>
  <c r="U46" i="6"/>
  <c r="V45" i="6"/>
  <c r="U45" i="6"/>
  <c r="V44" i="6"/>
  <c r="U44" i="6"/>
  <c r="V43" i="6"/>
  <c r="U43" i="6"/>
  <c r="V42" i="6"/>
  <c r="U42" i="6"/>
  <c r="V41" i="6"/>
  <c r="U41" i="6"/>
  <c r="V40" i="6"/>
  <c r="U40" i="6"/>
  <c r="V39" i="6"/>
  <c r="U39" i="6"/>
  <c r="V38" i="6"/>
  <c r="U38" i="6"/>
  <c r="V37" i="6"/>
  <c r="U37" i="6"/>
  <c r="W36" i="6"/>
  <c r="V36" i="6"/>
  <c r="U36" i="6"/>
  <c r="O37" i="6" s="1"/>
  <c r="S36" i="6"/>
  <c r="BH62" i="6"/>
  <c r="BD62" i="6"/>
  <c r="BH43" i="6"/>
  <c r="BD43" i="6"/>
  <c r="BH24" i="6"/>
  <c r="BD24" i="6"/>
  <c r="BH5" i="6"/>
  <c r="AN46" i="6"/>
  <c r="AN45" i="6"/>
  <c r="AN19" i="6"/>
  <c r="CD136" i="6"/>
  <c r="CC136" i="6"/>
  <c r="BS136" i="6"/>
  <c r="BR136" i="6"/>
  <c r="CD135" i="6"/>
  <c r="CC135" i="6"/>
  <c r="BS135" i="6"/>
  <c r="BR135" i="6"/>
  <c r="CD134" i="6"/>
  <c r="CC134" i="6"/>
  <c r="BS134" i="6"/>
  <c r="BR134" i="6"/>
  <c r="CD133" i="6"/>
  <c r="CC133" i="6"/>
  <c r="BS133" i="6"/>
  <c r="BR133" i="6"/>
  <c r="CD132" i="6"/>
  <c r="CC132" i="6"/>
  <c r="BS132" i="6"/>
  <c r="BR132" i="6"/>
  <c r="CD131" i="6"/>
  <c r="CC131" i="6"/>
  <c r="BS131" i="6"/>
  <c r="BR131" i="6"/>
  <c r="CD130" i="6"/>
  <c r="CC130" i="6"/>
  <c r="BS130" i="6"/>
  <c r="BR130" i="6"/>
  <c r="CD129" i="6"/>
  <c r="CC129" i="6"/>
  <c r="BS129" i="6"/>
  <c r="BR129" i="6"/>
  <c r="CD128" i="6"/>
  <c r="CC128" i="6"/>
  <c r="BS128" i="6"/>
  <c r="BR128" i="6"/>
  <c r="CD127" i="6"/>
  <c r="CC127" i="6"/>
  <c r="BS127" i="6"/>
  <c r="BR127" i="6"/>
  <c r="CD126" i="6"/>
  <c r="CC126" i="6"/>
  <c r="BS126" i="6"/>
  <c r="BR126" i="6"/>
  <c r="CD125" i="6"/>
  <c r="CC125" i="6"/>
  <c r="BS125" i="6"/>
  <c r="BR125" i="6"/>
  <c r="CD124" i="6"/>
  <c r="CC124" i="6"/>
  <c r="BS124" i="6"/>
  <c r="BR124" i="6"/>
  <c r="CD123" i="6"/>
  <c r="CC123" i="6"/>
  <c r="BS123" i="6"/>
  <c r="BR123" i="6"/>
  <c r="CD122" i="6"/>
  <c r="CC122" i="6"/>
  <c r="BS122" i="6"/>
  <c r="BR122" i="6"/>
  <c r="CD121" i="6"/>
  <c r="CC121" i="6"/>
  <c r="BS121" i="6"/>
  <c r="BR121" i="6"/>
  <c r="CD120" i="6"/>
  <c r="CC120" i="6"/>
  <c r="BS120" i="6"/>
  <c r="BR120" i="6"/>
  <c r="CD119" i="6"/>
  <c r="CC119" i="6"/>
  <c r="BS119" i="6"/>
  <c r="BR119" i="6"/>
  <c r="CD118" i="6"/>
  <c r="CC118" i="6"/>
  <c r="BS118" i="6"/>
  <c r="BR118" i="6"/>
  <c r="CD117" i="6"/>
  <c r="CC117" i="6"/>
  <c r="BS117" i="6"/>
  <c r="BR117" i="6"/>
  <c r="CD116" i="6"/>
  <c r="CC116" i="6"/>
  <c r="BS116" i="6"/>
  <c r="BR116" i="6"/>
  <c r="CD115" i="6"/>
  <c r="CC115" i="6"/>
  <c r="BS115" i="6"/>
  <c r="BR115" i="6"/>
  <c r="CD114" i="6"/>
  <c r="CC114" i="6"/>
  <c r="BS114" i="6"/>
  <c r="BR114" i="6"/>
  <c r="CD113" i="6"/>
  <c r="CC113" i="6"/>
  <c r="BS113" i="6"/>
  <c r="BR113" i="6"/>
  <c r="CD112" i="6"/>
  <c r="CC112" i="6"/>
  <c r="BS112" i="6"/>
  <c r="BR112" i="6"/>
  <c r="CD111" i="6"/>
  <c r="CC111" i="6"/>
  <c r="BS111" i="6"/>
  <c r="BR111" i="6"/>
  <c r="CD110" i="6"/>
  <c r="CC110" i="6"/>
  <c r="BS110" i="6"/>
  <c r="BR110" i="6"/>
  <c r="CD109" i="6"/>
  <c r="CC109" i="6"/>
  <c r="BS109" i="6"/>
  <c r="BR109" i="6"/>
  <c r="CD108" i="6"/>
  <c r="CC108" i="6"/>
  <c r="BS108" i="6"/>
  <c r="BR108" i="6"/>
  <c r="CD107" i="6"/>
  <c r="CC107" i="6"/>
  <c r="BY107" i="6"/>
  <c r="BW107" i="6"/>
  <c r="CA107" i="6" s="1"/>
  <c r="BS107" i="6"/>
  <c r="BR107" i="6"/>
  <c r="BN107" i="6"/>
  <c r="BL107" i="6"/>
  <c r="BP107" i="6" s="1"/>
  <c r="CD102" i="6"/>
  <c r="CC102" i="6"/>
  <c r="BS102" i="6"/>
  <c r="BR102" i="6"/>
  <c r="CD101" i="6"/>
  <c r="CC101" i="6"/>
  <c r="BS101" i="6"/>
  <c r="BR101" i="6"/>
  <c r="CD100" i="6"/>
  <c r="CC100" i="6"/>
  <c r="BS100" i="6"/>
  <c r="BR100" i="6"/>
  <c r="CD99" i="6"/>
  <c r="CC99" i="6"/>
  <c r="BS99" i="6"/>
  <c r="BR99" i="6"/>
  <c r="CD98" i="6"/>
  <c r="CC98" i="6"/>
  <c r="BS98" i="6"/>
  <c r="BR98" i="6"/>
  <c r="CD97" i="6"/>
  <c r="CC97" i="6"/>
  <c r="BS97" i="6"/>
  <c r="BR97" i="6"/>
  <c r="CD96" i="6"/>
  <c r="CC96" i="6"/>
  <c r="BS96" i="6"/>
  <c r="BR96" i="6"/>
  <c r="CD95" i="6"/>
  <c r="CC95" i="6"/>
  <c r="BS95" i="6"/>
  <c r="BR95" i="6"/>
  <c r="CD94" i="6"/>
  <c r="CC94" i="6"/>
  <c r="BS94" i="6"/>
  <c r="BR94" i="6"/>
  <c r="CD93" i="6"/>
  <c r="CC93" i="6"/>
  <c r="BS93" i="6"/>
  <c r="BR93" i="6"/>
  <c r="CD92" i="6"/>
  <c r="CC92" i="6"/>
  <c r="BS92" i="6"/>
  <c r="BR92" i="6"/>
  <c r="CD91" i="6"/>
  <c r="CC91" i="6"/>
  <c r="BS91" i="6"/>
  <c r="BR91" i="6"/>
  <c r="CD90" i="6"/>
  <c r="CC90" i="6"/>
  <c r="BS90" i="6"/>
  <c r="BR90" i="6"/>
  <c r="CD89" i="6"/>
  <c r="CC89" i="6"/>
  <c r="BS89" i="6"/>
  <c r="BR89" i="6"/>
  <c r="CD88" i="6"/>
  <c r="CC88" i="6"/>
  <c r="BS88" i="6"/>
  <c r="BR88" i="6"/>
  <c r="CD87" i="6"/>
  <c r="CC87" i="6"/>
  <c r="BS87" i="6"/>
  <c r="BR87" i="6"/>
  <c r="CD86" i="6"/>
  <c r="CC86" i="6"/>
  <c r="BS86" i="6"/>
  <c r="BR86" i="6"/>
  <c r="CD85" i="6"/>
  <c r="CC85" i="6"/>
  <c r="BS85" i="6"/>
  <c r="BR85" i="6"/>
  <c r="CD84" i="6"/>
  <c r="CC84" i="6"/>
  <c r="BS84" i="6"/>
  <c r="BR84" i="6"/>
  <c r="CD83" i="6"/>
  <c r="CC83" i="6"/>
  <c r="BS83" i="6"/>
  <c r="BR83" i="6"/>
  <c r="CD82" i="6"/>
  <c r="CC82" i="6"/>
  <c r="BS82" i="6"/>
  <c r="BR82" i="6"/>
  <c r="CD81" i="6"/>
  <c r="CC81" i="6"/>
  <c r="BS81" i="6"/>
  <c r="BR81" i="6"/>
  <c r="CD80" i="6"/>
  <c r="CC80" i="6"/>
  <c r="BS80" i="6"/>
  <c r="BR80" i="6"/>
  <c r="CD79" i="6"/>
  <c r="CC79" i="6"/>
  <c r="BS79" i="6"/>
  <c r="BR79" i="6"/>
  <c r="CD78" i="6"/>
  <c r="CC78" i="6"/>
  <c r="BS78" i="6"/>
  <c r="BR78" i="6"/>
  <c r="CD77" i="6"/>
  <c r="CC77" i="6"/>
  <c r="BS77" i="6"/>
  <c r="BR77" i="6"/>
  <c r="CD76" i="6"/>
  <c r="CC76" i="6"/>
  <c r="BS76" i="6"/>
  <c r="BR76" i="6"/>
  <c r="CD75" i="6"/>
  <c r="CC75" i="6"/>
  <c r="BS75" i="6"/>
  <c r="BR75" i="6"/>
  <c r="CD74" i="6"/>
  <c r="CC74" i="6"/>
  <c r="BS74" i="6"/>
  <c r="BR74" i="6"/>
  <c r="CD73" i="6"/>
  <c r="CC73" i="6"/>
  <c r="BY73" i="6"/>
  <c r="BW73" i="6"/>
  <c r="CA73" i="6" s="1"/>
  <c r="BS73" i="6"/>
  <c r="BR73" i="6"/>
  <c r="BN73" i="6"/>
  <c r="BL73" i="6"/>
  <c r="CD68" i="6"/>
  <c r="CC68" i="6"/>
  <c r="BS68" i="6"/>
  <c r="BR68" i="6"/>
  <c r="CD67" i="6"/>
  <c r="CC67" i="6"/>
  <c r="BS67" i="6"/>
  <c r="BR67" i="6"/>
  <c r="CD66" i="6"/>
  <c r="CC66" i="6"/>
  <c r="BS66" i="6"/>
  <c r="BR66" i="6"/>
  <c r="CD65" i="6"/>
  <c r="CC65" i="6"/>
  <c r="BS65" i="6"/>
  <c r="BR65" i="6"/>
  <c r="CD64" i="6"/>
  <c r="CC64" i="6"/>
  <c r="BS64" i="6"/>
  <c r="BR64" i="6"/>
  <c r="CD63" i="6"/>
  <c r="CC63" i="6"/>
  <c r="BS63" i="6"/>
  <c r="BR63" i="6"/>
  <c r="CD62" i="6"/>
  <c r="CC62" i="6"/>
  <c r="BS62" i="6"/>
  <c r="BR62" i="6"/>
  <c r="CD61" i="6"/>
  <c r="CC61" i="6"/>
  <c r="BS61" i="6"/>
  <c r="BR61" i="6"/>
  <c r="CD60" i="6"/>
  <c r="CC60" i="6"/>
  <c r="BS60" i="6"/>
  <c r="BR60" i="6"/>
  <c r="CD59" i="6"/>
  <c r="CC59" i="6"/>
  <c r="BS59" i="6"/>
  <c r="BR59" i="6"/>
  <c r="CD58" i="6"/>
  <c r="CC58" i="6"/>
  <c r="BS58" i="6"/>
  <c r="BR58" i="6"/>
  <c r="CD57" i="6"/>
  <c r="CC57" i="6"/>
  <c r="BS57" i="6"/>
  <c r="BR57" i="6"/>
  <c r="CD56" i="6"/>
  <c r="CC56" i="6"/>
  <c r="BS56" i="6"/>
  <c r="BR56" i="6"/>
  <c r="CD55" i="6"/>
  <c r="CC55" i="6"/>
  <c r="BS55" i="6"/>
  <c r="BR55" i="6"/>
  <c r="CD54" i="6"/>
  <c r="CC54" i="6"/>
  <c r="BS54" i="6"/>
  <c r="BR54" i="6"/>
  <c r="CD53" i="6"/>
  <c r="CC53" i="6"/>
  <c r="BS53" i="6"/>
  <c r="BR53" i="6"/>
  <c r="CD52" i="6"/>
  <c r="CC52" i="6"/>
  <c r="BS52" i="6"/>
  <c r="BR52" i="6"/>
  <c r="CD51" i="6"/>
  <c r="CC51" i="6"/>
  <c r="BS51" i="6"/>
  <c r="BR51" i="6"/>
  <c r="CD50" i="6"/>
  <c r="CC50" i="6"/>
  <c r="BS50" i="6"/>
  <c r="BR50" i="6"/>
  <c r="CD49" i="6"/>
  <c r="CC49" i="6"/>
  <c r="BS49" i="6"/>
  <c r="BR49" i="6"/>
  <c r="CD48" i="6"/>
  <c r="CC48" i="6"/>
  <c r="BS48" i="6"/>
  <c r="BR48" i="6"/>
  <c r="CD47" i="6"/>
  <c r="CC47" i="6"/>
  <c r="BS47" i="6"/>
  <c r="BR47" i="6"/>
  <c r="CD46" i="6"/>
  <c r="CC46" i="6"/>
  <c r="BS46" i="6"/>
  <c r="BR46" i="6"/>
  <c r="CD45" i="6"/>
  <c r="CC45" i="6"/>
  <c r="BS45" i="6"/>
  <c r="BR45" i="6"/>
  <c r="CD44" i="6"/>
  <c r="CC44" i="6"/>
  <c r="BS44" i="6"/>
  <c r="BR44" i="6"/>
  <c r="CD43" i="6"/>
  <c r="CC43" i="6"/>
  <c r="BS43" i="6"/>
  <c r="BR43" i="6"/>
  <c r="CD42" i="6"/>
  <c r="CC42" i="6"/>
  <c r="BS42" i="6"/>
  <c r="BR42" i="6"/>
  <c r="CD41" i="6"/>
  <c r="CC41" i="6"/>
  <c r="BS41" i="6"/>
  <c r="BR41" i="6"/>
  <c r="CD40" i="6"/>
  <c r="CC40" i="6"/>
  <c r="BS40" i="6"/>
  <c r="BR40" i="6"/>
  <c r="CD39" i="6"/>
  <c r="CC39" i="6"/>
  <c r="BY39" i="6"/>
  <c r="BW39" i="6"/>
  <c r="CA39" i="6" s="1"/>
  <c r="BS39" i="6"/>
  <c r="BR39" i="6"/>
  <c r="BN39" i="6"/>
  <c r="BL39" i="6"/>
  <c r="BP39" i="6" s="1"/>
  <c r="CD34" i="6"/>
  <c r="CC34" i="6"/>
  <c r="BS34" i="6"/>
  <c r="BR34" i="6"/>
  <c r="CD33" i="6"/>
  <c r="CC33" i="6"/>
  <c r="BS33" i="6"/>
  <c r="BR33" i="6"/>
  <c r="CD32" i="6"/>
  <c r="CC32" i="6"/>
  <c r="BS32" i="6"/>
  <c r="BR32" i="6"/>
  <c r="CD31" i="6"/>
  <c r="CC31" i="6"/>
  <c r="BS31" i="6"/>
  <c r="BR31" i="6"/>
  <c r="CD30" i="6"/>
  <c r="CC30" i="6"/>
  <c r="BS30" i="6"/>
  <c r="BR30" i="6"/>
  <c r="CD29" i="6"/>
  <c r="CC29" i="6"/>
  <c r="BS29" i="6"/>
  <c r="BR29" i="6"/>
  <c r="CD28" i="6"/>
  <c r="CC28" i="6"/>
  <c r="BS28" i="6"/>
  <c r="BR28" i="6"/>
  <c r="CD27" i="6"/>
  <c r="CC27" i="6"/>
  <c r="BS27" i="6"/>
  <c r="BR27" i="6"/>
  <c r="CD26" i="6"/>
  <c r="CC26" i="6"/>
  <c r="BS26" i="6"/>
  <c r="BR26" i="6"/>
  <c r="CD25" i="6"/>
  <c r="CC25" i="6"/>
  <c r="BS25" i="6"/>
  <c r="BR25" i="6"/>
  <c r="CD24" i="6"/>
  <c r="CC24" i="6"/>
  <c r="BS24" i="6"/>
  <c r="BR24" i="6"/>
  <c r="CD23" i="6"/>
  <c r="CC23" i="6"/>
  <c r="BS23" i="6"/>
  <c r="BR23" i="6"/>
  <c r="CD22" i="6"/>
  <c r="CC22" i="6"/>
  <c r="BS22" i="6"/>
  <c r="BR22" i="6"/>
  <c r="CD21" i="6"/>
  <c r="CC21" i="6"/>
  <c r="BS21" i="6"/>
  <c r="BR21" i="6"/>
  <c r="CD20" i="6"/>
  <c r="CC20" i="6"/>
  <c r="BS20" i="6"/>
  <c r="BR20" i="6"/>
  <c r="CD19" i="6"/>
  <c r="CC19" i="6"/>
  <c r="BS19" i="6"/>
  <c r="BR19" i="6"/>
  <c r="CD18" i="6"/>
  <c r="CC18" i="6"/>
  <c r="BS18" i="6"/>
  <c r="BR18" i="6"/>
  <c r="CD17" i="6"/>
  <c r="CC17" i="6"/>
  <c r="BS17" i="6"/>
  <c r="BR17" i="6"/>
  <c r="CD16" i="6"/>
  <c r="CC16" i="6"/>
  <c r="BS16" i="6"/>
  <c r="BR16" i="6"/>
  <c r="CD15" i="6"/>
  <c r="CC15" i="6"/>
  <c r="BS15" i="6"/>
  <c r="BR15" i="6"/>
  <c r="CD14" i="6"/>
  <c r="CC14" i="6"/>
  <c r="BS14" i="6"/>
  <c r="BR14" i="6"/>
  <c r="CD13" i="6"/>
  <c r="CC13" i="6"/>
  <c r="BS13" i="6"/>
  <c r="BR13" i="6"/>
  <c r="CD12" i="6"/>
  <c r="CC12" i="6"/>
  <c r="BS12" i="6"/>
  <c r="BR12" i="6"/>
  <c r="CD11" i="6"/>
  <c r="CC11" i="6"/>
  <c r="BS11" i="6"/>
  <c r="BR11" i="6"/>
  <c r="CD10" i="6"/>
  <c r="CC10" i="6"/>
  <c r="BS10" i="6"/>
  <c r="BR10" i="6"/>
  <c r="CD9" i="6"/>
  <c r="CC9" i="6"/>
  <c r="BS9" i="6"/>
  <c r="BR9" i="6"/>
  <c r="AN9" i="6"/>
  <c r="AR3" i="6" s="1"/>
  <c r="AR4" i="6" s="1"/>
  <c r="CD8" i="6"/>
  <c r="CC8" i="6"/>
  <c r="BS8" i="6"/>
  <c r="BR8" i="6"/>
  <c r="AN8" i="6"/>
  <c r="CD7" i="6"/>
  <c r="CC7" i="6"/>
  <c r="BS7" i="6"/>
  <c r="BR7" i="6"/>
  <c r="CD6" i="6"/>
  <c r="CC6" i="6"/>
  <c r="BS6" i="6"/>
  <c r="BR6" i="6"/>
  <c r="CD5" i="6"/>
  <c r="CC5" i="6"/>
  <c r="BY5" i="6"/>
  <c r="BW5" i="6"/>
  <c r="BS5" i="6"/>
  <c r="BR5" i="6"/>
  <c r="BN5" i="6"/>
  <c r="BL5" i="6"/>
  <c r="AN3" i="6"/>
  <c r="C8" i="6"/>
  <c r="G53" i="6"/>
  <c r="AN21" i="6" l="1"/>
  <c r="BN108" i="6"/>
  <c r="AN24" i="6"/>
  <c r="BP5" i="6"/>
  <c r="CE39" i="6"/>
  <c r="BT73" i="6"/>
  <c r="AN32" i="6"/>
  <c r="BH46" i="6" s="1"/>
  <c r="AN29" i="6"/>
  <c r="BD27" i="6" s="1"/>
  <c r="BW40" i="6"/>
  <c r="BW41" i="6" s="1"/>
  <c r="BW42" i="6" s="1"/>
  <c r="BL74" i="6"/>
  <c r="BL75" i="6" s="1"/>
  <c r="BL76" i="6" s="1"/>
  <c r="AN33" i="6"/>
  <c r="BW108" i="6"/>
  <c r="BW109" i="6" s="1"/>
  <c r="BW110" i="6" s="1"/>
  <c r="BW111" i="6" s="1"/>
  <c r="AN25" i="6"/>
  <c r="BT39" i="6"/>
  <c r="CA5" i="6"/>
  <c r="BY6" i="6" s="1"/>
  <c r="BL108" i="6"/>
  <c r="AN10" i="6"/>
  <c r="AV4" i="6" s="1"/>
  <c r="AN30" i="6"/>
  <c r="CE107" i="6"/>
  <c r="AN20" i="6"/>
  <c r="AZ4" i="6" s="1"/>
  <c r="AN31" i="6"/>
  <c r="BP73" i="6"/>
  <c r="BN74" i="6" s="1"/>
  <c r="AN22" i="6"/>
  <c r="AZ13" i="6" s="1"/>
  <c r="AN34" i="6"/>
  <c r="BH65" i="6" s="1"/>
  <c r="BY40" i="6"/>
  <c r="AN23" i="6"/>
  <c r="CE73" i="6"/>
  <c r="AN26" i="6"/>
  <c r="AZ31" i="6" s="1"/>
  <c r="Q37" i="6"/>
  <c r="W37" i="6" s="1"/>
  <c r="AN27" i="6"/>
  <c r="BD8" i="6" s="1"/>
  <c r="BW74" i="6"/>
  <c r="BW75" i="6" s="1"/>
  <c r="AN28" i="6"/>
  <c r="BH8" i="6" s="1"/>
  <c r="BY108" i="6"/>
  <c r="BY74" i="6"/>
  <c r="BL6" i="6"/>
  <c r="BT5" i="6"/>
  <c r="BN6" i="6"/>
  <c r="BN40" i="6"/>
  <c r="BW6" i="6"/>
  <c r="CE5" i="6"/>
  <c r="BT107" i="6"/>
  <c r="BL40" i="6"/>
  <c r="AK74" i="6"/>
  <c r="AG74" i="6"/>
  <c r="G51" i="6"/>
  <c r="AK39" i="6"/>
  <c r="AG39" i="6"/>
  <c r="G39" i="6"/>
  <c r="G36" i="6"/>
  <c r="G42" i="6" s="1"/>
  <c r="G19" i="6"/>
  <c r="G16" i="6"/>
  <c r="G22" i="6" s="1"/>
  <c r="G6" i="6"/>
  <c r="AK4" i="6"/>
  <c r="AG4" i="6"/>
  <c r="S4" i="6"/>
  <c r="S10" i="6" s="1"/>
  <c r="AV31" i="6" l="1"/>
  <c r="BT108" i="6"/>
  <c r="BD65" i="6"/>
  <c r="CE40" i="6"/>
  <c r="CA108" i="6"/>
  <c r="BY109" i="6" s="1"/>
  <c r="CE109" i="6" s="1"/>
  <c r="BT74" i="6"/>
  <c r="BD46" i="6"/>
  <c r="BP108" i="6"/>
  <c r="BN109" i="6" s="1"/>
  <c r="BL109" i="6"/>
  <c r="BH27" i="6"/>
  <c r="CA40" i="6"/>
  <c r="BY41" i="6" s="1"/>
  <c r="CE41" i="6" s="1"/>
  <c r="AV22" i="6"/>
  <c r="AZ22" i="6"/>
  <c r="AV13" i="6"/>
  <c r="CA74" i="6"/>
  <c r="BY75" i="6" s="1"/>
  <c r="CE75" i="6" s="1"/>
  <c r="S37" i="6"/>
  <c r="O38" i="6" s="1"/>
  <c r="O39" i="6" s="1"/>
  <c r="Q38" i="6"/>
  <c r="CE108" i="6"/>
  <c r="CE74" i="6"/>
  <c r="BP74" i="6"/>
  <c r="BN75" i="6" s="1"/>
  <c r="BP75" i="6" s="1"/>
  <c r="BN76" i="6" s="1"/>
  <c r="BT76" i="6" s="1"/>
  <c r="BT40" i="6"/>
  <c r="BP6" i="6"/>
  <c r="BN7" i="6" s="1"/>
  <c r="BL7" i="6"/>
  <c r="BL8" i="6" s="1"/>
  <c r="BL77" i="6"/>
  <c r="BT6" i="6"/>
  <c r="CA6" i="6"/>
  <c r="BY7" i="6" s="1"/>
  <c r="CE6" i="6"/>
  <c r="BP40" i="6"/>
  <c r="BN41" i="6" s="1"/>
  <c r="BL41" i="6"/>
  <c r="BW76" i="6"/>
  <c r="BW7" i="6"/>
  <c r="G44" i="6"/>
  <c r="G43" i="6"/>
  <c r="G24" i="6"/>
  <c r="G23" i="6"/>
  <c r="O4" i="6"/>
  <c r="W4" i="6"/>
  <c r="W10" i="6" s="1"/>
  <c r="CA109" i="6" l="1"/>
  <c r="BY110" i="6" s="1"/>
  <c r="CA110" i="6" s="1"/>
  <c r="BY111" i="6" s="1"/>
  <c r="BP109" i="6"/>
  <c r="BN110" i="6" s="1"/>
  <c r="BT109" i="6"/>
  <c r="BL110" i="6"/>
  <c r="CA41" i="6"/>
  <c r="BY42" i="6" s="1"/>
  <c r="CA42" i="6" s="1"/>
  <c r="S38" i="6"/>
  <c r="Q39" i="6" s="1"/>
  <c r="S39" i="6" s="1"/>
  <c r="CA75" i="6"/>
  <c r="BY76" i="6" s="1"/>
  <c r="CA76" i="6" s="1"/>
  <c r="BY77" i="6" s="1"/>
  <c r="W38" i="6"/>
  <c r="G29" i="6"/>
  <c r="K10" i="6" s="1"/>
  <c r="BT75" i="6"/>
  <c r="BT7" i="6"/>
  <c r="CE7" i="6"/>
  <c r="BT41" i="6"/>
  <c r="BP7" i="6"/>
  <c r="BN8" i="6" s="1"/>
  <c r="BT8" i="6" s="1"/>
  <c r="CA7" i="6"/>
  <c r="BY8" i="6" s="1"/>
  <c r="BW8" i="6"/>
  <c r="BW77" i="6"/>
  <c r="BP41" i="6"/>
  <c r="BN42" i="6" s="1"/>
  <c r="BL42" i="6"/>
  <c r="BP76" i="6"/>
  <c r="BN77" i="6" s="1"/>
  <c r="BP77" i="6" s="1"/>
  <c r="BL78" i="6" s="1"/>
  <c r="G52" i="6"/>
  <c r="G9" i="6"/>
  <c r="S15" i="6"/>
  <c r="S21" i="6" s="1"/>
  <c r="O15" i="6"/>
  <c r="W15" i="6"/>
  <c r="BP110" i="6" l="1"/>
  <c r="BN111" i="6" s="1"/>
  <c r="CE110" i="6"/>
  <c r="BT110" i="6"/>
  <c r="BL111" i="6"/>
  <c r="W39" i="6"/>
  <c r="CE42" i="6"/>
  <c r="CE76" i="6"/>
  <c r="BY43" i="6"/>
  <c r="BW43" i="6"/>
  <c r="O40" i="6"/>
  <c r="Q40" i="6"/>
  <c r="CA111" i="6"/>
  <c r="BW112" i="6" s="1"/>
  <c r="CE111" i="6"/>
  <c r="BY112" i="6"/>
  <c r="CA77" i="6"/>
  <c r="BW78" i="6" s="1"/>
  <c r="BP42" i="6"/>
  <c r="BL43" i="6" s="1"/>
  <c r="CA8" i="6"/>
  <c r="BW9" i="6" s="1"/>
  <c r="BP8" i="6"/>
  <c r="BL9" i="6" s="1"/>
  <c r="CE8" i="6"/>
  <c r="BY9" i="6"/>
  <c r="BT42" i="6"/>
  <c r="BN43" i="6"/>
  <c r="CE77" i="6"/>
  <c r="BT77" i="6"/>
  <c r="BN78" i="6"/>
  <c r="BP78" i="6" s="1"/>
  <c r="BL79" i="6" s="1"/>
  <c r="W21" i="6"/>
  <c r="W16" i="6"/>
  <c r="W20" i="6" s="1"/>
  <c r="O21" i="6"/>
  <c r="O16" i="6"/>
  <c r="O20" i="6" s="1"/>
  <c r="S16" i="6"/>
  <c r="S20" i="6" s="1"/>
  <c r="BP111" i="6" l="1"/>
  <c r="BL112" i="6" s="1"/>
  <c r="BL113" i="6" s="1"/>
  <c r="BT111" i="6"/>
  <c r="CE43" i="6"/>
  <c r="CA43" i="6"/>
  <c r="BW44" i="6" s="1"/>
  <c r="W40" i="6"/>
  <c r="S40" i="6"/>
  <c r="Q41" i="6" s="1"/>
  <c r="CE9" i="6"/>
  <c r="CE112" i="6"/>
  <c r="BN112" i="6"/>
  <c r="BY78" i="6"/>
  <c r="CA78" i="6" s="1"/>
  <c r="BW79" i="6" s="1"/>
  <c r="BY44" i="6"/>
  <c r="BT43" i="6"/>
  <c r="CA112" i="6"/>
  <c r="BY113" i="6" s="1"/>
  <c r="BW113" i="6"/>
  <c r="CA9" i="6"/>
  <c r="BY10" i="6" s="1"/>
  <c r="BW10" i="6"/>
  <c r="BN9" i="6"/>
  <c r="BP9" i="6" s="1"/>
  <c r="BP43" i="6"/>
  <c r="BN44" i="6" s="1"/>
  <c r="BT78" i="6"/>
  <c r="BN79" i="6"/>
  <c r="BT79" i="6" s="1"/>
  <c r="S22" i="6"/>
  <c r="G30" i="6" s="1"/>
  <c r="G31" i="6" s="1"/>
  <c r="W22" i="6"/>
  <c r="O22" i="6"/>
  <c r="O25" i="6" s="1"/>
  <c r="BT112" i="6" l="1"/>
  <c r="BP112" i="6"/>
  <c r="BN113" i="6" s="1"/>
  <c r="BP113" i="6" s="1"/>
  <c r="BL114" i="6" s="1"/>
  <c r="O41" i="6"/>
  <c r="S41" i="6" s="1"/>
  <c r="O42" i="6" s="1"/>
  <c r="W23" i="6"/>
  <c r="AD74" i="6" s="1"/>
  <c r="G40" i="6"/>
  <c r="G41" i="6" s="1"/>
  <c r="CA44" i="6"/>
  <c r="BW45" i="6" s="1"/>
  <c r="O23" i="6"/>
  <c r="AF39" i="6" s="1"/>
  <c r="G20" i="6"/>
  <c r="G21" i="6" s="1"/>
  <c r="CE44" i="6"/>
  <c r="CE78" i="6"/>
  <c r="BY79" i="6"/>
  <c r="CA79" i="6" s="1"/>
  <c r="BY80" i="6" s="1"/>
  <c r="CA10" i="6"/>
  <c r="BW11" i="6" s="1"/>
  <c r="BL44" i="6"/>
  <c r="BT44" i="6" s="1"/>
  <c r="CE10" i="6"/>
  <c r="CA113" i="6"/>
  <c r="BW114" i="6" s="1"/>
  <c r="CE113" i="6"/>
  <c r="BY114" i="6"/>
  <c r="BT9" i="6"/>
  <c r="BY11" i="6"/>
  <c r="BL10" i="6"/>
  <c r="BN10" i="6"/>
  <c r="BP79" i="6"/>
  <c r="BW80" i="6"/>
  <c r="W25" i="6"/>
  <c r="S25" i="6"/>
  <c r="S23" i="6"/>
  <c r="Q42" i="6" l="1"/>
  <c r="W42" i="6" s="1"/>
  <c r="BT113" i="6"/>
  <c r="W41" i="6"/>
  <c r="AF74" i="6"/>
  <c r="AH39" i="6"/>
  <c r="AJ39" i="6" s="1"/>
  <c r="AE40" i="6" s="1"/>
  <c r="AH74" i="6"/>
  <c r="AJ74" i="6" s="1"/>
  <c r="AE75" i="6" s="1"/>
  <c r="AF75" i="6" s="1"/>
  <c r="AD39" i="6"/>
  <c r="BY45" i="6"/>
  <c r="CA45" i="6" s="1"/>
  <c r="CE79" i="6"/>
  <c r="BN114" i="6"/>
  <c r="BP114" i="6" s="1"/>
  <c r="BN115" i="6" s="1"/>
  <c r="BP44" i="6"/>
  <c r="BN45" i="6" s="1"/>
  <c r="BN80" i="6"/>
  <c r="BL80" i="6"/>
  <c r="BL45" i="6"/>
  <c r="BP10" i="6"/>
  <c r="BL11" i="6" s="1"/>
  <c r="CA11" i="6"/>
  <c r="BW12" i="6" s="1"/>
  <c r="CE114" i="6"/>
  <c r="BW115" i="6"/>
  <c r="CA114" i="6"/>
  <c r="BY115" i="6" s="1"/>
  <c r="CE11" i="6"/>
  <c r="BT10" i="6"/>
  <c r="BN11" i="6"/>
  <c r="CE80" i="6"/>
  <c r="CA80" i="6"/>
  <c r="BY81" i="6" s="1"/>
  <c r="O28" i="6"/>
  <c r="AF4" i="6"/>
  <c r="AH4" i="6"/>
  <c r="AD4" i="6"/>
  <c r="W28" i="6"/>
  <c r="W30" i="6" s="1"/>
  <c r="S28" i="6"/>
  <c r="S30" i="6" s="1"/>
  <c r="S42" i="6" l="1"/>
  <c r="Q43" i="6" s="1"/>
  <c r="O30" i="6"/>
  <c r="AI39" i="6"/>
  <c r="AC40" i="6" s="1"/>
  <c r="AD40" i="6" s="1"/>
  <c r="BY12" i="6"/>
  <c r="CA12" i="6" s="1"/>
  <c r="BY13" i="6" s="1"/>
  <c r="BW81" i="6"/>
  <c r="CE81" i="6" s="1"/>
  <c r="AI74" i="6"/>
  <c r="AC75" i="6" s="1"/>
  <c r="AD75" i="6" s="1"/>
  <c r="BT80" i="6"/>
  <c r="CE45" i="6"/>
  <c r="BW46" i="6"/>
  <c r="BY46" i="6"/>
  <c r="BP80" i="6"/>
  <c r="BL81" i="6" s="1"/>
  <c r="BT114" i="6"/>
  <c r="BL115" i="6"/>
  <c r="BN81" i="6"/>
  <c r="BP45" i="6"/>
  <c r="BT45" i="6"/>
  <c r="CE115" i="6"/>
  <c r="CA115" i="6"/>
  <c r="BW116" i="6" s="1"/>
  <c r="BP11" i="6"/>
  <c r="BN12" i="6" s="1"/>
  <c r="BT11" i="6"/>
  <c r="AG75" i="6"/>
  <c r="AH75" i="6" s="1"/>
  <c r="AI75" i="6" s="1"/>
  <c r="AC76" i="6" s="1"/>
  <c r="AD76" i="6" s="1"/>
  <c r="AK75" i="6"/>
  <c r="AI4" i="6"/>
  <c r="AC5" i="6" s="1"/>
  <c r="AJ4" i="6"/>
  <c r="AE5" i="6" s="1"/>
  <c r="AK40" i="6"/>
  <c r="AF40" i="6"/>
  <c r="AG40" i="6"/>
  <c r="AH40" i="6" s="1"/>
  <c r="AI40" i="6" s="1"/>
  <c r="AC41" i="6" s="1"/>
  <c r="O43" i="6" l="1"/>
  <c r="S43" i="6" s="1"/>
  <c r="CA81" i="6"/>
  <c r="BY82" i="6" s="1"/>
  <c r="CE12" i="6"/>
  <c r="CE46" i="6"/>
  <c r="BW82" i="6"/>
  <c r="BL12" i="6"/>
  <c r="BT12" i="6" s="1"/>
  <c r="BW13" i="6"/>
  <c r="CA13" i="6" s="1"/>
  <c r="CA46" i="6"/>
  <c r="BP81" i="6"/>
  <c r="BN82" i="6" s="1"/>
  <c r="BT81" i="6"/>
  <c r="BY116" i="6"/>
  <c r="CA116" i="6" s="1"/>
  <c r="BY117" i="6" s="1"/>
  <c r="BT115" i="6"/>
  <c r="BP115" i="6"/>
  <c r="BL46" i="6"/>
  <c r="BN46" i="6"/>
  <c r="AJ75" i="6"/>
  <c r="AE76" i="6" s="1"/>
  <c r="AK76" i="6" s="1"/>
  <c r="AD41" i="6"/>
  <c r="AK5" i="6"/>
  <c r="AF5" i="6"/>
  <c r="AJ40" i="6"/>
  <c r="AE41" i="6" s="1"/>
  <c r="AG5" i="6"/>
  <c r="AH5" i="6" s="1"/>
  <c r="AD5" i="6"/>
  <c r="W43" i="6" l="1"/>
  <c r="Q44" i="6"/>
  <c r="O44" i="6"/>
  <c r="CA82" i="6"/>
  <c r="BY83" i="6" s="1"/>
  <c r="CE13" i="6"/>
  <c r="BL82" i="6"/>
  <c r="BT82" i="6" s="1"/>
  <c r="CE82" i="6"/>
  <c r="BW83" i="6"/>
  <c r="BP12" i="6"/>
  <c r="BL13" i="6" s="1"/>
  <c r="BW14" i="6"/>
  <c r="BY14" i="6"/>
  <c r="BN13" i="6"/>
  <c r="BW47" i="6"/>
  <c r="BY47" i="6"/>
  <c r="BT46" i="6"/>
  <c r="BW117" i="6"/>
  <c r="CE117" i="6" s="1"/>
  <c r="CE116" i="6"/>
  <c r="BL116" i="6"/>
  <c r="BN116" i="6"/>
  <c r="BP46" i="6"/>
  <c r="BN47" i="6" s="1"/>
  <c r="AG76" i="6"/>
  <c r="AH76" i="6" s="1"/>
  <c r="AI76" i="6" s="1"/>
  <c r="AC77" i="6" s="1"/>
  <c r="AD77" i="6" s="1"/>
  <c r="AF76" i="6"/>
  <c r="AI5" i="6"/>
  <c r="AC6" i="6" s="1"/>
  <c r="AK41" i="6"/>
  <c r="AF41" i="6"/>
  <c r="AJ5" i="6"/>
  <c r="AE6" i="6" s="1"/>
  <c r="AG41" i="6"/>
  <c r="AH41" i="6" s="1"/>
  <c r="AI41" i="6" s="1"/>
  <c r="AC42" i="6" s="1"/>
  <c r="S44" i="6" l="1"/>
  <c r="Q45" i="6" s="1"/>
  <c r="W44" i="6"/>
  <c r="CE83" i="6"/>
  <c r="BW84" i="6"/>
  <c r="CA83" i="6"/>
  <c r="BY84" i="6" s="1"/>
  <c r="BT13" i="6"/>
  <c r="BP82" i="6"/>
  <c r="BL83" i="6" s="1"/>
  <c r="CA14" i="6"/>
  <c r="BY15" i="6" s="1"/>
  <c r="CE14" i="6"/>
  <c r="BP13" i="6"/>
  <c r="BN14" i="6" s="1"/>
  <c r="BL14" i="6"/>
  <c r="BW15" i="6"/>
  <c r="O45" i="6"/>
  <c r="W45" i="6" s="1"/>
  <c r="CE47" i="6"/>
  <c r="CA47" i="6"/>
  <c r="BT116" i="6"/>
  <c r="CA117" i="6"/>
  <c r="BW118" i="6" s="1"/>
  <c r="BY118" i="6"/>
  <c r="BP116" i="6"/>
  <c r="BL47" i="6"/>
  <c r="BP47" i="6" s="1"/>
  <c r="AJ76" i="6"/>
  <c r="AE77" i="6" s="1"/>
  <c r="AK77" i="6" s="1"/>
  <c r="AD42" i="6"/>
  <c r="AK6" i="6"/>
  <c r="AF6" i="6"/>
  <c r="AJ41" i="6"/>
  <c r="AE42" i="6" s="1"/>
  <c r="AG6" i="6"/>
  <c r="AH6" i="6" s="1"/>
  <c r="AD6" i="6"/>
  <c r="BN83" i="6" l="1"/>
  <c r="BP83" i="6" s="1"/>
  <c r="CA84" i="6"/>
  <c r="BY85" i="6" s="1"/>
  <c r="CE84" i="6"/>
  <c r="CA15" i="6"/>
  <c r="BW16" i="6" s="1"/>
  <c r="BT14" i="6"/>
  <c r="CE15" i="6"/>
  <c r="BP14" i="6"/>
  <c r="S45" i="6"/>
  <c r="BW48" i="6"/>
  <c r="BY48" i="6"/>
  <c r="CE118" i="6"/>
  <c r="CA118" i="6"/>
  <c r="BY119" i="6" s="1"/>
  <c r="BW119" i="6"/>
  <c r="BN117" i="6"/>
  <c r="BL117" i="6"/>
  <c r="BW85" i="6"/>
  <c r="BL48" i="6"/>
  <c r="BN48" i="6"/>
  <c r="BT47" i="6"/>
  <c r="BY16" i="6"/>
  <c r="AG77" i="6"/>
  <c r="AH77" i="6" s="1"/>
  <c r="AI77" i="6" s="1"/>
  <c r="AC78" i="6" s="1"/>
  <c r="AD78" i="6" s="1"/>
  <c r="AF77" i="6"/>
  <c r="AI6" i="6"/>
  <c r="AC7" i="6" s="1"/>
  <c r="AD7" i="6" s="1"/>
  <c r="AK42" i="6"/>
  <c r="AF42" i="6"/>
  <c r="AJ6" i="6"/>
  <c r="AE7" i="6" s="1"/>
  <c r="AG42" i="6"/>
  <c r="AH42" i="6" s="1"/>
  <c r="AI42" i="6" s="1"/>
  <c r="AC43" i="6" s="1"/>
  <c r="BT83" i="6" l="1"/>
  <c r="BN84" i="6"/>
  <c r="BL84" i="6"/>
  <c r="CA85" i="6"/>
  <c r="BW86" i="6" s="1"/>
  <c r="AJ77" i="6"/>
  <c r="AE78" i="6" s="1"/>
  <c r="AK78" i="6" s="1"/>
  <c r="BN15" i="6"/>
  <c r="BL15" i="6"/>
  <c r="Q46" i="6"/>
  <c r="O46" i="6"/>
  <c r="CE48" i="6"/>
  <c r="BP117" i="6"/>
  <c r="BN118" i="6" s="1"/>
  <c r="CA48" i="6"/>
  <c r="CE119" i="6"/>
  <c r="BT48" i="6"/>
  <c r="CA119" i="6"/>
  <c r="BY120" i="6" s="1"/>
  <c r="CE85" i="6"/>
  <c r="BT117" i="6"/>
  <c r="BP48" i="6"/>
  <c r="CE16" i="6"/>
  <c r="CA16" i="6"/>
  <c r="AG7" i="6"/>
  <c r="AH7" i="6" s="1"/>
  <c r="AI7" i="6" s="1"/>
  <c r="AC8" i="6" s="1"/>
  <c r="AD43" i="6"/>
  <c r="AK7" i="6"/>
  <c r="AF7" i="6"/>
  <c r="AJ42" i="6"/>
  <c r="AE43" i="6" s="1"/>
  <c r="AG78" i="6"/>
  <c r="AH78" i="6" s="1"/>
  <c r="AI78" i="6" s="1"/>
  <c r="AC79" i="6" s="1"/>
  <c r="BY86" i="6" l="1"/>
  <c r="BP84" i="6"/>
  <c r="BN85" i="6" s="1"/>
  <c r="BT84" i="6"/>
  <c r="AJ7" i="6"/>
  <c r="AE8" i="6" s="1"/>
  <c r="AF78" i="6"/>
  <c r="CA86" i="6"/>
  <c r="BY87" i="6" s="1"/>
  <c r="S46" i="6"/>
  <c r="Q47" i="6" s="1"/>
  <c r="BP15" i="6"/>
  <c r="BL16" i="6" s="1"/>
  <c r="BT15" i="6"/>
  <c r="BW120" i="6"/>
  <c r="CE120" i="6" s="1"/>
  <c r="BL118" i="6"/>
  <c r="BT118" i="6" s="1"/>
  <c r="W46" i="6"/>
  <c r="BW49" i="6"/>
  <c r="BY49" i="6"/>
  <c r="CE86" i="6"/>
  <c r="BW87" i="6"/>
  <c r="BN49" i="6"/>
  <c r="BL49" i="6"/>
  <c r="BW17" i="6"/>
  <c r="BY17" i="6"/>
  <c r="AD79" i="6"/>
  <c r="AJ78" i="6"/>
  <c r="AE79" i="6" s="1"/>
  <c r="AK43" i="6"/>
  <c r="AF43" i="6"/>
  <c r="AK8" i="6"/>
  <c r="AF8" i="6"/>
  <c r="AG8" i="6"/>
  <c r="AH8" i="6" s="1"/>
  <c r="AD8" i="6"/>
  <c r="AG43" i="6"/>
  <c r="AH43" i="6" s="1"/>
  <c r="AI43" i="6" s="1"/>
  <c r="AC44" i="6" s="1"/>
  <c r="BL85" i="6" l="1"/>
  <c r="BP85" i="6" s="1"/>
  <c r="BN86" i="6" s="1"/>
  <c r="BN16" i="6"/>
  <c r="BP16" i="6" s="1"/>
  <c r="CE87" i="6"/>
  <c r="O47" i="6"/>
  <c r="S47" i="6" s="1"/>
  <c r="Q48" i="6" s="1"/>
  <c r="CE49" i="6"/>
  <c r="CA120" i="6"/>
  <c r="BW121" i="6" s="1"/>
  <c r="BP118" i="6"/>
  <c r="BL119" i="6" s="1"/>
  <c r="BT85" i="6"/>
  <c r="CA49" i="6"/>
  <c r="CE17" i="6"/>
  <c r="BP49" i="6"/>
  <c r="BL50" i="6" s="1"/>
  <c r="CA87" i="6"/>
  <c r="BW88" i="6" s="1"/>
  <c r="BT49" i="6"/>
  <c r="CA17" i="6"/>
  <c r="AJ8" i="6"/>
  <c r="AE9" i="6" s="1"/>
  <c r="AF9" i="6" s="1"/>
  <c r="AD44" i="6"/>
  <c r="AI8" i="6"/>
  <c r="AC9" i="6" s="1"/>
  <c r="AJ43" i="6"/>
  <c r="AE44" i="6" s="1"/>
  <c r="AK79" i="6"/>
  <c r="AF79" i="6"/>
  <c r="AG79" i="6"/>
  <c r="AH79" i="6" s="1"/>
  <c r="AI79" i="6" s="1"/>
  <c r="AC80" i="6" s="1"/>
  <c r="BL86" i="6" l="1"/>
  <c r="BT86" i="6" s="1"/>
  <c r="BT16" i="6"/>
  <c r="O48" i="6"/>
  <c r="S48" i="6" s="1"/>
  <c r="W47" i="6"/>
  <c r="BY121" i="6"/>
  <c r="CE121" i="6" s="1"/>
  <c r="BN119" i="6"/>
  <c r="BT119" i="6" s="1"/>
  <c r="BN17" i="6"/>
  <c r="BL17" i="6"/>
  <c r="BW50" i="6"/>
  <c r="BY50" i="6"/>
  <c r="BN50" i="6"/>
  <c r="BT50" i="6" s="1"/>
  <c r="BY88" i="6"/>
  <c r="CA88" i="6" s="1"/>
  <c r="BW89" i="6" s="1"/>
  <c r="BY18" i="6"/>
  <c r="BW18" i="6"/>
  <c r="AD80" i="6"/>
  <c r="AJ79" i="6"/>
  <c r="AE80" i="6" s="1"/>
  <c r="AG9" i="6"/>
  <c r="AH9" i="6" s="1"/>
  <c r="AJ9" i="6" s="1"/>
  <c r="AE10" i="6" s="1"/>
  <c r="AD9" i="6"/>
  <c r="AK9" i="6"/>
  <c r="AK44" i="6"/>
  <c r="AF44" i="6"/>
  <c r="AG44" i="6"/>
  <c r="AH44" i="6" s="1"/>
  <c r="AI44" i="6" s="1"/>
  <c r="AC45" i="6" s="1"/>
  <c r="BP86" i="6" l="1"/>
  <c r="BN87" i="6" s="1"/>
  <c r="W48" i="6"/>
  <c r="Q49" i="6"/>
  <c r="O49" i="6"/>
  <c r="CA121" i="6"/>
  <c r="BW122" i="6" s="1"/>
  <c r="BP17" i="6"/>
  <c r="BL18" i="6" s="1"/>
  <c r="BL87" i="6"/>
  <c r="BP87" i="6" s="1"/>
  <c r="BL88" i="6" s="1"/>
  <c r="CE50" i="6"/>
  <c r="BP119" i="6"/>
  <c r="BN120" i="6" s="1"/>
  <c r="BT17" i="6"/>
  <c r="CE88" i="6"/>
  <c r="BP50" i="6"/>
  <c r="BL51" i="6" s="1"/>
  <c r="CA50" i="6"/>
  <c r="BY89" i="6"/>
  <c r="CA89" i="6" s="1"/>
  <c r="BY90" i="6" s="1"/>
  <c r="CA18" i="6"/>
  <c r="BW19" i="6" s="1"/>
  <c r="CE18" i="6"/>
  <c r="AD45" i="6"/>
  <c r="AF10" i="6"/>
  <c r="AI9" i="6"/>
  <c r="AC10" i="6" s="1"/>
  <c r="AK80" i="6"/>
  <c r="AF80" i="6"/>
  <c r="AJ44" i="6"/>
  <c r="AE45" i="6" s="1"/>
  <c r="AG80" i="6"/>
  <c r="AH80" i="6" s="1"/>
  <c r="AI80" i="6" s="1"/>
  <c r="AC81" i="6" s="1"/>
  <c r="BN18" i="6" l="1"/>
  <c r="BT18" i="6" s="1"/>
  <c r="W49" i="6"/>
  <c r="S49" i="6"/>
  <c r="BY122" i="6"/>
  <c r="CA122" i="6" s="1"/>
  <c r="BY123" i="6" s="1"/>
  <c r="BT87" i="6"/>
  <c r="BL120" i="6"/>
  <c r="BP120" i="6" s="1"/>
  <c r="BN121" i="6" s="1"/>
  <c r="BN88" i="6"/>
  <c r="BT88" i="6" s="1"/>
  <c r="BW90" i="6"/>
  <c r="CE90" i="6" s="1"/>
  <c r="BY19" i="6"/>
  <c r="CA19" i="6" s="1"/>
  <c r="BY20" i="6" s="1"/>
  <c r="BN51" i="6"/>
  <c r="BT51" i="6" s="1"/>
  <c r="BY51" i="6"/>
  <c r="BW51" i="6"/>
  <c r="CE89" i="6"/>
  <c r="AD81" i="6"/>
  <c r="AG10" i="6"/>
  <c r="AH10" i="6" s="1"/>
  <c r="AJ10" i="6" s="1"/>
  <c r="AE11" i="6" s="1"/>
  <c r="AD10" i="6"/>
  <c r="AJ80" i="6"/>
  <c r="AE81" i="6" s="1"/>
  <c r="AK10" i="6"/>
  <c r="AK45" i="6"/>
  <c r="AF45" i="6"/>
  <c r="AG45" i="6"/>
  <c r="AH45" i="6" s="1"/>
  <c r="AI45" i="6" s="1"/>
  <c r="AC46" i="6" s="1"/>
  <c r="BP18" i="6" l="1"/>
  <c r="BN19" i="6" s="1"/>
  <c r="CE122" i="6"/>
  <c r="BW123" i="6"/>
  <c r="CA123" i="6" s="1"/>
  <c r="BW124" i="6" s="1"/>
  <c r="Q50" i="6"/>
  <c r="O50" i="6"/>
  <c r="BT120" i="6"/>
  <c r="BL121" i="6"/>
  <c r="BP121" i="6" s="1"/>
  <c r="BL122" i="6" s="1"/>
  <c r="BP88" i="6"/>
  <c r="BN89" i="6" s="1"/>
  <c r="CE19" i="6"/>
  <c r="CA90" i="6"/>
  <c r="BY91" i="6" s="1"/>
  <c r="BL19" i="6"/>
  <c r="BP51" i="6"/>
  <c r="BL52" i="6" s="1"/>
  <c r="CA51" i="6"/>
  <c r="BW52" i="6" s="1"/>
  <c r="CE51" i="6"/>
  <c r="BW20" i="6"/>
  <c r="CE20" i="6" s="1"/>
  <c r="AI10" i="6"/>
  <c r="AC11" i="6" s="1"/>
  <c r="AK11" i="6" s="1"/>
  <c r="AD46" i="6"/>
  <c r="AJ45" i="6"/>
  <c r="AE46" i="6" s="1"/>
  <c r="AF11" i="6"/>
  <c r="AK81" i="6"/>
  <c r="AF81" i="6"/>
  <c r="AG81" i="6"/>
  <c r="AH81" i="6" s="1"/>
  <c r="AI81" i="6" s="1"/>
  <c r="AC82" i="6" s="1"/>
  <c r="BL89" i="6" l="1"/>
  <c r="BP89" i="6" s="1"/>
  <c r="S50" i="6"/>
  <c r="Q51" i="6" s="1"/>
  <c r="CE123" i="6"/>
  <c r="BY52" i="6"/>
  <c r="CE52" i="6" s="1"/>
  <c r="BW91" i="6"/>
  <c r="CA91" i="6" s="1"/>
  <c r="BY92" i="6" s="1"/>
  <c r="W50" i="6"/>
  <c r="BT121" i="6"/>
  <c r="BN52" i="6"/>
  <c r="BT52" i="6" s="1"/>
  <c r="BT19" i="6"/>
  <c r="BP19" i="6"/>
  <c r="AD11" i="6"/>
  <c r="CA20" i="6"/>
  <c r="BY21" i="6" s="1"/>
  <c r="BY124" i="6"/>
  <c r="CA124" i="6" s="1"/>
  <c r="BN122" i="6"/>
  <c r="BT122" i="6" s="1"/>
  <c r="AG11" i="6"/>
  <c r="AH11" i="6" s="1"/>
  <c r="AJ11" i="6" s="1"/>
  <c r="AE12" i="6" s="1"/>
  <c r="AD82" i="6"/>
  <c r="AJ81" i="6"/>
  <c r="AE82" i="6" s="1"/>
  <c r="AK46" i="6"/>
  <c r="AF46" i="6"/>
  <c r="AG46" i="6"/>
  <c r="AH46" i="6" s="1"/>
  <c r="AI46" i="6" s="1"/>
  <c r="AC47" i="6" s="1"/>
  <c r="BT89" i="6" l="1"/>
  <c r="O51" i="6"/>
  <c r="S51" i="6" s="1"/>
  <c r="Q52" i="6" s="1"/>
  <c r="BN90" i="6"/>
  <c r="BL90" i="6"/>
  <c r="CA52" i="6"/>
  <c r="BW53" i="6" s="1"/>
  <c r="CE91" i="6"/>
  <c r="AI11" i="6"/>
  <c r="AC12" i="6" s="1"/>
  <c r="AG12" i="6" s="1"/>
  <c r="AH12" i="6" s="1"/>
  <c r="BP90" i="6"/>
  <c r="BL91" i="6" s="1"/>
  <c r="BP52" i="6"/>
  <c r="BL53" i="6" s="1"/>
  <c r="BW21" i="6"/>
  <c r="CA21" i="6" s="1"/>
  <c r="BW22" i="6" s="1"/>
  <c r="BN20" i="6"/>
  <c r="BL20" i="6"/>
  <c r="BW92" i="6"/>
  <c r="CA92" i="6" s="1"/>
  <c r="BW93" i="6" s="1"/>
  <c r="CE124" i="6"/>
  <c r="BY53" i="6"/>
  <c r="BP122" i="6"/>
  <c r="BL123" i="6" s="1"/>
  <c r="BW125" i="6"/>
  <c r="BY125" i="6"/>
  <c r="AD47" i="6"/>
  <c r="AK12" i="6"/>
  <c r="AF12" i="6"/>
  <c r="AJ46" i="6"/>
  <c r="AE47" i="6" s="1"/>
  <c r="AK82" i="6"/>
  <c r="AF82" i="6"/>
  <c r="AD12" i="6"/>
  <c r="AG82" i="6"/>
  <c r="AH82" i="6" s="1"/>
  <c r="AI82" i="6" s="1"/>
  <c r="AC83" i="6" s="1"/>
  <c r="BT90" i="6" l="1"/>
  <c r="O52" i="6"/>
  <c r="W51" i="6"/>
  <c r="BN53" i="6"/>
  <c r="BP53" i="6" s="1"/>
  <c r="BN54" i="6" s="1"/>
  <c r="BN91" i="6"/>
  <c r="BP91" i="6" s="1"/>
  <c r="BN92" i="6" s="1"/>
  <c r="BY93" i="6"/>
  <c r="CA93" i="6" s="1"/>
  <c r="BY94" i="6" s="1"/>
  <c r="BP20" i="6"/>
  <c r="BN21" i="6" s="1"/>
  <c r="CE21" i="6"/>
  <c r="CE92" i="6"/>
  <c r="S52" i="6"/>
  <c r="O53" i="6" s="1"/>
  <c r="W52" i="6"/>
  <c r="BL21" i="6"/>
  <c r="BT20" i="6"/>
  <c r="CA53" i="6"/>
  <c r="BY54" i="6" s="1"/>
  <c r="BN123" i="6"/>
  <c r="BP123" i="6" s="1"/>
  <c r="BN124" i="6" s="1"/>
  <c r="CE53" i="6"/>
  <c r="CE125" i="6"/>
  <c r="BY22" i="6"/>
  <c r="CE22" i="6" s="1"/>
  <c r="CA125" i="6"/>
  <c r="AI12" i="6"/>
  <c r="AC13" i="6" s="1"/>
  <c r="AD13" i="6" s="1"/>
  <c r="AD83" i="6"/>
  <c r="AJ82" i="6"/>
  <c r="AE83" i="6" s="1"/>
  <c r="AK47" i="6"/>
  <c r="AF47" i="6"/>
  <c r="AJ12" i="6"/>
  <c r="AE13" i="6" s="1"/>
  <c r="AG47" i="6"/>
  <c r="AH47" i="6" s="1"/>
  <c r="AI47" i="6" s="1"/>
  <c r="AC48" i="6" s="1"/>
  <c r="BT53" i="6" l="1"/>
  <c r="BT91" i="6"/>
  <c r="BL92" i="6"/>
  <c r="BP92" i="6" s="1"/>
  <c r="Q53" i="6"/>
  <c r="W53" i="6" s="1"/>
  <c r="CE93" i="6"/>
  <c r="BW54" i="6"/>
  <c r="CA54" i="6" s="1"/>
  <c r="BP21" i="6"/>
  <c r="BL22" i="6" s="1"/>
  <c r="BT21" i="6"/>
  <c r="BW94" i="6"/>
  <c r="CE94" i="6" s="1"/>
  <c r="BT123" i="6"/>
  <c r="CA22" i="6"/>
  <c r="BY23" i="6" s="1"/>
  <c r="BL124" i="6"/>
  <c r="BP124" i="6" s="1"/>
  <c r="BL125" i="6" s="1"/>
  <c r="BL54" i="6"/>
  <c r="BT54" i="6" s="1"/>
  <c r="BY126" i="6"/>
  <c r="BW126" i="6"/>
  <c r="AD48" i="6"/>
  <c r="AK13" i="6"/>
  <c r="AF13" i="6"/>
  <c r="AJ47" i="6"/>
  <c r="AE48" i="6" s="1"/>
  <c r="AK83" i="6"/>
  <c r="AF83" i="6"/>
  <c r="AG13" i="6"/>
  <c r="AH13" i="6" s="1"/>
  <c r="AI13" i="6" s="1"/>
  <c r="AC14" i="6" s="1"/>
  <c r="AG83" i="6"/>
  <c r="AH83" i="6" s="1"/>
  <c r="AI83" i="6" s="1"/>
  <c r="AC84" i="6" s="1"/>
  <c r="BT92" i="6" l="1"/>
  <c r="S53" i="6"/>
  <c r="Q54" i="6" s="1"/>
  <c r="CE54" i="6"/>
  <c r="BN22" i="6"/>
  <c r="BP22" i="6" s="1"/>
  <c r="CA94" i="6"/>
  <c r="BW95" i="6" s="1"/>
  <c r="BW23" i="6"/>
  <c r="CA23" i="6" s="1"/>
  <c r="BW24" i="6" s="1"/>
  <c r="BT124" i="6"/>
  <c r="BW55" i="6"/>
  <c r="BY55" i="6"/>
  <c r="BP54" i="6"/>
  <c r="BL55" i="6" s="1"/>
  <c r="BN125" i="6"/>
  <c r="BT125" i="6" s="1"/>
  <c r="CA126" i="6"/>
  <c r="BY127" i="6" s="1"/>
  <c r="CE126" i="6"/>
  <c r="BN93" i="6"/>
  <c r="BL93" i="6"/>
  <c r="AD84" i="6"/>
  <c r="AD14" i="6"/>
  <c r="AJ83" i="6"/>
  <c r="AE84" i="6" s="1"/>
  <c r="AK48" i="6"/>
  <c r="AF48" i="6"/>
  <c r="AJ13" i="6"/>
  <c r="AE14" i="6" s="1"/>
  <c r="AG48" i="6"/>
  <c r="AH48" i="6" s="1"/>
  <c r="AI48" i="6" s="1"/>
  <c r="AC49" i="6" s="1"/>
  <c r="O54" i="6" l="1"/>
  <c r="S54" i="6" s="1"/>
  <c r="O55" i="6" s="1"/>
  <c r="BT22" i="6"/>
  <c r="BY95" i="6"/>
  <c r="CE95" i="6" s="1"/>
  <c r="CE23" i="6"/>
  <c r="Q55" i="6"/>
  <c r="BN23" i="6"/>
  <c r="BL23" i="6"/>
  <c r="CE55" i="6"/>
  <c r="BW127" i="6"/>
  <c r="CA127" i="6" s="1"/>
  <c r="BY128" i="6" s="1"/>
  <c r="BN55" i="6"/>
  <c r="BT55" i="6" s="1"/>
  <c r="BP125" i="6"/>
  <c r="BL126" i="6" s="1"/>
  <c r="CA55" i="6"/>
  <c r="BY24" i="6"/>
  <c r="CE24" i="6" s="1"/>
  <c r="BP93" i="6"/>
  <c r="BN94" i="6" s="1"/>
  <c r="BT93" i="6"/>
  <c r="AD49" i="6"/>
  <c r="AK14" i="6"/>
  <c r="AF14" i="6"/>
  <c r="AK84" i="6"/>
  <c r="AF84" i="6"/>
  <c r="AJ48" i="6"/>
  <c r="AE49" i="6" s="1"/>
  <c r="AG14" i="6"/>
  <c r="AH14" i="6" s="1"/>
  <c r="AI14" i="6" s="1"/>
  <c r="AC15" i="6" s="1"/>
  <c r="AG84" i="6"/>
  <c r="AH84" i="6" s="1"/>
  <c r="AI84" i="6" s="1"/>
  <c r="AC85" i="6" s="1"/>
  <c r="W54" i="6" l="1"/>
  <c r="CA95" i="6"/>
  <c r="BW96" i="6" s="1"/>
  <c r="W55" i="6"/>
  <c r="S55" i="6"/>
  <c r="Q56" i="6" s="1"/>
  <c r="CE127" i="6"/>
  <c r="BT23" i="6"/>
  <c r="BP23" i="6"/>
  <c r="BP55" i="6"/>
  <c r="BN56" i="6" s="1"/>
  <c r="BN126" i="6"/>
  <c r="BP126" i="6" s="1"/>
  <c r="CA24" i="6"/>
  <c r="BY25" i="6" s="1"/>
  <c r="BW56" i="6"/>
  <c r="BY56" i="6"/>
  <c r="BL94" i="6"/>
  <c r="BP94" i="6" s="1"/>
  <c r="BW128" i="6"/>
  <c r="CA128" i="6" s="1"/>
  <c r="AD85" i="6"/>
  <c r="AD15" i="6"/>
  <c r="AJ14" i="6"/>
  <c r="AE15" i="6" s="1"/>
  <c r="AJ84" i="6"/>
  <c r="AE85" i="6" s="1"/>
  <c r="AK49" i="6"/>
  <c r="AF49" i="6"/>
  <c r="AG49" i="6"/>
  <c r="AH49" i="6" s="1"/>
  <c r="AI49" i="6" s="1"/>
  <c r="AC50" i="6" s="1"/>
  <c r="O56" i="6" l="1"/>
  <c r="S56" i="6" s="1"/>
  <c r="O57" i="6" s="1"/>
  <c r="BY96" i="6"/>
  <c r="CA96" i="6" s="1"/>
  <c r="BW97" i="6" s="1"/>
  <c r="BW25" i="6"/>
  <c r="CE25" i="6" s="1"/>
  <c r="BT126" i="6"/>
  <c r="BL56" i="6"/>
  <c r="BP56" i="6" s="1"/>
  <c r="BL57" i="6" s="1"/>
  <c r="BL24" i="6"/>
  <c r="BN24" i="6"/>
  <c r="CA56" i="6"/>
  <c r="CE56" i="6"/>
  <c r="BT94" i="6"/>
  <c r="BY129" i="6"/>
  <c r="BW129" i="6"/>
  <c r="CE128" i="6"/>
  <c r="BN127" i="6"/>
  <c r="BL127" i="6"/>
  <c r="BL95" i="6"/>
  <c r="BN95" i="6"/>
  <c r="AD50" i="6"/>
  <c r="AK15" i="6"/>
  <c r="AF15" i="6"/>
  <c r="AJ49" i="6"/>
  <c r="AE50" i="6" s="1"/>
  <c r="AG15" i="6"/>
  <c r="AH15" i="6" s="1"/>
  <c r="AI15" i="6" s="1"/>
  <c r="AC16" i="6" s="1"/>
  <c r="AK85" i="6"/>
  <c r="AF85" i="6"/>
  <c r="AG85" i="6"/>
  <c r="AH85" i="6" s="1"/>
  <c r="AI85" i="6" s="1"/>
  <c r="AC86" i="6" s="1"/>
  <c r="W56" i="6" l="1"/>
  <c r="CE96" i="6"/>
  <c r="BY97" i="6"/>
  <c r="CA97" i="6" s="1"/>
  <c r="BW98" i="6" s="1"/>
  <c r="Q57" i="6"/>
  <c r="W57" i="6" s="1"/>
  <c r="CA25" i="6"/>
  <c r="BW26" i="6" s="1"/>
  <c r="BT56" i="6"/>
  <c r="BT24" i="6"/>
  <c r="BP24" i="6"/>
  <c r="BY57" i="6"/>
  <c r="BW57" i="6"/>
  <c r="BN57" i="6"/>
  <c r="BP57" i="6" s="1"/>
  <c r="CA129" i="6"/>
  <c r="BY130" i="6" s="1"/>
  <c r="BP127" i="6"/>
  <c r="BN128" i="6" s="1"/>
  <c r="BT95" i="6"/>
  <c r="CE129" i="6"/>
  <c r="BT127" i="6"/>
  <c r="BP95" i="6"/>
  <c r="AD86" i="6"/>
  <c r="AD16" i="6"/>
  <c r="AJ15" i="6"/>
  <c r="AE16" i="6" s="1"/>
  <c r="AJ85" i="6"/>
  <c r="AE86" i="6" s="1"/>
  <c r="AK50" i="6"/>
  <c r="AF50" i="6"/>
  <c r="AG50" i="6"/>
  <c r="AH50" i="6" s="1"/>
  <c r="AI50" i="6" s="1"/>
  <c r="AC51" i="6" s="1"/>
  <c r="BY26" i="6" l="1"/>
  <c r="CA26" i="6" s="1"/>
  <c r="BY27" i="6" s="1"/>
  <c r="S57" i="6"/>
  <c r="Q58" i="6" s="1"/>
  <c r="CE97" i="6"/>
  <c r="BY98" i="6"/>
  <c r="CA98" i="6" s="1"/>
  <c r="BN25" i="6"/>
  <c r="BL25" i="6"/>
  <c r="O58" i="6"/>
  <c r="CA57" i="6"/>
  <c r="BY58" i="6" s="1"/>
  <c r="BW130" i="6"/>
  <c r="CA130" i="6" s="1"/>
  <c r="BT57" i="6"/>
  <c r="CE57" i="6"/>
  <c r="BL128" i="6"/>
  <c r="BP128" i="6" s="1"/>
  <c r="BL96" i="6"/>
  <c r="BN96" i="6"/>
  <c r="BL58" i="6"/>
  <c r="BN58" i="6"/>
  <c r="AD51" i="6"/>
  <c r="AK16" i="6"/>
  <c r="AF16" i="6"/>
  <c r="AJ50" i="6"/>
  <c r="AE51" i="6" s="1"/>
  <c r="AK86" i="6"/>
  <c r="AF86" i="6"/>
  <c r="AG16" i="6"/>
  <c r="AH16" i="6" s="1"/>
  <c r="AI16" i="6" s="1"/>
  <c r="AC17" i="6" s="1"/>
  <c r="AG86" i="6"/>
  <c r="AH86" i="6" s="1"/>
  <c r="AI86" i="6" s="1"/>
  <c r="AC87" i="6" s="1"/>
  <c r="CE98" i="6" l="1"/>
  <c r="CE26" i="6"/>
  <c r="BW27" i="6"/>
  <c r="CA27" i="6" s="1"/>
  <c r="BP25" i="6"/>
  <c r="BN26" i="6" s="1"/>
  <c r="BW58" i="6"/>
  <c r="CA58" i="6" s="1"/>
  <c r="BT25" i="6"/>
  <c r="S58" i="6"/>
  <c r="Q59" i="6" s="1"/>
  <c r="W58" i="6"/>
  <c r="BY99" i="6"/>
  <c r="BW99" i="6"/>
  <c r="CE130" i="6"/>
  <c r="BT128" i="6"/>
  <c r="BT58" i="6"/>
  <c r="BW131" i="6"/>
  <c r="BY131" i="6"/>
  <c r="BL129" i="6"/>
  <c r="BN129" i="6"/>
  <c r="BP96" i="6"/>
  <c r="BN97" i="6" s="1"/>
  <c r="BT96" i="6"/>
  <c r="BP58" i="6"/>
  <c r="AD87" i="6"/>
  <c r="AD17" i="6"/>
  <c r="AJ86" i="6"/>
  <c r="AE87" i="6" s="1"/>
  <c r="AK51" i="6"/>
  <c r="AF51" i="6"/>
  <c r="AJ16" i="6"/>
  <c r="AE17" i="6" s="1"/>
  <c r="AG51" i="6"/>
  <c r="AH51" i="6" s="1"/>
  <c r="AI51" i="6" s="1"/>
  <c r="AC52" i="6" s="1"/>
  <c r="BL26" i="6" l="1"/>
  <c r="BT26" i="6" s="1"/>
  <c r="CE58" i="6"/>
  <c r="BW28" i="6"/>
  <c r="BY28" i="6"/>
  <c r="CE27" i="6"/>
  <c r="O59" i="6"/>
  <c r="W59" i="6" s="1"/>
  <c r="CA99" i="6"/>
  <c r="BY100" i="6" s="1"/>
  <c r="CE99" i="6"/>
  <c r="BW59" i="6"/>
  <c r="BY59" i="6"/>
  <c r="BT129" i="6"/>
  <c r="CE131" i="6"/>
  <c r="CA131" i="6"/>
  <c r="BP129" i="6"/>
  <c r="BN130" i="6" s="1"/>
  <c r="BL97" i="6"/>
  <c r="BP97" i="6" s="1"/>
  <c r="BL98" i="6" s="1"/>
  <c r="BL59" i="6"/>
  <c r="BN59" i="6"/>
  <c r="AJ51" i="6"/>
  <c r="AE52" i="6" s="1"/>
  <c r="AK52" i="6" s="1"/>
  <c r="AD52" i="6"/>
  <c r="AK17" i="6"/>
  <c r="AF17" i="6"/>
  <c r="AG17" i="6"/>
  <c r="AH17" i="6" s="1"/>
  <c r="AI17" i="6" s="1"/>
  <c r="AC18" i="6" s="1"/>
  <c r="AK87" i="6"/>
  <c r="AF87" i="6"/>
  <c r="AG87" i="6"/>
  <c r="AH87" i="6" s="1"/>
  <c r="AI87" i="6" s="1"/>
  <c r="AC88" i="6" s="1"/>
  <c r="BP26" i="6" l="1"/>
  <c r="BN27" i="6" s="1"/>
  <c r="CA28" i="6"/>
  <c r="BY29" i="6" s="1"/>
  <c r="CE28" i="6"/>
  <c r="BW100" i="6"/>
  <c r="CA100" i="6" s="1"/>
  <c r="S59" i="6"/>
  <c r="Q60" i="6" s="1"/>
  <c r="BL27" i="6"/>
  <c r="CE59" i="6"/>
  <c r="CA59" i="6"/>
  <c r="BN98" i="6"/>
  <c r="BP98" i="6" s="1"/>
  <c r="BT59" i="6"/>
  <c r="BT97" i="6"/>
  <c r="BY132" i="6"/>
  <c r="BW132" i="6"/>
  <c r="BL130" i="6"/>
  <c r="BP130" i="6" s="1"/>
  <c r="BP59" i="6"/>
  <c r="AG52" i="6"/>
  <c r="AH52" i="6" s="1"/>
  <c r="AI52" i="6" s="1"/>
  <c r="AC53" i="6" s="1"/>
  <c r="AF52" i="6"/>
  <c r="AD88" i="6"/>
  <c r="AD18" i="6"/>
  <c r="AJ87" i="6"/>
  <c r="AE88" i="6" s="1"/>
  <c r="AJ17" i="6"/>
  <c r="AE18" i="6" s="1"/>
  <c r="CE100" i="6" l="1"/>
  <c r="BW29" i="6"/>
  <c r="CA29" i="6" s="1"/>
  <c r="BW101" i="6"/>
  <c r="BY101" i="6"/>
  <c r="O60" i="6"/>
  <c r="BP27" i="6"/>
  <c r="BL28" i="6" s="1"/>
  <c r="BT27" i="6"/>
  <c r="BT98" i="6"/>
  <c r="BY60" i="6"/>
  <c r="BW60" i="6"/>
  <c r="CA132" i="6"/>
  <c r="BW133" i="6" s="1"/>
  <c r="CE132" i="6"/>
  <c r="BL131" i="6"/>
  <c r="BN131" i="6"/>
  <c r="BT130" i="6"/>
  <c r="BN99" i="6"/>
  <c r="BL99" i="6"/>
  <c r="BN60" i="6"/>
  <c r="BL60" i="6"/>
  <c r="AJ52" i="6"/>
  <c r="AE53" i="6" s="1"/>
  <c r="AG53" i="6" s="1"/>
  <c r="AH53" i="6" s="1"/>
  <c r="AD53" i="6"/>
  <c r="AK18" i="6"/>
  <c r="AF18" i="6"/>
  <c r="AK88" i="6"/>
  <c r="AF88" i="6"/>
  <c r="AG18" i="6"/>
  <c r="AH18" i="6" s="1"/>
  <c r="AI18" i="6" s="1"/>
  <c r="AC19" i="6" s="1"/>
  <c r="AG88" i="6"/>
  <c r="AH88" i="6" s="1"/>
  <c r="AI88" i="6" s="1"/>
  <c r="AC89" i="6" s="1"/>
  <c r="CE29" i="6" l="1"/>
  <c r="BN28" i="6"/>
  <c r="BT28" i="6" s="1"/>
  <c r="CE101" i="6"/>
  <c r="BY30" i="6"/>
  <c r="BW30" i="6"/>
  <c r="CA101" i="6"/>
  <c r="BY102" i="6" s="1"/>
  <c r="S60" i="6"/>
  <c r="Q61" i="6" s="1"/>
  <c r="W60" i="6"/>
  <c r="CA60" i="6"/>
  <c r="BW61" i="6" s="1"/>
  <c r="BY133" i="6"/>
  <c r="CA133" i="6" s="1"/>
  <c r="CE60" i="6"/>
  <c r="AF53" i="6"/>
  <c r="AJ53" i="6" s="1"/>
  <c r="AE54" i="6" s="1"/>
  <c r="AF54" i="6" s="1"/>
  <c r="BP99" i="6"/>
  <c r="BL100" i="6" s="1"/>
  <c r="BP60" i="6"/>
  <c r="BL61" i="6" s="1"/>
  <c r="BP131" i="6"/>
  <c r="BT131" i="6"/>
  <c r="BT99" i="6"/>
  <c r="BT60" i="6"/>
  <c r="AI53" i="6"/>
  <c r="AC54" i="6" s="1"/>
  <c r="AD54" i="6" s="1"/>
  <c r="AK53" i="6"/>
  <c r="AD89" i="6"/>
  <c r="AD19" i="6"/>
  <c r="AJ18" i="6"/>
  <c r="AE19" i="6" s="1"/>
  <c r="AJ88" i="6"/>
  <c r="AE89" i="6" s="1"/>
  <c r="BW102" i="6" l="1"/>
  <c r="CA102" i="6" s="1"/>
  <c r="BH42" i="6" s="1"/>
  <c r="BH48" i="6" s="1"/>
  <c r="BP28" i="6"/>
  <c r="BL29" i="6" s="1"/>
  <c r="BY61" i="6"/>
  <c r="CE61" i="6" s="1"/>
  <c r="CA30" i="6"/>
  <c r="BY31" i="6" s="1"/>
  <c r="CE30" i="6"/>
  <c r="O61" i="6"/>
  <c r="W61" i="6" s="1"/>
  <c r="CE133" i="6"/>
  <c r="BN29" i="6"/>
  <c r="BN100" i="6"/>
  <c r="BP100" i="6" s="1"/>
  <c r="BN101" i="6" s="1"/>
  <c r="BN61" i="6"/>
  <c r="BT61" i="6" s="1"/>
  <c r="BY134" i="6"/>
  <c r="BW134" i="6"/>
  <c r="BL132" i="6"/>
  <c r="BN132" i="6"/>
  <c r="AG54" i="6"/>
  <c r="AH54" i="6" s="1"/>
  <c r="AI54" i="6" s="1"/>
  <c r="AC55" i="6" s="1"/>
  <c r="AD55" i="6" s="1"/>
  <c r="AK54" i="6"/>
  <c r="AK19" i="6"/>
  <c r="AF19" i="6"/>
  <c r="AK89" i="6"/>
  <c r="AF89" i="6"/>
  <c r="AG19" i="6"/>
  <c r="AH19" i="6" s="1"/>
  <c r="AI19" i="6" s="1"/>
  <c r="AC20" i="6" s="1"/>
  <c r="AG89" i="6"/>
  <c r="AH89" i="6" s="1"/>
  <c r="AI89" i="6" s="1"/>
  <c r="AC90" i="6" s="1"/>
  <c r="CA61" i="6" l="1"/>
  <c r="BY62" i="6" s="1"/>
  <c r="CE102" i="6"/>
  <c r="BH47" i="6"/>
  <c r="BH49" i="6" s="1"/>
  <c r="BH44" i="6"/>
  <c r="BH45" i="6" s="1"/>
  <c r="BH50" i="6" s="1"/>
  <c r="BW31" i="6"/>
  <c r="CE31" i="6" s="1"/>
  <c r="S61" i="6"/>
  <c r="Q62" i="6" s="1"/>
  <c r="BP29" i="6"/>
  <c r="BN30" i="6" s="1"/>
  <c r="BT29" i="6"/>
  <c r="BL101" i="6"/>
  <c r="BP101" i="6" s="1"/>
  <c r="BL102" i="6" s="1"/>
  <c r="BT100" i="6"/>
  <c r="CA134" i="6"/>
  <c r="BW135" i="6" s="1"/>
  <c r="BP61" i="6"/>
  <c r="BN62" i="6" s="1"/>
  <c r="BT132" i="6"/>
  <c r="CE134" i="6"/>
  <c r="BP132" i="6"/>
  <c r="BN133" i="6" s="1"/>
  <c r="AJ54" i="6"/>
  <c r="AE55" i="6" s="1"/>
  <c r="AK55" i="6" s="1"/>
  <c r="AF55" i="6"/>
  <c r="AD90" i="6"/>
  <c r="AD20" i="6"/>
  <c r="AJ89" i="6"/>
  <c r="AE90" i="6" s="1"/>
  <c r="AJ19" i="6"/>
  <c r="AE20" i="6" s="1"/>
  <c r="O62" i="6" l="1"/>
  <c r="BW62" i="6"/>
  <c r="CA62" i="6" s="1"/>
  <c r="BY63" i="6" s="1"/>
  <c r="BH51" i="6"/>
  <c r="BH53" i="6" s="1"/>
  <c r="BH55" i="6" s="1"/>
  <c r="BH57" i="6" s="1"/>
  <c r="AQ53" i="6"/>
  <c r="AR53" i="6" s="1"/>
  <c r="AS53" i="6" s="1"/>
  <c r="AT53" i="6" s="1"/>
  <c r="CA31" i="6"/>
  <c r="BW32" i="6" s="1"/>
  <c r="S62" i="6"/>
  <c r="Q63" i="6" s="1"/>
  <c r="W62" i="6"/>
  <c r="BL30" i="6"/>
  <c r="BT30" i="6" s="1"/>
  <c r="BT101" i="6"/>
  <c r="BL62" i="6"/>
  <c r="BP62" i="6" s="1"/>
  <c r="BL63" i="6" s="1"/>
  <c r="BY135" i="6"/>
  <c r="CA135" i="6" s="1"/>
  <c r="BN102" i="6"/>
  <c r="BT102" i="6" s="1"/>
  <c r="BL133" i="6"/>
  <c r="BP133" i="6" s="1"/>
  <c r="AG55" i="6"/>
  <c r="AH55" i="6" s="1"/>
  <c r="AI55" i="6" s="1"/>
  <c r="AC56" i="6" s="1"/>
  <c r="AD56" i="6" s="1"/>
  <c r="AK20" i="6"/>
  <c r="AF20" i="6"/>
  <c r="AK90" i="6"/>
  <c r="AF90" i="6"/>
  <c r="AG20" i="6"/>
  <c r="AH20" i="6" s="1"/>
  <c r="AI20" i="6" s="1"/>
  <c r="AC21" i="6" s="1"/>
  <c r="AG90" i="6"/>
  <c r="AH90" i="6" s="1"/>
  <c r="AI90" i="6" s="1"/>
  <c r="AC91" i="6" s="1"/>
  <c r="BY32" i="6" l="1"/>
  <c r="CE32" i="6" s="1"/>
  <c r="BW63" i="6"/>
  <c r="CA63" i="6" s="1"/>
  <c r="BY64" i="6" s="1"/>
  <c r="CE62" i="6"/>
  <c r="BH52" i="6"/>
  <c r="BH54" i="6" s="1"/>
  <c r="BH56" i="6" s="1"/>
  <c r="AZ23" i="6" s="1"/>
  <c r="AV53" i="6"/>
  <c r="O63" i="6"/>
  <c r="W63" i="6" s="1"/>
  <c r="BP30" i="6"/>
  <c r="BL31" i="6" s="1"/>
  <c r="CE135" i="6"/>
  <c r="BT62" i="6"/>
  <c r="BW64" i="6"/>
  <c r="BN63" i="6"/>
  <c r="BP63" i="6" s="1"/>
  <c r="BP102" i="6"/>
  <c r="BY136" i="6"/>
  <c r="BW136" i="6"/>
  <c r="BN134" i="6"/>
  <c r="BL134" i="6"/>
  <c r="BT133" i="6"/>
  <c r="AJ55" i="6"/>
  <c r="AE56" i="6" s="1"/>
  <c r="AF56" i="6" s="1"/>
  <c r="AD91" i="6"/>
  <c r="AD21" i="6"/>
  <c r="AJ20" i="6"/>
  <c r="AE21" i="6" s="1"/>
  <c r="AJ90" i="6"/>
  <c r="AE91" i="6" s="1"/>
  <c r="CA32" i="6" l="1"/>
  <c r="BW33" i="6" s="1"/>
  <c r="CE63" i="6"/>
  <c r="BN31" i="6"/>
  <c r="BT31" i="6" s="1"/>
  <c r="BY33" i="6"/>
  <c r="S63" i="6"/>
  <c r="O64" i="6" s="1"/>
  <c r="BD42" i="6"/>
  <c r="BD47" i="6" s="1"/>
  <c r="CA64" i="6"/>
  <c r="BW65" i="6" s="1"/>
  <c r="BT63" i="6"/>
  <c r="CE64" i="6"/>
  <c r="AG56" i="6"/>
  <c r="AH56" i="6" s="1"/>
  <c r="AJ56" i="6" s="1"/>
  <c r="AE57" i="6" s="1"/>
  <c r="AF57" i="6" s="1"/>
  <c r="CA136" i="6"/>
  <c r="BP134" i="6"/>
  <c r="BL135" i="6" s="1"/>
  <c r="CE136" i="6"/>
  <c r="BT134" i="6"/>
  <c r="BN64" i="6"/>
  <c r="BL64" i="6"/>
  <c r="AK56" i="6"/>
  <c r="AK91" i="6"/>
  <c r="AF91" i="6"/>
  <c r="AK21" i="6"/>
  <c r="AF21" i="6"/>
  <c r="AG21" i="6"/>
  <c r="AH21" i="6" s="1"/>
  <c r="AI21" i="6" s="1"/>
  <c r="AC22" i="6" s="1"/>
  <c r="AG91" i="6"/>
  <c r="AH91" i="6" s="1"/>
  <c r="AI91" i="6" s="1"/>
  <c r="AC92" i="6" s="1"/>
  <c r="BP31" i="6" l="1"/>
  <c r="BL32" i="6" s="1"/>
  <c r="BY65" i="6"/>
  <c r="CA65" i="6" s="1"/>
  <c r="BY66" i="6" s="1"/>
  <c r="CE33" i="6"/>
  <c r="CA33" i="6"/>
  <c r="Q64" i="6"/>
  <c r="W64" i="6" s="1"/>
  <c r="BD44" i="6"/>
  <c r="BD45" i="6" s="1"/>
  <c r="BD51" i="6" s="1"/>
  <c r="BD48" i="6"/>
  <c r="BD49" i="6" s="1"/>
  <c r="BN32" i="6"/>
  <c r="BH61" i="6"/>
  <c r="BH67" i="6" s="1"/>
  <c r="AI56" i="6"/>
  <c r="AC57" i="6" s="1"/>
  <c r="AK57" i="6" s="1"/>
  <c r="BN135" i="6"/>
  <c r="BP135" i="6" s="1"/>
  <c r="BP64" i="6"/>
  <c r="BN65" i="6" s="1"/>
  <c r="BT64" i="6"/>
  <c r="AD92" i="6"/>
  <c r="AD22" i="6"/>
  <c r="AJ21" i="6"/>
  <c r="AE22" i="6" s="1"/>
  <c r="AJ91" i="6"/>
  <c r="AE92" i="6" s="1"/>
  <c r="CE65" i="6" l="1"/>
  <c r="BY34" i="6"/>
  <c r="BW34" i="6"/>
  <c r="S64" i="6"/>
  <c r="Q65" i="6" s="1"/>
  <c r="BD50" i="6"/>
  <c r="BD52" i="6" s="1"/>
  <c r="BD54" i="6" s="1"/>
  <c r="BD56" i="6" s="1"/>
  <c r="AV23" i="6" s="1"/>
  <c r="AG57" i="6"/>
  <c r="AH57" i="6" s="1"/>
  <c r="AJ57" i="6" s="1"/>
  <c r="AE58" i="6" s="1"/>
  <c r="AF58" i="6" s="1"/>
  <c r="AD57" i="6"/>
  <c r="AQ52" i="6"/>
  <c r="BH63" i="6"/>
  <c r="BH64" i="6" s="1"/>
  <c r="BH70" i="6" s="1"/>
  <c r="BH66" i="6"/>
  <c r="BH68" i="6" s="1"/>
  <c r="BW66" i="6"/>
  <c r="CA66" i="6" s="1"/>
  <c r="BT32" i="6"/>
  <c r="BP32" i="6"/>
  <c r="BT135" i="6"/>
  <c r="BL65" i="6"/>
  <c r="BT65" i="6" s="1"/>
  <c r="BN136" i="6"/>
  <c r="BL136" i="6"/>
  <c r="AI57" i="6"/>
  <c r="AC58" i="6" s="1"/>
  <c r="AK58" i="6" s="1"/>
  <c r="AK22" i="6"/>
  <c r="AF22" i="6"/>
  <c r="AG22" i="6"/>
  <c r="AH22" i="6" s="1"/>
  <c r="AI22" i="6" s="1"/>
  <c r="AC23" i="6" s="1"/>
  <c r="AK92" i="6"/>
  <c r="AF92" i="6"/>
  <c r="AG92" i="6"/>
  <c r="AH92" i="6" s="1"/>
  <c r="AI92" i="6" s="1"/>
  <c r="AC93" i="6" s="1"/>
  <c r="O65" i="6" l="1"/>
  <c r="W65" i="6" s="1"/>
  <c r="CA34" i="6"/>
  <c r="BH4" i="6" s="1"/>
  <c r="BH9" i="6" s="1"/>
  <c r="CE34" i="6"/>
  <c r="AR52" i="6"/>
  <c r="AS52" i="6" s="1"/>
  <c r="AT52" i="6" s="1"/>
  <c r="AV52" i="6"/>
  <c r="BH69" i="6"/>
  <c r="BH72" i="6" s="1"/>
  <c r="BH74" i="6" s="1"/>
  <c r="BH76" i="6" s="1"/>
  <c r="AQ55" i="6"/>
  <c r="BD53" i="6"/>
  <c r="BD55" i="6" s="1"/>
  <c r="BD57" i="6" s="1"/>
  <c r="CE66" i="6"/>
  <c r="BN33" i="6"/>
  <c r="BL33" i="6"/>
  <c r="BW67" i="6"/>
  <c r="BY67" i="6"/>
  <c r="BP65" i="6"/>
  <c r="BL66" i="6" s="1"/>
  <c r="BP136" i="6"/>
  <c r="BT136" i="6"/>
  <c r="AG58" i="6"/>
  <c r="AH58" i="6" s="1"/>
  <c r="AJ58" i="6" s="1"/>
  <c r="AE59" i="6" s="1"/>
  <c r="AD58" i="6"/>
  <c r="AD93" i="6"/>
  <c r="AD23" i="6"/>
  <c r="AJ92" i="6"/>
  <c r="AE93" i="6" s="1"/>
  <c r="AJ22" i="6"/>
  <c r="AE23" i="6" s="1"/>
  <c r="AG23" i="6" s="1"/>
  <c r="AH23" i="6" s="1"/>
  <c r="S65" i="6" l="1"/>
  <c r="C6" i="6" s="1"/>
  <c r="BH6" i="6"/>
  <c r="BH7" i="6" s="1"/>
  <c r="BH10" i="6"/>
  <c r="BH11" i="6" s="1"/>
  <c r="BP33" i="6"/>
  <c r="BN34" i="6" s="1"/>
  <c r="AR55" i="6"/>
  <c r="AS55" i="6" s="1"/>
  <c r="AT55" i="6" s="1"/>
  <c r="AV55" i="6"/>
  <c r="BH71" i="6"/>
  <c r="BH73" i="6" s="1"/>
  <c r="BH75" i="6" s="1"/>
  <c r="AZ32" i="6" s="1"/>
  <c r="CE67" i="6"/>
  <c r="BT33" i="6"/>
  <c r="BD61" i="6"/>
  <c r="BD67" i="6" s="1"/>
  <c r="BN66" i="6"/>
  <c r="BP66" i="6" s="1"/>
  <c r="BN67" i="6" s="1"/>
  <c r="AI58" i="6"/>
  <c r="AC59" i="6" s="1"/>
  <c r="CA67" i="6"/>
  <c r="AD59" i="6"/>
  <c r="AG59" i="6"/>
  <c r="AH59" i="6" s="1"/>
  <c r="AI59" i="6" s="1"/>
  <c r="AC60" i="6" s="1"/>
  <c r="AD60" i="6" s="1"/>
  <c r="AF59" i="6"/>
  <c r="AK59" i="6"/>
  <c r="AI23" i="6"/>
  <c r="AC24" i="6" s="1"/>
  <c r="AK23" i="6"/>
  <c r="AF23" i="6"/>
  <c r="AJ23" i="6" s="1"/>
  <c r="AE24" i="6" s="1"/>
  <c r="AK93" i="6"/>
  <c r="AF93" i="6"/>
  <c r="AG93" i="6"/>
  <c r="AH93" i="6" s="1"/>
  <c r="AI93" i="6" s="1"/>
  <c r="AC94" i="6" s="1"/>
  <c r="BH13" i="6" l="1"/>
  <c r="BH12" i="6"/>
  <c r="AQ49" i="6"/>
  <c r="BL34" i="6"/>
  <c r="BT34" i="6" s="1"/>
  <c r="BD66" i="6"/>
  <c r="BD68" i="6" s="1"/>
  <c r="BD63" i="6"/>
  <c r="BD64" i="6" s="1"/>
  <c r="BD70" i="6" s="1"/>
  <c r="BT66" i="6"/>
  <c r="BY68" i="6"/>
  <c r="BW68" i="6"/>
  <c r="BL67" i="6"/>
  <c r="BT67" i="6" s="1"/>
  <c r="AJ59" i="6"/>
  <c r="AE60" i="6" s="1"/>
  <c r="AD94" i="6"/>
  <c r="AJ93" i="6"/>
  <c r="AE94" i="6" s="1"/>
  <c r="AK24" i="6"/>
  <c r="AF24" i="6"/>
  <c r="AG24" i="6"/>
  <c r="AH24" i="6" s="1"/>
  <c r="AD24" i="6"/>
  <c r="AN4" i="6" l="1"/>
  <c r="AR5" i="6" s="1"/>
  <c r="G7" i="6"/>
  <c r="G8" i="6" s="1"/>
  <c r="AR6" i="6"/>
  <c r="AR7" i="6" s="1"/>
  <c r="BP34" i="6"/>
  <c r="BD4" i="6" s="1"/>
  <c r="BD9" i="6" s="1"/>
  <c r="AR49" i="6"/>
  <c r="AS49" i="6" s="1"/>
  <c r="AT49" i="6" s="1"/>
  <c r="AV49" i="6"/>
  <c r="BH15" i="6"/>
  <c r="BH17" i="6" s="1"/>
  <c r="BH19" i="6" s="1"/>
  <c r="BH14" i="6"/>
  <c r="BH16" i="6" s="1"/>
  <c r="BH18" i="6" s="1"/>
  <c r="AZ5" i="6" s="1"/>
  <c r="BD69" i="6"/>
  <c r="BD71" i="6" s="1"/>
  <c r="BD73" i="6" s="1"/>
  <c r="BD75" i="6" s="1"/>
  <c r="AV32" i="6" s="1"/>
  <c r="AQ54" i="6"/>
  <c r="CA68" i="6"/>
  <c r="CE68" i="6"/>
  <c r="BP67" i="6"/>
  <c r="BL68" i="6" s="1"/>
  <c r="AF60" i="6"/>
  <c r="AK60" i="6"/>
  <c r="AG60" i="6"/>
  <c r="AH60" i="6" s="1"/>
  <c r="AI24" i="6"/>
  <c r="AC25" i="6" s="1"/>
  <c r="AD25" i="6" s="1"/>
  <c r="AK94" i="6"/>
  <c r="AF94" i="6"/>
  <c r="AJ24" i="6"/>
  <c r="AE25" i="6" s="1"/>
  <c r="AG94" i="6"/>
  <c r="AH94" i="6" s="1"/>
  <c r="AI94" i="6" s="1"/>
  <c r="AC95" i="6" s="1"/>
  <c r="BH77" i="6" l="1"/>
  <c r="CB106" i="6" s="1"/>
  <c r="AV24" i="6"/>
  <c r="AV25" i="6" s="1"/>
  <c r="AV26" i="6" s="1"/>
  <c r="BH58" i="6"/>
  <c r="CB72" i="6" s="1"/>
  <c r="BD58" i="6"/>
  <c r="BM72" i="6" s="1"/>
  <c r="AZ33" i="6"/>
  <c r="AZ34" i="6" s="1"/>
  <c r="AZ36" i="6" s="1"/>
  <c r="AZ24" i="6"/>
  <c r="AZ25" i="6" s="1"/>
  <c r="AZ28" i="6" s="1"/>
  <c r="BZ106" i="6"/>
  <c r="BX106" i="6"/>
  <c r="BD6" i="6"/>
  <c r="BD7" i="6" s="1"/>
  <c r="BD13" i="6" s="1"/>
  <c r="BN68" i="6"/>
  <c r="BT68" i="6" s="1"/>
  <c r="BD10" i="6"/>
  <c r="BD11" i="6" s="1"/>
  <c r="BH20" i="6"/>
  <c r="AZ6" i="6"/>
  <c r="AZ7" i="6" s="1"/>
  <c r="AR54" i="6"/>
  <c r="AS54" i="6" s="1"/>
  <c r="AT54" i="6" s="1"/>
  <c r="AV54" i="6"/>
  <c r="BD72" i="6"/>
  <c r="BD74" i="6" s="1"/>
  <c r="BD76" i="6" s="1"/>
  <c r="AV33" i="6" s="1"/>
  <c r="AV34" i="6" s="1"/>
  <c r="AV37" i="6" s="1"/>
  <c r="BH23" i="6"/>
  <c r="BH28" i="6" s="1"/>
  <c r="AJ60" i="6"/>
  <c r="AE61" i="6" s="1"/>
  <c r="AF61" i="6" s="1"/>
  <c r="AI60" i="6"/>
  <c r="AC61" i="6" s="1"/>
  <c r="AD95" i="6"/>
  <c r="AK25" i="6"/>
  <c r="AF25" i="6"/>
  <c r="AJ94" i="6"/>
  <c r="AE95" i="6" s="1"/>
  <c r="AG25" i="6"/>
  <c r="AH25" i="6" s="1"/>
  <c r="AI25" i="6" s="1"/>
  <c r="AC26" i="6" s="1"/>
  <c r="AZ35" i="6" l="1"/>
  <c r="AR27" i="6"/>
  <c r="AV27" i="6"/>
  <c r="AZ26" i="6"/>
  <c r="AV28" i="6"/>
  <c r="AZ27" i="6"/>
  <c r="BZ72" i="6"/>
  <c r="AR28" i="6"/>
  <c r="BX72" i="6"/>
  <c r="BQ72" i="6"/>
  <c r="BO72" i="6"/>
  <c r="AZ37" i="6"/>
  <c r="AQ48" i="6"/>
  <c r="AR48" i="6" s="1"/>
  <c r="BD12" i="6"/>
  <c r="BD15" i="6" s="1"/>
  <c r="BD17" i="6" s="1"/>
  <c r="BP68" i="6"/>
  <c r="BD23" i="6" s="1"/>
  <c r="BD25" i="6" s="1"/>
  <c r="BD26" i="6" s="1"/>
  <c r="AZ10" i="6"/>
  <c r="AZ8" i="6"/>
  <c r="AZ9" i="6"/>
  <c r="CB4" i="6"/>
  <c r="AR24" i="6"/>
  <c r="BX4" i="6"/>
  <c r="BZ4" i="6"/>
  <c r="BH25" i="6"/>
  <c r="BH26" i="6" s="1"/>
  <c r="BH32" i="6" s="1"/>
  <c r="BH29" i="6"/>
  <c r="BH30" i="6" s="1"/>
  <c r="BD77" i="6"/>
  <c r="BQ106" i="6" s="1"/>
  <c r="AV35" i="6"/>
  <c r="AV36" i="6"/>
  <c r="AK61" i="6"/>
  <c r="AD61" i="6"/>
  <c r="AG61" i="6"/>
  <c r="AH61" i="6" s="1"/>
  <c r="AJ61" i="6" s="1"/>
  <c r="AE62" i="6" s="1"/>
  <c r="AF62" i="6" s="1"/>
  <c r="AD26" i="6"/>
  <c r="AK95" i="6"/>
  <c r="AF95" i="6"/>
  <c r="AJ25" i="6"/>
  <c r="AE26" i="6" s="1"/>
  <c r="AG95" i="6"/>
  <c r="AH95" i="6" s="1"/>
  <c r="AI95" i="6" s="1"/>
  <c r="AC96" i="6" s="1"/>
  <c r="AV48" i="6" l="1"/>
  <c r="BD14" i="6"/>
  <c r="BD16" i="6" s="1"/>
  <c r="BD18" i="6" s="1"/>
  <c r="AV5" i="6" s="1"/>
  <c r="BD29" i="6"/>
  <c r="BD28" i="6"/>
  <c r="BH31" i="6"/>
  <c r="BH34" i="6" s="1"/>
  <c r="BH36" i="6" s="1"/>
  <c r="BH38" i="6" s="1"/>
  <c r="AZ15" i="6" s="1"/>
  <c r="AQ51" i="6"/>
  <c r="AR51" i="6" s="1"/>
  <c r="AS51" i="6" s="1"/>
  <c r="AT51" i="6" s="1"/>
  <c r="BD19" i="6"/>
  <c r="AQ50" i="6"/>
  <c r="AR50" i="6" s="1"/>
  <c r="AS50" i="6" s="1"/>
  <c r="AT50" i="6" s="1"/>
  <c r="BD32" i="6"/>
  <c r="AS48" i="6"/>
  <c r="AT48" i="6" s="1"/>
  <c r="BM106" i="6"/>
  <c r="BO106" i="6"/>
  <c r="AR29" i="6"/>
  <c r="BD31" i="6"/>
  <c r="AI61" i="6"/>
  <c r="AC62" i="6" s="1"/>
  <c r="AD96" i="6"/>
  <c r="AK26" i="6"/>
  <c r="AF26" i="6"/>
  <c r="AJ95" i="6"/>
  <c r="AE96" i="6" s="1"/>
  <c r="AG26" i="6"/>
  <c r="AH26" i="6" s="1"/>
  <c r="AI26" i="6" s="1"/>
  <c r="AC27" i="6" s="1"/>
  <c r="BD30" i="6" l="1"/>
  <c r="BD20" i="6"/>
  <c r="BM4" i="6" s="1"/>
  <c r="AV50" i="6"/>
  <c r="AV51" i="6"/>
  <c r="BH33" i="6"/>
  <c r="BH35" i="6" s="1"/>
  <c r="BH37" i="6" s="1"/>
  <c r="AZ14" i="6" s="1"/>
  <c r="AZ16" i="6" s="1"/>
  <c r="AV6" i="6"/>
  <c r="AV7" i="6" s="1"/>
  <c r="BD33" i="6"/>
  <c r="BD35" i="6" s="1"/>
  <c r="BD37" i="6" s="1"/>
  <c r="BD34" i="6"/>
  <c r="BD36" i="6" s="1"/>
  <c r="BD38" i="6" s="1"/>
  <c r="AV15" i="6" s="1"/>
  <c r="AD62" i="6"/>
  <c r="AG62" i="6"/>
  <c r="AH62" i="6" s="1"/>
  <c r="AJ62" i="6" s="1"/>
  <c r="AE63" i="6" s="1"/>
  <c r="AF63" i="6" s="1"/>
  <c r="AK62" i="6"/>
  <c r="AD27" i="6"/>
  <c r="AK96" i="6"/>
  <c r="AF96" i="6"/>
  <c r="AJ26" i="6"/>
  <c r="AE27" i="6" s="1"/>
  <c r="AG96" i="6"/>
  <c r="AH96" i="6" s="1"/>
  <c r="AI96" i="6" s="1"/>
  <c r="AC97" i="6" s="1"/>
  <c r="BO4" i="6" l="1"/>
  <c r="AR23" i="6"/>
  <c r="BQ4" i="6"/>
  <c r="BH39" i="6"/>
  <c r="BX38" i="6" s="1"/>
  <c r="AZ19" i="6"/>
  <c r="AZ17" i="6"/>
  <c r="AZ18" i="6"/>
  <c r="AV10" i="6"/>
  <c r="AV9" i="6"/>
  <c r="AV8" i="6"/>
  <c r="AV14" i="6"/>
  <c r="AV16" i="6" s="1"/>
  <c r="BD39" i="6"/>
  <c r="BM38" i="6" s="1"/>
  <c r="AI62" i="6"/>
  <c r="AC63" i="6" s="1"/>
  <c r="AD97" i="6"/>
  <c r="AK27" i="6"/>
  <c r="AF27" i="6"/>
  <c r="AJ96" i="6"/>
  <c r="AE97" i="6" s="1"/>
  <c r="AG27" i="6"/>
  <c r="AH27" i="6" s="1"/>
  <c r="AI27" i="6" s="1"/>
  <c r="AC28" i="6" s="1"/>
  <c r="CB38" i="6" l="1"/>
  <c r="BZ38" i="6"/>
  <c r="AR26" i="6"/>
  <c r="BQ38" i="6"/>
  <c r="AR25" i="6"/>
  <c r="BO38" i="6"/>
  <c r="AV18" i="6"/>
  <c r="AR10" i="6" s="1"/>
  <c r="AV19" i="6"/>
  <c r="AR11" i="6" s="1"/>
  <c r="AR18" i="6" s="1"/>
  <c r="AV17" i="6"/>
  <c r="AK63" i="6"/>
  <c r="AG63" i="6"/>
  <c r="AH63" i="6" s="1"/>
  <c r="AD63" i="6"/>
  <c r="AD28" i="6"/>
  <c r="AK97" i="6"/>
  <c r="AF97" i="6"/>
  <c r="AJ27" i="6"/>
  <c r="AE28" i="6" s="1"/>
  <c r="AG97" i="6"/>
  <c r="AH97" i="6" s="1"/>
  <c r="AI97" i="6" s="1"/>
  <c r="AC98" i="6" s="1"/>
  <c r="AR30" i="6" l="1"/>
  <c r="G10" i="6"/>
  <c r="G11" i="6" s="1"/>
  <c r="T35" i="6" s="1"/>
  <c r="AR17" i="6"/>
  <c r="AR19" i="6"/>
  <c r="AR12" i="6"/>
  <c r="G13" i="6" s="1"/>
  <c r="AR15" i="6"/>
  <c r="AI63" i="6"/>
  <c r="AC64" i="6" s="1"/>
  <c r="AJ63" i="6"/>
  <c r="AE64" i="6" s="1"/>
  <c r="AD98" i="6"/>
  <c r="AK28" i="6"/>
  <c r="AF28" i="6"/>
  <c r="AJ97" i="6"/>
  <c r="AE98" i="6" s="1"/>
  <c r="AG28" i="6"/>
  <c r="AH28" i="6" s="1"/>
  <c r="AI28" i="6" s="1"/>
  <c r="AC29" i="6" s="1"/>
  <c r="R35" i="6" l="1"/>
  <c r="G12" i="6"/>
  <c r="P35" i="6"/>
  <c r="AR16" i="6"/>
  <c r="AR20" i="6"/>
  <c r="AK64" i="6"/>
  <c r="AF64" i="6"/>
  <c r="AD64" i="6"/>
  <c r="AG64" i="6"/>
  <c r="AH64" i="6" s="1"/>
  <c r="AD29" i="6"/>
  <c r="AK98" i="6"/>
  <c r="AF98" i="6"/>
  <c r="AJ28" i="6"/>
  <c r="AE29" i="6" s="1"/>
  <c r="AG98" i="6"/>
  <c r="AH98" i="6" s="1"/>
  <c r="AI98" i="6" s="1"/>
  <c r="AC99" i="6" s="1"/>
  <c r="AI64" i="6" l="1"/>
  <c r="AC65" i="6" s="1"/>
  <c r="AD65" i="6"/>
  <c r="AJ64" i="6"/>
  <c r="AE65" i="6" s="1"/>
  <c r="AD99" i="6"/>
  <c r="AK29" i="6"/>
  <c r="AF29" i="6"/>
  <c r="AJ98" i="6"/>
  <c r="AE99" i="6" s="1"/>
  <c r="AG29" i="6"/>
  <c r="AH29" i="6" s="1"/>
  <c r="AI29" i="6" s="1"/>
  <c r="AC30" i="6" s="1"/>
  <c r="AF65" i="6" l="1"/>
  <c r="AK65" i="6"/>
  <c r="AG65" i="6"/>
  <c r="AH65" i="6" s="1"/>
  <c r="AI65" i="6" s="1"/>
  <c r="AC66" i="6" s="1"/>
  <c r="AD30" i="6"/>
  <c r="AK99" i="6"/>
  <c r="AF99" i="6"/>
  <c r="AJ29" i="6"/>
  <c r="AE30" i="6" s="1"/>
  <c r="AG99" i="6"/>
  <c r="AH99" i="6" s="1"/>
  <c r="AI99" i="6" s="1"/>
  <c r="AC100" i="6" s="1"/>
  <c r="AD66" i="6" l="1"/>
  <c r="AJ65" i="6"/>
  <c r="AE66" i="6" s="1"/>
  <c r="AG66" i="6" s="1"/>
  <c r="AH66" i="6" s="1"/>
  <c r="AD100" i="6"/>
  <c r="AK30" i="6"/>
  <c r="AF30" i="6"/>
  <c r="AJ99" i="6"/>
  <c r="AE100" i="6" s="1"/>
  <c r="AG30" i="6"/>
  <c r="AH30" i="6" s="1"/>
  <c r="AI30" i="6" s="1"/>
  <c r="AC31" i="6" s="1"/>
  <c r="AF66" i="6" l="1"/>
  <c r="AJ66" i="6" s="1"/>
  <c r="AE67" i="6" s="1"/>
  <c r="AK66" i="6"/>
  <c r="AI66" i="6"/>
  <c r="AC67" i="6" s="1"/>
  <c r="AD31" i="6"/>
  <c r="AK100" i="6"/>
  <c r="AF100" i="6"/>
  <c r="AJ30" i="6"/>
  <c r="AE31" i="6" s="1"/>
  <c r="AG100" i="6"/>
  <c r="AH100" i="6" s="1"/>
  <c r="AI100" i="6" s="1"/>
  <c r="AC101" i="6" s="1"/>
  <c r="AD67" i="6" l="1"/>
  <c r="AG67" i="6"/>
  <c r="AH67" i="6" s="1"/>
  <c r="AI67" i="6" s="1"/>
  <c r="AC68" i="6" s="1"/>
  <c r="AD68" i="6" s="1"/>
  <c r="AF67" i="6"/>
  <c r="AK67" i="6"/>
  <c r="AD101" i="6"/>
  <c r="AK31" i="6"/>
  <c r="AF31" i="6"/>
  <c r="AJ100" i="6"/>
  <c r="AE101" i="6" s="1"/>
  <c r="AG31" i="6"/>
  <c r="AH31" i="6" s="1"/>
  <c r="AI31" i="6" s="1"/>
  <c r="AC32" i="6" s="1"/>
  <c r="AJ67" i="6" l="1"/>
  <c r="AE68" i="6" s="1"/>
  <c r="AD32" i="6"/>
  <c r="AK101" i="6"/>
  <c r="AF101" i="6"/>
  <c r="AJ31" i="6"/>
  <c r="AE32" i="6" s="1"/>
  <c r="AG101" i="6"/>
  <c r="AH101" i="6" s="1"/>
  <c r="AI101" i="6" s="1"/>
  <c r="AC102" i="6" s="1"/>
  <c r="AF68" i="6" l="1"/>
  <c r="AG68" i="6"/>
  <c r="AH68" i="6" s="1"/>
  <c r="AI68" i="6" s="1"/>
  <c r="AC69" i="6" s="1"/>
  <c r="AD69" i="6" s="1"/>
  <c r="AK68" i="6"/>
  <c r="AD102" i="6"/>
  <c r="AK32" i="6"/>
  <c r="AF32" i="6"/>
  <c r="AJ101" i="6"/>
  <c r="AE102" i="6" s="1"/>
  <c r="AG32" i="6"/>
  <c r="AH32" i="6" s="1"/>
  <c r="AI32" i="6" s="1"/>
  <c r="AC33" i="6" s="1"/>
  <c r="AJ68" i="6" l="1"/>
  <c r="AE69" i="6" s="1"/>
  <c r="AD33" i="6"/>
  <c r="AK102" i="6"/>
  <c r="AF102" i="6"/>
  <c r="AJ32" i="6"/>
  <c r="AE33" i="6" s="1"/>
  <c r="AG102" i="6"/>
  <c r="AH102" i="6" s="1"/>
  <c r="AI102" i="6" s="1"/>
  <c r="AC103" i="6" s="1"/>
  <c r="AK69" i="6" l="1"/>
  <c r="AF69" i="6"/>
  <c r="AG69" i="6"/>
  <c r="AD103" i="6"/>
  <c r="AK33" i="6"/>
  <c r="AF33" i="6"/>
  <c r="AJ102" i="6"/>
  <c r="AE103" i="6" s="1"/>
  <c r="AG33" i="6"/>
  <c r="AH33" i="6" s="1"/>
  <c r="AI33" i="6" s="1"/>
  <c r="AC34" i="6" s="1"/>
  <c r="AH69" i="6" l="1"/>
  <c r="O26" i="6"/>
  <c r="O27" i="6" s="1"/>
  <c r="G25" i="6" s="1"/>
  <c r="G26" i="6" s="1"/>
  <c r="AD34" i="6"/>
  <c r="AK103" i="6"/>
  <c r="AF103" i="6"/>
  <c r="AJ33" i="6"/>
  <c r="AE34" i="6" s="1"/>
  <c r="AG103" i="6"/>
  <c r="AH103" i="6" s="1"/>
  <c r="AI103" i="6" s="1"/>
  <c r="AC104" i="6" s="1"/>
  <c r="AI69" i="6" l="1"/>
  <c r="AJ69" i="6"/>
  <c r="AD104" i="6"/>
  <c r="AK34" i="6"/>
  <c r="AF34" i="6"/>
  <c r="AJ103" i="6"/>
  <c r="AE104" i="6" s="1"/>
  <c r="AG34" i="6"/>
  <c r="S26" i="6" l="1"/>
  <c r="S27" i="6" s="1"/>
  <c r="G32" i="6" s="1"/>
  <c r="G33" i="6" s="1"/>
  <c r="AH34" i="6"/>
  <c r="AI34" i="6" s="1"/>
  <c r="AK104" i="6"/>
  <c r="AF104" i="6"/>
  <c r="AG104" i="6"/>
  <c r="AJ34" i="6" l="1"/>
  <c r="W26" i="6"/>
  <c r="W27" i="6" s="1"/>
  <c r="G45" i="6" s="1"/>
  <c r="G46" i="6" s="1"/>
  <c r="K4" i="6" s="1"/>
  <c r="AH104" i="6"/>
  <c r="AI104" i="6" s="1"/>
  <c r="AJ104" i="6" l="1"/>
  <c r="K5" i="6" l="1"/>
  <c r="K9" i="6"/>
</calcChain>
</file>

<file path=xl/sharedStrings.xml><?xml version="1.0" encoding="utf-8"?>
<sst xmlns="http://schemas.openxmlformats.org/spreadsheetml/2006/main" count="1592" uniqueCount="263">
  <si>
    <t>!!! Press F9 to recalculate !!!</t>
  </si>
  <si>
    <t>lift+cruise</t>
  </si>
  <si>
    <t>rotor_lift_solidity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</si>
  <si>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</si>
  <si>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</si>
  <si>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</si>
  <si>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</si>
  <si>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</si>
  <si>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</si>
  <si>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</si>
  <si>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</si>
  <si>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</si>
  <si>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</si>
  <si>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</si>
  <si>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wing_area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</si>
  <si>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</si>
  <si>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</si>
  <si>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</si>
  <si>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</si>
  <si>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</si>
  <si>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</si>
  <si>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</si>
  <si>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</si>
  <si>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</si>
  <si>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</si>
  <si>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</si>
  <si>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</si>
  <si>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</si>
  <si>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</si>
  <si>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</si>
  <si>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</si>
  <si>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</si>
  <si>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</si>
  <si>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</si>
  <si>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</si>
  <si>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</si>
  <si>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</si>
  <si>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</si>
  <si>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</si>
  <si>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</si>
  <si>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</si>
  <si>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</si>
  <si>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</si>
  <si>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</si>
  <si>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</si>
  <si>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</si>
  <si>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</si>
  <si>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</si>
  <si>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</si>
  <si>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</si>
  <si>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Oswald_e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</si>
  <si>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</si>
  <si>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</si>
  <si>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</si>
  <si>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</si>
  <si>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</si>
  <si>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</si>
  <si>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</si>
  <si>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</si>
  <si>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</si>
  <si>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</si>
  <si>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</si>
  <si>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</si>
  <si>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</si>
  <si>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multirotor</t>
  </si>
  <si>
    <t>Rotor|mu</t>
  </si>
  <si>
    <t>L/D</t>
  </si>
  <si>
    <t>Stability (trim)</t>
  </si>
  <si>
    <t>Thrust_all</t>
  </si>
  <si>
    <t>sin_beta</t>
  </si>
  <si>
    <t>Bisection method for solving RotorInflow lambda in cruise</t>
  </si>
  <si>
    <t>Hover climb segment</t>
  </si>
  <si>
    <t>Power maximum for design</t>
  </si>
  <si>
    <t>Aerodynamics in climb</t>
  </si>
  <si>
    <t>Aerodynamics in cruise</t>
  </si>
  <si>
    <t>Aerodynamics in descent</t>
  </si>
  <si>
    <t>hover_climb_speed</t>
  </si>
  <si>
    <t>p_max_liftrotor</t>
  </si>
  <si>
    <t>hover_climb_distance</t>
  </si>
  <si>
    <t>p_max_liftrotor_each</t>
  </si>
  <si>
    <t>power_hover_climb</t>
  </si>
  <si>
    <t>kW</t>
  </si>
  <si>
    <t>hover climb duration</t>
  </si>
  <si>
    <t>energy_consumption</t>
  </si>
  <si>
    <t>kWh</t>
  </si>
  <si>
    <t>Climb segment</t>
  </si>
  <si>
    <t>mins</t>
  </si>
  <si>
    <t>speed</t>
  </si>
  <si>
    <t>speed_Y</t>
  </si>
  <si>
    <t>distance_Y</t>
  </si>
  <si>
    <t>delta</t>
  </si>
  <si>
    <t>speed_X</t>
  </si>
  <si>
    <t>distance_X</t>
  </si>
  <si>
    <t>flight_path_gamma</t>
  </si>
  <si>
    <t>power_each</t>
  </si>
  <si>
    <t>power_climb</t>
  </si>
  <si>
    <t>climb duration</t>
  </si>
  <si>
    <t>payload_weight</t>
  </si>
  <si>
    <t>Cruise segment</t>
  </si>
  <si>
    <t>Constants</t>
  </si>
  <si>
    <t>cruise duration</t>
  </si>
  <si>
    <t>Descent segment</t>
  </si>
  <si>
    <t>technology_factor</t>
  </si>
  <si>
    <t>power_descent</t>
  </si>
  <si>
    <t>descent duration</t>
  </si>
  <si>
    <t>Hover descent segment</t>
  </si>
  <si>
    <t>Bisection method for solving RotorInflow lambda in climb</t>
  </si>
  <si>
    <t>hover_descent_speed</t>
  </si>
  <si>
    <t>hover_descent_distance</t>
  </si>
  <si>
    <t>power_hover_descent</t>
  </si>
  <si>
    <t>hover descent duration</t>
  </si>
  <si>
    <t>Bisection method for solving RotorInflow lambda in descent</t>
  </si>
  <si>
    <t>N_lift_rotor</t>
  </si>
  <si>
    <t>N_propeller</t>
  </si>
  <si>
    <t>p_max_prop</t>
  </si>
  <si>
    <t>p_max_prop_each</t>
  </si>
  <si>
    <t>propeller_solidity</t>
  </si>
  <si>
    <t>CL</t>
  </si>
  <si>
    <t>CD</t>
  </si>
  <si>
    <t>Total drag</t>
  </si>
  <si>
    <t>Propeller performance in climb</t>
  </si>
  <si>
    <t>Propeller performance in cruise</t>
  </si>
  <si>
    <t>Propeller performance in descent</t>
  </si>
  <si>
    <t>r_lift_rotor</t>
  </si>
  <si>
    <t>r_propeller</t>
  </si>
  <si>
    <t>power_cruise</t>
  </si>
  <si>
    <t>Rotor parameters</t>
  </si>
  <si>
    <t>N_blade_lift_rotor</t>
  </si>
  <si>
    <t>k_prop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</si>
  <si>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</si>
  <si>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</si>
  <si>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</si>
  <si>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</si>
  <si>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</si>
  <si>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</si>
  <si>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</si>
  <si>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N_blade_propeller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</si>
  <si>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</si>
  <si>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</si>
  <si>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</si>
  <si>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</si>
  <si>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</si>
  <si>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</si>
  <si>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</si>
  <si>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</si>
  <si>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</si>
  <si>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</si>
  <si>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eVTOL design parameters</t>
  </si>
  <si>
    <t>RPM_hover_lift_rotor</t>
  </si>
  <si>
    <t>RPM</t>
  </si>
  <si>
    <t>c_to_r_lift_rotor</t>
  </si>
  <si>
    <t>lift_rotor_hover_FM</t>
  </si>
  <si>
    <t>lift_rotor_solidity</t>
  </si>
  <si>
    <t>mu_air</t>
  </si>
  <si>
    <t>sound_speed</t>
  </si>
  <si>
    <t>Pa 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</si>
  <si>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</si>
  <si>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</si>
  <si>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</si>
  <si>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</si>
  <si>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</si>
  <si>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</si>
  <si>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v_inf</t>
  </si>
  <si>
    <t>blade_radius</t>
  </si>
  <si>
    <t>Section 1</t>
  </si>
  <si>
    <t>Section 2</t>
  </si>
  <si>
    <t>rpm</t>
  </si>
  <si>
    <t>area</t>
  </si>
  <si>
    <t>width</t>
  </si>
  <si>
    <t>phi</t>
  </si>
  <si>
    <t>rad</t>
  </si>
  <si>
    <t>global_twist</t>
  </si>
  <si>
    <t>v</t>
  </si>
  <si>
    <t>pitch</t>
  </si>
  <si>
    <t>n</t>
  </si>
  <si>
    <t>rev/s</t>
  </si>
  <si>
    <t>vp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</si>
  <si>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</si>
  <si>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</si>
  <si>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</si>
  <si>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</si>
  <si>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</si>
  <si>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</si>
  <si>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</si>
  <si>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</si>
  <si>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</si>
  <si>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</si>
  <si>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</si>
  <si>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</si>
  <si>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</si>
  <si>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</si>
  <si>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</si>
  <si>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</si>
  <si>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</si>
  <si>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VR12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</si>
  <si>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</si>
  <si>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</si>
  <si>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</si>
  <si>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</si>
  <si>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</si>
  <si>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</si>
  <si>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</si>
  <si>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</si>
  <si>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</si>
  <si>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</si>
  <si>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</si>
  <si>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</si>
  <si>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</si>
  <si>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</si>
  <si>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</si>
  <si>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</si>
  <si>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</si>
  <si>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</si>
  <si>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</si>
  <si>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</si>
  <si>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</si>
  <si>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</si>
  <si>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</si>
  <si>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</si>
  <si>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</si>
  <si>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Section 8</t>
  </si>
  <si>
    <t>local_twist</t>
  </si>
  <si>
    <t>[Bisection method for inflow angle at section 3]</t>
  </si>
  <si>
    <t>[Bisection method for inflow angle at section 4]</t>
  </si>
  <si>
    <t>Airfoil</t>
  </si>
  <si>
    <t>boeing_vertol-vr12</t>
  </si>
  <si>
    <t>Region 1</t>
  </si>
  <si>
    <t>Region 2</t>
  </si>
  <si>
    <t>Region 3</t>
  </si>
  <si>
    <t>Range</t>
  </si>
  <si>
    <t>[fluid]</t>
  </si>
  <si>
    <t>Cl=f(alpha)</t>
  </si>
  <si>
    <t>Cd=f(alpha)</t>
  </si>
  <si>
    <t>[Bisection method for inflow angle at section 5]</t>
  </si>
  <si>
    <t>[Bisection method for inflow angle at section 6]</t>
  </si>
  <si>
    <t>[Bisection method for inflow angle at section 7]</t>
  </si>
  <si>
    <t>[Bisection method for inflow angle at section 8]</t>
  </si>
  <si>
    <t>rotor_tip_speed</t>
  </si>
  <si>
    <t>rotor_tip_speed_Mach</t>
  </si>
  <si>
    <t>thrust_each_calc</t>
  </si>
  <si>
    <t>thrust_residual</t>
  </si>
  <si>
    <t>is_trimmed</t>
  </si>
  <si>
    <t>M</t>
  </si>
  <si>
    <t>Bisection method for solving RPM_hover</t>
  </si>
  <si>
    <t>alpha_rad</t>
  </si>
  <si>
    <t>pitch_rad</t>
  </si>
  <si>
    <t>pitch_deg</t>
  </si>
  <si>
    <t>f_e_rotor_hubs</t>
  </si>
  <si>
    <t>m2</t>
  </si>
  <si>
    <t>CD0_hubs</t>
  </si>
  <si>
    <t>CD0_non_hubs</t>
  </si>
  <si>
    <t>CD0_total</t>
  </si>
  <si>
    <t>f/(W/1000)^2/3</t>
  </si>
  <si>
    <t>c_to_r_propeller</t>
  </si>
  <si>
    <t>Propeller|J</t>
  </si>
  <si>
    <t>Propeller parameters</t>
  </si>
  <si>
    <t>propeller_FM</t>
  </si>
  <si>
    <t>lift_rotor_FM</t>
  </si>
  <si>
    <t>type</t>
  </si>
  <si>
    <t>wheeled</t>
  </si>
  <si>
    <t>f_LG</t>
  </si>
  <si>
    <t>prop_tip_speed</t>
  </si>
  <si>
    <t>prop_tip_speed_Mach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</si>
</sst>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3" fillId="8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4" borderId="0" xfId="0" applyFill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C9A4-014D-1547-9F90-2CE2D6D869E1}">
  <dimension ref="B1:CE136"/>
  <sheetViews>
    <sheetView zoomScale="110" workbookViewId="0">
      <selection activeCell="C5" sqref="C5"/>
    </sheetView>
  </sheetViews>
  <sheetFormatPr baseColWidth="10" defaultRowHeight="16" x14ac:dyDescent="0.2"/>
  <cols>
    <col min="1" max="1" width="4.1640625" style="5" customWidth="1"/>
    <col min="2" max="2" width="20.5" style="5" customWidth="1"/>
    <col min="3" max="3" width="12.1640625" style="5" bestFit="1" customWidth="1"/>
    <col min="4" max="4" width="7.1640625" style="5" customWidth="1"/>
    <col min="5" max="5" width="5.6640625" style="5" customWidth="1"/>
    <col min="6" max="6" width="20.6640625" style="5" customWidth="1"/>
    <col min="7" max="7" width="13.1640625" style="5" customWidth="1"/>
    <col min="8" max="8" width="4.1640625" style="5" customWidth="1"/>
    <col min="9" max="9" width="6" style="5" customWidth="1"/>
    <col min="10" max="10" width="18.1640625" style="5" customWidth="1"/>
    <col min="11" max="11" width="13.1640625" style="5" customWidth="1"/>
    <col min="12" max="12" width="4.83203125" style="5" customWidth="1"/>
    <col min="13" max="13" width="6" style="5" customWidth="1"/>
    <col min="14" max="14" width="14.1640625" style="5" customWidth="1"/>
    <col min="15" max="15" width="11.1640625" style="5" customWidth="1"/>
    <col min="16" max="16" width="6.33203125" style="5" customWidth="1"/>
    <col min="17" max="17" width="6" style="5" customWidth="1"/>
    <col min="18" max="18" width="13.83203125" style="5" customWidth="1"/>
    <col min="19" max="19" width="10.83203125" style="5"/>
    <col min="20" max="20" width="6.33203125" style="5" customWidth="1"/>
    <col min="21" max="21" width="8.5" style="5" customWidth="1"/>
    <col min="22" max="22" width="14.1640625" style="5" customWidth="1"/>
    <col min="23" max="23" width="11.1640625" style="5" customWidth="1"/>
    <col min="24" max="24" width="6.5" style="5" customWidth="1"/>
    <col min="25" max="27" width="3.83203125" style="5" customWidth="1"/>
    <col min="28" max="28" width="5.5" style="5" customWidth="1"/>
    <col min="29" max="30" width="6.1640625" style="5" customWidth="1"/>
    <col min="31" max="31" width="6.6640625" style="5" customWidth="1"/>
    <col min="32" max="32" width="7" style="5" customWidth="1"/>
    <col min="33" max="33" width="14.6640625" style="5" customWidth="1"/>
    <col min="34" max="34" width="7.83203125" style="5" customWidth="1"/>
    <col min="35" max="35" width="10" style="5" customWidth="1"/>
    <col min="36" max="36" width="9.5" style="5" customWidth="1"/>
    <col min="37" max="37" width="13.6640625" style="5" customWidth="1"/>
    <col min="38" max="39" width="10.83203125" style="5"/>
    <col min="40" max="40" width="11" style="5" bestFit="1" customWidth="1"/>
    <col min="41" max="42" width="10.83203125" style="5"/>
    <col min="43" max="43" width="12.6640625" style="5" customWidth="1"/>
    <col min="44" max="45" width="11" style="5" bestFit="1" customWidth="1"/>
    <col min="46" max="46" width="14.5" style="5" customWidth="1"/>
    <col min="47" max="47" width="12.33203125" style="5" bestFit="1" customWidth="1"/>
    <col min="48" max="53" width="11" style="5" bestFit="1" customWidth="1"/>
    <col min="54" max="54" width="3.83203125" style="5" customWidth="1"/>
    <col min="55" max="55" width="10.83203125" style="5"/>
    <col min="56" max="56" width="13.6640625" style="5" bestFit="1" customWidth="1"/>
    <col min="57" max="57" width="10.83203125" style="5"/>
    <col min="58" max="58" width="2" style="5" customWidth="1"/>
    <col min="59" max="59" width="10.83203125" style="5"/>
    <col min="60" max="60" width="13" style="5" bestFit="1" customWidth="1"/>
    <col min="61" max="61" width="10.83203125" style="5"/>
    <col min="62" max="62" width="3.33203125" style="5" customWidth="1"/>
    <col min="63" max="64" width="11.1640625" style="5" bestFit="1" customWidth="1"/>
    <col min="65" max="65" width="14.33203125" style="5" bestFit="1" customWidth="1"/>
    <col min="66" max="66" width="11.1640625" style="5" bestFit="1" customWidth="1"/>
    <col min="67" max="67" width="14.33203125" style="5" bestFit="1" customWidth="1"/>
    <col min="68" max="68" width="11.1640625" style="5" bestFit="1" customWidth="1"/>
    <col min="69" max="69" width="14.33203125" style="5" bestFit="1" customWidth="1"/>
    <col min="70" max="72" width="11" style="5" bestFit="1" customWidth="1"/>
    <col min="73" max="73" width="2.5" style="5" customWidth="1"/>
    <col min="74" max="75" width="11" style="5" bestFit="1" customWidth="1"/>
    <col min="76" max="76" width="14.1640625" style="5" bestFit="1" customWidth="1"/>
    <col min="77" max="77" width="11" style="5" bestFit="1" customWidth="1"/>
    <col min="78" max="78" width="13.6640625" style="5" bestFit="1" customWidth="1"/>
    <col min="79" max="79" width="11" style="5" bestFit="1" customWidth="1"/>
    <col min="80" max="80" width="13.6640625" style="5" bestFit="1" customWidth="1"/>
    <col min="81" max="83" width="11" style="5" bestFit="1" customWidth="1"/>
    <col min="84" max="16384" width="10.83203125" style="5"/>
  </cols>
  <sheetData>
    <row r="1" spans="2:83" x14ac:dyDescent="0.2">
      <c r="B1" s="48" t="s">
        <v>0</v>
      </c>
      <c r="C1" s="48"/>
      <c r="D1" s="48"/>
    </row>
    <row r="2" spans="2:83" x14ac:dyDescent="0.2">
      <c r="AB2" s="6" t="s">
        <v>70</v>
      </c>
      <c r="AM2" s="41" t="s">
        <v>156</v>
      </c>
      <c r="AN2" s="41"/>
      <c r="AO2" s="41"/>
      <c r="AP2"/>
      <c r="AQ2" s="41" t="s">
        <v>157</v>
      </c>
      <c r="AR2" s="41"/>
      <c r="AS2" s="41"/>
      <c r="AT2"/>
      <c r="AU2" s="41" t="s">
        <v>158</v>
      </c>
      <c r="AV2" s="41"/>
      <c r="AW2" s="41"/>
      <c r="AX2" s="41"/>
      <c r="AY2" s="41"/>
      <c r="AZ2" s="41"/>
      <c r="BA2" s="41"/>
      <c r="BB2"/>
      <c r="BC2" s="41" t="s">
        <v>159</v>
      </c>
      <c r="BD2" s="41"/>
      <c r="BE2" s="41"/>
      <c r="BF2" s="41"/>
      <c r="BG2" s="41"/>
      <c r="BH2" s="41"/>
      <c r="BI2" s="41"/>
      <c r="BJ2"/>
      <c r="BK2" s="41" t="s">
        <v>160</v>
      </c>
      <c r="BL2" s="41"/>
      <c r="BM2" s="41"/>
      <c r="BN2" s="41"/>
      <c r="BO2" s="41"/>
      <c r="BP2" s="41"/>
      <c r="BQ2" s="41"/>
      <c r="BR2" s="41"/>
      <c r="BS2" s="41"/>
      <c r="BT2" s="41"/>
      <c r="BU2"/>
      <c r="BV2" s="41" t="s">
        <v>161</v>
      </c>
      <c r="BW2" s="41"/>
      <c r="BX2" s="41"/>
      <c r="BY2" s="41"/>
      <c r="BZ2" s="41"/>
      <c r="CA2" s="41"/>
      <c r="CB2" s="41"/>
      <c r="CC2" s="41"/>
      <c r="CD2" s="41"/>
      <c r="CE2" s="41"/>
    </row>
    <row r="3" spans="2:83" x14ac:dyDescent="0.2">
      <c r="B3" s="49" t="s">
        <v>147</v>
      </c>
      <c r="C3" s="50"/>
      <c r="D3" s="50"/>
      <c r="F3" s="49" t="s">
        <v>71</v>
      </c>
      <c r="G3" s="50"/>
      <c r="H3" s="50"/>
      <c r="J3" s="51" t="s">
        <v>72</v>
      </c>
      <c r="K3" s="51"/>
      <c r="L3" s="51"/>
      <c r="N3" s="51" t="s">
        <v>73</v>
      </c>
      <c r="O3" s="51"/>
      <c r="P3" s="51"/>
      <c r="R3" s="51" t="s">
        <v>74</v>
      </c>
      <c r="S3" s="51"/>
      <c r="T3" s="51"/>
      <c r="V3" s="51" t="s">
        <v>75</v>
      </c>
      <c r="W3" s="51"/>
      <c r="X3" s="51"/>
      <c r="AB3" s="7" t="s">
        <v>54</v>
      </c>
      <c r="AC3" s="7" t="s">
        <v>55</v>
      </c>
      <c r="AD3" s="7" t="s">
        <v>56</v>
      </c>
      <c r="AE3" s="7" t="s">
        <v>57</v>
      </c>
      <c r="AF3" s="7" t="s">
        <v>58</v>
      </c>
      <c r="AG3" s="7" t="s">
        <v>59</v>
      </c>
      <c r="AH3" s="7" t="s">
        <v>60</v>
      </c>
      <c r="AI3" s="7" t="s">
        <v>61</v>
      </c>
      <c r="AJ3" s="7" t="s">
        <v>62</v>
      </c>
      <c r="AK3" s="7" t="s">
        <v>63</v>
      </c>
      <c r="AM3" s="3" t="s">
        <v>162</v>
      </c>
      <c r="AN3" s="3">
        <f>$G$4</f>
        <v>2.54</v>
      </c>
      <c r="AO3" s="14" t="s">
        <v>13</v>
      </c>
      <c r="AP3"/>
      <c r="AQ3" s="3" t="s">
        <v>163</v>
      </c>
      <c r="AR3" s="3">
        <f>0.5*AN9</f>
        <v>1.5</v>
      </c>
      <c r="AS3" s="14" t="s">
        <v>11</v>
      </c>
      <c r="AT3"/>
      <c r="AU3" s="44" t="s">
        <v>164</v>
      </c>
      <c r="AV3" s="44"/>
      <c r="AW3" s="44"/>
      <c r="AX3"/>
      <c r="AY3" s="44" t="s">
        <v>165</v>
      </c>
      <c r="AZ3" s="44"/>
      <c r="BA3" s="44"/>
      <c r="BB3"/>
      <c r="BC3" s="44" t="s">
        <v>164</v>
      </c>
      <c r="BD3" s="44"/>
      <c r="BE3" s="44"/>
      <c r="BF3" s="3"/>
      <c r="BG3" s="44" t="s">
        <v>165</v>
      </c>
      <c r="BH3" s="44"/>
      <c r="BI3" s="44"/>
      <c r="BJ3"/>
      <c r="BK3" s="7" t="s">
        <v>54</v>
      </c>
      <c r="BL3" s="7" t="s">
        <v>55</v>
      </c>
      <c r="BM3" s="7" t="s">
        <v>56</v>
      </c>
      <c r="BN3" s="7" t="s">
        <v>57</v>
      </c>
      <c r="BO3" s="7" t="s">
        <v>58</v>
      </c>
      <c r="BP3" s="7" t="s">
        <v>59</v>
      </c>
      <c r="BQ3" s="7" t="s">
        <v>60</v>
      </c>
      <c r="BR3" s="7" t="s">
        <v>61</v>
      </c>
      <c r="BS3" s="7" t="s">
        <v>62</v>
      </c>
      <c r="BT3" s="7" t="s">
        <v>63</v>
      </c>
      <c r="BU3"/>
      <c r="BV3" s="7" t="s">
        <v>54</v>
      </c>
      <c r="BW3" s="7" t="s">
        <v>55</v>
      </c>
      <c r="BX3" s="7" t="s">
        <v>56</v>
      </c>
      <c r="BY3" s="7" t="s">
        <v>57</v>
      </c>
      <c r="BZ3" s="7" t="s">
        <v>58</v>
      </c>
      <c r="CA3" s="7" t="s">
        <v>59</v>
      </c>
      <c r="CB3" s="7" t="s">
        <v>60</v>
      </c>
      <c r="CC3" s="7" t="s">
        <v>61</v>
      </c>
      <c r="CD3" s="7" t="s">
        <v>62</v>
      </c>
      <c r="CE3" s="7" t="s">
        <v>63</v>
      </c>
    </row>
    <row r="4" spans="2:83" x14ac:dyDescent="0.2">
      <c r="B4" s="5" t="s">
        <v>47</v>
      </c>
      <c r="C4" s="4" t="s">
        <v>64</v>
      </c>
      <c r="F4" t="s">
        <v>76</v>
      </c>
      <c r="G4" s="1">
        <v>2.54</v>
      </c>
      <c r="H4" t="s">
        <v>13</v>
      </c>
      <c r="J4" t="s">
        <v>77</v>
      </c>
      <c r="K4" s="5">
        <f>MAX(G13,G26,G46,G53)</f>
        <v>217.65025105780188</v>
      </c>
      <c r="L4" s="5" t="s">
        <v>81</v>
      </c>
      <c r="N4" s="5" t="s">
        <v>33</v>
      </c>
      <c r="O4" s="5">
        <f xml:space="preserve"> 0.5 * $C$38 * $G$16^2</f>
        <v>1531.25</v>
      </c>
      <c r="P4" s="5" t="s">
        <v>34</v>
      </c>
      <c r="R4" s="5" t="s">
        <v>33</v>
      </c>
      <c r="S4" s="5">
        <f xml:space="preserve"> 0.5 * $C$38 * $C$9^2</f>
        <v>1531.25</v>
      </c>
      <c r="T4" s="5" t="s">
        <v>34</v>
      </c>
      <c r="V4" s="5" t="s">
        <v>33</v>
      </c>
      <c r="W4" s="5">
        <f xml:space="preserve"> 0.5 * $C$38 * $G$36^2</f>
        <v>1531.25</v>
      </c>
      <c r="X4" s="5" t="s">
        <v>34</v>
      </c>
      <c r="AB4" s="3">
        <v>0</v>
      </c>
      <c r="AC4" s="4">
        <v>0</v>
      </c>
      <c r="AD4" s="3">
        <f t="shared" ref="AD4:AD34" si="0" xml:space="preserve"> $C$10 * TAN($S$20/180*PI()) + $S$23 / (2 * SQRT($C$10^2 + AC4^2)) - AC4</f>
        <v>3.6386385261249599E-2</v>
      </c>
      <c r="AE4" s="4">
        <v>1</v>
      </c>
      <c r="AF4" s="3">
        <f t="shared" ref="AF4:AF34" si="1" xml:space="preserve"> $C$10 * TAN($S$20/180*PI()) + $S$23 / (2 * SQRT($C$10^2 + AE4^2)) - AE4</f>
        <v>-0.9788146174974558</v>
      </c>
      <c r="AG4" s="3">
        <f xml:space="preserve"> (AC4 + AE4)/2</f>
        <v>0.5</v>
      </c>
      <c r="AH4" s="3">
        <f t="shared" ref="AH4:AH34" si="2" xml:space="preserve"> $C$10 * TAN($S$20/180*PI()) + $S$23 / (2 * SQRT($C$10^2 + AG4^2)) - AG4</f>
        <v>-0.47396951099112367</v>
      </c>
      <c r="AI4" s="3">
        <f>AD4*AH4</f>
        <v>-1.7246037229009102E-2</v>
      </c>
      <c r="AJ4" s="3">
        <f>AF4*AH4</f>
        <v>0.46392828560623289</v>
      </c>
      <c r="AK4" s="3">
        <f>AE4-AC4</f>
        <v>1</v>
      </c>
      <c r="AM4" s="3" t="s">
        <v>166</v>
      </c>
      <c r="AN4" s="3">
        <f>$C$6</f>
        <v>855.47511745244265</v>
      </c>
      <c r="AO4" s="14" t="s">
        <v>149</v>
      </c>
      <c r="AP4"/>
      <c r="AQ4" s="3" t="s">
        <v>167</v>
      </c>
      <c r="AR4" s="3">
        <f>PI()*AR3^2</f>
        <v>7.0685834705770345</v>
      </c>
      <c r="AS4" s="14" t="s">
        <v>15</v>
      </c>
      <c r="AT4"/>
      <c r="AU4" s="3" t="s">
        <v>168</v>
      </c>
      <c r="AV4" s="3">
        <f>2*($AN$19 - $AN$10)</f>
        <v>0.16499999999999992</v>
      </c>
      <c r="AW4" s="14" t="s">
        <v>11</v>
      </c>
      <c r="AX4"/>
      <c r="AY4" s="3" t="s">
        <v>168</v>
      </c>
      <c r="AZ4" s="3">
        <f>$AN$20-$AN$19</f>
        <v>0.16500000000000004</v>
      </c>
      <c r="BA4" s="14" t="s">
        <v>11</v>
      </c>
      <c r="BB4"/>
      <c r="BC4" s="15" t="s">
        <v>169</v>
      </c>
      <c r="BD4" s="16">
        <f>BP34</f>
        <v>0.34894691708682246</v>
      </c>
      <c r="BE4" s="13" t="s">
        <v>170</v>
      </c>
      <c r="BF4" s="3"/>
      <c r="BG4" s="15" t="s">
        <v>169</v>
      </c>
      <c r="BH4" s="16">
        <f>CA34</f>
        <v>0.27865597932746627</v>
      </c>
      <c r="BI4" s="13" t="s">
        <v>170</v>
      </c>
      <c r="BJ4"/>
      <c r="BK4" s="17">
        <v>0</v>
      </c>
      <c r="BL4" s="17"/>
      <c r="BM4" s="17">
        <f>$BD$20</f>
        <v>-4.5555962335797062E-9</v>
      </c>
      <c r="BN4" s="17"/>
      <c r="BO4" s="17">
        <f>$BD$20</f>
        <v>-4.5555962335797062E-9</v>
      </c>
      <c r="BP4" s="17"/>
      <c r="BQ4" s="17">
        <f>$BD$20</f>
        <v>-4.5555962335797062E-9</v>
      </c>
      <c r="BR4" s="17"/>
      <c r="BS4" s="17"/>
      <c r="BT4" s="17"/>
      <c r="BU4"/>
      <c r="BV4" s="17">
        <v>0</v>
      </c>
      <c r="BW4" s="17"/>
      <c r="BX4" s="17">
        <f>$BH$20</f>
        <v>1.9221726571538866E-9</v>
      </c>
      <c r="BY4" s="17"/>
      <c r="BZ4" s="17">
        <f>$BH$20</f>
        <v>1.9221726571538866E-9</v>
      </c>
      <c r="CA4" s="17"/>
      <c r="CB4" s="17">
        <f>$BH$20</f>
        <v>1.9221726571538866E-9</v>
      </c>
      <c r="CC4" s="17"/>
      <c r="CD4" s="17"/>
      <c r="CE4" s="17"/>
    </row>
    <row r="5" spans="2:83" x14ac:dyDescent="0.2">
      <c r="B5" s="10" t="s">
        <v>48</v>
      </c>
      <c r="C5" s="13">
        <v>1250.87074979</v>
      </c>
      <c r="D5" s="10" t="s">
        <v>10</v>
      </c>
      <c r="F5" t="s">
        <v>78</v>
      </c>
      <c r="G5" s="1">
        <v>152.4</v>
      </c>
      <c r="H5" t="s">
        <v>11</v>
      </c>
      <c r="J5" t="s">
        <v>79</v>
      </c>
      <c r="K5" s="5">
        <f>K4/$C$17</f>
        <v>54.41256276445047</v>
      </c>
      <c r="L5" s="5" t="s">
        <v>81</v>
      </c>
      <c r="N5" s="5" t="s">
        <v>247</v>
      </c>
      <c r="O5" s="5">
        <f xml:space="preserve"> 0.85 * ($C$5 *2.20462/1000)^(2/3) * 0.3048^2</f>
        <v>0.15529100637827889</v>
      </c>
      <c r="P5" s="5" t="s">
        <v>248</v>
      </c>
      <c r="R5" s="5" t="s">
        <v>247</v>
      </c>
      <c r="S5" s="5">
        <f xml:space="preserve"> 0.85 * ($C$5 *2.20462/1000)^(2/3) * 0.3048^2</f>
        <v>0.15529100637827889</v>
      </c>
      <c r="T5" s="5" t="s">
        <v>248</v>
      </c>
      <c r="V5" s="5" t="s">
        <v>247</v>
      </c>
      <c r="W5" s="5">
        <f xml:space="preserve"> 0.85 * ($C$5 *2.20462/1000)^(2/3) * 0.3048^2</f>
        <v>0.15529100637827889</v>
      </c>
      <c r="X5" s="5" t="s">
        <v>248</v>
      </c>
      <c r="AB5" s="3">
        <v>1</v>
      </c>
      <c r="AC5" s="3">
        <f>IF(AI4&gt;0, AG4, AC4)</f>
        <v>0</v>
      </c>
      <c r="AD5" s="3">
        <f t="shared" si="0"/>
        <v>3.6386385261249599E-2</v>
      </c>
      <c r="AE5" s="3">
        <f>IF(AJ4&gt;0, AG4, AE4)</f>
        <v>0.5</v>
      </c>
      <c r="AF5" s="3">
        <f t="shared" si="1"/>
        <v>-0.47396951099112367</v>
      </c>
      <c r="AG5" s="3">
        <f t="shared" ref="AG5:AG34" si="3" xml:space="preserve"> (AC5 + AE5)/2</f>
        <v>0.25</v>
      </c>
      <c r="AH5" s="3">
        <f t="shared" si="2"/>
        <v>-0.21855749815239808</v>
      </c>
      <c r="AI5" s="3">
        <f t="shared" ref="AI5:AI34" si="4">AD5*AH5</f>
        <v>-7.9525173295080034E-3</v>
      </c>
      <c r="AJ5" s="3">
        <f t="shared" ref="AJ5:AJ34" si="5">AF5*AH5</f>
        <v>0.10358959052273553</v>
      </c>
      <c r="AK5" s="3">
        <f t="shared" ref="AK5:AK34" si="6">AE5-AC5</f>
        <v>0.5</v>
      </c>
      <c r="AM5" s="3" t="s">
        <v>171</v>
      </c>
      <c r="AN5" s="4">
        <v>20</v>
      </c>
      <c r="AO5" s="14" t="s">
        <v>53</v>
      </c>
      <c r="AP5"/>
      <c r="AQ5" s="3" t="s">
        <v>37</v>
      </c>
      <c r="AR5" s="3">
        <f>AN4*2*PI()/60</f>
        <v>89.58514481058198</v>
      </c>
      <c r="AS5" s="14" t="s">
        <v>38</v>
      </c>
      <c r="AT5"/>
      <c r="AU5" s="3" t="s">
        <v>172</v>
      </c>
      <c r="AV5" s="3">
        <f>(1+$BD$18)*$AN$3</f>
        <v>7.8379154684549333</v>
      </c>
      <c r="AW5" s="14" t="s">
        <v>13</v>
      </c>
      <c r="AX5"/>
      <c r="AY5" s="3" t="s">
        <v>172</v>
      </c>
      <c r="AZ5" s="3">
        <f>(1+$BH$18)*$AN$3</f>
        <v>10.291198901154949</v>
      </c>
      <c r="BA5" s="14" t="s">
        <v>13</v>
      </c>
      <c r="BB5"/>
      <c r="BC5" s="3" t="s">
        <v>173</v>
      </c>
      <c r="BD5" s="3">
        <f>($AN$35+$AN$5)/180*PI()</f>
        <v>0.46949356878647464</v>
      </c>
      <c r="BE5" s="3" t="s">
        <v>170</v>
      </c>
      <c r="BF5" s="3"/>
      <c r="BG5" s="3" t="s">
        <v>173</v>
      </c>
      <c r="BH5" s="3">
        <f>($AN$36+$AN$5)/180*PI()</f>
        <v>0.44645522266014948</v>
      </c>
      <c r="BI5" s="3" t="s">
        <v>170</v>
      </c>
      <c r="BJ5"/>
      <c r="BK5" s="3">
        <v>1</v>
      </c>
      <c r="BL5" s="4">
        <f>0.01*PI()</f>
        <v>3.1415926535897934E-2</v>
      </c>
      <c r="BM5" s="3">
        <f t="dataTable" ref="BM5:BM34" dt2D="0" dtr="0" r1="BD4"/>
        <v>-1.7838889473397388</v>
      </c>
      <c r="BN5" s="4">
        <f>0.9*PI()</f>
        <v>2.8274333882308138</v>
      </c>
      <c r="BO5" s="3">
        <f t="dataTable" ref="BO5:BO34" dt2D="0" dtr="0" r1="BD4" ca="1"/>
        <v>0.46123933943781459</v>
      </c>
      <c r="BP5" s="3">
        <f t="shared" ref="BP5:BP34" si="7">(BL5+BN5)/2</f>
        <v>1.4294246573833558</v>
      </c>
      <c r="BQ5" s="3">
        <f t="dataTable" ref="BQ5:BQ34" dt2D="0" dtr="0" r1="BD4" ca="1"/>
        <v>1.0885538264021926</v>
      </c>
      <c r="BR5" s="3">
        <f t="shared" ref="BR5:BR34" si="8">BM5*BQ5</f>
        <v>-1.9418591395032521</v>
      </c>
      <c r="BS5" s="3">
        <f t="shared" ref="BS5:BS34" si="9">BO5*BQ5</f>
        <v>0.50208384783225279</v>
      </c>
      <c r="BT5" s="3">
        <f t="shared" ref="BT5:BT34" si="10">BN5-BL5</f>
        <v>2.7960174616949161</v>
      </c>
      <c r="BU5"/>
      <c r="BV5" s="3">
        <v>1</v>
      </c>
      <c r="BW5" s="4">
        <f>0.01*PI()</f>
        <v>3.1415926535897934E-2</v>
      </c>
      <c r="BX5" s="3">
        <f t="dataTable" ref="BX5:BX34" dt2D="0" dtr="0" r1="BH4" ca="1"/>
        <v>-1.2406456265418693</v>
      </c>
      <c r="BY5" s="4">
        <f>0.9*PI()</f>
        <v>2.8274333882308138</v>
      </c>
      <c r="BZ5" s="3">
        <f t="dataTable" ref="BZ5:BZ34" dt2D="0" dtr="0" r1="BH4" ca="1"/>
        <v>0.3922718394702972</v>
      </c>
      <c r="CA5" s="3">
        <f t="shared" ref="CA5:CA34" si="11">(BW5+BY5)/2</f>
        <v>1.4294246573833558</v>
      </c>
      <c r="CB5" s="3">
        <f t="dataTable" ref="CB5:CB34" dt2D="0" dtr="0" r1="BH4"/>
        <v>1.0372396707747489</v>
      </c>
      <c r="CC5" s="3">
        <f t="shared" ref="CC5:CC34" si="12">BX5*CB5</f>
        <v>-1.2868468612224204</v>
      </c>
      <c r="CD5" s="3">
        <f t="shared" ref="CD5:CD34" si="13">BZ5*CB5</f>
        <v>0.40687991362637621</v>
      </c>
      <c r="CE5" s="3">
        <f t="shared" ref="CE5:CE34" si="14">BY5-BW5</f>
        <v>2.7960174616949161</v>
      </c>
    </row>
    <row r="6" spans="2:83" x14ac:dyDescent="0.2">
      <c r="B6" s="10" t="s">
        <v>148</v>
      </c>
      <c r="C6" s="13">
        <f>S65</f>
        <v>855.47511745244265</v>
      </c>
      <c r="D6" s="10" t="s">
        <v>149</v>
      </c>
      <c r="F6" t="s">
        <v>82</v>
      </c>
      <c r="G6" s="9">
        <f>$G$5/$G$4</f>
        <v>60</v>
      </c>
      <c r="H6" s="5" t="s">
        <v>18</v>
      </c>
      <c r="N6" t="s">
        <v>249</v>
      </c>
      <c r="O6">
        <f xml:space="preserve"> O5 / (PI() * $C$7^2)</f>
        <v>2.1969183362505008E-2</v>
      </c>
      <c r="R6" t="s">
        <v>249</v>
      </c>
      <c r="S6">
        <f xml:space="preserve"> S5 / (PI() * $C$7^2)</f>
        <v>2.1969183362505008E-2</v>
      </c>
      <c r="V6" t="s">
        <v>249</v>
      </c>
      <c r="W6">
        <f xml:space="preserve"> W5 / (PI() * $C$7^2)</f>
        <v>2.1969183362505008E-2</v>
      </c>
      <c r="AB6" s="3">
        <v>2</v>
      </c>
      <c r="AC6" s="3">
        <f t="shared" ref="AC6:AC34" si="15">IF(AI5&gt;0, AG5, AC5)</f>
        <v>0</v>
      </c>
      <c r="AD6" s="3">
        <f t="shared" si="0"/>
        <v>3.6386385261249599E-2</v>
      </c>
      <c r="AE6" s="3">
        <f t="shared" ref="AE6:AE34" si="16">IF(AJ5&gt;0, AG5, AE5)</f>
        <v>0.25</v>
      </c>
      <c r="AF6" s="3">
        <f t="shared" si="1"/>
        <v>-0.21855749815239808</v>
      </c>
      <c r="AG6" s="3">
        <f t="shared" si="3"/>
        <v>0.125</v>
      </c>
      <c r="AH6" s="3">
        <f t="shared" si="2"/>
        <v>-9.0254398342465736E-2</v>
      </c>
      <c r="AI6" s="3">
        <f t="shared" si="4"/>
        <v>-3.2840313096112453E-3</v>
      </c>
      <c r="AJ6" s="3">
        <f t="shared" si="5"/>
        <v>1.9725775498979255E-2</v>
      </c>
      <c r="AK6" s="3">
        <f t="shared" si="6"/>
        <v>0.25</v>
      </c>
      <c r="AM6" s="3"/>
      <c r="AN6" s="3"/>
      <c r="AO6" s="14"/>
      <c r="AP6"/>
      <c r="AQ6" s="3" t="s">
        <v>174</v>
      </c>
      <c r="AR6" s="18">
        <f>$AN$4/60</f>
        <v>14.257918624207377</v>
      </c>
      <c r="AS6" s="14" t="s">
        <v>175</v>
      </c>
      <c r="AT6"/>
      <c r="AU6" s="3" t="s">
        <v>176</v>
      </c>
      <c r="AV6" s="3">
        <f>(1-$BD$19)*$AR$5*$AN$19</f>
        <v>21.54246642730325</v>
      </c>
      <c r="AW6" s="14" t="s">
        <v>13</v>
      </c>
      <c r="AX6"/>
      <c r="AY6" s="3" t="s">
        <v>176</v>
      </c>
      <c r="AZ6" s="3">
        <f>(1-$BH$19)*$AR$5*$AN$20</f>
        <v>35.970670425314772</v>
      </c>
      <c r="BA6" s="14" t="s">
        <v>13</v>
      </c>
      <c r="BB6"/>
      <c r="BC6" s="3" t="s">
        <v>36</v>
      </c>
      <c r="BD6" s="3">
        <f>BD5-BD4</f>
        <v>0.12054665169965217</v>
      </c>
      <c r="BE6" s="3" t="s">
        <v>170</v>
      </c>
      <c r="BF6" s="3"/>
      <c r="BG6" s="3" t="s">
        <v>36</v>
      </c>
      <c r="BH6" s="3">
        <f>BH5-BH4</f>
        <v>0.1677992433326832</v>
      </c>
      <c r="BI6" s="3" t="s">
        <v>170</v>
      </c>
      <c r="BJ6"/>
      <c r="BK6" s="3">
        <v>2</v>
      </c>
      <c r="BL6" s="3">
        <f t="shared" ref="BL6:BL34" si="17">IF(BR5&gt;0,BP5,BL5)</f>
        <v>3.1415926535897934E-2</v>
      </c>
      <c r="BM6" s="3">
        <v>-1.7838889473397388</v>
      </c>
      <c r="BN6" s="3">
        <f t="shared" ref="BN6:BN34" si="18">IF(BS5&gt;0,BP5,BN5)</f>
        <v>1.4294246573833558</v>
      </c>
      <c r="BO6" s="3">
        <v>1.0885538264021926</v>
      </c>
      <c r="BP6" s="3">
        <f t="shared" si="7"/>
        <v>0.73042029195962688</v>
      </c>
      <c r="BQ6" s="3">
        <v>0.66425055247145259</v>
      </c>
      <c r="BR6" s="3">
        <f t="shared" si="8"/>
        <v>-1.1849492188181394</v>
      </c>
      <c r="BS6" s="3">
        <f t="shared" si="9"/>
        <v>0.72307248058257012</v>
      </c>
      <c r="BT6" s="3">
        <f t="shared" si="10"/>
        <v>1.3980087308474578</v>
      </c>
      <c r="BU6"/>
      <c r="BV6" s="3">
        <v>2</v>
      </c>
      <c r="BW6" s="3">
        <f t="shared" ref="BW6:BW34" si="19">IF(CC5&gt;0,CA5,BW5)</f>
        <v>3.1415926535897934E-2</v>
      </c>
      <c r="BX6" s="3">
        <v>-1.2406456265418693</v>
      </c>
      <c r="BY6" s="3">
        <f t="shared" ref="BY6:BY34" si="20">IF(CD5&gt;0,CA5,BY5)</f>
        <v>1.4294246573833558</v>
      </c>
      <c r="BZ6" s="3">
        <v>1.0372396707747489</v>
      </c>
      <c r="CA6" s="3">
        <f t="shared" si="11"/>
        <v>0.73042029195962688</v>
      </c>
      <c r="CB6" s="3">
        <v>0.65812976534116274</v>
      </c>
      <c r="CC6" s="3">
        <f t="shared" si="12"/>
        <v>-0.81650581506754027</v>
      </c>
      <c r="CD6" s="3">
        <f t="shared" si="13"/>
        <v>0.68263830112953039</v>
      </c>
      <c r="CE6" s="3">
        <f t="shared" si="14"/>
        <v>1.3980087308474578</v>
      </c>
    </row>
    <row r="7" spans="2:83" x14ac:dyDescent="0.2">
      <c r="B7" s="5" t="s">
        <v>123</v>
      </c>
      <c r="C7" s="8">
        <v>1.5</v>
      </c>
      <c r="D7" s="5" t="s">
        <v>11</v>
      </c>
      <c r="F7" t="s">
        <v>237</v>
      </c>
      <c r="G7" s="9">
        <f>$C$6*2*PI()*$C$7/60</f>
        <v>134.37771721587296</v>
      </c>
      <c r="H7" s="5" t="s">
        <v>13</v>
      </c>
      <c r="N7" s="5" t="s">
        <v>250</v>
      </c>
      <c r="O7" s="8">
        <v>3.4909389999999998E-2</v>
      </c>
      <c r="R7" s="5" t="s">
        <v>250</v>
      </c>
      <c r="S7" s="8">
        <v>3.4909389999999998E-2</v>
      </c>
      <c r="V7" s="5" t="s">
        <v>250</v>
      </c>
      <c r="W7" s="8">
        <v>3.4909389999999998E-2</v>
      </c>
      <c r="AB7" s="3">
        <v>3</v>
      </c>
      <c r="AC7" s="3">
        <f t="shared" si="15"/>
        <v>0</v>
      </c>
      <c r="AD7" s="3">
        <f t="shared" si="0"/>
        <v>3.6386385261249599E-2</v>
      </c>
      <c r="AE7" s="3">
        <f t="shared" si="16"/>
        <v>0.125</v>
      </c>
      <c r="AF7" s="3">
        <f t="shared" si="1"/>
        <v>-9.0254398342465736E-2</v>
      </c>
      <c r="AG7" s="3">
        <f t="shared" si="3"/>
        <v>6.25E-2</v>
      </c>
      <c r="AH7" s="3">
        <f t="shared" si="2"/>
        <v>-2.6561966313220109E-2</v>
      </c>
      <c r="AI7" s="3">
        <f t="shared" si="4"/>
        <v>-9.6649393956916056E-4</v>
      </c>
      <c r="AJ7" s="3">
        <f t="shared" si="5"/>
        <v>2.3973342883925235E-3</v>
      </c>
      <c r="AK7" s="3">
        <f t="shared" si="6"/>
        <v>0.125</v>
      </c>
      <c r="AM7" s="41" t="s">
        <v>177</v>
      </c>
      <c r="AN7" s="41"/>
      <c r="AO7" s="41"/>
      <c r="AP7"/>
      <c r="AQ7" s="3" t="s">
        <v>178</v>
      </c>
      <c r="AR7" s="18">
        <f>$AN$3/(AR6*AN9)</f>
        <v>5.9382206406282834E-2</v>
      </c>
      <c r="AS7"/>
      <c r="AT7"/>
      <c r="AU7" s="3" t="s">
        <v>179</v>
      </c>
      <c r="AV7" s="3">
        <f>SQRT(AV5^2 + AV6^2)</f>
        <v>22.924021869256119</v>
      </c>
      <c r="AW7" s="14" t="s">
        <v>13</v>
      </c>
      <c r="AX7"/>
      <c r="AY7" s="3" t="s">
        <v>179</v>
      </c>
      <c r="AZ7" s="3">
        <f>SQRT(AZ5^2 + AZ6^2)</f>
        <v>37.413873171188087</v>
      </c>
      <c r="BA7" s="14" t="s">
        <v>13</v>
      </c>
      <c r="BB7"/>
      <c r="BC7" s="3" t="s">
        <v>180</v>
      </c>
      <c r="BD7" s="3">
        <f>BD6/PI()*180</f>
        <v>6.9068143768236023</v>
      </c>
      <c r="BE7" s="3" t="s">
        <v>53</v>
      </c>
      <c r="BF7" s="3"/>
      <c r="BG7" s="3" t="s">
        <v>180</v>
      </c>
      <c r="BH7" s="3">
        <f>BH6/PI()*180</f>
        <v>9.6141884484514666</v>
      </c>
      <c r="BI7" s="3" t="s">
        <v>53</v>
      </c>
      <c r="BJ7"/>
      <c r="BK7" s="3">
        <v>3</v>
      </c>
      <c r="BL7" s="3">
        <f t="shared" si="17"/>
        <v>3.1415926535897934E-2</v>
      </c>
      <c r="BM7" s="3">
        <v>-1.7838889473397388</v>
      </c>
      <c r="BN7" s="3">
        <f t="shared" si="18"/>
        <v>0.73042029195962688</v>
      </c>
      <c r="BO7" s="3">
        <v>0.66425055247145259</v>
      </c>
      <c r="BP7" s="3">
        <f t="shared" si="7"/>
        <v>0.38091810924776243</v>
      </c>
      <c r="BQ7" s="3">
        <v>9.4829301551636935E-2</v>
      </c>
      <c r="BR7" s="3">
        <f t="shared" si="8"/>
        <v>-0.16916494292191228</v>
      </c>
      <c r="BS7" s="3">
        <f t="shared" si="9"/>
        <v>6.2990415946156814E-2</v>
      </c>
      <c r="BT7" s="3">
        <f t="shared" si="10"/>
        <v>0.6990043654237289</v>
      </c>
      <c r="BU7"/>
      <c r="BV7" s="3">
        <v>3</v>
      </c>
      <c r="BW7" s="3">
        <f t="shared" si="19"/>
        <v>3.1415926535897934E-2</v>
      </c>
      <c r="BX7" s="3">
        <v>-1.2406456265418693</v>
      </c>
      <c r="BY7" s="3">
        <f t="shared" si="20"/>
        <v>0.73042029195962688</v>
      </c>
      <c r="BZ7" s="3">
        <v>0.65812976534116274</v>
      </c>
      <c r="CA7" s="3">
        <f t="shared" si="11"/>
        <v>0.38091810924776243</v>
      </c>
      <c r="CB7" s="3">
        <v>0.23247065637856171</v>
      </c>
      <c r="CC7" s="3">
        <f t="shared" si="12"/>
        <v>-0.28841370313538028</v>
      </c>
      <c r="CD7" s="3">
        <f t="shared" si="13"/>
        <v>0.1529958585311289</v>
      </c>
      <c r="CE7" s="3">
        <f t="shared" si="14"/>
        <v>0.6990043654237289</v>
      </c>
    </row>
    <row r="8" spans="2:83" x14ac:dyDescent="0.2">
      <c r="B8" s="5" t="s">
        <v>150</v>
      </c>
      <c r="C8" s="8">
        <f>(0.071475+0.069425+0.067375+0.065325+0.063275+0.061225+0.059175+0.057125)/8</f>
        <v>6.4299999999999982E-2</v>
      </c>
      <c r="F8" s="5" t="s">
        <v>238</v>
      </c>
      <c r="G8" s="5">
        <f>G7/$C$40</f>
        <v>0.3947455971983484</v>
      </c>
      <c r="H8" s="5" t="s">
        <v>242</v>
      </c>
      <c r="J8" s="51" t="s">
        <v>30</v>
      </c>
      <c r="K8" s="51"/>
      <c r="L8" s="51"/>
      <c r="N8" s="5" t="s">
        <v>251</v>
      </c>
      <c r="O8" s="5">
        <f xml:space="preserve"> $O$7 + O6</f>
        <v>5.6878573362505007E-2</v>
      </c>
      <c r="R8" s="5" t="s">
        <v>251</v>
      </c>
      <c r="S8" s="5">
        <f xml:space="preserve"> $S$7 + S6</f>
        <v>5.6878573362505007E-2</v>
      </c>
      <c r="V8" s="5" t="s">
        <v>251</v>
      </c>
      <c r="W8" s="5">
        <f xml:space="preserve"> $W$7 + W6</f>
        <v>5.6878573362505007E-2</v>
      </c>
      <c r="AB8" s="3">
        <v>4</v>
      </c>
      <c r="AC8" s="3">
        <f t="shared" si="15"/>
        <v>0</v>
      </c>
      <c r="AD8" s="3">
        <f t="shared" si="0"/>
        <v>3.6386385261249599E-2</v>
      </c>
      <c r="AE8" s="3">
        <f t="shared" si="16"/>
        <v>6.25E-2</v>
      </c>
      <c r="AF8" s="3">
        <f t="shared" si="1"/>
        <v>-2.6561966313220109E-2</v>
      </c>
      <c r="AG8" s="3">
        <f t="shared" si="3"/>
        <v>3.125E-2</v>
      </c>
      <c r="AH8" s="3">
        <f t="shared" si="2"/>
        <v>5.0215949173487429E-3</v>
      </c>
      <c r="AI8" s="3">
        <f t="shared" si="4"/>
        <v>1.8271768728858419E-4</v>
      </c>
      <c r="AJ8" s="3">
        <f t="shared" si="5"/>
        <v>-1.3338343503325461E-4</v>
      </c>
      <c r="AK8" s="3">
        <f t="shared" si="6"/>
        <v>6.25E-2</v>
      </c>
      <c r="AM8" s="3" t="s">
        <v>181</v>
      </c>
      <c r="AN8" s="3">
        <f>$C$18</f>
        <v>5</v>
      </c>
      <c r="AO8" s="14"/>
      <c r="AP8"/>
      <c r="AQ8"/>
      <c r="AR8"/>
      <c r="AS8"/>
      <c r="AT8"/>
      <c r="AU8" s="3" t="s">
        <v>182</v>
      </c>
      <c r="AV8" s="19">
        <f>$AN$45*AV7*$AN$27/$AN$46</f>
        <v>168255.65883570409</v>
      </c>
      <c r="AW8" s="14"/>
      <c r="AX8"/>
      <c r="AY8" s="3" t="s">
        <v>182</v>
      </c>
      <c r="AZ8" s="19">
        <f>$AN$45*AZ7*$AN$27/$AN$46</f>
        <v>274606.95666392683</v>
      </c>
      <c r="BA8" s="14"/>
      <c r="BB8"/>
      <c r="BC8" s="3" t="s">
        <v>183</v>
      </c>
      <c r="BD8" s="3">
        <f xml:space="preserve"> $AN$8*$AN$27 / (2*PI()*$AN$19)</f>
        <v>0.32501713021409195</v>
      </c>
      <c r="BE8" s="3"/>
      <c r="BF8" s="3"/>
      <c r="BG8" s="3" t="s">
        <v>183</v>
      </c>
      <c r="BH8" s="3">
        <f xml:space="preserve"> $AN$8*$AN$28 / (2*PI()*$AN$20)</f>
        <v>0.19384792849394444</v>
      </c>
      <c r="BI8" s="3"/>
      <c r="BJ8"/>
      <c r="BK8" s="3">
        <v>4</v>
      </c>
      <c r="BL8" s="3">
        <f t="shared" si="17"/>
        <v>3.1415926535897934E-2</v>
      </c>
      <c r="BM8" s="3">
        <v>-1.7838889473397388</v>
      </c>
      <c r="BN8" s="3">
        <f t="shared" si="18"/>
        <v>0.38091810924776243</v>
      </c>
      <c r="BO8" s="3">
        <v>9.4829301551636935E-2</v>
      </c>
      <c r="BP8" s="3">
        <f t="shared" si="7"/>
        <v>0.20616701789183017</v>
      </c>
      <c r="BQ8" s="3">
        <v>-0.4926841593346335</v>
      </c>
      <c r="BR8" s="3">
        <f t="shared" si="8"/>
        <v>0.87889382636642355</v>
      </c>
      <c r="BS8" s="3">
        <f t="shared" si="9"/>
        <v>-4.6720894715258698E-2</v>
      </c>
      <c r="BT8" s="3">
        <f t="shared" si="10"/>
        <v>0.34950218271186451</v>
      </c>
      <c r="BU8"/>
      <c r="BV8" s="3">
        <v>4</v>
      </c>
      <c r="BW8" s="3">
        <f t="shared" si="19"/>
        <v>3.1415926535897934E-2</v>
      </c>
      <c r="BX8" s="3">
        <v>-1.2406456265418693</v>
      </c>
      <c r="BY8" s="3">
        <f t="shared" si="20"/>
        <v>0.38091810924776243</v>
      </c>
      <c r="BZ8" s="3">
        <v>0.23247065637856171</v>
      </c>
      <c r="CA8" s="3">
        <f t="shared" si="11"/>
        <v>0.20616701789183017</v>
      </c>
      <c r="CB8" s="3">
        <v>-0.20070670525472797</v>
      </c>
      <c r="CC8" s="3">
        <f t="shared" si="12"/>
        <v>0.24900589609190626</v>
      </c>
      <c r="CD8" s="3">
        <f t="shared" si="13"/>
        <v>-4.6658419510145134E-2</v>
      </c>
      <c r="CE8" s="3">
        <f t="shared" si="14"/>
        <v>0.34950218271186451</v>
      </c>
    </row>
    <row r="9" spans="2:83" x14ac:dyDescent="0.2">
      <c r="B9" s="5" t="s">
        <v>12</v>
      </c>
      <c r="C9" s="8">
        <v>50</v>
      </c>
      <c r="D9" s="5" t="s">
        <v>13</v>
      </c>
      <c r="F9" t="s">
        <v>26</v>
      </c>
      <c r="G9" s="5">
        <f xml:space="preserve"> $C$5 * $C$41 / $C$17</f>
        <v>3066.7129096070257</v>
      </c>
      <c r="H9" s="5" t="s">
        <v>27</v>
      </c>
      <c r="J9" s="5" t="s">
        <v>83</v>
      </c>
      <c r="K9" s="5">
        <f xml:space="preserve"> (G13*G6 + G26*G19 + G33*G29 + G46*G39 + G53*G51)/3600</f>
        <v>71.460483392105658</v>
      </c>
      <c r="L9" s="5" t="s">
        <v>84</v>
      </c>
      <c r="N9" s="5" t="s">
        <v>49</v>
      </c>
      <c r="O9" s="5">
        <f xml:space="preserve"> O4 *O8 * PI() * $C$7 * $C$7</f>
        <v>615.64050723469063</v>
      </c>
      <c r="P9" s="5" t="s">
        <v>27</v>
      </c>
      <c r="R9" s="5" t="s">
        <v>49</v>
      </c>
      <c r="S9" s="5">
        <f xml:space="preserve"> S4 *S8 * PI() * $C$7 * $C$7</f>
        <v>615.64050723469063</v>
      </c>
      <c r="T9" s="5" t="s">
        <v>27</v>
      </c>
      <c r="V9" s="5" t="s">
        <v>49</v>
      </c>
      <c r="W9" s="5">
        <f xml:space="preserve"> W4 * W8 * PI() * $C$7 * $C$7</f>
        <v>615.64050723469063</v>
      </c>
      <c r="X9" s="5" t="s">
        <v>27</v>
      </c>
      <c r="AB9" s="3">
        <v>5</v>
      </c>
      <c r="AC9" s="3">
        <f t="shared" si="15"/>
        <v>3.125E-2</v>
      </c>
      <c r="AD9" s="3">
        <f t="shared" si="0"/>
        <v>5.0215949173487429E-3</v>
      </c>
      <c r="AE9" s="3">
        <f t="shared" si="16"/>
        <v>6.25E-2</v>
      </c>
      <c r="AF9" s="3">
        <f t="shared" si="1"/>
        <v>-2.6561966313220109E-2</v>
      </c>
      <c r="AG9" s="3">
        <f t="shared" si="3"/>
        <v>4.6875E-2</v>
      </c>
      <c r="AH9" s="3">
        <f t="shared" si="2"/>
        <v>-1.0744320298770517E-2</v>
      </c>
      <c r="AI9" s="3">
        <f t="shared" si="4"/>
        <v>-5.3953624202672951E-5</v>
      </c>
      <c r="AJ9" s="3">
        <f t="shared" si="5"/>
        <v>2.8539027383438947E-4</v>
      </c>
      <c r="AK9" s="3">
        <f t="shared" si="6"/>
        <v>3.125E-2</v>
      </c>
      <c r="AM9" s="3" t="s">
        <v>184</v>
      </c>
      <c r="AN9" s="3">
        <f>2*$C$7</f>
        <v>3</v>
      </c>
      <c r="AO9" s="14" t="s">
        <v>11</v>
      </c>
      <c r="AP9"/>
      <c r="AQ9" s="41" t="s">
        <v>185</v>
      </c>
      <c r="AR9" s="41"/>
      <c r="AS9" s="41"/>
      <c r="AT9"/>
      <c r="AU9" s="3" t="s">
        <v>186</v>
      </c>
      <c r="AV9" s="18">
        <f xml:space="preserve"> $BD$8 * PI() * $AN$45 * AV7^2 *$BD$14 * $AN$19 * AV4</f>
        <v>25.912680573840401</v>
      </c>
      <c r="AW9" s="14" t="s">
        <v>27</v>
      </c>
      <c r="AX9"/>
      <c r="AY9" s="3" t="s">
        <v>186</v>
      </c>
      <c r="AZ9" s="18">
        <f xml:space="preserve"> $BH$8 * PI() * $AN$45 * AZ7^2 * $BH$14 * $AN$20 * AZ4</f>
        <v>86.33062716438026</v>
      </c>
      <c r="BA9" s="14" t="s">
        <v>27</v>
      </c>
      <c r="BB9"/>
      <c r="BC9" s="3" t="s">
        <v>187</v>
      </c>
      <c r="BD9" s="3">
        <f>IF(-$AN$8*($AR$3-$AN$19)/(2*$AN$19*SIN(BD4))&gt;500, 1, 2*ACOS(MIN(1, EXP(-$AN$8*($AR$3-$AN$19)/(2*$AN$19*SIN(BD4)))))/PI() )</f>
        <v>0.99999999999999933</v>
      </c>
      <c r="BE9" s="3"/>
      <c r="BF9" s="3"/>
      <c r="BG9" s="3" t="s">
        <v>187</v>
      </c>
      <c r="BH9" s="3">
        <f>IF(-$AN$8*($AR$3-$AN$20)/(2*$AN$20*SIN(BH4))&gt;500, 1, 2*ACOS(MIN(1, EXP(-$AN$8*($AR$3-$AN$20)/(2*$AN$20*SIN(BH4)))))/PI() )</f>
        <v>0.99999999992034505</v>
      </c>
      <c r="BI9" s="3"/>
      <c r="BJ9"/>
      <c r="BK9" s="3">
        <v>5</v>
      </c>
      <c r="BL9" s="3">
        <f t="shared" si="17"/>
        <v>0.20616701789183017</v>
      </c>
      <c r="BM9" s="3">
        <v>-0.4926841593346335</v>
      </c>
      <c r="BN9" s="3">
        <f t="shared" si="18"/>
        <v>0.38091810924776243</v>
      </c>
      <c r="BO9" s="3">
        <v>9.4829301551636935E-2</v>
      </c>
      <c r="BP9" s="3">
        <f t="shared" si="7"/>
        <v>0.2935425635697963</v>
      </c>
      <c r="BQ9" s="3">
        <v>-0.17829078226417422</v>
      </c>
      <c r="BR9" s="3">
        <f t="shared" si="8"/>
        <v>8.7841044176938859E-2</v>
      </c>
      <c r="BS9" s="3">
        <f t="shared" si="9"/>
        <v>-1.690719035520662E-2</v>
      </c>
      <c r="BT9" s="3">
        <f t="shared" si="10"/>
        <v>0.17475109135593225</v>
      </c>
      <c r="BU9"/>
      <c r="BV9" s="3">
        <v>5</v>
      </c>
      <c r="BW9" s="3">
        <f t="shared" si="19"/>
        <v>0.20616701789183017</v>
      </c>
      <c r="BX9" s="3">
        <v>-0.20070670525472797</v>
      </c>
      <c r="BY9" s="3">
        <f t="shared" si="20"/>
        <v>0.38091810924776243</v>
      </c>
      <c r="BZ9" s="3">
        <v>0.23247065637856171</v>
      </c>
      <c r="CA9" s="3">
        <f t="shared" si="11"/>
        <v>0.2935425635697963</v>
      </c>
      <c r="CB9" s="3">
        <v>3.7308944685747622E-2</v>
      </c>
      <c r="CC9" s="3">
        <f t="shared" si="12"/>
        <v>-7.4881553644072976E-3</v>
      </c>
      <c r="CD9" s="3">
        <f t="shared" si="13"/>
        <v>8.6732348598872015E-3</v>
      </c>
      <c r="CE9" s="3">
        <f t="shared" si="14"/>
        <v>0.17475109135593225</v>
      </c>
    </row>
    <row r="10" spans="2:83" x14ac:dyDescent="0.2">
      <c r="B10" s="5" t="s">
        <v>65</v>
      </c>
      <c r="C10" s="8">
        <v>0.3</v>
      </c>
      <c r="F10" s="5" t="s">
        <v>239</v>
      </c>
      <c r="G10" s="5">
        <f>AR10</f>
        <v>3066.7129143987695</v>
      </c>
      <c r="H10" s="5" t="s">
        <v>27</v>
      </c>
      <c r="J10" s="5" t="s">
        <v>31</v>
      </c>
      <c r="K10" s="5">
        <f xml:space="preserve"> (G6 + G19 + G29 + G39 + G51)/60</f>
        <v>34.67079771753523</v>
      </c>
      <c r="L10" s="5" t="s">
        <v>86</v>
      </c>
      <c r="N10" s="5" t="s">
        <v>51</v>
      </c>
      <c r="O10" s="5">
        <f xml:space="preserve"> O9</f>
        <v>615.64050723469063</v>
      </c>
      <c r="P10" s="5" t="s">
        <v>27</v>
      </c>
      <c r="R10" s="5" t="s">
        <v>51</v>
      </c>
      <c r="S10" s="5">
        <f xml:space="preserve"> S9</f>
        <v>615.64050723469063</v>
      </c>
      <c r="T10" s="5" t="s">
        <v>27</v>
      </c>
      <c r="V10" s="5" t="s">
        <v>51</v>
      </c>
      <c r="W10" s="5">
        <f xml:space="preserve"> W9</f>
        <v>615.64050723469063</v>
      </c>
      <c r="X10" s="5" t="s">
        <v>27</v>
      </c>
      <c r="AB10" s="3">
        <v>6</v>
      </c>
      <c r="AC10" s="3">
        <f t="shared" si="15"/>
        <v>3.125E-2</v>
      </c>
      <c r="AD10" s="3">
        <f t="shared" si="0"/>
        <v>5.0215949173487429E-3</v>
      </c>
      <c r="AE10" s="3">
        <f t="shared" si="16"/>
        <v>4.6875E-2</v>
      </c>
      <c r="AF10" s="3">
        <f t="shared" si="1"/>
        <v>-1.0744320298770517E-2</v>
      </c>
      <c r="AG10" s="3">
        <f t="shared" si="3"/>
        <v>3.90625E-2</v>
      </c>
      <c r="AH10" s="3">
        <f t="shared" si="2"/>
        <v>-2.8546657602488215E-3</v>
      </c>
      <c r="AI10" s="3">
        <f t="shared" si="4"/>
        <v>-1.4334975072394967E-5</v>
      </c>
      <c r="AJ10" s="3">
        <f t="shared" si="5"/>
        <v>3.0671443274046583E-5</v>
      </c>
      <c r="AK10" s="3">
        <f t="shared" si="6"/>
        <v>1.5625E-2</v>
      </c>
      <c r="AM10" s="3" t="s">
        <v>188</v>
      </c>
      <c r="AN10" s="4">
        <f>0.12*($AN$9/2)</f>
        <v>0.18</v>
      </c>
      <c r="AO10" s="14" t="s">
        <v>11</v>
      </c>
      <c r="AP10"/>
      <c r="AQ10" s="20" t="s">
        <v>189</v>
      </c>
      <c r="AR10" s="21">
        <f>AV9+AZ9+AV18+AZ18+AV27+AZ27+AV36+AZ36</f>
        <v>3066.7129143987695</v>
      </c>
      <c r="AS10" s="14" t="s">
        <v>27</v>
      </c>
      <c r="AT10"/>
      <c r="AU10" s="3" t="s">
        <v>190</v>
      </c>
      <c r="AV10" s="18">
        <f xml:space="preserve"> $BD$8 * PI() * $AN$45 * AV7^2 * $BD$15 * $AN$19^2 * AV4</f>
        <v>2.5339805644062148</v>
      </c>
      <c r="AW10" s="14" t="s">
        <v>191</v>
      </c>
      <c r="AX10"/>
      <c r="AY10" s="3" t="s">
        <v>190</v>
      </c>
      <c r="AZ10" s="18">
        <f xml:space="preserve"> $BH$8 * PI() * $AN$45 * AZ7^2 * $BH$15 * $AN$20^2 * AZ4</f>
        <v>11.079612761885739</v>
      </c>
      <c r="BA10" s="14" t="s">
        <v>191</v>
      </c>
      <c r="BB10"/>
      <c r="BC10" s="3" t="s">
        <v>192</v>
      </c>
      <c r="BD10" s="3">
        <f>IF(-$AN$8*($AN$19-$AN$10)/(2*$AN$19*SIN(BD4))&gt;500, 1, 2*ACOS(MIN(1, EXP(-$AN$8*($AN$19-$AN$10)/(2*$AN$19*SIN(BD4)))))/PI() )</f>
        <v>0.93593905180662662</v>
      </c>
      <c r="BE10" s="3"/>
      <c r="BF10" s="3"/>
      <c r="BG10" s="3" t="s">
        <v>192</v>
      </c>
      <c r="BH10" s="3">
        <f>IF(-$AN$8*($AN$20-$AN$10)/(2*$AN$20*SIN(BH4))&gt;500, 1, 2*ACOS(MIN(1, EXP(-$AN$8*($AN$20-$AN$10)/(2*$AN$20*SIN(BH4)))))/PI() )</f>
        <v>0.9966989572026117</v>
      </c>
      <c r="BI10" s="3"/>
      <c r="BJ10"/>
      <c r="BK10" s="3">
        <v>6</v>
      </c>
      <c r="BL10" s="3">
        <f t="shared" si="17"/>
        <v>0.2935425635697963</v>
      </c>
      <c r="BM10" s="3">
        <v>-0.17829078226417422</v>
      </c>
      <c r="BN10" s="3">
        <f t="shared" si="18"/>
        <v>0.38091810924776243</v>
      </c>
      <c r="BO10" s="3">
        <v>9.4829301551636935E-2</v>
      </c>
      <c r="BP10" s="3">
        <f t="shared" si="7"/>
        <v>0.33723033640877936</v>
      </c>
      <c r="BQ10" s="3">
        <v>-3.6263188255296133E-2</v>
      </c>
      <c r="BR10" s="3">
        <f t="shared" si="8"/>
        <v>6.465392201429763E-3</v>
      </c>
      <c r="BS10" s="3">
        <f t="shared" si="9"/>
        <v>-3.4388128142852558E-3</v>
      </c>
      <c r="BT10" s="3">
        <f t="shared" si="10"/>
        <v>8.7375545677966127E-2</v>
      </c>
      <c r="BU10"/>
      <c r="BV10" s="3">
        <v>6</v>
      </c>
      <c r="BW10" s="3">
        <f t="shared" si="19"/>
        <v>0.20616701789183017</v>
      </c>
      <c r="BX10" s="3">
        <v>-0.20070670525472797</v>
      </c>
      <c r="BY10" s="3">
        <f t="shared" si="20"/>
        <v>0.2935425635697963</v>
      </c>
      <c r="BZ10" s="3">
        <v>3.7308944685747622E-2</v>
      </c>
      <c r="CA10" s="3">
        <f t="shared" si="11"/>
        <v>0.24985479073081324</v>
      </c>
      <c r="CB10" s="3">
        <v>-7.5804815953109769E-2</v>
      </c>
      <c r="CC10" s="3">
        <f t="shared" si="12"/>
        <v>1.5214534852389704E-2</v>
      </c>
      <c r="CD10" s="3">
        <f t="shared" si="13"/>
        <v>-2.8281976853078514E-3</v>
      </c>
      <c r="CE10" s="3">
        <f t="shared" si="14"/>
        <v>8.7375545677966127E-2</v>
      </c>
    </row>
    <row r="11" spans="2:83" x14ac:dyDescent="0.2">
      <c r="F11" s="5" t="s">
        <v>240</v>
      </c>
      <c r="G11" s="5">
        <f>G9-G10</f>
        <v>-4.7917437768774107E-6</v>
      </c>
      <c r="H11" s="5" t="s">
        <v>27</v>
      </c>
      <c r="N11" s="39" t="s">
        <v>252</v>
      </c>
      <c r="O11" s="39">
        <f>(O8*PI()*$C$7^2)/(0.3048^2)/($C$5*2.20462/1000)^(2/3) + 0.4</f>
        <v>2.6006638371749005</v>
      </c>
      <c r="P11" s="39"/>
      <c r="R11" s="39" t="s">
        <v>252</v>
      </c>
      <c r="S11" s="39">
        <f>(S8*PI()*$C$7^2)/(0.3048^2)/($C$5*2.20462/1000)^(2/3) + 0.4</f>
        <v>2.6006638371749005</v>
      </c>
      <c r="V11" s="39" t="s">
        <v>252</v>
      </c>
      <c r="W11" s="39">
        <f>(W8*PI()*$C$7^2)/(0.3048^2)/($C$5*2.20462/1000)^(2/3) + 0.4</f>
        <v>2.6006638371749005</v>
      </c>
      <c r="AB11" s="3">
        <v>7</v>
      </c>
      <c r="AC11" s="3">
        <f t="shared" si="15"/>
        <v>3.125E-2</v>
      </c>
      <c r="AD11" s="3">
        <f t="shared" si="0"/>
        <v>5.0215949173487429E-3</v>
      </c>
      <c r="AE11" s="3">
        <f t="shared" si="16"/>
        <v>3.90625E-2</v>
      </c>
      <c r="AF11" s="3">
        <f t="shared" si="1"/>
        <v>-2.8546657602488215E-3</v>
      </c>
      <c r="AG11" s="3">
        <f t="shared" si="3"/>
        <v>3.515625E-2</v>
      </c>
      <c r="AH11" s="3">
        <f t="shared" si="2"/>
        <v>1.0851639527630352E-3</v>
      </c>
      <c r="AI11" s="3">
        <f t="shared" si="4"/>
        <v>5.4492537896849291E-6</v>
      </c>
      <c r="AJ11" s="3">
        <f t="shared" si="5"/>
        <v>-3.0977803802089061E-6</v>
      </c>
      <c r="AK11" s="3">
        <f t="shared" si="6"/>
        <v>7.8125E-3</v>
      </c>
      <c r="AM11" s="45" t="s">
        <v>193</v>
      </c>
      <c r="AN11" s="4" t="s">
        <v>194</v>
      </c>
      <c r="AO11" s="14"/>
      <c r="AP11"/>
      <c r="AQ11" s="20" t="s">
        <v>195</v>
      </c>
      <c r="AR11" s="21">
        <f>AV10+AZ10+AV19+AZ19+AV28+AZ28+AV37+AZ37</f>
        <v>606.69496427329159</v>
      </c>
      <c r="AS11" s="14" t="s">
        <v>191</v>
      </c>
      <c r="AT11"/>
      <c r="AU11"/>
      <c r="AV11" s="18"/>
      <c r="AW11"/>
      <c r="AX11"/>
      <c r="AY11"/>
      <c r="AZ11"/>
      <c r="BA11"/>
      <c r="BB11"/>
      <c r="BC11" s="3" t="s">
        <v>196</v>
      </c>
      <c r="BD11" s="3">
        <f>IF(BD4=0,1,BD9*BD10)</f>
        <v>0.93593905180662595</v>
      </c>
      <c r="BE11" s="3"/>
      <c r="BF11" s="3"/>
      <c r="BG11" s="3" t="s">
        <v>196</v>
      </c>
      <c r="BH11" s="3">
        <f>IF(BH4=0,1,BH9*BH10)</f>
        <v>0.99669895712321965</v>
      </c>
      <c r="BI11" s="3"/>
      <c r="BJ11"/>
      <c r="BK11" s="3">
        <v>7</v>
      </c>
      <c r="BL11" s="3">
        <f t="shared" si="17"/>
        <v>0.33723033640877936</v>
      </c>
      <c r="BM11" s="3">
        <v>-3.6263188255296133E-2</v>
      </c>
      <c r="BN11" s="3">
        <f t="shared" si="18"/>
        <v>0.38091810924776243</v>
      </c>
      <c r="BO11" s="3">
        <v>9.4829301551636935E-2</v>
      </c>
      <c r="BP11" s="3">
        <f t="shared" si="7"/>
        <v>0.35907422282827089</v>
      </c>
      <c r="BQ11" s="3">
        <v>3.0699564247167674E-2</v>
      </c>
      <c r="BR11" s="3">
        <f t="shared" si="8"/>
        <v>-1.1132640776505998E-3</v>
      </c>
      <c r="BS11" s="3">
        <f t="shared" si="9"/>
        <v>2.9112182354985154E-3</v>
      </c>
      <c r="BT11" s="3">
        <f t="shared" si="10"/>
        <v>4.3687772838983063E-2</v>
      </c>
      <c r="BU11"/>
      <c r="BV11" s="3">
        <v>7</v>
      </c>
      <c r="BW11" s="3">
        <f t="shared" si="19"/>
        <v>0.24985479073081324</v>
      </c>
      <c r="BX11" s="3">
        <v>-7.5804815953109769E-2</v>
      </c>
      <c r="BY11" s="3">
        <f t="shared" si="20"/>
        <v>0.2935425635697963</v>
      </c>
      <c r="BZ11" s="3">
        <v>3.7308944685747622E-2</v>
      </c>
      <c r="CA11" s="3">
        <f t="shared" si="11"/>
        <v>0.27169867715030477</v>
      </c>
      <c r="CB11" s="3">
        <v>-1.7866631954858735E-2</v>
      </c>
      <c r="CC11" s="3">
        <f t="shared" si="12"/>
        <v>1.3543767470400162E-3</v>
      </c>
      <c r="CD11" s="3">
        <f t="shared" si="13"/>
        <v>-6.6658518332443541E-4</v>
      </c>
      <c r="CE11" s="3">
        <f t="shared" si="14"/>
        <v>4.3687772838983063E-2</v>
      </c>
    </row>
    <row r="12" spans="2:83" x14ac:dyDescent="0.2">
      <c r="B12" s="51" t="s">
        <v>16</v>
      </c>
      <c r="C12" s="51"/>
      <c r="D12" s="51"/>
      <c r="F12" s="5" t="s">
        <v>241</v>
      </c>
      <c r="G12" s="20" t="str">
        <f>IF(ABS(G11)&lt;0.001, "TRUE", "FALSE")</f>
        <v>TRUE</v>
      </c>
      <c r="AB12" s="3">
        <v>8</v>
      </c>
      <c r="AC12" s="3">
        <f t="shared" si="15"/>
        <v>3.515625E-2</v>
      </c>
      <c r="AD12" s="3">
        <f t="shared" si="0"/>
        <v>1.0851639527630352E-3</v>
      </c>
      <c r="AE12" s="3">
        <f t="shared" si="16"/>
        <v>3.90625E-2</v>
      </c>
      <c r="AF12" s="3">
        <f t="shared" si="1"/>
        <v>-2.8546657602488215E-3</v>
      </c>
      <c r="AG12" s="3">
        <f t="shared" si="3"/>
        <v>3.7109375E-2</v>
      </c>
      <c r="AH12" s="3">
        <f t="shared" si="2"/>
        <v>-8.843290277219043E-4</v>
      </c>
      <c r="AI12" s="3">
        <f t="shared" si="4"/>
        <v>-9.5964198326579346E-7</v>
      </c>
      <c r="AJ12" s="3">
        <f t="shared" si="5"/>
        <v>2.5244637962318512E-6</v>
      </c>
      <c r="AK12" s="3">
        <f t="shared" si="6"/>
        <v>3.90625E-3</v>
      </c>
      <c r="AM12" s="45"/>
      <c r="AN12" s="4" t="s">
        <v>194</v>
      </c>
      <c r="AO12" s="14"/>
      <c r="AP12"/>
      <c r="AQ12" s="20" t="s">
        <v>197</v>
      </c>
      <c r="AR12" s="21">
        <f>AR11*AR5/1000</f>
        <v>54.350856230273692</v>
      </c>
      <c r="AS12" s="14" t="s">
        <v>81</v>
      </c>
      <c r="AT12"/>
      <c r="AU12" s="44" t="s">
        <v>198</v>
      </c>
      <c r="AV12" s="44"/>
      <c r="AW12" s="44"/>
      <c r="AX12"/>
      <c r="AY12" s="44" t="s">
        <v>199</v>
      </c>
      <c r="AZ12" s="44"/>
      <c r="BA12" s="44"/>
      <c r="BB12"/>
      <c r="BC12" s="3" t="s">
        <v>200</v>
      </c>
      <c r="BD12" s="3">
        <f>IF(BD7&lt;$AW$43, $AR$44*BD7^2 + $AS$44*BD7 + $AT$44, IF(BD7&gt;$AX$43, $AY$44*BD7^2 + $AZ$44*BD7 + $BA$44, $AU$44*BD7^3 + $AV$44*BD7^2 + $AW$44*BD7 + $AX$44))</f>
        <v>0.9712526410803195</v>
      </c>
      <c r="BE12" s="3"/>
      <c r="BF12" s="3"/>
      <c r="BG12" s="3" t="s">
        <v>200</v>
      </c>
      <c r="BH12" s="3">
        <f>IF(BH7&lt;$AW$43, $AR$44*BH7^2 + $AS$44*BH7 + $AT$44, IF(BH7&gt;$AX$43, $AY$44*BH7^2 + $AZ$44*BH7 + $BA$44, $AU$44*BH7^3 + $AV$44*BH7^2 + $AW$44*BH7 + $AX$44))</f>
        <v>1.2235844176061552</v>
      </c>
      <c r="BI12" s="3"/>
      <c r="BJ12"/>
      <c r="BK12" s="3">
        <v>8</v>
      </c>
      <c r="BL12" s="3">
        <f t="shared" si="17"/>
        <v>0.33723033640877936</v>
      </c>
      <c r="BM12" s="3">
        <v>-3.6263188255296133E-2</v>
      </c>
      <c r="BN12" s="3">
        <f t="shared" si="18"/>
        <v>0.35907422282827089</v>
      </c>
      <c r="BO12" s="3">
        <v>3.0699564247167674E-2</v>
      </c>
      <c r="BP12" s="3">
        <f t="shared" si="7"/>
        <v>0.34815227961852513</v>
      </c>
      <c r="BQ12" s="3">
        <v>-2.4342924062642074E-3</v>
      </c>
      <c r="BR12" s="3">
        <f t="shared" si="8"/>
        <v>8.8275203796796771E-5</v>
      </c>
      <c r="BS12" s="3">
        <f t="shared" si="9"/>
        <v>-7.4731716122500424E-5</v>
      </c>
      <c r="BT12" s="3">
        <f t="shared" si="10"/>
        <v>2.1843886419491532E-2</v>
      </c>
      <c r="BU12"/>
      <c r="BV12" s="3">
        <v>8</v>
      </c>
      <c r="BW12" s="3">
        <f t="shared" si="19"/>
        <v>0.27169867715030477</v>
      </c>
      <c r="BX12" s="3">
        <v>-1.7866631954858735E-2</v>
      </c>
      <c r="BY12" s="3">
        <f t="shared" si="20"/>
        <v>0.2935425635697963</v>
      </c>
      <c r="BZ12" s="3">
        <v>3.7308944685747622E-2</v>
      </c>
      <c r="CA12" s="3">
        <f t="shared" si="11"/>
        <v>0.28262062036005053</v>
      </c>
      <c r="CB12" s="3">
        <v>1.0057852349285884E-2</v>
      </c>
      <c r="CC12" s="3">
        <f t="shared" si="12"/>
        <v>-1.7969994618100216E-4</v>
      </c>
      <c r="CD12" s="3">
        <f t="shared" si="13"/>
        <v>3.7524785695692382E-4</v>
      </c>
      <c r="CE12" s="3">
        <f t="shared" si="14"/>
        <v>2.1843886419491532E-2</v>
      </c>
    </row>
    <row r="13" spans="2:83" x14ac:dyDescent="0.2">
      <c r="B13" s="5" t="s">
        <v>97</v>
      </c>
      <c r="C13" s="8">
        <v>400</v>
      </c>
      <c r="D13" s="5" t="s">
        <v>10</v>
      </c>
      <c r="F13" s="33" t="s">
        <v>80</v>
      </c>
      <c r="G13" s="34">
        <f xml:space="preserve"> $C$17 * AR12</f>
        <v>217.40342492109477</v>
      </c>
      <c r="H13" s="34" t="s">
        <v>81</v>
      </c>
      <c r="AB13" s="3">
        <v>9</v>
      </c>
      <c r="AC13" s="3">
        <f t="shared" si="15"/>
        <v>3.515625E-2</v>
      </c>
      <c r="AD13" s="3">
        <f t="shared" si="0"/>
        <v>1.0851639527630352E-3</v>
      </c>
      <c r="AE13" s="3">
        <f t="shared" si="16"/>
        <v>3.7109375E-2</v>
      </c>
      <c r="AF13" s="3">
        <f t="shared" si="1"/>
        <v>-8.843290277219043E-4</v>
      </c>
      <c r="AG13" s="3">
        <f t="shared" si="3"/>
        <v>3.61328125E-2</v>
      </c>
      <c r="AH13" s="3">
        <f t="shared" si="2"/>
        <v>1.0052331368096135E-4</v>
      </c>
      <c r="AI13" s="3">
        <f t="shared" si="4"/>
        <v>1.0908427641887051E-7</v>
      </c>
      <c r="AJ13" s="3">
        <f t="shared" si="5"/>
        <v>-8.889568425086855E-8</v>
      </c>
      <c r="AK13" s="3">
        <f t="shared" si="6"/>
        <v>1.953125E-3</v>
      </c>
      <c r="AM13" s="45"/>
      <c r="AN13" s="4" t="s">
        <v>194</v>
      </c>
      <c r="AO13" s="14"/>
      <c r="AP13"/>
      <c r="AQ13"/>
      <c r="AR13"/>
      <c r="AS13"/>
      <c r="AT13"/>
      <c r="AU13" s="3" t="s">
        <v>168</v>
      </c>
      <c r="AV13" s="3">
        <f>$AN$21-$AN$20</f>
        <v>0.16500000000000004</v>
      </c>
      <c r="AW13" s="14" t="s">
        <v>11</v>
      </c>
      <c r="AX13"/>
      <c r="AY13" s="3" t="s">
        <v>168</v>
      </c>
      <c r="AZ13" s="3">
        <f>$AN$22-$AN$21</f>
        <v>0.16500000000000004</v>
      </c>
      <c r="BA13" s="14" t="s">
        <v>11</v>
      </c>
      <c r="BB13"/>
      <c r="BC13" s="3" t="s">
        <v>201</v>
      </c>
      <c r="BD13" s="3">
        <f>IF(BD7&lt;$AW$43, $AR$45*BD7^2 + $AS$45*BD7 + $AT$45, IF(BD7&gt;$AX$43, $AY$45*BD7^2 + $AZ$45*BD7 + $BA$45, $AU$45*BD7^3 + $AV$45*BD7^2 + $AW$45*BD7 + $AX$45))</f>
        <v>7.4368343302734907E-3</v>
      </c>
      <c r="BE13" s="3"/>
      <c r="BF13" s="3"/>
      <c r="BG13" s="3" t="s">
        <v>201</v>
      </c>
      <c r="BH13" s="3">
        <f>IF(BH7&lt;$AW$43, $AR$45*BH7^2 + $AS$45*BH7 + $AT$45, IF(BH7&gt;$AX$43, $AY$45*BH7^2 + $AZ$45*BH7 + $BA$45, $AU$45*BH7^3 + $AV$45*BH7^2 + $AW$45*BH7 + $AX$45))</f>
        <v>1.5898263504349051E-2</v>
      </c>
      <c r="BI13" s="3"/>
      <c r="BJ13"/>
      <c r="BK13" s="3">
        <v>9</v>
      </c>
      <c r="BL13" s="3">
        <f t="shared" si="17"/>
        <v>0.34815227961852513</v>
      </c>
      <c r="BM13" s="3">
        <v>-2.4342924062642074E-3</v>
      </c>
      <c r="BN13" s="3">
        <f t="shared" si="18"/>
        <v>0.35907422282827089</v>
      </c>
      <c r="BO13" s="3">
        <v>3.0699564247167674E-2</v>
      </c>
      <c r="BP13" s="3">
        <f t="shared" si="7"/>
        <v>0.35361325122339804</v>
      </c>
      <c r="BQ13" s="3">
        <v>1.4220321239254069E-2</v>
      </c>
      <c r="BR13" s="3">
        <f t="shared" si="8"/>
        <v>-3.4616420007353802E-5</v>
      </c>
      <c r="BS13" s="3">
        <f t="shared" si="9"/>
        <v>4.3655766549984334E-4</v>
      </c>
      <c r="BT13" s="3">
        <f t="shared" si="10"/>
        <v>1.0921943209745766E-2</v>
      </c>
      <c r="BU13"/>
      <c r="BV13" s="3">
        <v>9</v>
      </c>
      <c r="BW13" s="3">
        <f t="shared" si="19"/>
        <v>0.27169867715030477</v>
      </c>
      <c r="BX13" s="3">
        <v>-1.7866631954858735E-2</v>
      </c>
      <c r="BY13" s="3">
        <f t="shared" si="20"/>
        <v>0.28262062036005053</v>
      </c>
      <c r="BZ13" s="3">
        <v>1.0057852349285884E-2</v>
      </c>
      <c r="CA13" s="3">
        <f t="shared" si="11"/>
        <v>0.27715964875517762</v>
      </c>
      <c r="CB13" s="3">
        <v>-3.8192343901218423E-3</v>
      </c>
      <c r="CC13" s="3">
        <f t="shared" si="12"/>
        <v>6.8236855197646316E-5</v>
      </c>
      <c r="CD13" s="3">
        <f t="shared" si="13"/>
        <v>-3.8413295583160412E-5</v>
      </c>
      <c r="CE13" s="3">
        <f t="shared" si="14"/>
        <v>1.0921943209745766E-2</v>
      </c>
    </row>
    <row r="14" spans="2:83" x14ac:dyDescent="0.2">
      <c r="B14" s="5" t="s">
        <v>17</v>
      </c>
      <c r="C14" s="8">
        <v>96000</v>
      </c>
      <c r="D14" s="5" t="s">
        <v>11</v>
      </c>
      <c r="N14" s="49" t="s">
        <v>67</v>
      </c>
      <c r="O14" s="55"/>
      <c r="P14" s="55"/>
      <c r="R14" s="49" t="s">
        <v>67</v>
      </c>
      <c r="S14" s="55"/>
      <c r="T14" s="55"/>
      <c r="V14" s="49" t="s">
        <v>67</v>
      </c>
      <c r="W14" s="55"/>
      <c r="X14" s="55"/>
      <c r="AB14" s="3">
        <v>10</v>
      </c>
      <c r="AC14" s="3">
        <f t="shared" si="15"/>
        <v>3.61328125E-2</v>
      </c>
      <c r="AD14" s="3">
        <f t="shared" si="0"/>
        <v>1.0052331368096135E-4</v>
      </c>
      <c r="AE14" s="3">
        <f t="shared" si="16"/>
        <v>3.7109375E-2</v>
      </c>
      <c r="AF14" s="3">
        <f t="shared" si="1"/>
        <v>-8.843290277219043E-4</v>
      </c>
      <c r="AG14" s="3">
        <f t="shared" si="3"/>
        <v>3.662109375E-2</v>
      </c>
      <c r="AH14" s="3">
        <f t="shared" si="2"/>
        <v>-3.9187644130693478E-4</v>
      </c>
      <c r="AI14" s="3">
        <f t="shared" si="4"/>
        <v>-3.9392718433675843E-8</v>
      </c>
      <c r="AJ14" s="3">
        <f t="shared" si="5"/>
        <v>3.4654771232808154E-7</v>
      </c>
      <c r="AK14" s="3">
        <f t="shared" si="6"/>
        <v>9.765625E-4</v>
      </c>
      <c r="AM14" s="45"/>
      <c r="AN14" s="4" t="s">
        <v>194</v>
      </c>
      <c r="AO14" s="14"/>
      <c r="AP14"/>
      <c r="AQ14" s="41" t="s">
        <v>202</v>
      </c>
      <c r="AR14" s="41"/>
      <c r="AS14" s="41"/>
      <c r="AT14"/>
      <c r="AU14" s="3" t="s">
        <v>172</v>
      </c>
      <c r="AV14" s="3">
        <f>(1+$BD$37)*$AN$3</f>
        <v>12.145615763984653</v>
      </c>
      <c r="AW14" s="14" t="s">
        <v>13</v>
      </c>
      <c r="AX14"/>
      <c r="AY14" s="3" t="s">
        <v>172</v>
      </c>
      <c r="AZ14" s="3">
        <f>(1+$BH$37)*$AN$3</f>
        <v>13.575945781262703</v>
      </c>
      <c r="BA14" s="14" t="s">
        <v>13</v>
      </c>
      <c r="BB14"/>
      <c r="BC14" s="3" t="s">
        <v>203</v>
      </c>
      <c r="BD14" s="3">
        <f xml:space="preserve"> BD12*COS(BD4) - BD13*SIN(BD4)</f>
        <v>0.91017572552280468</v>
      </c>
      <c r="BE14" s="3"/>
      <c r="BF14" s="3"/>
      <c r="BG14" s="3" t="s">
        <v>203</v>
      </c>
      <c r="BH14" s="3">
        <f xml:space="preserve"> BH12*COS(BH4) - BH13*SIN(BH4)</f>
        <v>1.1720128341739551</v>
      </c>
      <c r="BI14" s="3"/>
      <c r="BJ14"/>
      <c r="BK14" s="3">
        <v>10</v>
      </c>
      <c r="BL14" s="3">
        <f t="shared" si="17"/>
        <v>0.34815227961852513</v>
      </c>
      <c r="BM14" s="3">
        <v>-2.4342924062642074E-3</v>
      </c>
      <c r="BN14" s="3">
        <f t="shared" si="18"/>
        <v>0.35361325122339804</v>
      </c>
      <c r="BO14" s="3">
        <v>1.4220321239254069E-2</v>
      </c>
      <c r="BP14" s="3">
        <f t="shared" si="7"/>
        <v>0.35088276542096158</v>
      </c>
      <c r="BQ14" s="3">
        <v>5.9148336320718198E-3</v>
      </c>
      <c r="BR14" s="3">
        <f t="shared" si="8"/>
        <v>-1.4398434594868571E-5</v>
      </c>
      <c r="BS14" s="3">
        <f t="shared" si="9"/>
        <v>8.4110834324805186E-5</v>
      </c>
      <c r="BT14" s="3">
        <f t="shared" si="10"/>
        <v>5.4609716048729107E-3</v>
      </c>
      <c r="BU14"/>
      <c r="BV14" s="3">
        <v>10</v>
      </c>
      <c r="BW14" s="3">
        <f t="shared" si="19"/>
        <v>0.27715964875517762</v>
      </c>
      <c r="BX14" s="3">
        <v>-3.8192343901218423E-3</v>
      </c>
      <c r="BY14" s="3">
        <f t="shared" si="20"/>
        <v>0.28262062036005053</v>
      </c>
      <c r="BZ14" s="3">
        <v>1.0057852349285884E-2</v>
      </c>
      <c r="CA14" s="3">
        <f t="shared" si="11"/>
        <v>0.27989013455761408</v>
      </c>
      <c r="CB14" s="3">
        <v>3.1404696723767583E-3</v>
      </c>
      <c r="CC14" s="3">
        <f t="shared" si="12"/>
        <v>-1.199418977387599E-5</v>
      </c>
      <c r="CD14" s="3">
        <f t="shared" si="13"/>
        <v>3.1586380272175652E-5</v>
      </c>
      <c r="CE14" s="3">
        <f t="shared" si="14"/>
        <v>5.4609716048729107E-3</v>
      </c>
    </row>
    <row r="15" spans="2:83" x14ac:dyDescent="0.2">
      <c r="F15" s="53" t="s">
        <v>85</v>
      </c>
      <c r="G15" s="54"/>
      <c r="H15" s="54"/>
      <c r="N15" s="5" t="s">
        <v>68</v>
      </c>
      <c r="O15" s="5">
        <f>SQRT((O10*COS(G24/180*PI()))^2 + (O10*SIN(G24/180*PI())+$C$5*$C$41)^2)</f>
        <v>12313.486207531303</v>
      </c>
      <c r="P15" s="5" t="s">
        <v>27</v>
      </c>
      <c r="R15" s="5" t="s">
        <v>68</v>
      </c>
      <c r="S15" s="5">
        <f xml:space="preserve"> SQRT( ($C$5*$C$41)^2 + S10^2)</f>
        <v>12282.290598799329</v>
      </c>
      <c r="T15" s="5" t="s">
        <v>27</v>
      </c>
      <c r="V15" s="5" t="s">
        <v>68</v>
      </c>
      <c r="W15" s="5">
        <f xml:space="preserve"> SQRT( (W10*COS(G44/180*PI()))^2 + ($C$5*$C$41 - W10*SIN(G44/180*PI()))^2 )</f>
        <v>12263.535143486517</v>
      </c>
      <c r="X15" s="5" t="s">
        <v>27</v>
      </c>
      <c r="AB15" s="3">
        <v>11</v>
      </c>
      <c r="AC15" s="3">
        <f t="shared" si="15"/>
        <v>3.61328125E-2</v>
      </c>
      <c r="AD15" s="3">
        <f t="shared" si="0"/>
        <v>1.0052331368096135E-4</v>
      </c>
      <c r="AE15" s="3">
        <f t="shared" si="16"/>
        <v>3.662109375E-2</v>
      </c>
      <c r="AF15" s="3">
        <f t="shared" si="1"/>
        <v>-3.9187644130693478E-4</v>
      </c>
      <c r="AG15" s="3">
        <f t="shared" si="3"/>
        <v>3.6376953125E-2</v>
      </c>
      <c r="AH15" s="3">
        <f t="shared" si="2"/>
        <v>-1.4566995395647042E-4</v>
      </c>
      <c r="AI15" s="3">
        <f t="shared" si="4"/>
        <v>-1.4643226475457472E-8</v>
      </c>
      <c r="AJ15" s="3">
        <f t="shared" si="5"/>
        <v>5.7084623161806673E-8</v>
      </c>
      <c r="AK15" s="3">
        <f t="shared" si="6"/>
        <v>4.8828125E-4</v>
      </c>
      <c r="AM15" s="45"/>
      <c r="AN15" s="4" t="s">
        <v>194</v>
      </c>
      <c r="AO15" s="14"/>
      <c r="AP15"/>
      <c r="AQ15" s="3" t="s">
        <v>204</v>
      </c>
      <c r="AR15" s="3">
        <f>AR10*(AN3/2 + SQRT( (AN3/2)^2 + AR10/(2*AN45*PI()*AR3^2) ) )/1000</f>
        <v>44.889576586744752</v>
      </c>
      <c r="AS15" s="14" t="s">
        <v>81</v>
      </c>
      <c r="AT15"/>
      <c r="AU15" s="3" t="s">
        <v>176</v>
      </c>
      <c r="AV15" s="3">
        <f>(1-$BD$38)*$AR$5*$AN$21</f>
        <v>50.613309914996101</v>
      </c>
      <c r="AW15" s="14" t="s">
        <v>13</v>
      </c>
      <c r="AX15"/>
      <c r="AY15" s="3" t="s">
        <v>176</v>
      </c>
      <c r="AZ15" s="3">
        <f>(1-$BH$38)*$AR$5*$AN$22</f>
        <v>65.373423104036505</v>
      </c>
      <c r="BA15" s="14" t="s">
        <v>13</v>
      </c>
      <c r="BB15"/>
      <c r="BC15" s="3" t="s">
        <v>205</v>
      </c>
      <c r="BD15" s="3">
        <f xml:space="preserve"> BD12*SIN(BD4) + BD13*COS(BD4)</f>
        <v>0.33906805803464901</v>
      </c>
      <c r="BE15" s="3"/>
      <c r="BF15" s="3"/>
      <c r="BG15" s="3" t="s">
        <v>205</v>
      </c>
      <c r="BH15" s="3">
        <f xml:space="preserve"> BH12*SIN(BH4) + BH13*COS(BH4)</f>
        <v>0.35184868668588354</v>
      </c>
      <c r="BI15" s="3"/>
      <c r="BJ15"/>
      <c r="BK15" s="3">
        <v>11</v>
      </c>
      <c r="BL15" s="3">
        <f t="shared" si="17"/>
        <v>0.34815227961852513</v>
      </c>
      <c r="BM15" s="3">
        <v>-2.4342924062642074E-3</v>
      </c>
      <c r="BN15" s="3">
        <f t="shared" si="18"/>
        <v>0.35088276542096158</v>
      </c>
      <c r="BO15" s="3">
        <v>5.9148336320718198E-3</v>
      </c>
      <c r="BP15" s="3">
        <f t="shared" si="7"/>
        <v>0.34951752251974333</v>
      </c>
      <c r="BQ15" s="3">
        <v>1.7457127726859673E-3</v>
      </c>
      <c r="BR15" s="3">
        <f t="shared" si="8"/>
        <v>-4.2495753460678847E-6</v>
      </c>
      <c r="BS15" s="3">
        <f t="shared" si="9"/>
        <v>1.0325600619820306E-5</v>
      </c>
      <c r="BT15" s="3">
        <f t="shared" si="10"/>
        <v>2.7304858024364553E-3</v>
      </c>
      <c r="BU15"/>
      <c r="BV15" s="3">
        <v>11</v>
      </c>
      <c r="BW15" s="3">
        <f t="shared" si="19"/>
        <v>0.27715964875517762</v>
      </c>
      <c r="BX15" s="3">
        <v>-3.8192343901218423E-3</v>
      </c>
      <c r="BY15" s="3">
        <f t="shared" si="20"/>
        <v>0.27989013455761408</v>
      </c>
      <c r="BZ15" s="3">
        <v>3.1404696723767583E-3</v>
      </c>
      <c r="CA15" s="3">
        <f t="shared" si="11"/>
        <v>0.27852489165639582</v>
      </c>
      <c r="CB15" s="3">
        <v>-3.340765249510852E-4</v>
      </c>
      <c r="CC15" s="3">
        <f t="shared" si="12"/>
        <v>1.2759165530255822E-6</v>
      </c>
      <c r="CD15" s="3">
        <f t="shared" si="13"/>
        <v>-1.0491571948619005E-6</v>
      </c>
      <c r="CE15" s="3">
        <f t="shared" si="14"/>
        <v>2.7304858024364553E-3</v>
      </c>
    </row>
    <row r="16" spans="2:83" x14ac:dyDescent="0.2">
      <c r="B16" s="52" t="s">
        <v>126</v>
      </c>
      <c r="C16" s="52"/>
      <c r="D16" s="52"/>
      <c r="F16" s="2" t="s">
        <v>87</v>
      </c>
      <c r="G16" s="1">
        <f>$C$9</f>
        <v>50</v>
      </c>
      <c r="H16" t="s">
        <v>13</v>
      </c>
      <c r="N16" s="5" t="s">
        <v>90</v>
      </c>
      <c r="O16" s="5">
        <f>ACOS(O10*COS(G24/180*PI())/O15) /PI() *180</f>
        <v>87.137876808364439</v>
      </c>
      <c r="P16" s="5" t="s">
        <v>53</v>
      </c>
      <c r="R16" s="5" t="s">
        <v>69</v>
      </c>
      <c r="S16" s="5">
        <f>$C$5*$C$41/S15</f>
        <v>0.99874299014120904</v>
      </c>
      <c r="V16" s="5" t="s">
        <v>90</v>
      </c>
      <c r="W16" s="5">
        <f xml:space="preserve"> ACOS(W10*COS(G44/180*PI())/W15) /PI() * 180</f>
        <v>87.123828876137011</v>
      </c>
      <c r="X16" s="5" t="s">
        <v>53</v>
      </c>
      <c r="AB16" s="3">
        <v>12</v>
      </c>
      <c r="AC16" s="3">
        <f t="shared" si="15"/>
        <v>3.61328125E-2</v>
      </c>
      <c r="AD16" s="3">
        <f t="shared" si="0"/>
        <v>1.0052331368096135E-4</v>
      </c>
      <c r="AE16" s="3">
        <f t="shared" si="16"/>
        <v>3.6376953125E-2</v>
      </c>
      <c r="AF16" s="3">
        <f t="shared" si="1"/>
        <v>-1.4566995395647042E-4</v>
      </c>
      <c r="AG16" s="3">
        <f t="shared" si="3"/>
        <v>3.62548828125E-2</v>
      </c>
      <c r="AH16" s="3">
        <f t="shared" si="2"/>
        <v>-2.2571666936414825E-5</v>
      </c>
      <c r="AI16" s="3">
        <f t="shared" si="4"/>
        <v>-2.2689787557514114E-9</v>
      </c>
      <c r="AJ16" s="3">
        <f t="shared" si="5"/>
        <v>3.2880136833483332E-9</v>
      </c>
      <c r="AK16" s="3">
        <f t="shared" si="6"/>
        <v>2.44140625E-4</v>
      </c>
      <c r="AM16" s="45"/>
      <c r="AN16" s="4" t="s">
        <v>194</v>
      </c>
      <c r="AO16" s="14"/>
      <c r="AP16"/>
      <c r="AQ16" s="3" t="s">
        <v>206</v>
      </c>
      <c r="AR16" s="3">
        <f>AR15/AR12</f>
        <v>0.82592216020584119</v>
      </c>
      <c r="AS16" s="14"/>
      <c r="AT16"/>
      <c r="AU16" s="3" t="s">
        <v>179</v>
      </c>
      <c r="AV16" s="3">
        <f>SQRT(AV14^2 + AV15^2)</f>
        <v>52.050198105653692</v>
      </c>
      <c r="AW16" s="14" t="s">
        <v>13</v>
      </c>
      <c r="AX16"/>
      <c r="AY16" s="3" t="s">
        <v>179</v>
      </c>
      <c r="AZ16" s="3">
        <f>SQRT(AZ14^2 + AZ15^2)</f>
        <v>66.768186677452604</v>
      </c>
      <c r="BA16" s="14" t="s">
        <v>13</v>
      </c>
      <c r="BB16"/>
      <c r="BC16" s="3" t="s">
        <v>46</v>
      </c>
      <c r="BD16" s="3">
        <f xml:space="preserve"> 4*BD11*SIN(BD4)*SIN(BD4) / (BD8*BD14)</f>
        <v>1.4794338481094635</v>
      </c>
      <c r="BE16" s="3"/>
      <c r="BF16" s="3"/>
      <c r="BG16" s="3" t="s">
        <v>46</v>
      </c>
      <c r="BH16" s="3">
        <f xml:space="preserve"> 4*BH11*SIN(BH4)*SIN(BH4) / (BH8*BH14)</f>
        <v>1.3276912426568661</v>
      </c>
      <c r="BI16" s="3"/>
      <c r="BJ16"/>
      <c r="BK16" s="3">
        <v>12</v>
      </c>
      <c r="BL16" s="3">
        <f t="shared" si="17"/>
        <v>0.34815227961852513</v>
      </c>
      <c r="BM16" s="3">
        <v>-2.4342924062642074E-3</v>
      </c>
      <c r="BN16" s="3">
        <f t="shared" si="18"/>
        <v>0.34951752251974333</v>
      </c>
      <c r="BO16" s="3">
        <v>1.7457127726859673E-3</v>
      </c>
      <c r="BP16" s="3">
        <f t="shared" si="7"/>
        <v>0.34883490106913423</v>
      </c>
      <c r="BQ16" s="3">
        <v>-3.4293084955731856E-4</v>
      </c>
      <c r="BR16" s="3">
        <f t="shared" si="8"/>
        <v>8.3479396295111387E-7</v>
      </c>
      <c r="BS16" s="3">
        <f t="shared" si="9"/>
        <v>-5.9865876422026086E-7</v>
      </c>
      <c r="BT16" s="3">
        <f t="shared" si="10"/>
        <v>1.3652429012181999E-3</v>
      </c>
      <c r="BU16"/>
      <c r="BV16" s="3">
        <v>12</v>
      </c>
      <c r="BW16" s="3">
        <f t="shared" si="19"/>
        <v>0.27852489165639582</v>
      </c>
      <c r="BX16" s="3">
        <v>-3.340765249510852E-4</v>
      </c>
      <c r="BY16" s="3">
        <f t="shared" si="20"/>
        <v>0.27989013455761408</v>
      </c>
      <c r="BZ16" s="3">
        <v>3.1404696723767583E-3</v>
      </c>
      <c r="CA16" s="3">
        <f t="shared" si="11"/>
        <v>0.27920751310700498</v>
      </c>
      <c r="CB16" s="3">
        <v>1.4045210526936469E-3</v>
      </c>
      <c r="CC16" s="3">
        <f t="shared" si="12"/>
        <v>-4.6921751250453358E-7</v>
      </c>
      <c r="CD16" s="3">
        <f t="shared" si="13"/>
        <v>4.4108557701990771E-6</v>
      </c>
      <c r="CE16" s="3">
        <f t="shared" si="14"/>
        <v>1.3652429012182554E-3</v>
      </c>
    </row>
    <row r="17" spans="2:83" x14ac:dyDescent="0.2">
      <c r="B17" s="5" t="s">
        <v>112</v>
      </c>
      <c r="C17" s="8">
        <v>4</v>
      </c>
      <c r="F17" t="s">
        <v>88</v>
      </c>
      <c r="G17" s="1">
        <v>2.54</v>
      </c>
      <c r="H17" t="s">
        <v>13</v>
      </c>
      <c r="AB17" s="3">
        <v>13</v>
      </c>
      <c r="AC17" s="3">
        <f t="shared" si="15"/>
        <v>3.61328125E-2</v>
      </c>
      <c r="AD17" s="3">
        <f t="shared" si="0"/>
        <v>1.0052331368096135E-4</v>
      </c>
      <c r="AE17" s="3">
        <f t="shared" si="16"/>
        <v>3.62548828125E-2</v>
      </c>
      <c r="AF17" s="3">
        <f t="shared" si="1"/>
        <v>-2.2571666936414825E-5</v>
      </c>
      <c r="AG17" s="3">
        <f t="shared" si="3"/>
        <v>3.619384765625E-2</v>
      </c>
      <c r="AH17" s="3">
        <f t="shared" si="2"/>
        <v>3.8976236764520777E-5</v>
      </c>
      <c r="AI17" s="3">
        <f t="shared" si="4"/>
        <v>3.9180204743833404E-9</v>
      </c>
      <c r="AJ17" s="3">
        <f t="shared" si="5"/>
        <v>-8.7975863468360961E-10</v>
      </c>
      <c r="AK17" s="3">
        <f t="shared" si="6"/>
        <v>1.220703125E-4</v>
      </c>
      <c r="AM17" s="45"/>
      <c r="AN17" s="4" t="s">
        <v>194</v>
      </c>
      <c r="AO17" s="14"/>
      <c r="AP17"/>
      <c r="AQ17" s="3" t="s">
        <v>203</v>
      </c>
      <c r="AR17" s="3">
        <f>AR10/($AN$45*AR6^2*AN9^4)</f>
        <v>0.15203366015947858</v>
      </c>
      <c r="AS17" s="3"/>
      <c r="AT17"/>
      <c r="AU17" s="3" t="s">
        <v>182</v>
      </c>
      <c r="AV17" s="19">
        <f>$AN$45*AV16*$AN$27/$AN$46</f>
        <v>382033.32838993956</v>
      </c>
      <c r="AW17" s="14"/>
      <c r="AX17"/>
      <c r="AY17" s="3" t="s">
        <v>182</v>
      </c>
      <c r="AZ17" s="19">
        <f>$AN$45*AZ16*$AN$27/$AN$46</f>
        <v>490059.08748265449</v>
      </c>
      <c r="BA17" s="14"/>
      <c r="BB17"/>
      <c r="BC17" s="3" t="s">
        <v>207</v>
      </c>
      <c r="BD17" s="3">
        <f xml:space="preserve"> 4*BD11*SIN(BD4)*COS(BD4) / (BD8*BD15)</f>
        <v>10.915126864625378</v>
      </c>
      <c r="BE17" s="3"/>
      <c r="BF17" s="3"/>
      <c r="BG17" s="3" t="s">
        <v>207</v>
      </c>
      <c r="BH17" s="3">
        <f xml:space="preserve"> 4*BH11*SIN(BH4)*COS(BH4) / (BH8*BH15)</f>
        <v>15.458098554300474</v>
      </c>
      <c r="BI17" s="3"/>
      <c r="BJ17"/>
      <c r="BK17" s="3">
        <v>13</v>
      </c>
      <c r="BL17" s="3">
        <f t="shared" si="17"/>
        <v>0.34883490106913423</v>
      </c>
      <c r="BM17" s="3">
        <v>-3.4293084955731856E-4</v>
      </c>
      <c r="BN17" s="3">
        <f t="shared" si="18"/>
        <v>0.34951752251974333</v>
      </c>
      <c r="BO17" s="3">
        <v>1.7457127726859673E-3</v>
      </c>
      <c r="BP17" s="3">
        <f t="shared" si="7"/>
        <v>0.34917621179443881</v>
      </c>
      <c r="BQ17" s="3">
        <v>7.0173089960781643E-4</v>
      </c>
      <c r="BR17" s="3">
        <f t="shared" si="8"/>
        <v>-2.4064517356312988E-7</v>
      </c>
      <c r="BS17" s="3">
        <f t="shared" si="9"/>
        <v>1.2250205944337794E-6</v>
      </c>
      <c r="BT17" s="3">
        <f t="shared" si="10"/>
        <v>6.8262145060909996E-4</v>
      </c>
      <c r="BU17"/>
      <c r="BV17" s="3">
        <v>13</v>
      </c>
      <c r="BW17" s="3">
        <f t="shared" si="19"/>
        <v>0.27852489165639582</v>
      </c>
      <c r="BX17" s="3">
        <v>-3.340765249510852E-4</v>
      </c>
      <c r="BY17" s="3">
        <f t="shared" si="20"/>
        <v>0.27920751310700498</v>
      </c>
      <c r="BZ17" s="3">
        <v>1.4045210526936469E-3</v>
      </c>
      <c r="CA17" s="3">
        <f t="shared" si="11"/>
        <v>0.2788662023817004</v>
      </c>
      <c r="CB17" s="3">
        <v>5.355536296679092E-4</v>
      </c>
      <c r="CC17" s="3">
        <f t="shared" si="12"/>
        <v>-1.7891589552439551E-7</v>
      </c>
      <c r="CD17" s="3">
        <f t="shared" si="13"/>
        <v>7.5219634771507533E-7</v>
      </c>
      <c r="CE17" s="3">
        <f t="shared" si="14"/>
        <v>6.8262145060915547E-4</v>
      </c>
    </row>
    <row r="18" spans="2:83" x14ac:dyDescent="0.2">
      <c r="B18" t="s">
        <v>127</v>
      </c>
      <c r="C18" s="1">
        <v>5</v>
      </c>
      <c r="D18"/>
      <c r="F18" t="s">
        <v>89</v>
      </c>
      <c r="G18" s="1">
        <v>304.8</v>
      </c>
      <c r="H18" t="s">
        <v>11</v>
      </c>
      <c r="AB18" s="3">
        <v>14</v>
      </c>
      <c r="AC18" s="3">
        <f t="shared" si="15"/>
        <v>3.619384765625E-2</v>
      </c>
      <c r="AD18" s="3">
        <f t="shared" si="0"/>
        <v>3.8976236764520777E-5</v>
      </c>
      <c r="AE18" s="3">
        <f t="shared" si="16"/>
        <v>3.62548828125E-2</v>
      </c>
      <c r="AF18" s="3">
        <f t="shared" si="1"/>
        <v>-2.2571666936414825E-5</v>
      </c>
      <c r="AG18" s="3">
        <f t="shared" si="3"/>
        <v>3.6224365234375E-2</v>
      </c>
      <c r="AH18" s="3">
        <f t="shared" si="2"/>
        <v>8.2023882506387924E-6</v>
      </c>
      <c r="AI18" s="3">
        <f t="shared" si="4"/>
        <v>3.1969822649142096E-10</v>
      </c>
      <c r="AJ18" s="3">
        <f t="shared" si="5"/>
        <v>-1.8514157567658106E-10</v>
      </c>
      <c r="AK18" s="3">
        <f t="shared" si="6"/>
        <v>6.103515625E-5</v>
      </c>
      <c r="AM18" s="45"/>
      <c r="AN18" s="4" t="s">
        <v>194</v>
      </c>
      <c r="AP18"/>
      <c r="AQ18" s="3" t="s">
        <v>205</v>
      </c>
      <c r="AR18" s="3">
        <f>AR11/($AN$45*AR6^2*AN9^5)</f>
        <v>1.0025724458449561E-2</v>
      </c>
      <c r="AS18" s="14"/>
      <c r="AT18"/>
      <c r="AU18" s="3" t="s">
        <v>186</v>
      </c>
      <c r="AV18" s="18">
        <f xml:space="preserve"> $BD$27 * PI() * $AN$45 * AV16^2 *$BD$33 * $AN$21 * AV13</f>
        <v>175.51070176859673</v>
      </c>
      <c r="AW18" s="14" t="s">
        <v>27</v>
      </c>
      <c r="AX18"/>
      <c r="AY18" s="3" t="s">
        <v>186</v>
      </c>
      <c r="AZ18" s="18">
        <f xml:space="preserve"> $BH$27 * PI() * $AN$45 * AZ16^2 * $BH$33 * $AN$22 * AZ13</f>
        <v>288.24858445254239</v>
      </c>
      <c r="BA18" s="14" t="s">
        <v>27</v>
      </c>
      <c r="BB18"/>
      <c r="BC18" s="3" t="s">
        <v>55</v>
      </c>
      <c r="BD18" s="3">
        <f>1/(BD16-1)</f>
        <v>2.0857934915176903</v>
      </c>
      <c r="BE18" s="3"/>
      <c r="BF18" s="3"/>
      <c r="BG18" s="3" t="s">
        <v>55</v>
      </c>
      <c r="BH18" s="3">
        <f>1/(BH16-1)</f>
        <v>3.0516531106909244</v>
      </c>
      <c r="BI18" s="3"/>
      <c r="BJ18"/>
      <c r="BK18" s="3">
        <v>14</v>
      </c>
      <c r="BL18" s="3">
        <f t="shared" si="17"/>
        <v>0.34883490106913423</v>
      </c>
      <c r="BM18" s="3">
        <v>-3.4293084955731856E-4</v>
      </c>
      <c r="BN18" s="3">
        <f t="shared" si="18"/>
        <v>0.34917621179443881</v>
      </c>
      <c r="BO18" s="3">
        <v>7.0173089960781643E-4</v>
      </c>
      <c r="BP18" s="3">
        <f t="shared" si="7"/>
        <v>0.34900555643178655</v>
      </c>
      <c r="BQ18" s="3">
        <v>1.7948498498457366E-4</v>
      </c>
      <c r="BR18" s="3">
        <f t="shared" si="8"/>
        <v>-6.1550938383542414E-8</v>
      </c>
      <c r="BS18" s="3">
        <f t="shared" si="9"/>
        <v>1.2595015997932031E-7</v>
      </c>
      <c r="BT18" s="3">
        <f t="shared" si="10"/>
        <v>3.4131072530457773E-4</v>
      </c>
      <c r="BU18"/>
      <c r="BV18" s="3">
        <v>14</v>
      </c>
      <c r="BW18" s="3">
        <f t="shared" si="19"/>
        <v>0.27852489165639582</v>
      </c>
      <c r="BX18" s="3">
        <v>-3.340765249510852E-4</v>
      </c>
      <c r="BY18" s="3">
        <f t="shared" si="20"/>
        <v>0.2788662023817004</v>
      </c>
      <c r="BZ18" s="3">
        <v>5.355536296679092E-4</v>
      </c>
      <c r="CA18" s="3">
        <f t="shared" si="11"/>
        <v>0.27869554701904808</v>
      </c>
      <c r="CB18" s="3">
        <v>1.0082142468456623E-4</v>
      </c>
      <c r="CC18" s="3">
        <f t="shared" si="12"/>
        <v>-3.3682071199237445E-8</v>
      </c>
      <c r="CD18" s="3">
        <f t="shared" si="13"/>
        <v>5.399527993810918E-8</v>
      </c>
      <c r="CE18" s="3">
        <f t="shared" si="14"/>
        <v>3.4131072530457773E-4</v>
      </c>
    </row>
    <row r="19" spans="2:83" x14ac:dyDescent="0.2">
      <c r="B19" s="5" t="s">
        <v>152</v>
      </c>
      <c r="C19" s="5">
        <f>$C$18*$C$8/PI()</f>
        <v>0.10233662840808867</v>
      </c>
      <c r="F19" t="s">
        <v>96</v>
      </c>
      <c r="G19" s="9">
        <f>$G$18/$G$17</f>
        <v>120</v>
      </c>
      <c r="H19" t="s">
        <v>18</v>
      </c>
      <c r="N19" s="49" t="s">
        <v>35</v>
      </c>
      <c r="O19" s="55"/>
      <c r="P19" s="55"/>
      <c r="R19" s="49" t="s">
        <v>35</v>
      </c>
      <c r="S19" s="55"/>
      <c r="T19" s="55"/>
      <c r="V19" s="49" t="s">
        <v>35</v>
      </c>
      <c r="W19" s="55"/>
      <c r="X19" s="55"/>
      <c r="AB19" s="3">
        <v>15</v>
      </c>
      <c r="AC19" s="3">
        <f t="shared" si="15"/>
        <v>3.6224365234375E-2</v>
      </c>
      <c r="AD19" s="3">
        <f t="shared" si="0"/>
        <v>8.2023882506387924E-6</v>
      </c>
      <c r="AE19" s="3">
        <f t="shared" si="16"/>
        <v>3.62548828125E-2</v>
      </c>
      <c r="AF19" s="3">
        <f t="shared" si="1"/>
        <v>-2.2571666936414825E-5</v>
      </c>
      <c r="AG19" s="3">
        <f t="shared" si="3"/>
        <v>3.62396240234375E-2</v>
      </c>
      <c r="AH19" s="3">
        <f t="shared" si="2"/>
        <v>-7.1846135101805153E-6</v>
      </c>
      <c r="AI19" s="3">
        <f t="shared" si="4"/>
        <v>-5.8930989441285392E-11</v>
      </c>
      <c r="AJ19" s="3">
        <f t="shared" si="5"/>
        <v>1.621687032186608E-10</v>
      </c>
      <c r="AK19" s="3">
        <f t="shared" si="6"/>
        <v>3.0517578125E-5</v>
      </c>
      <c r="AM19" s="45" t="s">
        <v>208</v>
      </c>
      <c r="AN19" s="4">
        <f>0.175*($AN$9/2)</f>
        <v>0.26249999999999996</v>
      </c>
      <c r="AO19" s="14" t="s">
        <v>11</v>
      </c>
      <c r="AP19"/>
      <c r="AQ19" s="3" t="s">
        <v>209</v>
      </c>
      <c r="AR19" s="3">
        <f>2*PI()*AR18</f>
        <v>6.2993484611161291E-2</v>
      </c>
      <c r="AS19" s="14"/>
      <c r="AT19"/>
      <c r="AU19" s="3" t="s">
        <v>190</v>
      </c>
      <c r="AV19" s="18">
        <f xml:space="preserve"> $BD$27 * PI() * $AN$45 * AV16^2 * $BD$34 * $AN$21^2 * AV13</f>
        <v>26.695630033934972</v>
      </c>
      <c r="AW19" s="14" t="s">
        <v>191</v>
      </c>
      <c r="AX19"/>
      <c r="AY19" s="3" t="s">
        <v>190</v>
      </c>
      <c r="AZ19" s="18">
        <f xml:space="preserve"> $BH$27 * PI() * $AN$45 * AZ16^2 * $BH$34 * $AN$22^2 * AZ13</f>
        <v>49.212178475241309</v>
      </c>
      <c r="BA19" s="14" t="s">
        <v>191</v>
      </c>
      <c r="BB19"/>
      <c r="BC19" s="3" t="s">
        <v>210</v>
      </c>
      <c r="BD19" s="3">
        <f>1/(BD17+1)</f>
        <v>8.3926928463421008E-2</v>
      </c>
      <c r="BE19" s="3"/>
      <c r="BF19" s="3"/>
      <c r="BG19" s="3" t="s">
        <v>210</v>
      </c>
      <c r="BH19" s="3">
        <f>1/(BH17+1)</f>
        <v>6.0760360420779085E-2</v>
      </c>
      <c r="BI19" s="3"/>
      <c r="BJ19"/>
      <c r="BK19" s="3">
        <v>15</v>
      </c>
      <c r="BL19" s="3">
        <f t="shared" si="17"/>
        <v>0.34883490106913423</v>
      </c>
      <c r="BM19" s="3">
        <v>-3.4293084955731856E-4</v>
      </c>
      <c r="BN19" s="3">
        <f t="shared" si="18"/>
        <v>0.34900555643178655</v>
      </c>
      <c r="BO19" s="3">
        <v>1.7948498498457366E-4</v>
      </c>
      <c r="BP19" s="3">
        <f t="shared" si="7"/>
        <v>0.34892022875046036</v>
      </c>
      <c r="BQ19" s="3">
        <v>-8.1701695363756155E-5</v>
      </c>
      <c r="BR19" s="3">
        <f t="shared" si="8"/>
        <v>2.8018031801366132E-8</v>
      </c>
      <c r="BS19" s="3">
        <f t="shared" si="9"/>
        <v>-1.4664227565577985E-8</v>
      </c>
      <c r="BT19" s="3">
        <f t="shared" si="10"/>
        <v>1.7065536265231662E-4</v>
      </c>
      <c r="BU19"/>
      <c r="BV19" s="3">
        <v>15</v>
      </c>
      <c r="BW19" s="3">
        <f t="shared" si="19"/>
        <v>0.27852489165639582</v>
      </c>
      <c r="BX19" s="3">
        <v>-3.340765249510852E-4</v>
      </c>
      <c r="BY19" s="3">
        <f t="shared" si="20"/>
        <v>0.27869554701904808</v>
      </c>
      <c r="BZ19" s="3">
        <v>1.0082142468456623E-4</v>
      </c>
      <c r="CA19" s="3">
        <f t="shared" si="11"/>
        <v>0.27861021933772195</v>
      </c>
      <c r="CB19" s="3">
        <v>-1.1660682818451229E-4</v>
      </c>
      <c r="CC19" s="3">
        <f t="shared" si="12"/>
        <v>3.8955603945450126E-8</v>
      </c>
      <c r="CD19" s="3">
        <f t="shared" si="13"/>
        <v>-1.175646654551096E-8</v>
      </c>
      <c r="CE19" s="3">
        <f t="shared" si="14"/>
        <v>1.7065536265226111E-4</v>
      </c>
    </row>
    <row r="20" spans="2:83" x14ac:dyDescent="0.2">
      <c r="B20" s="5" t="s">
        <v>151</v>
      </c>
      <c r="C20" s="8">
        <v>0.75</v>
      </c>
      <c r="F20" t="s">
        <v>237</v>
      </c>
      <c r="G20" s="9">
        <f>O22*$C$7</f>
        <v>165.82107675881659</v>
      </c>
      <c r="H20" s="5" t="s">
        <v>13</v>
      </c>
      <c r="N20" s="5" t="s">
        <v>36</v>
      </c>
      <c r="O20" s="5">
        <f xml:space="preserve"> 90 + G24 - O16</f>
        <v>5.7740021264042696</v>
      </c>
      <c r="P20" s="5" t="s">
        <v>53</v>
      </c>
      <c r="R20" s="5" t="s">
        <v>36</v>
      </c>
      <c r="S20" s="5">
        <f xml:space="preserve"> ACOS(S16)/PI()*180</f>
        <v>2.8731114663652013</v>
      </c>
      <c r="T20" s="5" t="s">
        <v>53</v>
      </c>
      <c r="V20" s="5" t="s">
        <v>36</v>
      </c>
      <c r="W20" s="5">
        <f>90-G44-W16</f>
        <v>1.1295252452282938</v>
      </c>
      <c r="X20" s="5" t="s">
        <v>53</v>
      </c>
      <c r="AB20" s="3">
        <v>16</v>
      </c>
      <c r="AC20" s="3">
        <f t="shared" si="15"/>
        <v>3.6224365234375E-2</v>
      </c>
      <c r="AD20" s="3">
        <f t="shared" si="0"/>
        <v>8.2023882506387924E-6</v>
      </c>
      <c r="AE20" s="3">
        <f t="shared" si="16"/>
        <v>3.62396240234375E-2</v>
      </c>
      <c r="AF20" s="3">
        <f t="shared" si="1"/>
        <v>-7.1846135101805153E-6</v>
      </c>
      <c r="AG20" s="3">
        <f t="shared" si="3"/>
        <v>3.623199462890625E-2</v>
      </c>
      <c r="AH20" s="3">
        <f t="shared" si="2"/>
        <v>5.0889382858382293E-7</v>
      </c>
      <c r="AI20" s="3">
        <f t="shared" si="4"/>
        <v>4.1741447603985409E-12</v>
      </c>
      <c r="AJ20" s="3">
        <f t="shared" si="5"/>
        <v>-3.6562054760908215E-12</v>
      </c>
      <c r="AK20" s="3">
        <f t="shared" si="6"/>
        <v>1.52587890625E-5</v>
      </c>
      <c r="AM20" s="45"/>
      <c r="AN20" s="4">
        <f>0.285*($AN$9/2)</f>
        <v>0.42749999999999999</v>
      </c>
      <c r="AO20" s="14" t="s">
        <v>11</v>
      </c>
      <c r="AP20"/>
      <c r="AQ20" s="3" t="s">
        <v>211</v>
      </c>
      <c r="AR20" s="3">
        <f>AR17/AR19*AR7</f>
        <v>0.14331790412961537</v>
      </c>
      <c r="AS20" s="22"/>
      <c r="AT20"/>
      <c r="AU20"/>
      <c r="AV20"/>
      <c r="AW20"/>
      <c r="AX20"/>
      <c r="AY20"/>
      <c r="AZ20"/>
      <c r="BA20"/>
      <c r="BB20"/>
      <c r="BC20" s="7" t="s">
        <v>212</v>
      </c>
      <c r="BD20" s="23">
        <f>SIN(BD4)/(1+BD18) - $AN$3*COS(BD4)/($AR$5*$AN$19*(1-BD19))</f>
        <v>-4.5555962335797062E-9</v>
      </c>
      <c r="BE20" s="23"/>
      <c r="BF20" s="3"/>
      <c r="BG20" s="7" t="s">
        <v>212</v>
      </c>
      <c r="BH20" s="23">
        <f>SIN(BH4)/(1+BH18) - $AN$3*COS(BH4)/($AR$5*$AN$20*(1-BH19))</f>
        <v>1.9221726571538866E-9</v>
      </c>
      <c r="BI20" s="23"/>
      <c r="BJ20"/>
      <c r="BK20" s="3">
        <v>16</v>
      </c>
      <c r="BL20" s="3">
        <f t="shared" si="17"/>
        <v>0.34892022875046036</v>
      </c>
      <c r="BM20" s="3">
        <v>-8.1701695363756155E-5</v>
      </c>
      <c r="BN20" s="3">
        <f t="shared" si="18"/>
        <v>0.34900555643178655</v>
      </c>
      <c r="BO20" s="3">
        <v>1.7948498498457366E-4</v>
      </c>
      <c r="BP20" s="3">
        <f t="shared" si="7"/>
        <v>0.34896289259112345</v>
      </c>
      <c r="BQ20" s="3">
        <v>4.8896954424365591E-5</v>
      </c>
      <c r="BR20" s="3">
        <f t="shared" si="8"/>
        <v>-3.994964074594986E-9</v>
      </c>
      <c r="BS20" s="3">
        <f t="shared" si="9"/>
        <v>8.7762691306486399E-9</v>
      </c>
      <c r="BT20" s="3">
        <f t="shared" si="10"/>
        <v>8.5327681326186067E-5</v>
      </c>
      <c r="BU20"/>
      <c r="BV20" s="3">
        <v>16</v>
      </c>
      <c r="BW20" s="3">
        <f t="shared" si="19"/>
        <v>0.27861021933772195</v>
      </c>
      <c r="BX20" s="3">
        <v>-1.1660682818451229E-4</v>
      </c>
      <c r="BY20" s="3">
        <f t="shared" si="20"/>
        <v>0.27869554701904808</v>
      </c>
      <c r="BZ20" s="3">
        <v>1.0082142468456623E-4</v>
      </c>
      <c r="CA20" s="3">
        <f t="shared" si="11"/>
        <v>0.27865288317838499</v>
      </c>
      <c r="CB20" s="3">
        <v>-7.8875217465884662E-6</v>
      </c>
      <c r="CC20" s="3">
        <f t="shared" si="12"/>
        <v>9.1973889310604561E-10</v>
      </c>
      <c r="CD20" s="3">
        <f t="shared" si="13"/>
        <v>-7.9523117972154737E-10</v>
      </c>
      <c r="CE20" s="3">
        <f t="shared" si="14"/>
        <v>8.5327681326130556E-5</v>
      </c>
    </row>
    <row r="21" spans="2:83" x14ac:dyDescent="0.2">
      <c r="B21" t="s">
        <v>128</v>
      </c>
      <c r="C21" s="1">
        <v>0.14399999999999999</v>
      </c>
      <c r="D21"/>
      <c r="F21" s="5" t="s">
        <v>238</v>
      </c>
      <c r="G21" s="5">
        <f>G20/$C$40</f>
        <v>0.4871130521444838</v>
      </c>
      <c r="H21" s="5" t="s">
        <v>242</v>
      </c>
      <c r="N21" s="5" t="s">
        <v>26</v>
      </c>
      <c r="O21" s="5">
        <f xml:space="preserve"> O15 / $C$17</f>
        <v>3078.3715518828258</v>
      </c>
      <c r="P21" s="5" t="s">
        <v>27</v>
      </c>
      <c r="R21" s="5" t="s">
        <v>26</v>
      </c>
      <c r="S21" s="5">
        <f xml:space="preserve"> S15 / $C$17</f>
        <v>3070.5726496998323</v>
      </c>
      <c r="T21" s="5" t="s">
        <v>27</v>
      </c>
      <c r="V21" s="5" t="s">
        <v>26</v>
      </c>
      <c r="W21" s="5">
        <f xml:space="preserve"> W15 / $C$17</f>
        <v>3065.8837858716292</v>
      </c>
      <c r="X21" s="5" t="s">
        <v>27</v>
      </c>
      <c r="AB21" s="3">
        <v>17</v>
      </c>
      <c r="AC21" s="3">
        <f t="shared" si="15"/>
        <v>3.623199462890625E-2</v>
      </c>
      <c r="AD21" s="3">
        <f t="shared" si="0"/>
        <v>5.0889382858382293E-7</v>
      </c>
      <c r="AE21" s="3">
        <f t="shared" si="16"/>
        <v>3.62396240234375E-2</v>
      </c>
      <c r="AF21" s="3">
        <f t="shared" si="1"/>
        <v>-7.1846135101805153E-6</v>
      </c>
      <c r="AG21" s="3">
        <f t="shared" si="3"/>
        <v>3.6235809326171875E-2</v>
      </c>
      <c r="AH21" s="3">
        <f t="shared" si="2"/>
        <v>-3.3378582262322265E-6</v>
      </c>
      <c r="AI21" s="3">
        <f t="shared" si="4"/>
        <v>-1.698615452017326E-12</v>
      </c>
      <c r="AJ21" s="3">
        <f t="shared" si="5"/>
        <v>2.3981221307255225E-11</v>
      </c>
      <c r="AK21" s="3">
        <f t="shared" si="6"/>
        <v>7.62939453125E-6</v>
      </c>
      <c r="AM21" s="45"/>
      <c r="AN21" s="4">
        <f>0.395*($AN$9/2)</f>
        <v>0.59250000000000003</v>
      </c>
      <c r="AO21" s="14" t="s">
        <v>11</v>
      </c>
      <c r="AP21"/>
      <c r="AQ21"/>
      <c r="AR21"/>
      <c r="AS21" s="22"/>
      <c r="AT21"/>
      <c r="AU21" s="44" t="s">
        <v>213</v>
      </c>
      <c r="AV21" s="44"/>
      <c r="AW21" s="44"/>
      <c r="AX21"/>
      <c r="AY21" s="44" t="s">
        <v>214</v>
      </c>
      <c r="AZ21" s="44"/>
      <c r="BA21" s="44"/>
      <c r="BB21"/>
      <c r="BC21" s="3"/>
      <c r="BD21" s="3"/>
      <c r="BE21" s="3"/>
      <c r="BF21" s="3"/>
      <c r="BG21" s="3"/>
      <c r="BH21" s="3"/>
      <c r="BI21" s="3"/>
      <c r="BJ21"/>
      <c r="BK21" s="3">
        <v>17</v>
      </c>
      <c r="BL21" s="3">
        <f t="shared" si="17"/>
        <v>0.34892022875046036</v>
      </c>
      <c r="BM21" s="3">
        <v>-8.1701695363756155E-5</v>
      </c>
      <c r="BN21" s="3">
        <f t="shared" si="18"/>
        <v>0.34896289259112345</v>
      </c>
      <c r="BO21" s="3">
        <v>4.8896954424365591E-5</v>
      </c>
      <c r="BP21" s="3">
        <f t="shared" si="7"/>
        <v>0.34894156067079191</v>
      </c>
      <c r="BQ21" s="3">
        <v>-1.6401043114136482E-5</v>
      </c>
      <c r="BR21" s="3">
        <f t="shared" si="8"/>
        <v>1.3399930281590094E-9</v>
      </c>
      <c r="BS21" s="3">
        <f t="shared" si="9"/>
        <v>-8.0196105766398669E-10</v>
      </c>
      <c r="BT21" s="3">
        <f t="shared" si="10"/>
        <v>4.2663840663093033E-5</v>
      </c>
      <c r="BU21"/>
      <c r="BV21" s="3">
        <v>17</v>
      </c>
      <c r="BW21" s="3">
        <f t="shared" si="19"/>
        <v>0.27865288317838499</v>
      </c>
      <c r="BX21" s="3">
        <v>-7.8875217465884662E-6</v>
      </c>
      <c r="BY21" s="3">
        <f t="shared" si="20"/>
        <v>0.27869554701904808</v>
      </c>
      <c r="BZ21" s="3">
        <v>1.0082142468456623E-4</v>
      </c>
      <c r="CA21" s="3">
        <f t="shared" si="11"/>
        <v>0.27867421509871654</v>
      </c>
      <c r="CB21" s="3">
        <v>4.6468246409456238E-5</v>
      </c>
      <c r="CC21" s="3">
        <f t="shared" si="12"/>
        <v>-3.6651930408041747E-10</v>
      </c>
      <c r="CD21" s="3">
        <f t="shared" si="13"/>
        <v>4.6849948055948572E-9</v>
      </c>
      <c r="CE21" s="3">
        <f t="shared" si="14"/>
        <v>4.2663840663093033E-5</v>
      </c>
    </row>
    <row r="22" spans="2:83" x14ac:dyDescent="0.2">
      <c r="F22" t="s">
        <v>91</v>
      </c>
      <c r="G22" s="9">
        <f>SQRT($G$16^2-$G$17^2)</f>
        <v>49.935442323063484</v>
      </c>
      <c r="H22" t="s">
        <v>13</v>
      </c>
      <c r="N22" s="5" t="s">
        <v>37</v>
      </c>
      <c r="O22" s="5">
        <f xml:space="preserve"> $G$16 * COS(O20/180*PI()) / ($C$10 * $C$7)</f>
        <v>110.54738450587773</v>
      </c>
      <c r="P22" s="5" t="s">
        <v>38</v>
      </c>
      <c r="R22" s="5" t="s">
        <v>37</v>
      </c>
      <c r="S22" s="5">
        <f xml:space="preserve"> $C$9 * COS(S20/180*PI()) / ($C$10 * $C$7)</f>
        <v>110.97144334902325</v>
      </c>
      <c r="T22" s="5" t="s">
        <v>38</v>
      </c>
      <c r="V22" s="5" t="s">
        <v>37</v>
      </c>
      <c r="W22" s="5">
        <f xml:space="preserve"> $G$36 * COS(W20/180*PI()) / ($C$10 * $C$7)</f>
        <v>111.08952074291848</v>
      </c>
      <c r="X22" s="5" t="s">
        <v>38</v>
      </c>
      <c r="AB22" s="3">
        <v>18</v>
      </c>
      <c r="AC22" s="3">
        <f t="shared" si="15"/>
        <v>3.623199462890625E-2</v>
      </c>
      <c r="AD22" s="3">
        <f t="shared" si="0"/>
        <v>5.0889382858382293E-7</v>
      </c>
      <c r="AE22" s="3">
        <f t="shared" si="16"/>
        <v>3.6235809326171875E-2</v>
      </c>
      <c r="AF22" s="3">
        <f t="shared" si="1"/>
        <v>-3.3378582262322265E-6</v>
      </c>
      <c r="AG22" s="3">
        <f t="shared" si="3"/>
        <v>3.6233901977539062E-2</v>
      </c>
      <c r="AH22" s="3">
        <f t="shared" si="2"/>
        <v>-1.4144817951783351E-6</v>
      </c>
      <c r="AI22" s="3">
        <f t="shared" si="4"/>
        <v>-7.1982105621042181E-13</v>
      </c>
      <c r="AJ22" s="3">
        <f t="shared" si="5"/>
        <v>4.7213396958917327E-12</v>
      </c>
      <c r="AK22" s="3">
        <f t="shared" si="6"/>
        <v>3.814697265625E-6</v>
      </c>
      <c r="AM22" s="45"/>
      <c r="AN22" s="4">
        <f>0.505*($AN$9/2)</f>
        <v>0.75750000000000006</v>
      </c>
      <c r="AO22" s="14" t="s">
        <v>11</v>
      </c>
      <c r="AP22"/>
      <c r="AQ22" s="41" t="s">
        <v>215</v>
      </c>
      <c r="AR22" s="41"/>
      <c r="AS22" s="41"/>
      <c r="AT22"/>
      <c r="AU22" s="3" t="s">
        <v>168</v>
      </c>
      <c r="AV22" s="3">
        <f>$AN$23-$AN$22</f>
        <v>0.16499999999999992</v>
      </c>
      <c r="AW22" s="14" t="s">
        <v>11</v>
      </c>
      <c r="AX22"/>
      <c r="AY22" s="3" t="s">
        <v>168</v>
      </c>
      <c r="AZ22" s="3">
        <f>$AN$24-$AN$23</f>
        <v>0.16499999999999992</v>
      </c>
      <c r="BA22" s="14" t="s">
        <v>11</v>
      </c>
      <c r="BB22"/>
      <c r="BC22" s="44" t="s">
        <v>198</v>
      </c>
      <c r="BD22" s="44"/>
      <c r="BE22" s="44"/>
      <c r="BF22" s="3"/>
      <c r="BG22" s="44" t="s">
        <v>199</v>
      </c>
      <c r="BH22" s="44"/>
      <c r="BI22" s="44"/>
      <c r="BJ22"/>
      <c r="BK22" s="3">
        <v>18</v>
      </c>
      <c r="BL22" s="3">
        <f t="shared" si="17"/>
        <v>0.34894156067079191</v>
      </c>
      <c r="BM22" s="3">
        <v>-1.6401043114136482E-5</v>
      </c>
      <c r="BN22" s="3">
        <f t="shared" si="18"/>
        <v>0.34896289259112345</v>
      </c>
      <c r="BO22" s="3">
        <v>4.8896954424365591E-5</v>
      </c>
      <c r="BP22" s="3">
        <f t="shared" si="7"/>
        <v>0.34895222663095771</v>
      </c>
      <c r="BQ22" s="3">
        <v>1.6248287500089664E-5</v>
      </c>
      <c r="BR22" s="3">
        <f t="shared" si="8"/>
        <v>-2.6648886381985546E-10</v>
      </c>
      <c r="BS22" s="3">
        <f t="shared" si="9"/>
        <v>7.9449177336587343E-10</v>
      </c>
      <c r="BT22" s="3">
        <f t="shared" si="10"/>
        <v>2.1331920331546517E-5</v>
      </c>
      <c r="BU22"/>
      <c r="BV22" s="3">
        <v>18</v>
      </c>
      <c r="BW22" s="3">
        <f t="shared" si="19"/>
        <v>0.27865288317838499</v>
      </c>
      <c r="BX22" s="3">
        <v>-7.8875217465884662E-6</v>
      </c>
      <c r="BY22" s="3">
        <f t="shared" si="20"/>
        <v>0.27867421509871654</v>
      </c>
      <c r="BZ22" s="3">
        <v>4.6468246409456238E-5</v>
      </c>
      <c r="CA22" s="3">
        <f t="shared" si="11"/>
        <v>0.27866354913855074</v>
      </c>
      <c r="CB22" s="3">
        <v>1.9290686073994423E-5</v>
      </c>
      <c r="CC22" s="3">
        <f t="shared" si="12"/>
        <v>-1.521557059152423E-10</v>
      </c>
      <c r="CD22" s="3">
        <f t="shared" si="13"/>
        <v>8.9640435389383876E-10</v>
      </c>
      <c r="CE22" s="3">
        <f t="shared" si="14"/>
        <v>2.1331920331546517E-5</v>
      </c>
    </row>
    <row r="23" spans="2:83" x14ac:dyDescent="0.2">
      <c r="B23" s="52" t="s">
        <v>129</v>
      </c>
      <c r="C23" s="52"/>
      <c r="D23" s="52"/>
      <c r="F23" t="s">
        <v>92</v>
      </c>
      <c r="G23" s="9">
        <f>$G$22*($G$18/$G$17)</f>
        <v>5992.2530787676178</v>
      </c>
      <c r="H23" t="s">
        <v>11</v>
      </c>
      <c r="N23" s="5" t="s">
        <v>40</v>
      </c>
      <c r="O23" s="5">
        <f xml:space="preserve"> O21 / ($C$38 * PI() * $C$7^2 * O22^2 * $C$7^2)</f>
        <v>1.2929242931204638E-2</v>
      </c>
      <c r="R23" s="5" t="s">
        <v>40</v>
      </c>
      <c r="S23" s="5">
        <f xml:space="preserve"> S21 / ($C$38 * PI() * $C$7^2 * S22^2 * $C$7^2)</f>
        <v>1.2798112108979553E-2</v>
      </c>
      <c r="V23" s="5" t="s">
        <v>40</v>
      </c>
      <c r="W23" s="5">
        <f xml:space="preserve"> W21 / ($C$38 * PI() * $C$7^2 * W22^2 * $C$7^2)</f>
        <v>1.275141865359682E-2</v>
      </c>
      <c r="AB23" s="3">
        <v>19</v>
      </c>
      <c r="AC23" s="3">
        <f t="shared" si="15"/>
        <v>3.623199462890625E-2</v>
      </c>
      <c r="AD23" s="3">
        <f t="shared" si="0"/>
        <v>5.0889382858382293E-7</v>
      </c>
      <c r="AE23" s="3">
        <f t="shared" si="16"/>
        <v>3.6233901977539062E-2</v>
      </c>
      <c r="AF23" s="3">
        <f t="shared" si="1"/>
        <v>-1.4144817951783351E-6</v>
      </c>
      <c r="AG23" s="3">
        <f t="shared" si="3"/>
        <v>3.6232948303222656E-2</v>
      </c>
      <c r="AH23" s="3">
        <f t="shared" si="2"/>
        <v>-4.5279388238839147E-7</v>
      </c>
      <c r="AI23" s="3">
        <f t="shared" si="4"/>
        <v>-2.3042401236796179E-13</v>
      </c>
      <c r="AJ23" s="3">
        <f t="shared" si="5"/>
        <v>6.4046870360649985E-13</v>
      </c>
      <c r="AK23" s="3">
        <f t="shared" si="6"/>
        <v>1.9073486328125E-6</v>
      </c>
      <c r="AM23" s="45"/>
      <c r="AN23" s="4">
        <f>0.615*($AN$9/2)</f>
        <v>0.92249999999999999</v>
      </c>
      <c r="AO23" s="14" t="s">
        <v>11</v>
      </c>
      <c r="AP23"/>
      <c r="AQ23" s="43" t="s">
        <v>216</v>
      </c>
      <c r="AR23" s="45">
        <f>BD20</f>
        <v>-4.5555962335797062E-9</v>
      </c>
      <c r="AS23" s="45"/>
      <c r="AT23"/>
      <c r="AU23" s="3" t="s">
        <v>172</v>
      </c>
      <c r="AV23" s="3">
        <f>(1+$BD$56)*$AN$3</f>
        <v>14.701828630940808</v>
      </c>
      <c r="AW23" s="14" t="s">
        <v>13</v>
      </c>
      <c r="AX23"/>
      <c r="AY23" s="3" t="s">
        <v>172</v>
      </c>
      <c r="AZ23" s="3">
        <f>(1+$BH$56)*$AN$3</f>
        <v>15.593353812955206</v>
      </c>
      <c r="BA23" s="14" t="s">
        <v>13</v>
      </c>
      <c r="BB23"/>
      <c r="BC23" s="15" t="s">
        <v>169</v>
      </c>
      <c r="BD23" s="16">
        <f>BP68</f>
        <v>0.23551548273753581</v>
      </c>
      <c r="BE23" s="13" t="s">
        <v>170</v>
      </c>
      <c r="BF23" s="3"/>
      <c r="BG23" s="15" t="s">
        <v>169</v>
      </c>
      <c r="BH23" s="16">
        <f>CA68</f>
        <v>0.20475734303789994</v>
      </c>
      <c r="BI23" s="13" t="s">
        <v>170</v>
      </c>
      <c r="BJ23"/>
      <c r="BK23" s="3">
        <v>19</v>
      </c>
      <c r="BL23" s="3">
        <f t="shared" si="17"/>
        <v>0.34894156067079191</v>
      </c>
      <c r="BM23" s="3">
        <v>-1.6401043114136482E-5</v>
      </c>
      <c r="BN23" s="3">
        <f t="shared" si="18"/>
        <v>0.34895222663095771</v>
      </c>
      <c r="BO23" s="3">
        <v>1.6248287500089664E-5</v>
      </c>
      <c r="BP23" s="3">
        <f t="shared" si="7"/>
        <v>0.34894689365087483</v>
      </c>
      <c r="BQ23" s="3">
        <v>-7.6294846482194423E-8</v>
      </c>
      <c r="BR23" s="3">
        <f t="shared" si="8"/>
        <v>1.2513150665408948E-12</v>
      </c>
      <c r="BS23" s="3">
        <f t="shared" si="9"/>
        <v>-1.2396606004178996E-12</v>
      </c>
      <c r="BT23" s="3">
        <f t="shared" si="10"/>
        <v>1.0665960165801014E-5</v>
      </c>
      <c r="BU23"/>
      <c r="BV23" s="3">
        <v>19</v>
      </c>
      <c r="BW23" s="3">
        <f t="shared" si="19"/>
        <v>0.27865288317838499</v>
      </c>
      <c r="BX23" s="3">
        <v>-7.8875217465884662E-6</v>
      </c>
      <c r="BY23" s="3">
        <f t="shared" si="20"/>
        <v>0.27866354913855074</v>
      </c>
      <c r="BZ23" s="3">
        <v>1.9290686073994423E-5</v>
      </c>
      <c r="CA23" s="3">
        <f t="shared" si="11"/>
        <v>0.27865821615846786</v>
      </c>
      <c r="CB23" s="3">
        <v>5.7016631003631302E-6</v>
      </c>
      <c r="CC23" s="3">
        <f t="shared" si="12"/>
        <v>-4.4971991695835207E-11</v>
      </c>
      <c r="CD23" s="3">
        <f t="shared" si="13"/>
        <v>1.0998899296878291E-10</v>
      </c>
      <c r="CE23" s="3">
        <f t="shared" si="14"/>
        <v>1.0665960165745503E-5</v>
      </c>
    </row>
    <row r="24" spans="2:83" x14ac:dyDescent="0.2">
      <c r="B24" t="s">
        <v>130</v>
      </c>
      <c r="C24" s="1">
        <v>4</v>
      </c>
      <c r="D24"/>
      <c r="F24" t="s">
        <v>93</v>
      </c>
      <c r="G24" s="9">
        <f>ATAN(G17/G22)/PI()*180</f>
        <v>2.9118789347687013</v>
      </c>
      <c r="H24" t="s">
        <v>53</v>
      </c>
      <c r="N24" s="5" t="s">
        <v>3</v>
      </c>
      <c r="O24" s="8">
        <v>1.2E-2</v>
      </c>
      <c r="R24" s="5" t="s">
        <v>3</v>
      </c>
      <c r="S24" s="8">
        <v>1.2E-2</v>
      </c>
      <c r="V24" s="5" t="s">
        <v>3</v>
      </c>
      <c r="W24" s="8">
        <v>1.2E-2</v>
      </c>
      <c r="AB24" s="3">
        <v>20</v>
      </c>
      <c r="AC24" s="3">
        <f t="shared" si="15"/>
        <v>3.623199462890625E-2</v>
      </c>
      <c r="AD24" s="3">
        <f t="shared" si="0"/>
        <v>5.0889382858382293E-7</v>
      </c>
      <c r="AE24" s="3">
        <f t="shared" si="16"/>
        <v>3.6232948303222656E-2</v>
      </c>
      <c r="AF24" s="3">
        <f t="shared" si="1"/>
        <v>-4.5279388238839147E-7</v>
      </c>
      <c r="AG24" s="3">
        <f t="shared" si="3"/>
        <v>3.6232471466064453E-2</v>
      </c>
      <c r="AH24" s="3">
        <f t="shared" si="2"/>
        <v>2.8049998324064518E-8</v>
      </c>
      <c r="AI24" s="3">
        <f t="shared" si="4"/>
        <v>1.4274471038903008E-14</v>
      </c>
      <c r="AJ24" s="3">
        <f t="shared" si="5"/>
        <v>-1.2700867642141048E-14</v>
      </c>
      <c r="AK24" s="3">
        <f t="shared" si="6"/>
        <v>9.5367431640625E-7</v>
      </c>
      <c r="AM24" s="45"/>
      <c r="AN24" s="4">
        <f>0.725*($AN$9/2)</f>
        <v>1.0874999999999999</v>
      </c>
      <c r="AO24" s="14" t="s">
        <v>11</v>
      </c>
      <c r="AP24"/>
      <c r="AQ24" s="43"/>
      <c r="AR24" s="45">
        <f>BH20</f>
        <v>1.9221726571538866E-9</v>
      </c>
      <c r="AS24" s="45"/>
      <c r="AT24"/>
      <c r="AU24" s="3" t="s">
        <v>176</v>
      </c>
      <c r="AV24" s="3">
        <f>(1-$BD$57)*$AR$5*$AN$23</f>
        <v>80.198611755179485</v>
      </c>
      <c r="AW24" s="14" t="s">
        <v>13</v>
      </c>
      <c r="AX24"/>
      <c r="AY24" s="3" t="s">
        <v>176</v>
      </c>
      <c r="AZ24" s="3">
        <f>(1-$BH$57)*$AR$5*$AN$24</f>
        <v>95.063120043572496</v>
      </c>
      <c r="BA24" s="14" t="s">
        <v>13</v>
      </c>
      <c r="BB24"/>
      <c r="BC24" s="3" t="s">
        <v>173</v>
      </c>
      <c r="BD24" s="3">
        <f>($AN$37+$AN$5)/180*PI()</f>
        <v>0.42341687653382432</v>
      </c>
      <c r="BE24" s="3" t="s">
        <v>170</v>
      </c>
      <c r="BF24" s="3"/>
      <c r="BG24" s="3" t="s">
        <v>173</v>
      </c>
      <c r="BH24" s="3">
        <f>($AN$38+$AN$5)/180*PI()</f>
        <v>0.40037853040749921</v>
      </c>
      <c r="BI24" s="3" t="s">
        <v>170</v>
      </c>
      <c r="BJ24"/>
      <c r="BK24" s="3">
        <v>20</v>
      </c>
      <c r="BL24" s="3">
        <f t="shared" si="17"/>
        <v>0.34894689365087483</v>
      </c>
      <c r="BM24" s="3">
        <v>-7.6294846482194423E-8</v>
      </c>
      <c r="BN24" s="3">
        <f t="shared" si="18"/>
        <v>0.34895222663095771</v>
      </c>
      <c r="BO24" s="3">
        <v>1.6248287500089664E-5</v>
      </c>
      <c r="BP24" s="3">
        <f t="shared" si="7"/>
        <v>0.34894956014091627</v>
      </c>
      <c r="BQ24" s="3">
        <v>8.0860170669910802E-6</v>
      </c>
      <c r="BR24" s="3">
        <f t="shared" si="8"/>
        <v>-6.1692143077848845E-13</v>
      </c>
      <c r="BS24" s="3">
        <f t="shared" si="9"/>
        <v>1.3138393003510285E-10</v>
      </c>
      <c r="BT24" s="3">
        <f t="shared" si="10"/>
        <v>5.3329800828727514E-6</v>
      </c>
      <c r="BU24"/>
      <c r="BV24" s="3">
        <v>20</v>
      </c>
      <c r="BW24" s="3">
        <f t="shared" si="19"/>
        <v>0.27865288317838499</v>
      </c>
      <c r="BX24" s="3">
        <v>-7.8875217465884662E-6</v>
      </c>
      <c r="BY24" s="3">
        <f t="shared" si="20"/>
        <v>0.27865821615846786</v>
      </c>
      <c r="BZ24" s="3">
        <v>5.7016631003631302E-6</v>
      </c>
      <c r="CA24" s="3">
        <f t="shared" si="11"/>
        <v>0.27865554966842643</v>
      </c>
      <c r="CB24" s="3">
        <v>-1.0929090888678328E-6</v>
      </c>
      <c r="CC24" s="3">
        <f t="shared" si="12"/>
        <v>8.6203442054892174E-12</v>
      </c>
      <c r="CD24" s="3">
        <f t="shared" si="13"/>
        <v>-6.2313994240492116E-12</v>
      </c>
      <c r="CE24" s="3">
        <f t="shared" si="14"/>
        <v>5.3329800828727514E-6</v>
      </c>
    </row>
    <row r="25" spans="2:83" x14ac:dyDescent="0.2">
      <c r="B25" t="s">
        <v>131</v>
      </c>
      <c r="C25" s="1">
        <v>5.2</v>
      </c>
      <c r="D25" t="s">
        <v>11</v>
      </c>
      <c r="F25" t="s">
        <v>94</v>
      </c>
      <c r="G25" s="5">
        <f xml:space="preserve"> 1/1000 * (O25 + O21 * (O30 * O27 + $G$16 * SIN(O20/180*PI())))</f>
        <v>36.684557524918915</v>
      </c>
      <c r="H25" t="s">
        <v>81</v>
      </c>
      <c r="N25" s="5" t="s">
        <v>41</v>
      </c>
      <c r="O25" s="5">
        <f xml:space="preserve"> ($C$19 * O24 / 8) * (1 + 4.65 *$C$10^ 2) * ( PI() * $C$38 * O22^3 *$C$7^ 5)</f>
        <v>8596.8505316919982</v>
      </c>
      <c r="P25" s="5" t="s">
        <v>25</v>
      </c>
      <c r="R25" s="5" t="s">
        <v>41</v>
      </c>
      <c r="S25" s="5">
        <f xml:space="preserve"> ($C$19 * S24 / 8) * (1 + 4.65 *$C$10^ 2) * ( PI() * $C$38 * S22^3 *$C$7^ 5)</f>
        <v>8696.162860973589</v>
      </c>
      <c r="T25" s="5" t="s">
        <v>25</v>
      </c>
      <c r="V25" s="5" t="s">
        <v>41</v>
      </c>
      <c r="W25" s="5">
        <f xml:space="preserve"> ($C$19 * W24 / 8) * (1 + 4.65 *$C$10^ 2) * ( PI() * $C$38 * W22^3 *$C$7^ 5)</f>
        <v>8723.9514480831567</v>
      </c>
      <c r="X25" s="5" t="s">
        <v>25</v>
      </c>
      <c r="AB25" s="3">
        <v>21</v>
      </c>
      <c r="AC25" s="3">
        <f t="shared" si="15"/>
        <v>3.6232471466064453E-2</v>
      </c>
      <c r="AD25" s="3">
        <f t="shared" si="0"/>
        <v>2.8049998324064518E-8</v>
      </c>
      <c r="AE25" s="3">
        <f t="shared" si="16"/>
        <v>3.6232948303222656E-2</v>
      </c>
      <c r="AF25" s="3">
        <f t="shared" si="1"/>
        <v>-4.5279388238839147E-7</v>
      </c>
      <c r="AG25" s="3">
        <f t="shared" si="3"/>
        <v>3.6232709884643555E-2</v>
      </c>
      <c r="AH25" s="3">
        <f t="shared" si="2"/>
        <v>-2.1237193571777002E-7</v>
      </c>
      <c r="AI25" s="3">
        <f t="shared" si="4"/>
        <v>-5.9570324409617864E-15</v>
      </c>
      <c r="AJ25" s="3">
        <f t="shared" si="5"/>
        <v>9.6160713283986993E-14</v>
      </c>
      <c r="AK25" s="3">
        <f t="shared" si="6"/>
        <v>4.76837158203125E-7</v>
      </c>
      <c r="AM25" s="45"/>
      <c r="AN25" s="4">
        <f>0.835*($AN$9/2)</f>
        <v>1.2524999999999999</v>
      </c>
      <c r="AO25" s="14" t="s">
        <v>11</v>
      </c>
      <c r="AP25"/>
      <c r="AQ25" s="43"/>
      <c r="AR25" s="45">
        <f>BD39</f>
        <v>-1.4465667899643542E-9</v>
      </c>
      <c r="AS25" s="45"/>
      <c r="AT25"/>
      <c r="AU25" s="3" t="s">
        <v>179</v>
      </c>
      <c r="AV25" s="3">
        <f>SQRT(AV23^2 + AV24^2)</f>
        <v>81.535029849455285</v>
      </c>
      <c r="AW25" s="14" t="s">
        <v>13</v>
      </c>
      <c r="AX25"/>
      <c r="AY25" s="3" t="s">
        <v>179</v>
      </c>
      <c r="AZ25" s="3">
        <f>SQRT(AZ23^2 + AZ24^2)</f>
        <v>96.333532456537057</v>
      </c>
      <c r="BA25" s="14" t="s">
        <v>13</v>
      </c>
      <c r="BB25"/>
      <c r="BC25" s="3" t="s">
        <v>36</v>
      </c>
      <c r="BD25" s="3">
        <f>BD24-BD23</f>
        <v>0.18790139379628851</v>
      </c>
      <c r="BE25" s="3" t="s">
        <v>170</v>
      </c>
      <c r="BF25" s="3"/>
      <c r="BG25" s="3" t="s">
        <v>36</v>
      </c>
      <c r="BH25" s="3">
        <f>BH24-BH23</f>
        <v>0.19562118736959927</v>
      </c>
      <c r="BI25" s="3" t="s">
        <v>170</v>
      </c>
      <c r="BJ25"/>
      <c r="BK25" s="3">
        <v>21</v>
      </c>
      <c r="BL25" s="3">
        <f t="shared" si="17"/>
        <v>0.34894689365087483</v>
      </c>
      <c r="BM25" s="3">
        <v>-7.6294846482194423E-8</v>
      </c>
      <c r="BN25" s="3">
        <f t="shared" si="18"/>
        <v>0.34894956014091627</v>
      </c>
      <c r="BO25" s="3">
        <v>8.0860170669910802E-6</v>
      </c>
      <c r="BP25" s="3">
        <f t="shared" si="7"/>
        <v>0.34894822689589555</v>
      </c>
      <c r="BQ25" s="3">
        <v>4.0048662952735237E-6</v>
      </c>
      <c r="BR25" s="3">
        <f t="shared" si="8"/>
        <v>-3.0555065917960819E-13</v>
      </c>
      <c r="BS25" s="3">
        <f t="shared" si="9"/>
        <v>3.238341721459905E-11</v>
      </c>
      <c r="BT25" s="3">
        <f t="shared" si="10"/>
        <v>2.6664900414363757E-6</v>
      </c>
      <c r="BU25"/>
      <c r="BV25" s="3">
        <v>21</v>
      </c>
      <c r="BW25" s="3">
        <f t="shared" si="19"/>
        <v>0.27865554966842643</v>
      </c>
      <c r="BX25" s="3">
        <v>-1.0929090888678328E-6</v>
      </c>
      <c r="BY25" s="3">
        <f t="shared" si="20"/>
        <v>0.27865821615846786</v>
      </c>
      <c r="BZ25" s="3">
        <v>5.7016631003631302E-6</v>
      </c>
      <c r="CA25" s="3">
        <f t="shared" si="11"/>
        <v>0.27865688291344715</v>
      </c>
      <c r="CB25" s="3">
        <v>2.3043820642498769E-6</v>
      </c>
      <c r="CC25" s="3">
        <f t="shared" si="12"/>
        <v>-2.5184801022427088E-12</v>
      </c>
      <c r="CD25" s="3">
        <f t="shared" si="13"/>
        <v>1.3138810184872144E-11</v>
      </c>
      <c r="CE25" s="3">
        <f t="shared" si="14"/>
        <v>2.6664900414363757E-6</v>
      </c>
    </row>
    <row r="26" spans="2:83" x14ac:dyDescent="0.2">
      <c r="B26" t="s">
        <v>132</v>
      </c>
      <c r="C26" s="1">
        <v>1.8</v>
      </c>
      <c r="D26" t="s">
        <v>11</v>
      </c>
      <c r="F26" s="33" t="s">
        <v>95</v>
      </c>
      <c r="G26" s="35">
        <f>$C$17*G25</f>
        <v>146.73823009967566</v>
      </c>
      <c r="H26" s="33" t="s">
        <v>81</v>
      </c>
      <c r="N26" s="5" t="s">
        <v>42</v>
      </c>
      <c r="O26" s="12">
        <f>AG69</f>
        <v>5.1572582218796015E-2</v>
      </c>
      <c r="R26" s="5" t="s">
        <v>42</v>
      </c>
      <c r="S26" s="12">
        <f>AG34</f>
        <v>3.6232498940080404E-2</v>
      </c>
      <c r="V26" s="5" t="s">
        <v>42</v>
      </c>
      <c r="W26" s="12">
        <f>AG104</f>
        <v>2.7081246022135019E-2</v>
      </c>
      <c r="AB26" s="3">
        <v>22</v>
      </c>
      <c r="AC26" s="3">
        <f t="shared" si="15"/>
        <v>3.6232471466064453E-2</v>
      </c>
      <c r="AD26" s="3">
        <f t="shared" si="0"/>
        <v>2.8049998324064518E-8</v>
      </c>
      <c r="AE26" s="3">
        <f t="shared" si="16"/>
        <v>3.6232709884643555E-2</v>
      </c>
      <c r="AF26" s="3">
        <f t="shared" si="1"/>
        <v>-2.1237193571777002E-7</v>
      </c>
      <c r="AG26" s="3">
        <f t="shared" si="3"/>
        <v>3.6232590675354004E-2</v>
      </c>
      <c r="AH26" s="3">
        <f t="shared" si="2"/>
        <v>-9.2160967121723836E-8</v>
      </c>
      <c r="AI26" s="3">
        <f t="shared" si="4"/>
        <v>-2.5851149733085187E-15</v>
      </c>
      <c r="AJ26" s="3">
        <f t="shared" si="5"/>
        <v>1.957240298526225E-14</v>
      </c>
      <c r="AK26" s="3">
        <f t="shared" si="6"/>
        <v>2.384185791015625E-7</v>
      </c>
      <c r="AM26" s="45"/>
      <c r="AN26" s="4">
        <f>0.945*($AN$9/2)</f>
        <v>1.4175</v>
      </c>
      <c r="AO26" s="5" t="s">
        <v>11</v>
      </c>
      <c r="AP26"/>
      <c r="AQ26" s="43"/>
      <c r="AR26" s="45">
        <f>BH39</f>
        <v>4.1983998846917281E-9</v>
      </c>
      <c r="AS26" s="45"/>
      <c r="AT26"/>
      <c r="AU26" s="3" t="s">
        <v>182</v>
      </c>
      <c r="AV26" s="19">
        <f>$AN$45*AV25*$AN$27/$AN$46</f>
        <v>598443.4251437952</v>
      </c>
      <c r="AW26" s="14"/>
      <c r="AX26"/>
      <c r="AY26" s="3" t="s">
        <v>182</v>
      </c>
      <c r="AZ26" s="19">
        <f>$AN$45*AZ25*$AN$27/$AN$46</f>
        <v>707060.13385823451</v>
      </c>
      <c r="BA26" s="14"/>
      <c r="BB26"/>
      <c r="BC26" s="3" t="s">
        <v>180</v>
      </c>
      <c r="BD26" s="3">
        <f>BD25/PI()*180</f>
        <v>10.765956829153001</v>
      </c>
      <c r="BE26" s="3" t="s">
        <v>53</v>
      </c>
      <c r="BF26" s="3"/>
      <c r="BG26" s="3" t="s">
        <v>180</v>
      </c>
      <c r="BH26" s="3">
        <f>BH25/PI()*180</f>
        <v>11.208268419615925</v>
      </c>
      <c r="BI26" s="3" t="s">
        <v>53</v>
      </c>
      <c r="BJ26"/>
      <c r="BK26" s="3">
        <v>22</v>
      </c>
      <c r="BL26" s="3">
        <f t="shared" si="17"/>
        <v>0.34894689365087483</v>
      </c>
      <c r="BM26" s="3">
        <v>-7.6294846482194423E-8</v>
      </c>
      <c r="BN26" s="3">
        <f t="shared" si="18"/>
        <v>0.34894822689589555</v>
      </c>
      <c r="BO26" s="3">
        <v>4.0048662952735237E-6</v>
      </c>
      <c r="BP26" s="3">
        <f t="shared" si="7"/>
        <v>0.34894756027338519</v>
      </c>
      <c r="BQ26" s="3">
        <v>1.9642870207475793E-6</v>
      </c>
      <c r="BR26" s="3">
        <f t="shared" si="8"/>
        <v>-1.4986497669490363E-13</v>
      </c>
      <c r="BS26" s="3">
        <f t="shared" si="9"/>
        <v>7.8667068836352251E-12</v>
      </c>
      <c r="BT26" s="3">
        <f t="shared" si="10"/>
        <v>1.3332450207181878E-6</v>
      </c>
      <c r="BU26"/>
      <c r="BV26" s="3">
        <v>22</v>
      </c>
      <c r="BW26" s="3">
        <f t="shared" si="19"/>
        <v>0.27865554966842643</v>
      </c>
      <c r="BX26" s="3">
        <v>-1.0929090888678328E-6</v>
      </c>
      <c r="BY26" s="3">
        <f t="shared" si="20"/>
        <v>0.27865688291344715</v>
      </c>
      <c r="BZ26" s="3">
        <v>2.3043820642498769E-6</v>
      </c>
      <c r="CA26" s="3">
        <f t="shared" si="11"/>
        <v>0.27865621629093679</v>
      </c>
      <c r="CB26" s="3">
        <v>6.0573775237382499E-7</v>
      </c>
      <c r="CC26" s="3">
        <f t="shared" si="12"/>
        <v>-6.6201629503972596E-13</v>
      </c>
      <c r="CD26" s="3">
        <f t="shared" si="13"/>
        <v>1.3958512122092755E-12</v>
      </c>
      <c r="CE26" s="3">
        <f t="shared" si="14"/>
        <v>1.3332450207181878E-6</v>
      </c>
    </row>
    <row r="27" spans="2:83" x14ac:dyDescent="0.2">
      <c r="N27" s="5" t="s">
        <v>43</v>
      </c>
      <c r="O27" s="5">
        <f xml:space="preserve"> O22 * $C$7 * O26 - $C$9 * SIN(O20/180*PI())</f>
        <v>3.5215780560931966</v>
      </c>
      <c r="P27" s="5" t="s">
        <v>13</v>
      </c>
      <c r="R27" s="5" t="s">
        <v>43</v>
      </c>
      <c r="S27" s="5">
        <f xml:space="preserve"> S22 * $C$7 * S26 - $C$9 * SIN(S20/180*PI())</f>
        <v>3.5249469514324572</v>
      </c>
      <c r="T27" s="5" t="s">
        <v>13</v>
      </c>
      <c r="V27" s="5" t="s">
        <v>43</v>
      </c>
      <c r="W27" s="5">
        <f xml:space="preserve"> W22 * $C$7 * W26 - $C$9 * SIN(W20/180*PI())</f>
        <v>3.5270310823913631</v>
      </c>
      <c r="X27" s="5" t="s">
        <v>13</v>
      </c>
      <c r="AB27" s="3">
        <v>23</v>
      </c>
      <c r="AC27" s="3">
        <f t="shared" si="15"/>
        <v>3.6232471466064453E-2</v>
      </c>
      <c r="AD27" s="3">
        <f t="shared" si="0"/>
        <v>2.8049998324064518E-8</v>
      </c>
      <c r="AE27" s="3">
        <f t="shared" si="16"/>
        <v>3.6232590675354004E-2</v>
      </c>
      <c r="AF27" s="3">
        <f t="shared" si="1"/>
        <v>-9.2160967121723836E-8</v>
      </c>
      <c r="AG27" s="3">
        <f t="shared" si="3"/>
        <v>3.6232531070709229E-2</v>
      </c>
      <c r="AH27" s="3">
        <f t="shared" si="2"/>
        <v>-3.2055484003312706E-8</v>
      </c>
      <c r="AI27" s="3">
        <f t="shared" si="4"/>
        <v>-8.9915627256999847E-16</v>
      </c>
      <c r="AJ27" s="3">
        <f t="shared" si="5"/>
        <v>2.9542644073002466E-15</v>
      </c>
      <c r="AK27" s="3">
        <f t="shared" si="6"/>
        <v>1.1920928955078125E-7</v>
      </c>
      <c r="AM27" s="45" t="s">
        <v>217</v>
      </c>
      <c r="AN27" s="4">
        <f>0.071475*($AN$9/2)</f>
        <v>0.10721249999999999</v>
      </c>
      <c r="AO27" s="14" t="s">
        <v>11</v>
      </c>
      <c r="AP27"/>
      <c r="AQ27" s="43"/>
      <c r="AR27" s="45">
        <f>BD58</f>
        <v>1.4031971071193361E-10</v>
      </c>
      <c r="AS27" s="45"/>
      <c r="AT27"/>
      <c r="AU27" s="3" t="s">
        <v>186</v>
      </c>
      <c r="AV27" s="18">
        <f xml:space="preserve"> $BD$46 * PI() * $AN$45 * AV25^2 * $BD$52 * $AN$23 * AV22</f>
        <v>418.90501881324332</v>
      </c>
      <c r="AW27" s="14" t="s">
        <v>27</v>
      </c>
      <c r="AX27"/>
      <c r="AY27" s="3" t="s">
        <v>186</v>
      </c>
      <c r="AZ27" s="18">
        <f xml:space="preserve"> $BH$46 * PI() * $AN$45 * AZ25^2 * $BH$52 * $AN$24 * AZ22</f>
        <v>561.2154390193806</v>
      </c>
      <c r="BA27" s="14" t="s">
        <v>27</v>
      </c>
      <c r="BB27"/>
      <c r="BC27" s="3" t="s">
        <v>183</v>
      </c>
      <c r="BD27" s="3">
        <f xml:space="preserve"> $AN$8*$AN$29 / (2*PI()*$AN$21)</f>
        <v>0.13573499102299302</v>
      </c>
      <c r="BE27" s="3"/>
      <c r="BF27" s="3"/>
      <c r="BG27" s="3" t="s">
        <v>183</v>
      </c>
      <c r="BH27" s="3">
        <f xml:space="preserve"> $AN$8*$AN$30 / (2*PI()*$AN$22)</f>
        <v>0.10293858076710952</v>
      </c>
      <c r="BI27" s="3"/>
      <c r="BJ27"/>
      <c r="BK27" s="3">
        <v>23</v>
      </c>
      <c r="BL27" s="3">
        <f t="shared" si="17"/>
        <v>0.34894689365087483</v>
      </c>
      <c r="BM27" s="3">
        <v>-7.6294846482194423E-8</v>
      </c>
      <c r="BN27" s="3">
        <f t="shared" si="18"/>
        <v>0.34894756027338519</v>
      </c>
      <c r="BO27" s="3">
        <v>1.9642870207475793E-6</v>
      </c>
      <c r="BP27" s="3">
        <f t="shared" si="7"/>
        <v>0.34894722696212999</v>
      </c>
      <c r="BQ27" s="3">
        <v>9.4399641115128219E-7</v>
      </c>
      <c r="BR27" s="3">
        <f t="shared" si="8"/>
        <v>-7.2022061268529559E-14</v>
      </c>
      <c r="BS27" s="3">
        <f t="shared" si="9"/>
        <v>1.8542798980567589E-12</v>
      </c>
      <c r="BT27" s="3">
        <f t="shared" si="10"/>
        <v>6.6662251035909392E-7</v>
      </c>
      <c r="BU27"/>
      <c r="BV27" s="3">
        <v>23</v>
      </c>
      <c r="BW27" s="3">
        <f t="shared" si="19"/>
        <v>0.27865554966842643</v>
      </c>
      <c r="BX27" s="3">
        <v>-1.0929090888678328E-6</v>
      </c>
      <c r="BY27" s="3">
        <f t="shared" si="20"/>
        <v>0.27865621629093679</v>
      </c>
      <c r="BZ27" s="3">
        <v>6.0573775237382499E-7</v>
      </c>
      <c r="CA27" s="3">
        <f t="shared" si="11"/>
        <v>0.27865588297968158</v>
      </c>
      <c r="CB27" s="3">
        <v>-2.4358535216650878E-7</v>
      </c>
      <c r="CC27" s="3">
        <f t="shared" si="12"/>
        <v>2.6621664529784928E-13</v>
      </c>
      <c r="CD27" s="3">
        <f t="shared" si="13"/>
        <v>-1.4754884373252765E-13</v>
      </c>
      <c r="CE27" s="3">
        <f t="shared" si="14"/>
        <v>6.6662251035909392E-7</v>
      </c>
    </row>
    <row r="28" spans="2:83" x14ac:dyDescent="0.2">
      <c r="B28" s="52" t="s">
        <v>133</v>
      </c>
      <c r="C28" s="52"/>
      <c r="D28" s="52"/>
      <c r="F28" s="49" t="s">
        <v>98</v>
      </c>
      <c r="G28" s="50"/>
      <c r="H28" s="50"/>
      <c r="N28" s="5" t="s">
        <v>44</v>
      </c>
      <c r="O28" s="5">
        <f xml:space="preserve"> 1/$C$20 - O25 * SQRT( (2*$C$38*PI()*$C$7^2) / O21^3 )</f>
        <v>1.1238704593063964</v>
      </c>
      <c r="R28" s="5" t="s">
        <v>44</v>
      </c>
      <c r="S28" s="5">
        <f xml:space="preserve"> 1/$C$20 - S25 * SQRT( (2*$C$38*PI()*$C$7^2) / S21^3 )</f>
        <v>1.1206429586571711</v>
      </c>
      <c r="V28" s="5" t="s">
        <v>44</v>
      </c>
      <c r="W28" s="5">
        <f xml:space="preserve"> 1/$C$20 - W25 * SQRT( (2*$C$38*PI()*$C$7^2) / W21^3 )</f>
        <v>1.1194736376344057</v>
      </c>
      <c r="AB28" s="3">
        <v>24</v>
      </c>
      <c r="AC28" s="3">
        <f t="shared" si="15"/>
        <v>3.6232471466064453E-2</v>
      </c>
      <c r="AD28" s="3">
        <f t="shared" si="0"/>
        <v>2.8049998324064518E-8</v>
      </c>
      <c r="AE28" s="3">
        <f t="shared" si="16"/>
        <v>3.6232531070709229E-2</v>
      </c>
      <c r="AF28" s="3">
        <f t="shared" si="1"/>
        <v>-3.2055484003312706E-8</v>
      </c>
      <c r="AG28" s="3">
        <f t="shared" si="3"/>
        <v>3.6232501268386841E-2</v>
      </c>
      <c r="AH28" s="3">
        <f t="shared" si="2"/>
        <v>-2.0027427355406857E-9</v>
      </c>
      <c r="AI28" s="3">
        <f t="shared" si="4"/>
        <v>-5.6176930375448628E-17</v>
      </c>
      <c r="AJ28" s="3">
        <f t="shared" si="5"/>
        <v>6.4198887721875182E-17</v>
      </c>
      <c r="AK28" s="3">
        <f t="shared" si="6"/>
        <v>5.9604644775390625E-8</v>
      </c>
      <c r="AM28" s="45"/>
      <c r="AN28" s="4">
        <f>0.069425*($AN$9/2)</f>
        <v>0.10413749999999999</v>
      </c>
      <c r="AO28" s="14" t="s">
        <v>11</v>
      </c>
      <c r="AP28"/>
      <c r="AQ28" s="43"/>
      <c r="AR28" s="45">
        <f>BH58</f>
        <v>-4.1864982175399135E-9</v>
      </c>
      <c r="AS28" s="45"/>
      <c r="AT28"/>
      <c r="AU28" s="3" t="s">
        <v>190</v>
      </c>
      <c r="AV28" s="18">
        <f xml:space="preserve"> $BD$46 * PI() * $AN$45 * AV25^2 * $BD$53 * $AN$23^2 * AV22</f>
        <v>77.647622268836955</v>
      </c>
      <c r="AW28" s="14" t="s">
        <v>191</v>
      </c>
      <c r="AX28"/>
      <c r="AY28" s="3" t="s">
        <v>190</v>
      </c>
      <c r="AZ28" s="18">
        <f xml:space="preserve"> $BH$46 * PI() * $AN$45 * AZ25^2 * $BH$53 * $AN$24^2 * AZ22</f>
        <v>110.377924254345</v>
      </c>
      <c r="BA28" s="14" t="s">
        <v>191</v>
      </c>
      <c r="BB28"/>
      <c r="BC28" s="3" t="s">
        <v>187</v>
      </c>
      <c r="BD28" s="3">
        <f>IF(-$AN$8*($AR$3-$AN$21)/(2*$AN$21*SIN(BD23))&gt;500, 1, 2*ACOS(MIN(1, EXP(-$AN$8*($AR$3-$AN$21)/(2*$AN$21*SIN(BD23)))))/PI() )</f>
        <v>0.99999995244133721</v>
      </c>
      <c r="BE28" s="3"/>
      <c r="BF28" s="3"/>
      <c r="BG28" s="3" t="s">
        <v>187</v>
      </c>
      <c r="BH28" s="3">
        <f>IF(-$AN$8*($AR$3-$AN$22)/(2*$AN$22*SIN(BH23))&gt;500, 1, 2*ACOS(MIN(1, EXP(-$AN$8*($AR$3-$AN$22)/(2*$AN$22*SIN(BH23)))))/PI() )</f>
        <v>0.99999628607128743</v>
      </c>
      <c r="BI28" s="3"/>
      <c r="BJ28"/>
      <c r="BK28" s="3">
        <v>24</v>
      </c>
      <c r="BL28" s="3">
        <f t="shared" si="17"/>
        <v>0.34894689365087483</v>
      </c>
      <c r="BM28" s="3">
        <v>-7.6294846482194423E-8</v>
      </c>
      <c r="BN28" s="3">
        <f t="shared" si="18"/>
        <v>0.34894722696212999</v>
      </c>
      <c r="BO28" s="3">
        <v>9.4399641115128219E-7</v>
      </c>
      <c r="BP28" s="3">
        <f t="shared" si="7"/>
        <v>0.34894706030650241</v>
      </c>
      <c r="BQ28" s="3">
        <v>4.3385086330449685E-7</v>
      </c>
      <c r="BR28" s="3">
        <f t="shared" si="8"/>
        <v>-3.3100585011984105E-14</v>
      </c>
      <c r="BS28" s="3">
        <f t="shared" si="9"/>
        <v>4.0955365793433051E-13</v>
      </c>
      <c r="BT28" s="3">
        <f t="shared" si="10"/>
        <v>3.3331125515179139E-7</v>
      </c>
      <c r="BU28"/>
      <c r="BV28" s="3">
        <v>24</v>
      </c>
      <c r="BW28" s="3">
        <f t="shared" si="19"/>
        <v>0.27865588297968158</v>
      </c>
      <c r="BX28" s="3">
        <v>-2.4358535216650878E-7</v>
      </c>
      <c r="BY28" s="3">
        <f t="shared" si="20"/>
        <v>0.27865621629093679</v>
      </c>
      <c r="BZ28" s="3">
        <v>6.0573775237382499E-7</v>
      </c>
      <c r="CA28" s="3">
        <f t="shared" si="11"/>
        <v>0.27865604963530921</v>
      </c>
      <c r="CB28" s="3">
        <v>1.8107627919317082E-7</v>
      </c>
      <c r="CC28" s="3">
        <f t="shared" si="12"/>
        <v>-4.4107529236269582E-14</v>
      </c>
      <c r="CD28" s="3">
        <f t="shared" si="13"/>
        <v>1.096847383666865E-13</v>
      </c>
      <c r="CE28" s="3">
        <f t="shared" si="14"/>
        <v>3.3331125520730254E-7</v>
      </c>
    </row>
    <row r="29" spans="2:83" x14ac:dyDescent="0.2">
      <c r="B29" t="s">
        <v>134</v>
      </c>
      <c r="C29" s="1">
        <v>0.3</v>
      </c>
      <c r="D29" t="s">
        <v>11</v>
      </c>
      <c r="F29" s="11" t="s">
        <v>100</v>
      </c>
      <c r="G29" s="5">
        <f xml:space="preserve"> ($C$14-G23-G43)/$C$9</f>
        <v>1600.2478630521136</v>
      </c>
      <c r="H29" s="5" t="s">
        <v>18</v>
      </c>
      <c r="N29" s="5" t="s">
        <v>45</v>
      </c>
      <c r="O29" s="8">
        <v>1.1499999999999999</v>
      </c>
      <c r="R29" s="5" t="s">
        <v>45</v>
      </c>
      <c r="S29" s="8">
        <v>1.1499999999999999</v>
      </c>
      <c r="V29" s="5" t="s">
        <v>45</v>
      </c>
      <c r="W29" s="8">
        <v>1.1499999999999999</v>
      </c>
      <c r="AB29" s="3">
        <v>25</v>
      </c>
      <c r="AC29" s="3">
        <f t="shared" si="15"/>
        <v>3.6232471466064453E-2</v>
      </c>
      <c r="AD29" s="3">
        <f t="shared" si="0"/>
        <v>2.8049998324064518E-8</v>
      </c>
      <c r="AE29" s="3">
        <f t="shared" si="16"/>
        <v>3.6232501268386841E-2</v>
      </c>
      <c r="AF29" s="3">
        <f t="shared" si="1"/>
        <v>-2.0027427355406857E-9</v>
      </c>
      <c r="AG29" s="3">
        <f t="shared" si="3"/>
        <v>3.6232486367225647E-2</v>
      </c>
      <c r="AH29" s="3">
        <f t="shared" si="2"/>
        <v>1.3023627822017492E-8</v>
      </c>
      <c r="AI29" s="3">
        <f t="shared" si="4"/>
        <v>3.6531273858083067E-16</v>
      </c>
      <c r="AJ29" s="3">
        <f t="shared" si="5"/>
        <v>-2.6082976010931093E-17</v>
      </c>
      <c r="AK29" s="3">
        <f t="shared" si="6"/>
        <v>2.9802322387695312E-8</v>
      </c>
      <c r="AM29" s="45"/>
      <c r="AN29" s="4">
        <f>0.067375*($AN$9/2)</f>
        <v>0.1010625</v>
      </c>
      <c r="AO29" s="14" t="s">
        <v>11</v>
      </c>
      <c r="AP29"/>
      <c r="AQ29" s="43"/>
      <c r="AR29" s="45">
        <f>BD77</f>
        <v>-3.7152929413530877E-9</v>
      </c>
      <c r="AS29" s="45"/>
      <c r="AT29"/>
      <c r="AU29"/>
      <c r="AV29"/>
      <c r="AW29"/>
      <c r="AX29"/>
      <c r="AY29"/>
      <c r="AZ29"/>
      <c r="BA29"/>
      <c r="BB29"/>
      <c r="BC29" s="3" t="s">
        <v>192</v>
      </c>
      <c r="BD29" s="3">
        <f>IF(-$AN$8*($AN$21-$AN$10)/(2*$AN$21*SIN(BD23))&gt;500, 1, 2*ACOS(MIN(1, EXP(-$AN$8*($AN$21-$AN$10)/(2*$AN$21*SIN(BD23)))))/PI() )</f>
        <v>0.99963314574407525</v>
      </c>
      <c r="BE29" s="3"/>
      <c r="BF29" s="3"/>
      <c r="BG29" s="3" t="s">
        <v>192</v>
      </c>
      <c r="BH29" s="3">
        <f>IF(-$AN$8*($AN$22-$AN$10)/(2*$AN$22*SIN(BH23))&gt;500, 1, 2*ACOS(MIN(1, EXP(-$AN$8*($AN$22-$AN$10)/(2*$AN$22*SIN(BH23)))))/PI() )</f>
        <v>0.99994593016782574</v>
      </c>
      <c r="BI29" s="3"/>
      <c r="BJ29"/>
      <c r="BK29" s="3">
        <v>25</v>
      </c>
      <c r="BL29" s="3">
        <f t="shared" si="17"/>
        <v>0.34894689365087483</v>
      </c>
      <c r="BM29" s="3">
        <v>-7.6294846482194423E-8</v>
      </c>
      <c r="BN29" s="3">
        <f t="shared" si="18"/>
        <v>0.34894706030650241</v>
      </c>
      <c r="BO29" s="3">
        <v>4.3385086330449685E-7</v>
      </c>
      <c r="BP29" s="3">
        <f t="shared" si="7"/>
        <v>0.34894697697868859</v>
      </c>
      <c r="BQ29" s="3">
        <v>1.7877802861721026E-7</v>
      </c>
      <c r="BR29" s="3">
        <f t="shared" si="8"/>
        <v>-1.3639842247739419E-14</v>
      </c>
      <c r="BS29" s="3">
        <f t="shared" si="9"/>
        <v>7.7563002055452721E-14</v>
      </c>
      <c r="BT29" s="3">
        <f t="shared" si="10"/>
        <v>1.6665562757589569E-7</v>
      </c>
      <c r="BU29"/>
      <c r="BV29" s="3">
        <v>25</v>
      </c>
      <c r="BW29" s="3">
        <f t="shared" si="19"/>
        <v>0.27865588297968158</v>
      </c>
      <c r="BX29" s="3">
        <v>-2.4358535216650878E-7</v>
      </c>
      <c r="BY29" s="3">
        <f t="shared" si="20"/>
        <v>0.27865604963530921</v>
      </c>
      <c r="BZ29" s="3">
        <v>1.8107627919317082E-7</v>
      </c>
      <c r="CA29" s="3">
        <f t="shared" si="11"/>
        <v>0.2786559663074954</v>
      </c>
      <c r="CB29" s="3">
        <v>-3.1254516807965871E-8</v>
      </c>
      <c r="CC29" s="3">
        <f t="shared" si="12"/>
        <v>7.6131424834624344E-15</v>
      </c>
      <c r="CD29" s="3">
        <f t="shared" si="13"/>
        <v>-5.6594516115668779E-15</v>
      </c>
      <c r="CE29" s="3">
        <f t="shared" si="14"/>
        <v>1.6665562763140684E-7</v>
      </c>
    </row>
    <row r="30" spans="2:83" x14ac:dyDescent="0.2">
      <c r="B30" t="s">
        <v>135</v>
      </c>
      <c r="C30" s="1">
        <v>5.7</v>
      </c>
      <c r="D30"/>
      <c r="F30" t="s">
        <v>237</v>
      </c>
      <c r="G30" s="9">
        <f>S22*$C$7</f>
        <v>166.45716502353486</v>
      </c>
      <c r="H30" s="5" t="s">
        <v>13</v>
      </c>
      <c r="N30" s="5" t="s">
        <v>46</v>
      </c>
      <c r="O30" s="5">
        <f xml:space="preserve"> 1/$C$45 * LN( EXP($C$45 * O28) + EXP($C$45 * O29) )</f>
        <v>1.1625374725482751</v>
      </c>
      <c r="R30" s="5" t="s">
        <v>46</v>
      </c>
      <c r="S30" s="5">
        <f xml:space="preserve"> 1/$C$45 * LN( EXP($C$45 * S28) + EXP($C$45 * S29) )</f>
        <v>1.161558921086014</v>
      </c>
      <c r="V30" s="5" t="s">
        <v>46</v>
      </c>
      <c r="W30" s="5">
        <f xml:space="preserve"> 1/$C$45 * LN( EXP($C$45 * W28) + EXP($C$45 * W29) )</f>
        <v>1.1612205026506952</v>
      </c>
      <c r="AB30" s="3">
        <v>26</v>
      </c>
      <c r="AC30" s="3">
        <f t="shared" si="15"/>
        <v>3.6232486367225647E-2</v>
      </c>
      <c r="AD30" s="3">
        <f t="shared" si="0"/>
        <v>1.3023627822017492E-8</v>
      </c>
      <c r="AE30" s="3">
        <f t="shared" si="16"/>
        <v>3.6232501268386841E-2</v>
      </c>
      <c r="AF30" s="3">
        <f t="shared" si="1"/>
        <v>-2.0027427355406857E-9</v>
      </c>
      <c r="AG30" s="3">
        <f t="shared" si="3"/>
        <v>3.6232493817806244E-2</v>
      </c>
      <c r="AH30" s="3">
        <f t="shared" si="2"/>
        <v>5.5104425467078499E-9</v>
      </c>
      <c r="AI30" s="3">
        <f t="shared" si="4"/>
        <v>7.1765952862933278E-17</v>
      </c>
      <c r="AJ30" s="3">
        <f t="shared" si="5"/>
        <v>-1.1035998780033462E-17</v>
      </c>
      <c r="AK30" s="3">
        <f t="shared" si="6"/>
        <v>1.4901161193847656E-8</v>
      </c>
      <c r="AM30" s="45"/>
      <c r="AN30" s="4">
        <f>0.065325*($AN$9/2)</f>
        <v>9.7987499999999991E-2</v>
      </c>
      <c r="AO30" s="14" t="s">
        <v>11</v>
      </c>
      <c r="AP30"/>
      <c r="AQ30" s="21" t="s">
        <v>218</v>
      </c>
      <c r="AR30" s="45" t="b">
        <f>IF(AR23&lt;0.00001,IF(AR24&lt;0.00001,IF(AR25&lt;0.00001,IF(AR26&lt;0.00001,IF(AR27&lt;0.00001,IF(AR28&lt;0.00001,IF(AR29&lt;0.00001,TRUE,FALSE),FALSE),FALSE),FALSE),FALSE),FALSE),FALSE)</f>
        <v>1</v>
      </c>
      <c r="AS30" s="45"/>
      <c r="AT30"/>
      <c r="AU30" s="44" t="s">
        <v>219</v>
      </c>
      <c r="AV30" s="44"/>
      <c r="AW30" s="44"/>
      <c r="AX30"/>
      <c r="AY30" s="44" t="s">
        <v>220</v>
      </c>
      <c r="AZ30" s="44"/>
      <c r="BA30" s="44"/>
      <c r="BB30"/>
      <c r="BC30" s="3" t="s">
        <v>196</v>
      </c>
      <c r="BD30" s="3">
        <f>IF(BD23=0,1,BD28*BD29)</f>
        <v>0.9996330982028595</v>
      </c>
      <c r="BE30" s="3"/>
      <c r="BF30" s="3"/>
      <c r="BG30" s="3" t="s">
        <v>196</v>
      </c>
      <c r="BH30" s="3">
        <f>IF(BH23=0,1,BH28*BH29)</f>
        <v>0.99994221643992465</v>
      </c>
      <c r="BI30" s="3"/>
      <c r="BJ30"/>
      <c r="BK30" s="3">
        <v>26</v>
      </c>
      <c r="BL30" s="3">
        <f t="shared" si="17"/>
        <v>0.34894689365087483</v>
      </c>
      <c r="BM30" s="3">
        <v>-7.6294846482194423E-8</v>
      </c>
      <c r="BN30" s="3">
        <f t="shared" si="18"/>
        <v>0.34894697697868859</v>
      </c>
      <c r="BO30" s="3">
        <v>1.7877802861721026E-7</v>
      </c>
      <c r="BP30" s="3">
        <f t="shared" si="7"/>
        <v>0.34894693531478171</v>
      </c>
      <c r="BQ30" s="3">
        <v>5.1241596132900469E-8</v>
      </c>
      <c r="BR30" s="3">
        <f t="shared" si="8"/>
        <v>-3.9094697104622489E-15</v>
      </c>
      <c r="BS30" s="3">
        <f t="shared" si="9"/>
        <v>9.160871539839211E-15</v>
      </c>
      <c r="BT30" s="3">
        <f t="shared" si="10"/>
        <v>8.3327813760192271E-8</v>
      </c>
      <c r="BU30"/>
      <c r="BV30" s="3">
        <v>26</v>
      </c>
      <c r="BW30" s="3">
        <f t="shared" si="19"/>
        <v>0.2786559663074954</v>
      </c>
      <c r="BX30" s="3">
        <v>-3.1254516807965871E-8</v>
      </c>
      <c r="BY30" s="3">
        <f t="shared" si="20"/>
        <v>0.27865604963530921</v>
      </c>
      <c r="BZ30" s="3">
        <v>1.8107627919317082E-7</v>
      </c>
      <c r="CA30" s="3">
        <f t="shared" si="11"/>
        <v>0.27865600797140233</v>
      </c>
      <c r="CB30" s="3">
        <v>7.4910886271872812E-8</v>
      </c>
      <c r="CC30" s="3">
        <f t="shared" si="12"/>
        <v>-2.3413035540838688E-15</v>
      </c>
      <c r="CD30" s="3">
        <f t="shared" si="13"/>
        <v>1.3564584557173509E-14</v>
      </c>
      <c r="CE30" s="3">
        <f t="shared" si="14"/>
        <v>8.3327813815703422E-8</v>
      </c>
    </row>
    <row r="31" spans="2:83" x14ac:dyDescent="0.2">
      <c r="F31" s="5" t="s">
        <v>238</v>
      </c>
      <c r="G31" s="5">
        <f>G30/$C$40</f>
        <v>0.48898161374181842</v>
      </c>
      <c r="H31" s="5" t="s">
        <v>242</v>
      </c>
      <c r="AB31" s="3">
        <v>27</v>
      </c>
      <c r="AC31" s="3">
        <f t="shared" si="15"/>
        <v>3.6232493817806244E-2</v>
      </c>
      <c r="AD31" s="3">
        <f t="shared" si="0"/>
        <v>5.5104425467078499E-9</v>
      </c>
      <c r="AE31" s="3">
        <f t="shared" si="16"/>
        <v>3.6232501268386841E-2</v>
      </c>
      <c r="AF31" s="3">
        <f t="shared" si="1"/>
        <v>-2.0027427355406857E-9</v>
      </c>
      <c r="AG31" s="3">
        <f t="shared" si="3"/>
        <v>3.6232497543096542E-2</v>
      </c>
      <c r="AH31" s="3">
        <f t="shared" si="2"/>
        <v>1.7538499055835821E-9</v>
      </c>
      <c r="AI31" s="3">
        <f t="shared" si="4"/>
        <v>9.6644891402673164E-18</v>
      </c>
      <c r="AJ31" s="3">
        <f t="shared" si="5"/>
        <v>-3.5125101576362367E-18</v>
      </c>
      <c r="AK31" s="3">
        <f t="shared" si="6"/>
        <v>7.4505805969238281E-9</v>
      </c>
      <c r="AM31" s="45"/>
      <c r="AN31" s="4">
        <f>0.063275*($AN$9/2)</f>
        <v>9.4912499999999997E-2</v>
      </c>
      <c r="AO31" s="14" t="s">
        <v>11</v>
      </c>
      <c r="AP31"/>
      <c r="AQ31"/>
      <c r="AR31"/>
      <c r="AS31"/>
      <c r="AT31"/>
      <c r="AU31" s="3" t="s">
        <v>168</v>
      </c>
      <c r="AV31" s="3">
        <f>$AN$25-$AN$24</f>
        <v>0.16500000000000004</v>
      </c>
      <c r="AW31" s="14" t="s">
        <v>11</v>
      </c>
      <c r="AX31"/>
      <c r="AY31" s="3" t="s">
        <v>168</v>
      </c>
      <c r="AZ31" s="3">
        <f>2*($AN$9/2 - $AN$26)</f>
        <v>0.16500000000000004</v>
      </c>
      <c r="BA31" s="14" t="s">
        <v>11</v>
      </c>
      <c r="BB31"/>
      <c r="BC31" s="3" t="s">
        <v>200</v>
      </c>
      <c r="BD31" s="3">
        <f>IF(BD26&lt;$AW$43, $AR$44*BD26^2 + $AS$44*BD26 + $AT$44, IF(BD26&gt;$AX$43, $AY$44*BD26^2 + $AZ$44*BD26 + $BA$44, $AU$44*BD26^3 + $AV$44*BD26^2 + $AW$44*BD26 + $AX$44))</f>
        <v>1.3095235316644507</v>
      </c>
      <c r="BE31" s="3"/>
      <c r="BF31" s="3"/>
      <c r="BG31" s="3" t="s">
        <v>200</v>
      </c>
      <c r="BH31" s="3">
        <f>IF(BH26&lt;$AW$43, $AR$44*BH26^2 + $AS$44*BH26 + $AT$44, IF(BH26&gt;$AX$43, $AY$44*BH26^2 + $AZ$44*BH26 + $BA$44, $AU$44*BH26^3 + $AV$44*BH26^2 + $AW$44*BH26 + $AX$44))</f>
        <v>1.3384270545965729</v>
      </c>
      <c r="BI31" s="3"/>
      <c r="BJ31"/>
      <c r="BK31" s="3">
        <v>27</v>
      </c>
      <c r="BL31" s="3">
        <f t="shared" si="17"/>
        <v>0.34894689365087483</v>
      </c>
      <c r="BM31" s="3">
        <v>-7.6294846482194423E-8</v>
      </c>
      <c r="BN31" s="3">
        <f t="shared" si="18"/>
        <v>0.34894693531478171</v>
      </c>
      <c r="BO31" s="3">
        <v>5.1241596132900469E-8</v>
      </c>
      <c r="BP31" s="3">
        <f t="shared" si="7"/>
        <v>0.34894691448282827</v>
      </c>
      <c r="BQ31" s="3">
        <v>-1.2526623946462756E-8</v>
      </c>
      <c r="BR31" s="3">
        <f t="shared" si="8"/>
        <v>9.5571685093555635E-16</v>
      </c>
      <c r="BS31" s="3">
        <f t="shared" si="9"/>
        <v>-6.4188420517336433E-16</v>
      </c>
      <c r="BT31" s="3">
        <f t="shared" si="10"/>
        <v>4.1663906880096135E-8</v>
      </c>
      <c r="BU31"/>
      <c r="BV31" s="3">
        <v>27</v>
      </c>
      <c r="BW31" s="3">
        <f t="shared" si="19"/>
        <v>0.2786559663074954</v>
      </c>
      <c r="BX31" s="3">
        <v>-3.1254516807965871E-8</v>
      </c>
      <c r="BY31" s="3">
        <f t="shared" si="20"/>
        <v>0.27865600797140233</v>
      </c>
      <c r="BZ31" s="3">
        <v>7.4910886271872812E-8</v>
      </c>
      <c r="CA31" s="3">
        <f t="shared" si="11"/>
        <v>0.27865598713944884</v>
      </c>
      <c r="CB31" s="3">
        <v>2.182818593932101E-8</v>
      </c>
      <c r="CC31" s="3">
        <f t="shared" si="12"/>
        <v>-6.8222940432791275E-16</v>
      </c>
      <c r="CD31" s="3">
        <f t="shared" si="13"/>
        <v>1.6351687544217694E-15</v>
      </c>
      <c r="CE31" s="3">
        <f t="shared" si="14"/>
        <v>4.1663906935607287E-8</v>
      </c>
    </row>
    <row r="32" spans="2:83" x14ac:dyDescent="0.2">
      <c r="B32" s="49" t="s">
        <v>5</v>
      </c>
      <c r="C32" s="50"/>
      <c r="D32" s="50"/>
      <c r="F32" s="11" t="s">
        <v>28</v>
      </c>
      <c r="G32" s="5">
        <f xml:space="preserve"> 1/1000 * (S25 + S21 * (S27 * S30 + $C$9 * SIN(S20/180*PI())))</f>
        <v>28.963924961385516</v>
      </c>
      <c r="H32" s="5" t="s">
        <v>81</v>
      </c>
      <c r="AB32" s="3">
        <v>28</v>
      </c>
      <c r="AC32" s="3">
        <f t="shared" si="15"/>
        <v>3.6232497543096542E-2</v>
      </c>
      <c r="AD32" s="3">
        <f t="shared" si="0"/>
        <v>1.7538499055835821E-9</v>
      </c>
      <c r="AE32" s="3">
        <f t="shared" si="16"/>
        <v>3.6232501268386841E-2</v>
      </c>
      <c r="AF32" s="3">
        <f t="shared" si="1"/>
        <v>-2.0027427355406857E-9</v>
      </c>
      <c r="AG32" s="3">
        <f t="shared" si="3"/>
        <v>3.6232499405741692E-2</v>
      </c>
      <c r="AH32" s="3">
        <f t="shared" si="2"/>
        <v>-1.2444641150910485E-10</v>
      </c>
      <c r="AI32" s="3">
        <f t="shared" si="4"/>
        <v>-2.1826032707545914E-19</v>
      </c>
      <c r="AJ32" s="3">
        <f t="shared" si="5"/>
        <v>2.4923414661396652E-19</v>
      </c>
      <c r="AK32" s="3">
        <f t="shared" si="6"/>
        <v>3.7252902984619141E-9</v>
      </c>
      <c r="AM32" s="45"/>
      <c r="AN32" s="4">
        <f>0.061225*($AN$9/2)</f>
        <v>9.1837500000000002E-2</v>
      </c>
      <c r="AO32" s="14" t="s">
        <v>11</v>
      </c>
      <c r="AP32"/>
      <c r="AQ32"/>
      <c r="AR32"/>
      <c r="AS32"/>
      <c r="AT32"/>
      <c r="AU32" s="3" t="s">
        <v>172</v>
      </c>
      <c r="AV32" s="3">
        <f>(1+$BD$75)*$AN$3</f>
        <v>16.388355077720224</v>
      </c>
      <c r="AW32" s="14" t="s">
        <v>13</v>
      </c>
      <c r="AX32"/>
      <c r="AY32" s="3" t="s">
        <v>172</v>
      </c>
      <c r="AZ32" s="3">
        <f>(1+$BH$75)*$AN$3</f>
        <v>18.493554091899298</v>
      </c>
      <c r="BA32" s="14" t="s">
        <v>13</v>
      </c>
      <c r="BB32"/>
      <c r="BC32" s="3" t="s">
        <v>201</v>
      </c>
      <c r="BD32" s="3">
        <f>IF(BD26&lt;$AW$43, $AR$45*BD26^2 + $AS$45*BD26 + $AT$45, IF(BD26&gt;$AX$43, $AY$45*BD26^2 + $AZ$45*BD26 + $BA$45, $AU$45*BD26^3 + $AV$45*BD26^2 + $AW$45*BD26 + $AX$45))</f>
        <v>2.0654794364202485E-2</v>
      </c>
      <c r="BE32" s="3"/>
      <c r="BF32" s="3"/>
      <c r="BG32" s="3" t="s">
        <v>201</v>
      </c>
      <c r="BH32" s="3">
        <f>IF(BH26&lt;$AW$43, $AR$45*BH26^2 + $AS$45*BH26 + $AT$45, IF(BH26&gt;$AX$43, $AY$45*BH26^2 + $AZ$45*BH26 + $BA$45, $AU$45*BH26^3 + $AV$45*BH26^2 + $AW$45*BH26 + $AX$45))</f>
        <v>2.2651575973210644E-2</v>
      </c>
      <c r="BI32" s="3"/>
      <c r="BJ32"/>
      <c r="BK32" s="3">
        <v>28</v>
      </c>
      <c r="BL32" s="3">
        <f t="shared" si="17"/>
        <v>0.34894691448282827</v>
      </c>
      <c r="BM32" s="3">
        <v>-1.2526623946462756E-8</v>
      </c>
      <c r="BN32" s="3">
        <f t="shared" si="18"/>
        <v>0.34894693531478171</v>
      </c>
      <c r="BO32" s="3">
        <v>5.1241596132900469E-8</v>
      </c>
      <c r="BP32" s="3">
        <f t="shared" si="7"/>
        <v>0.34894692489880497</v>
      </c>
      <c r="BQ32" s="3">
        <v>1.9357486363835719E-8</v>
      </c>
      <c r="BR32" s="3">
        <f t="shared" si="8"/>
        <v>-2.4248395222855077E-16</v>
      </c>
      <c r="BS32" s="3">
        <f t="shared" si="9"/>
        <v>9.9190849840379799E-16</v>
      </c>
      <c r="BT32" s="3">
        <f t="shared" si="10"/>
        <v>2.0831953440048068E-8</v>
      </c>
      <c r="BU32"/>
      <c r="BV32" s="3">
        <v>28</v>
      </c>
      <c r="BW32" s="3">
        <f t="shared" si="19"/>
        <v>0.2786559663074954</v>
      </c>
      <c r="BX32" s="3">
        <v>-3.1254516807965871E-8</v>
      </c>
      <c r="BY32" s="3">
        <f t="shared" si="20"/>
        <v>0.27865598713944884</v>
      </c>
      <c r="BZ32" s="3">
        <v>2.182818593932101E-8</v>
      </c>
      <c r="CA32" s="3">
        <f t="shared" si="11"/>
        <v>0.27865597672347209</v>
      </c>
      <c r="CB32" s="3">
        <v>-4.7131652053389317E-9</v>
      </c>
      <c r="CC32" s="3">
        <f t="shared" si="12"/>
        <v>1.4730770112898555E-16</v>
      </c>
      <c r="CD32" s="3">
        <f t="shared" si="13"/>
        <v>-1.0287984646487629E-16</v>
      </c>
      <c r="CE32" s="3">
        <f t="shared" si="14"/>
        <v>2.0831953440048068E-8</v>
      </c>
    </row>
    <row r="33" spans="2:83" x14ac:dyDescent="0.2">
      <c r="B33" s="5" t="s">
        <v>6</v>
      </c>
      <c r="C33" s="8">
        <v>250</v>
      </c>
      <c r="D33" s="5" t="s">
        <v>7</v>
      </c>
      <c r="F33" s="36" t="s">
        <v>29</v>
      </c>
      <c r="G33" s="34">
        <f>$C$17 * G32</f>
        <v>115.85569984554206</v>
      </c>
      <c r="H33" s="34" t="s">
        <v>81</v>
      </c>
      <c r="N33" s="42" t="s">
        <v>243</v>
      </c>
      <c r="O33" s="42"/>
      <c r="P33" s="42"/>
      <c r="Q33" s="42"/>
      <c r="R33" s="3"/>
      <c r="S33" s="3"/>
      <c r="T33" s="3"/>
      <c r="U33" s="3"/>
      <c r="V33" s="3"/>
      <c r="W33" s="3"/>
      <c r="AB33" s="3">
        <v>29</v>
      </c>
      <c r="AC33" s="3">
        <f t="shared" si="15"/>
        <v>3.6232497543096542E-2</v>
      </c>
      <c r="AD33" s="3">
        <f t="shared" si="0"/>
        <v>1.7538499055835821E-9</v>
      </c>
      <c r="AE33" s="3">
        <f t="shared" si="16"/>
        <v>3.6232499405741692E-2</v>
      </c>
      <c r="AF33" s="3">
        <f t="shared" si="1"/>
        <v>-1.2444641150910485E-10</v>
      </c>
      <c r="AG33" s="3">
        <f t="shared" si="3"/>
        <v>3.6232498474419117E-2</v>
      </c>
      <c r="AH33" s="3">
        <f t="shared" si="2"/>
        <v>8.1470175050668558E-10</v>
      </c>
      <c r="AI33" s="3">
        <f t="shared" si="4"/>
        <v>1.4288645882049296E-18</v>
      </c>
      <c r="AJ33" s="3">
        <f t="shared" si="5"/>
        <v>-1.0138670930074306E-19</v>
      </c>
      <c r="AK33" s="3">
        <f t="shared" si="6"/>
        <v>1.862645149230957E-9</v>
      </c>
      <c r="AM33" s="45"/>
      <c r="AN33" s="4">
        <f>0.059175*($AN$9/2)</f>
        <v>8.8762499999999994E-2</v>
      </c>
      <c r="AO33" s="14" t="s">
        <v>11</v>
      </c>
      <c r="AP33"/>
      <c r="AQ33"/>
      <c r="AR33"/>
      <c r="AS33"/>
      <c r="AT33"/>
      <c r="AU33" s="3" t="s">
        <v>176</v>
      </c>
      <c r="AV33" s="3">
        <f>(1-$BD$76)*$AR$5*$AN$25</f>
        <v>109.92650748134518</v>
      </c>
      <c r="AW33" s="14" t="s">
        <v>13</v>
      </c>
      <c r="AX33"/>
      <c r="AY33" s="3" t="s">
        <v>176</v>
      </c>
      <c r="AZ33" s="3">
        <f>(1-$BH$76)*$AR$5*$AN$26</f>
        <v>124.41829226494698</v>
      </c>
      <c r="BA33" s="14" t="s">
        <v>13</v>
      </c>
      <c r="BB33"/>
      <c r="BC33" s="3" t="s">
        <v>203</v>
      </c>
      <c r="BD33" s="3">
        <f xml:space="preserve"> BD31*COS(BD23) - BD32*SIN(BD23)</f>
        <v>1.2685533901919988</v>
      </c>
      <c r="BE33" s="3"/>
      <c r="BF33"/>
      <c r="BG33" s="3" t="s">
        <v>203</v>
      </c>
      <c r="BH33" s="3">
        <f xml:space="preserve"> BH31*COS(BH23) - BH32*SIN(BH23)</f>
        <v>1.3058620500838523</v>
      </c>
      <c r="BI33" s="3"/>
      <c r="BJ33"/>
      <c r="BK33" s="3">
        <v>29</v>
      </c>
      <c r="BL33" s="3">
        <f t="shared" si="17"/>
        <v>0.34894691448282827</v>
      </c>
      <c r="BM33" s="3">
        <v>-1.2526623946462756E-8</v>
      </c>
      <c r="BN33" s="3">
        <f t="shared" si="18"/>
        <v>0.34894692489880497</v>
      </c>
      <c r="BO33" s="3">
        <v>1.9357486363835719E-8</v>
      </c>
      <c r="BP33" s="3">
        <f t="shared" si="7"/>
        <v>0.34894691969081659</v>
      </c>
      <c r="BQ33" s="3">
        <v>3.4154312433809508E-9</v>
      </c>
      <c r="BR33" s="3">
        <f t="shared" si="8"/>
        <v>-4.2783822800832887E-17</v>
      </c>
      <c r="BS33" s="3">
        <f t="shared" si="9"/>
        <v>6.6114163720365225E-17</v>
      </c>
      <c r="BT33" s="3">
        <f t="shared" si="10"/>
        <v>1.0415976692268458E-8</v>
      </c>
      <c r="BU33"/>
      <c r="BV33" s="3">
        <v>29</v>
      </c>
      <c r="BW33" s="3">
        <f t="shared" si="19"/>
        <v>0.27865597672347209</v>
      </c>
      <c r="BX33" s="3">
        <v>-4.7131652053389317E-9</v>
      </c>
      <c r="BY33" s="3">
        <f t="shared" si="20"/>
        <v>0.27865598713944884</v>
      </c>
      <c r="BZ33" s="3">
        <v>2.182818593932101E-8</v>
      </c>
      <c r="CA33" s="3">
        <f t="shared" si="11"/>
        <v>0.27865598193146046</v>
      </c>
      <c r="CB33" s="3">
        <v>8.5575104780133415E-9</v>
      </c>
      <c r="CC33" s="3">
        <f t="shared" si="12"/>
        <v>-4.0332960629295807E-17</v>
      </c>
      <c r="CD33" s="3">
        <f t="shared" si="13"/>
        <v>1.8679492989176303E-16</v>
      </c>
      <c r="CE33" s="3">
        <f t="shared" si="14"/>
        <v>1.0415976747779609E-8</v>
      </c>
    </row>
    <row r="34" spans="2:83" x14ac:dyDescent="0.2">
      <c r="B34" s="5" t="s">
        <v>8</v>
      </c>
      <c r="C34" s="8">
        <v>0.85</v>
      </c>
      <c r="N34" s="7" t="s">
        <v>54</v>
      </c>
      <c r="O34" s="7" t="s">
        <v>55</v>
      </c>
      <c r="P34" s="7" t="s">
        <v>56</v>
      </c>
      <c r="Q34" s="7" t="s">
        <v>57</v>
      </c>
      <c r="R34" s="7" t="s">
        <v>58</v>
      </c>
      <c r="S34" s="7" t="s">
        <v>59</v>
      </c>
      <c r="T34" s="7" t="s">
        <v>60</v>
      </c>
      <c r="U34" s="7" t="s">
        <v>61</v>
      </c>
      <c r="V34" s="7" t="s">
        <v>62</v>
      </c>
      <c r="W34" s="7" t="s">
        <v>63</v>
      </c>
      <c r="AB34" s="3">
        <v>30</v>
      </c>
      <c r="AC34" s="3">
        <f t="shared" si="15"/>
        <v>3.6232498474419117E-2</v>
      </c>
      <c r="AD34" s="3">
        <f t="shared" si="0"/>
        <v>8.1470175050668558E-10</v>
      </c>
      <c r="AE34" s="3">
        <f t="shared" si="16"/>
        <v>3.6232499405741692E-2</v>
      </c>
      <c r="AF34" s="3">
        <f t="shared" si="1"/>
        <v>-1.2444641150910485E-10</v>
      </c>
      <c r="AG34" s="3">
        <f t="shared" si="3"/>
        <v>3.6232498940080404E-2</v>
      </c>
      <c r="AH34" s="3">
        <f t="shared" si="2"/>
        <v>3.4512766255989646E-10</v>
      </c>
      <c r="AI34" s="3">
        <f t="shared" si="4"/>
        <v>2.8117611083582834E-19</v>
      </c>
      <c r="AJ34" s="3">
        <f t="shared" si="5"/>
        <v>-4.2949899118104354E-20</v>
      </c>
      <c r="AK34" s="3">
        <f t="shared" si="6"/>
        <v>9.3132257461547852E-10</v>
      </c>
      <c r="AM34" s="45"/>
      <c r="AN34" s="4">
        <f>0.057125*($AN$9/2)</f>
        <v>8.56875E-2</v>
      </c>
      <c r="AO34" s="14" t="s">
        <v>11</v>
      </c>
      <c r="AP34"/>
      <c r="AQ34"/>
      <c r="AR34"/>
      <c r="AS34"/>
      <c r="AT34"/>
      <c r="AU34" s="3" t="s">
        <v>179</v>
      </c>
      <c r="AV34" s="3">
        <f>SQRT(AV32^2 + AV33^2)</f>
        <v>111.14141995313753</v>
      </c>
      <c r="AW34" s="14" t="s">
        <v>13</v>
      </c>
      <c r="AX34"/>
      <c r="AY34" s="3" t="s">
        <v>179</v>
      </c>
      <c r="AZ34" s="3">
        <f>SQRT(AZ32^2 + AZ33^2)</f>
        <v>125.78522565498609</v>
      </c>
      <c r="BA34" s="14" t="s">
        <v>13</v>
      </c>
      <c r="BB34"/>
      <c r="BC34" s="3" t="s">
        <v>205</v>
      </c>
      <c r="BD34" s="3">
        <f xml:space="preserve"> BD31*SIN(BD23) + BD32*COS(BD23)</f>
        <v>0.32565441306014825</v>
      </c>
      <c r="BE34" s="3"/>
      <c r="BF34"/>
      <c r="BG34" s="3" t="s">
        <v>205</v>
      </c>
      <c r="BH34" s="3">
        <f xml:space="preserve"> BH31*SIN(BH23) + BH32*COS(BH23)</f>
        <v>0.29432020066744619</v>
      </c>
      <c r="BI34" s="3"/>
      <c r="BJ34"/>
      <c r="BK34" s="3">
        <v>30</v>
      </c>
      <c r="BL34" s="3">
        <f t="shared" si="17"/>
        <v>0.34894691448282827</v>
      </c>
      <c r="BM34" s="3">
        <v>-1.2526623946462756E-8</v>
      </c>
      <c r="BN34" s="3">
        <f t="shared" si="18"/>
        <v>0.34894691969081659</v>
      </c>
      <c r="BO34" s="3">
        <v>3.4154312433809508E-9</v>
      </c>
      <c r="BP34" s="13">
        <f t="shared" si="7"/>
        <v>0.34894691708682246</v>
      </c>
      <c r="BQ34" s="3">
        <v>-4.5555962335797062E-9</v>
      </c>
      <c r="BR34" s="3">
        <f t="shared" si="8"/>
        <v>5.7066240869975091E-17</v>
      </c>
      <c r="BS34" s="3">
        <f t="shared" si="9"/>
        <v>-1.5559325708396713E-17</v>
      </c>
      <c r="BT34" s="3">
        <f t="shared" si="10"/>
        <v>5.2079883183786535E-9</v>
      </c>
      <c r="BU34"/>
      <c r="BV34" s="3">
        <v>30</v>
      </c>
      <c r="BW34" s="3">
        <f t="shared" si="19"/>
        <v>0.27865597672347209</v>
      </c>
      <c r="BX34" s="3">
        <v>-4.7131652053389317E-9</v>
      </c>
      <c r="BY34" s="3">
        <f t="shared" si="20"/>
        <v>0.27865598193146046</v>
      </c>
      <c r="BZ34" s="3">
        <v>8.5575104780133415E-9</v>
      </c>
      <c r="CA34" s="13">
        <f t="shared" si="11"/>
        <v>0.27865597932746627</v>
      </c>
      <c r="CB34" s="3">
        <v>1.9221726571538866E-9</v>
      </c>
      <c r="CC34" s="3">
        <f t="shared" si="12"/>
        <v>-9.0595172863515778E-18</v>
      </c>
      <c r="CD34" s="3">
        <f t="shared" si="13"/>
        <v>1.6449012654145131E-17</v>
      </c>
      <c r="CE34" s="3">
        <f t="shared" si="14"/>
        <v>5.2079883738898047E-9</v>
      </c>
    </row>
    <row r="35" spans="2:83" x14ac:dyDescent="0.2">
      <c r="B35" s="5" t="s">
        <v>9</v>
      </c>
      <c r="C35" s="8">
        <v>0.8</v>
      </c>
      <c r="F35" s="53" t="s">
        <v>101</v>
      </c>
      <c r="G35" s="54"/>
      <c r="H35" s="54"/>
      <c r="N35" s="3">
        <v>0</v>
      </c>
      <c r="O35" s="3"/>
      <c r="P35" s="3">
        <f>$G$11</f>
        <v>-4.7917437768774107E-6</v>
      </c>
      <c r="Q35" s="3"/>
      <c r="R35" s="3">
        <f>$G$11</f>
        <v>-4.7917437768774107E-6</v>
      </c>
      <c r="S35" s="3"/>
      <c r="T35" s="3">
        <f>$G$11</f>
        <v>-4.7917437768774107E-6</v>
      </c>
      <c r="U35" s="3"/>
      <c r="V35" s="3"/>
      <c r="W35" s="3"/>
      <c r="AM35" s="45" t="s">
        <v>221</v>
      </c>
      <c r="AN35" s="4">
        <v>6.9</v>
      </c>
      <c r="AO35" s="14" t="s">
        <v>53</v>
      </c>
      <c r="AP35"/>
      <c r="AQ35"/>
      <c r="AR35"/>
      <c r="AS35"/>
      <c r="AT35"/>
      <c r="AU35" s="3" t="s">
        <v>182</v>
      </c>
      <c r="AV35" s="19">
        <f>$AN$45*AV34*$AN$27/$AN$46</f>
        <v>815745.72493450693</v>
      </c>
      <c r="AW35" s="14"/>
      <c r="AX35"/>
      <c r="AY35" s="3" t="s">
        <v>182</v>
      </c>
      <c r="AZ35" s="19">
        <f>$AN$45*AZ34*$AN$27/$AN$46</f>
        <v>923227.00331921142</v>
      </c>
      <c r="BA35" s="14"/>
      <c r="BB35"/>
      <c r="BC35" s="3" t="s">
        <v>46</v>
      </c>
      <c r="BD35" s="3">
        <f xml:space="preserve"> 4*BD30*SIN(BD23)*SIN(BD23) / (BD27*BD33)</f>
        <v>1.2644286490745851</v>
      </c>
      <c r="BE35" s="3"/>
      <c r="BF35"/>
      <c r="BG35" s="3" t="s">
        <v>46</v>
      </c>
      <c r="BH35" s="3">
        <f xml:space="preserve"> 4*BH30*SIN(BH23)*SIN(BH23) / (BH27*BH33)</f>
        <v>1.2301569843078171</v>
      </c>
      <c r="BI35" s="3"/>
      <c r="BJ35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/>
      <c r="BV35"/>
      <c r="BW35"/>
      <c r="BX35"/>
      <c r="BY35"/>
      <c r="BZ35"/>
      <c r="CA35"/>
      <c r="CB35"/>
      <c r="CC35"/>
      <c r="CD35"/>
      <c r="CE35"/>
    </row>
    <row r="36" spans="2:83" x14ac:dyDescent="0.2">
      <c r="F36" s="2" t="s">
        <v>87</v>
      </c>
      <c r="G36" s="1">
        <f>$C$9</f>
        <v>50</v>
      </c>
      <c r="H36" t="s">
        <v>13</v>
      </c>
      <c r="N36" s="3">
        <v>1</v>
      </c>
      <c r="O36" s="4">
        <v>500</v>
      </c>
      <c r="P36" s="3">
        <f t="dataTable" ref="P36:P65" dt2D="0" dtr="0" r1="C6" ca="1"/>
        <v>1958.4667519386398</v>
      </c>
      <c r="Q36" s="4">
        <v>1500</v>
      </c>
      <c r="R36" s="3">
        <f t="dataTable" ref="R36:R65" dt2D="0" dtr="0" r1="C6" ca="1"/>
        <v>-6170.688986276522</v>
      </c>
      <c r="S36" s="3">
        <f t="shared" ref="S36:S65" si="21">(O36+Q36)/2</f>
        <v>1000</v>
      </c>
      <c r="T36" s="3">
        <f t="dataTable" ref="T36:T65" dt2D="0" dtr="0" r1="C6" ca="1"/>
        <v>-1089.9666498920451</v>
      </c>
      <c r="U36" s="3">
        <f t="shared" ref="U36:U65" si="22">P36*T36</f>
        <v>-2134663.4445355143</v>
      </c>
      <c r="V36" s="3">
        <f t="shared" ref="V36:V65" si="23">R36*T36</f>
        <v>6725845.2018975606</v>
      </c>
      <c r="W36" s="3">
        <f t="shared" ref="W36:W65" si="24">Q36-O36</f>
        <v>1000</v>
      </c>
      <c r="AM36" s="45"/>
      <c r="AN36" s="4">
        <v>5.58</v>
      </c>
      <c r="AO36" s="14" t="s">
        <v>53</v>
      </c>
      <c r="AP36"/>
      <c r="AQ36"/>
      <c r="AR36"/>
      <c r="AS36"/>
      <c r="AT36"/>
      <c r="AU36" s="3" t="s">
        <v>186</v>
      </c>
      <c r="AV36" s="18">
        <f xml:space="preserve"> $BD$65 * PI() * $AN$45 * AV34^2 * $BD$71 * $AN$25 * AV31</f>
        <v>705.88071909535802</v>
      </c>
      <c r="AW36" s="14" t="s">
        <v>27</v>
      </c>
      <c r="AX36"/>
      <c r="AY36" s="3" t="s">
        <v>186</v>
      </c>
      <c r="AZ36" s="18">
        <f xml:space="preserve"> $BH$65 * PI() * $AN$45 * AZ34^2 * $BH$71 * $AN$26 * AZ31</f>
        <v>804.70914351142778</v>
      </c>
      <c r="BA36" s="14" t="s">
        <v>27</v>
      </c>
      <c r="BB36"/>
      <c r="BC36" s="3" t="s">
        <v>207</v>
      </c>
      <c r="BD36" s="3">
        <f xml:space="preserve"> 4*BD30*SIN(BD23)*COS(BD23) / (BD27*BD34)</f>
        <v>20.525385584059077</v>
      </c>
      <c r="BE36" s="3"/>
      <c r="BF36"/>
      <c r="BG36" s="3" t="s">
        <v>207</v>
      </c>
      <c r="BH36" s="3">
        <f xml:space="preserve"> 4*BH30*SIN(BH23)*COS(BH23) / (BH27*BH34)</f>
        <v>26.282631751690683</v>
      </c>
      <c r="BI36" s="3"/>
      <c r="BJ36"/>
      <c r="BK36" s="41" t="s">
        <v>222</v>
      </c>
      <c r="BL36" s="41"/>
      <c r="BM36" s="41"/>
      <c r="BN36" s="41"/>
      <c r="BO36" s="41"/>
      <c r="BP36" s="41"/>
      <c r="BQ36" s="41"/>
      <c r="BR36" s="41"/>
      <c r="BS36" s="41"/>
      <c r="BT36" s="41"/>
      <c r="BU36"/>
      <c r="BV36" s="41" t="s">
        <v>223</v>
      </c>
      <c r="BW36" s="41"/>
      <c r="BX36" s="41"/>
      <c r="BY36" s="41"/>
      <c r="BZ36" s="41"/>
      <c r="CA36" s="41"/>
      <c r="CB36" s="41"/>
      <c r="CC36" s="41"/>
      <c r="CD36" s="41"/>
      <c r="CE36" s="41"/>
    </row>
    <row r="37" spans="2:83" x14ac:dyDescent="0.2">
      <c r="B37" s="51" t="s">
        <v>99</v>
      </c>
      <c r="C37" s="56"/>
      <c r="D37" s="56"/>
      <c r="F37" t="s">
        <v>88</v>
      </c>
      <c r="G37" s="1">
        <v>1.524</v>
      </c>
      <c r="H37" t="s">
        <v>13</v>
      </c>
      <c r="N37" s="3">
        <v>2</v>
      </c>
      <c r="O37" s="3">
        <f t="shared" ref="O37:O65" si="25">IF(U36&gt;0, S36, O36)</f>
        <v>500</v>
      </c>
      <c r="P37" s="3">
        <v>1958.4667519386398</v>
      </c>
      <c r="Q37" s="3">
        <f t="shared" ref="Q37:Q65" si="26">IF(V36&gt;0, S36, Q36)</f>
        <v>1000</v>
      </c>
      <c r="R37" s="3">
        <v>-1089.9666498920451</v>
      </c>
      <c r="S37" s="3">
        <f t="shared" si="21"/>
        <v>750</v>
      </c>
      <c r="T37" s="3">
        <v>688.28616784252063</v>
      </c>
      <c r="U37" s="3">
        <f t="shared" si="22"/>
        <v>1347985.5755388348</v>
      </c>
      <c r="V37" s="3">
        <f t="shared" si="23"/>
        <v>-750208.96853034606</v>
      </c>
      <c r="W37" s="3">
        <f t="shared" si="24"/>
        <v>500</v>
      </c>
      <c r="AB37" s="6" t="s">
        <v>106</v>
      </c>
      <c r="AM37" s="45"/>
      <c r="AN37" s="4">
        <v>4.26</v>
      </c>
      <c r="AO37" s="14" t="s">
        <v>53</v>
      </c>
      <c r="AP37"/>
      <c r="AQ37"/>
      <c r="AR37"/>
      <c r="AS37"/>
      <c r="AT37"/>
      <c r="AU37" s="3" t="s">
        <v>190</v>
      </c>
      <c r="AV37" s="18">
        <f xml:space="preserve"> $BD$65 * PI() * $AN$45 * AV34^2 * $BD$72 * $AN$25^2 * AV31</f>
        <v>145.49015599591982</v>
      </c>
      <c r="AW37" s="14" t="s">
        <v>191</v>
      </c>
      <c r="AX37"/>
      <c r="AY37" s="3" t="s">
        <v>190</v>
      </c>
      <c r="AZ37" s="18">
        <f xml:space="preserve"> $BH$65 * PI() * $AN$45 * AZ34^2 * $BH$72 * $AN$26^2 * AZ31</f>
        <v>183.65785991872161</v>
      </c>
      <c r="BA37" s="14" t="s">
        <v>191</v>
      </c>
      <c r="BB37"/>
      <c r="BC37" s="3" t="s">
        <v>55</v>
      </c>
      <c r="BD37" s="3">
        <f>1/(BD35-1)</f>
        <v>3.7817384897577369</v>
      </c>
      <c r="BE37" s="3"/>
      <c r="BF37"/>
      <c r="BG37" s="3" t="s">
        <v>55</v>
      </c>
      <c r="BH37" s="3">
        <f>1/(BH35-1)</f>
        <v>4.3448605438042138</v>
      </c>
      <c r="BI37" s="3"/>
      <c r="BJ37"/>
      <c r="BK37" s="7" t="s">
        <v>54</v>
      </c>
      <c r="BL37" s="7" t="s">
        <v>55</v>
      </c>
      <c r="BM37" s="7" t="s">
        <v>56</v>
      </c>
      <c r="BN37" s="7" t="s">
        <v>57</v>
      </c>
      <c r="BO37" s="7" t="s">
        <v>58</v>
      </c>
      <c r="BP37" s="7" t="s">
        <v>59</v>
      </c>
      <c r="BQ37" s="7" t="s">
        <v>60</v>
      </c>
      <c r="BR37" s="7" t="s">
        <v>61</v>
      </c>
      <c r="BS37" s="7" t="s">
        <v>62</v>
      </c>
      <c r="BT37" s="7" t="s">
        <v>63</v>
      </c>
      <c r="BU37"/>
      <c r="BV37" s="7" t="s">
        <v>54</v>
      </c>
      <c r="BW37" s="7" t="s">
        <v>55</v>
      </c>
      <c r="BX37" s="7" t="s">
        <v>56</v>
      </c>
      <c r="BY37" s="7" t="s">
        <v>57</v>
      </c>
      <c r="BZ37" s="7" t="s">
        <v>58</v>
      </c>
      <c r="CA37" s="7" t="s">
        <v>59</v>
      </c>
      <c r="CB37" s="7" t="s">
        <v>60</v>
      </c>
      <c r="CC37" s="7" t="s">
        <v>61</v>
      </c>
      <c r="CD37" s="7" t="s">
        <v>62</v>
      </c>
      <c r="CE37" s="7" t="s">
        <v>63</v>
      </c>
    </row>
    <row r="38" spans="2:83" x14ac:dyDescent="0.2">
      <c r="B38" s="5" t="s">
        <v>19</v>
      </c>
      <c r="C38" s="8">
        <v>1.2250000000000001</v>
      </c>
      <c r="D38" s="5" t="s">
        <v>20</v>
      </c>
      <c r="F38" t="s">
        <v>89</v>
      </c>
      <c r="G38" s="1">
        <v>304.8</v>
      </c>
      <c r="H38" t="s">
        <v>11</v>
      </c>
      <c r="N38" s="3">
        <v>3</v>
      </c>
      <c r="O38" s="3">
        <f t="shared" si="25"/>
        <v>750</v>
      </c>
      <c r="P38" s="3">
        <v>688.28616784252063</v>
      </c>
      <c r="Q38" s="3">
        <f t="shared" si="26"/>
        <v>1000</v>
      </c>
      <c r="R38" s="3">
        <v>-1089.9666498920451</v>
      </c>
      <c r="S38" s="3">
        <f t="shared" si="21"/>
        <v>875</v>
      </c>
      <c r="T38" s="3">
        <v>-137.33121181995466</v>
      </c>
      <c r="U38" s="3">
        <f t="shared" si="22"/>
        <v>-94523.17350872606</v>
      </c>
      <c r="V38" s="3">
        <f t="shared" si="23"/>
        <v>149686.44087301081</v>
      </c>
      <c r="W38" s="3">
        <f t="shared" si="24"/>
        <v>250</v>
      </c>
      <c r="AB38" s="7" t="s">
        <v>54</v>
      </c>
      <c r="AC38" s="7" t="s">
        <v>55</v>
      </c>
      <c r="AD38" s="7" t="s">
        <v>56</v>
      </c>
      <c r="AE38" s="7" t="s">
        <v>57</v>
      </c>
      <c r="AF38" s="7" t="s">
        <v>58</v>
      </c>
      <c r="AG38" s="7" t="s">
        <v>59</v>
      </c>
      <c r="AH38" s="7" t="s">
        <v>60</v>
      </c>
      <c r="AI38" s="7" t="s">
        <v>61</v>
      </c>
      <c r="AJ38" s="7" t="s">
        <v>62</v>
      </c>
      <c r="AK38" s="7" t="s">
        <v>63</v>
      </c>
      <c r="AM38" s="45"/>
      <c r="AN38" s="4">
        <v>2.94</v>
      </c>
      <c r="AO38" s="14" t="s">
        <v>53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3" t="s">
        <v>210</v>
      </c>
      <c r="BD38" s="3">
        <f>1/(BD36+1)</f>
        <v>4.6456775238468383E-2</v>
      </c>
      <c r="BE38" s="3"/>
      <c r="BF38"/>
      <c r="BG38" s="3" t="s">
        <v>210</v>
      </c>
      <c r="BH38" s="3">
        <f>1/(BH36+1)</f>
        <v>3.6653355479096358E-2</v>
      </c>
      <c r="BI38" s="3"/>
      <c r="BJ38"/>
      <c r="BK38" s="17">
        <v>0</v>
      </c>
      <c r="BL38" s="17"/>
      <c r="BM38" s="17">
        <f>$BD$39</f>
        <v>-1.4465667899643542E-9</v>
      </c>
      <c r="BN38" s="17"/>
      <c r="BO38" s="17">
        <f>$BD$39</f>
        <v>-1.4465667899643542E-9</v>
      </c>
      <c r="BP38" s="17"/>
      <c r="BQ38" s="17">
        <f>$BD$39</f>
        <v>-1.4465667899643542E-9</v>
      </c>
      <c r="BR38" s="17"/>
      <c r="BS38" s="17"/>
      <c r="BT38" s="17"/>
      <c r="BU38"/>
      <c r="BV38" s="17">
        <v>0</v>
      </c>
      <c r="BW38" s="17"/>
      <c r="BX38" s="17">
        <f>$BH$39</f>
        <v>4.1983998846917281E-9</v>
      </c>
      <c r="BY38" s="17"/>
      <c r="BZ38" s="17">
        <f>$BH$39</f>
        <v>4.1983998846917281E-9</v>
      </c>
      <c r="CA38" s="17"/>
      <c r="CB38" s="17">
        <f>$BH$39</f>
        <v>4.1983998846917281E-9</v>
      </c>
      <c r="CC38" s="17"/>
      <c r="CD38" s="17"/>
      <c r="CE38" s="17"/>
    </row>
    <row r="39" spans="2:83" x14ac:dyDescent="0.2">
      <c r="B39" s="5" t="s">
        <v>153</v>
      </c>
      <c r="C39" s="8">
        <v>1.7893802780775801E-5</v>
      </c>
      <c r="D39" s="5" t="s">
        <v>155</v>
      </c>
      <c r="F39" t="s">
        <v>104</v>
      </c>
      <c r="G39" s="5">
        <f>$G$38/$G$37</f>
        <v>200</v>
      </c>
      <c r="H39" t="s">
        <v>18</v>
      </c>
      <c r="N39" s="3">
        <v>4</v>
      </c>
      <c r="O39" s="3">
        <f t="shared" si="25"/>
        <v>750</v>
      </c>
      <c r="P39" s="3">
        <v>688.28616784252063</v>
      </c>
      <c r="Q39" s="3">
        <f t="shared" si="26"/>
        <v>875</v>
      </c>
      <c r="R39" s="3">
        <v>-137.33121181995466</v>
      </c>
      <c r="S39" s="3">
        <f t="shared" si="21"/>
        <v>812.5</v>
      </c>
      <c r="T39" s="3">
        <v>291.35473531248408</v>
      </c>
      <c r="U39" s="3">
        <f t="shared" si="22"/>
        <v>200535.4342510016</v>
      </c>
      <c r="V39" s="3">
        <f t="shared" si="23"/>
        <v>-40012.098869945577</v>
      </c>
      <c r="W39" s="3">
        <f t="shared" si="24"/>
        <v>125</v>
      </c>
      <c r="AB39" s="3">
        <v>0</v>
      </c>
      <c r="AC39" s="4">
        <v>0</v>
      </c>
      <c r="AD39" s="3">
        <f t="shared" ref="AD39:AD69" si="27" xml:space="preserve"> $C$10 * TAN($O$20/180*PI()) + $O$23 / (2 * SQRT($C$10^2 + AC39^2)) - AC39</f>
        <v>5.1884104246821376E-2</v>
      </c>
      <c r="AE39" s="4">
        <v>1</v>
      </c>
      <c r="AF39" s="3">
        <f t="shared" ref="AF39:AF69" si="28" xml:space="preserve"> $C$10 * TAN($O$20/180*PI()) + $O$23 / (2 * SQRT($C$10^2 + AE39^2)) - AE39</f>
        <v>-0.9634726496080942</v>
      </c>
      <c r="AG39" s="3">
        <f xml:space="preserve"> (AC39 + AE39)/2</f>
        <v>0.5</v>
      </c>
      <c r="AH39" s="3">
        <f t="shared" ref="AH39:AH69" si="29" xml:space="preserve"> $C$10 * TAN($O$20/180*PI()) + $O$23 / (2 * SQRT($C$10^2 + AG39^2)) - AG39</f>
        <v>-0.45857789962352613</v>
      </c>
      <c r="AI39" s="3">
        <f>AD39*AH39</f>
        <v>-2.3792903549355419E-2</v>
      </c>
      <c r="AJ39" s="3">
        <f>AF39*AH39</f>
        <v>0.4418272640019934</v>
      </c>
      <c r="AK39" s="3">
        <f>AE39-AC39</f>
        <v>1</v>
      </c>
      <c r="AM39" s="45"/>
      <c r="AN39" s="4">
        <v>1.62</v>
      </c>
      <c r="AO39" s="14" t="s">
        <v>53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7" t="s">
        <v>212</v>
      </c>
      <c r="BD39" s="23">
        <f>SIN(BD23)/(1+BD37) - $AN$3*COS(BD23)/($AR$5*$AN$21*(1-BD38))</f>
        <v>-1.4465667899643542E-9</v>
      </c>
      <c r="BE39" s="23"/>
      <c r="BF39"/>
      <c r="BG39" s="7" t="s">
        <v>212</v>
      </c>
      <c r="BH39" s="23">
        <f>SIN(BH23)/(1+BH37) - $AN$3*COS(BH23)/($AR$5*$AN$22*(1-BH38))</f>
        <v>4.1983998846917281E-9</v>
      </c>
      <c r="BI39" s="23"/>
      <c r="BJ39"/>
      <c r="BK39" s="3">
        <v>1</v>
      </c>
      <c r="BL39" s="4">
        <f>0.01*PI()</f>
        <v>3.1415926535897934E-2</v>
      </c>
      <c r="BM39" s="3">
        <f t="dataTable" ref="BM39:BM68" dt2D="0" dtr="0" r1="BD23" ca="1"/>
        <v>-1.0043535665684185</v>
      </c>
      <c r="BN39" s="4">
        <f>0.9*PI()</f>
        <v>2.8274333882308138</v>
      </c>
      <c r="BO39" s="3">
        <f t="dataTable" ref="BO39:BO68" dt2D="0" dtr="0" r1="BD23"/>
        <v>0.36546718121294325</v>
      </c>
      <c r="BP39" s="3">
        <f t="shared" ref="BP39:BP68" si="30">(BL39+BN39)/2</f>
        <v>1.4294246573833558</v>
      </c>
      <c r="BQ39" s="3">
        <f t="dataTable" ref="BQ39:BQ68" dt2D="0" dtr="0" r1="BD23" ca="1"/>
        <v>1.0221099802690912</v>
      </c>
      <c r="BR39" s="3">
        <f t="shared" ref="BR39:BR68" si="31">BM39*BQ39</f>
        <v>-1.0265598041084376</v>
      </c>
      <c r="BS39" s="3">
        <f t="shared" ref="BS39:BS68" si="32">BO39*BQ39</f>
        <v>0.37354765337856177</v>
      </c>
      <c r="BT39" s="3">
        <f t="shared" ref="BT39:BT68" si="33">BN39-BL39</f>
        <v>2.7960174616949161</v>
      </c>
      <c r="BU39"/>
      <c r="BV39" s="3">
        <v>1</v>
      </c>
      <c r="BW39" s="4">
        <f>0.01*PI()</f>
        <v>3.1415926535897934E-2</v>
      </c>
      <c r="BX39" s="3">
        <f t="dataTable" ref="BX39:BX68" dt2D="0" dtr="0" r1="BH23" ca="1"/>
        <v>-0.86871678463666668</v>
      </c>
      <c r="BY39" s="4">
        <f>0.9*PI()</f>
        <v>2.8274333882308138</v>
      </c>
      <c r="BZ39" s="3">
        <f t="dataTable" ref="BZ39:BZ68" dt2D="0" dtr="0" r1="BH23" ca="1"/>
        <v>0.35115522884820705</v>
      </c>
      <c r="CA39" s="3">
        <f t="shared" ref="CA39:CA68" si="34">(BW39+BY39)/2</f>
        <v>1.4294246573833558</v>
      </c>
      <c r="CB39" s="3">
        <f t="dataTable" ref="CB39:CB68" dt2D="0" dtr="0" r1="BH23"/>
        <v>1.0152504981896924</v>
      </c>
      <c r="CC39" s="3">
        <f t="shared" ref="CC39:CC68" si="35">BX39*CB39</f>
        <v>-0.88196514838812357</v>
      </c>
      <c r="CD39" s="3">
        <f t="shared" ref="CD39:CD68" si="36">BZ39*CB39</f>
        <v>0.35651052103005765</v>
      </c>
      <c r="CE39" s="3">
        <f t="shared" ref="CE39:CE68" si="37">BY39-BW39</f>
        <v>2.7960174616949161</v>
      </c>
    </row>
    <row r="40" spans="2:83" x14ac:dyDescent="0.2">
      <c r="B40" s="5" t="s">
        <v>154</v>
      </c>
      <c r="C40" s="8">
        <v>340.416</v>
      </c>
      <c r="D40" s="5" t="s">
        <v>13</v>
      </c>
      <c r="F40" s="37" t="s">
        <v>237</v>
      </c>
      <c r="G40" s="38">
        <f xml:space="preserve"> W22 * $C$7</f>
        <v>166.63428111437773</v>
      </c>
      <c r="H40" s="39" t="s">
        <v>13</v>
      </c>
      <c r="N40" s="3">
        <v>5</v>
      </c>
      <c r="O40" s="3">
        <f t="shared" si="25"/>
        <v>812.5</v>
      </c>
      <c r="P40" s="3">
        <v>291.35473531248408</v>
      </c>
      <c r="Q40" s="3">
        <f t="shared" si="26"/>
        <v>875</v>
      </c>
      <c r="R40" s="3">
        <v>-137.33121181995466</v>
      </c>
      <c r="S40" s="3">
        <f t="shared" si="21"/>
        <v>843.75</v>
      </c>
      <c r="T40" s="3">
        <v>80.98107607156453</v>
      </c>
      <c r="U40" s="3">
        <f t="shared" si="22"/>
        <v>23594.219984150823</v>
      </c>
      <c r="V40" s="3">
        <f t="shared" si="23"/>
        <v>-11121.229311391889</v>
      </c>
      <c r="W40" s="3">
        <f t="shared" si="24"/>
        <v>62.5</v>
      </c>
      <c r="AB40" s="3">
        <v>1</v>
      </c>
      <c r="AC40" s="3">
        <f>IF(AI39&gt;0, AG39, AC39)</f>
        <v>0</v>
      </c>
      <c r="AD40" s="3">
        <f t="shared" si="27"/>
        <v>5.1884104246821376E-2</v>
      </c>
      <c r="AE40" s="3">
        <f>IF(AJ39&gt;0, AG39, AE39)</f>
        <v>0.5</v>
      </c>
      <c r="AF40" s="3">
        <f t="shared" si="28"/>
        <v>-0.45857789962352613</v>
      </c>
      <c r="AG40" s="3">
        <f t="shared" ref="AG40:AG69" si="38" xml:space="preserve"> (AC40 + AE40)/2</f>
        <v>0.25</v>
      </c>
      <c r="AH40" s="3">
        <f t="shared" si="29"/>
        <v>-0.20311043472379409</v>
      </c>
      <c r="AI40" s="3">
        <f t="shared" ref="AI40:AI69" si="39">AD40*AH40</f>
        <v>-1.053820296882654E-2</v>
      </c>
      <c r="AJ40" s="3">
        <f t="shared" ref="AJ40:AJ69" si="40">AF40*AH40</f>
        <v>9.3141956547258806E-2</v>
      </c>
      <c r="AK40" s="3">
        <f t="shared" ref="AK40:AK69" si="41">AE40-AC40</f>
        <v>0.5</v>
      </c>
      <c r="AM40" s="45"/>
      <c r="AN40" s="4">
        <v>0.3</v>
      </c>
      <c r="AO40" s="14" t="s">
        <v>53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3">
        <v>2</v>
      </c>
      <c r="BL40" s="3">
        <f t="shared" ref="BL40:BL68" si="42">IF(BR39&gt;0,BP39,BL39)</f>
        <v>3.1415926535897934E-2</v>
      </c>
      <c r="BM40" s="3">
        <v>-1.0043535665684185</v>
      </c>
      <c r="BN40" s="3">
        <f t="shared" ref="BN40:BN68" si="43">IF(BS39&gt;0,BP39,BN39)</f>
        <v>1.4294246573833558</v>
      </c>
      <c r="BO40" s="3">
        <v>1.0221099802690912</v>
      </c>
      <c r="BP40" s="3">
        <f t="shared" si="30"/>
        <v>0.73042029195962688</v>
      </c>
      <c r="BQ40" s="3">
        <v>0.65957855510004593</v>
      </c>
      <c r="BR40" s="3">
        <f t="shared" si="31"/>
        <v>-0.66245007424677527</v>
      </c>
      <c r="BS40" s="3">
        <f t="shared" si="32"/>
        <v>0.67416182393922364</v>
      </c>
      <c r="BT40" s="3">
        <f t="shared" si="33"/>
        <v>1.3980087308474578</v>
      </c>
      <c r="BU40"/>
      <c r="BV40" s="3">
        <v>2</v>
      </c>
      <c r="BW40" s="3">
        <f t="shared" ref="BW40:BW68" si="44">IF(CC39&gt;0,CA39,BW39)</f>
        <v>3.1415926535897934E-2</v>
      </c>
      <c r="BX40" s="3">
        <v>-0.86871678463666668</v>
      </c>
      <c r="BY40" s="3">
        <f t="shared" ref="BY40:BY68" si="45">IF(CD39&gt;0,CA39,BY39)</f>
        <v>1.4294246573833558</v>
      </c>
      <c r="BZ40" s="3">
        <v>1.0152504981896924</v>
      </c>
      <c r="CA40" s="3">
        <f t="shared" si="34"/>
        <v>0.73042029195962688</v>
      </c>
      <c r="CB40" s="3">
        <v>0.66107622924197873</v>
      </c>
      <c r="CC40" s="3">
        <f t="shared" si="35"/>
        <v>-0.57428801626682369</v>
      </c>
      <c r="CD40" s="3">
        <f t="shared" si="36"/>
        <v>0.67115797107928221</v>
      </c>
      <c r="CE40" s="3">
        <f t="shared" si="37"/>
        <v>1.3980087308474578</v>
      </c>
    </row>
    <row r="41" spans="2:83" x14ac:dyDescent="0.2">
      <c r="B41" s="5" t="s">
        <v>21</v>
      </c>
      <c r="C41" s="1">
        <v>9.8066499999999994</v>
      </c>
      <c r="D41" s="5" t="s">
        <v>22</v>
      </c>
      <c r="F41" s="39" t="s">
        <v>238</v>
      </c>
      <c r="G41" s="39">
        <f>G40/$C$40</f>
        <v>0.48950190682687572</v>
      </c>
      <c r="H41" s="39" t="s">
        <v>242</v>
      </c>
      <c r="N41" s="3">
        <v>6</v>
      </c>
      <c r="O41" s="3">
        <f t="shared" si="25"/>
        <v>843.75</v>
      </c>
      <c r="P41" s="3">
        <v>80.98107607156453</v>
      </c>
      <c r="Q41" s="3">
        <f t="shared" si="26"/>
        <v>875</v>
      </c>
      <c r="R41" s="3">
        <v>-137.33121181995466</v>
      </c>
      <c r="S41" s="3">
        <f t="shared" si="21"/>
        <v>859.375</v>
      </c>
      <c r="T41" s="3">
        <v>-27.182739292870338</v>
      </c>
      <c r="U41" s="3">
        <f t="shared" si="22"/>
        <v>-2201.2874785094391</v>
      </c>
      <c r="V41" s="3">
        <f t="shared" si="23"/>
        <v>3733.0385276757811</v>
      </c>
      <c r="W41" s="3">
        <f t="shared" si="24"/>
        <v>31.25</v>
      </c>
      <c r="AB41" s="3">
        <v>2</v>
      </c>
      <c r="AC41" s="3">
        <f t="shared" ref="AC41:AC69" si="46">IF(AI40&gt;0, AG40, AC40)</f>
        <v>0</v>
      </c>
      <c r="AD41" s="3">
        <f t="shared" si="27"/>
        <v>5.1884104246821376E-2</v>
      </c>
      <c r="AE41" s="3">
        <f t="shared" ref="AE41:AE69" si="47">IF(AJ40&gt;0, AG40, AE40)</f>
        <v>0.25</v>
      </c>
      <c r="AF41" s="3">
        <f t="shared" si="28"/>
        <v>-0.20311043472379409</v>
      </c>
      <c r="AG41" s="3">
        <f t="shared" si="38"/>
        <v>0.125</v>
      </c>
      <c r="AH41" s="3">
        <f t="shared" si="29"/>
        <v>-7.4773491000768966E-2</v>
      </c>
      <c r="AI41" s="3">
        <f t="shared" si="39"/>
        <v>-3.8795556019826571E-3</v>
      </c>
      <c r="AJ41" s="3">
        <f t="shared" si="40"/>
        <v>1.5187276262981889E-2</v>
      </c>
      <c r="AK41" s="3">
        <f t="shared" si="41"/>
        <v>0.25</v>
      </c>
      <c r="AM41" s="45"/>
      <c r="AN41" s="4">
        <v>-1.02</v>
      </c>
      <c r="AO41" s="14" t="s">
        <v>53</v>
      </c>
      <c r="AP41"/>
      <c r="AQ41" s="24" t="s">
        <v>224</v>
      </c>
      <c r="AR41" s="46" t="s">
        <v>225</v>
      </c>
      <c r="AS41" s="46"/>
      <c r="AT41" s="25"/>
      <c r="AU41" s="25"/>
      <c r="AV41" s="25"/>
      <c r="AW41" s="25"/>
      <c r="AX41" s="25"/>
      <c r="AY41" s="25"/>
      <c r="AZ41" s="25"/>
      <c r="BA41" s="26"/>
      <c r="BB41"/>
      <c r="BC41" s="44" t="s">
        <v>213</v>
      </c>
      <c r="BD41" s="44"/>
      <c r="BE41" s="44"/>
      <c r="BF41" s="3"/>
      <c r="BG41" s="44" t="s">
        <v>214</v>
      </c>
      <c r="BH41" s="44"/>
      <c r="BI41" s="44"/>
      <c r="BJ41"/>
      <c r="BK41" s="3">
        <v>3</v>
      </c>
      <c r="BL41" s="3">
        <f t="shared" si="42"/>
        <v>3.1415926535897934E-2</v>
      </c>
      <c r="BM41" s="3">
        <v>-1.0043535665684185</v>
      </c>
      <c r="BN41" s="3">
        <f t="shared" si="43"/>
        <v>0.73042029195962688</v>
      </c>
      <c r="BO41" s="3">
        <v>0.65957855510004593</v>
      </c>
      <c r="BP41" s="3">
        <f t="shared" si="30"/>
        <v>0.38091810924776243</v>
      </c>
      <c r="BQ41" s="3">
        <v>0.28731385431382439</v>
      </c>
      <c r="BR41" s="3">
        <f t="shared" si="31"/>
        <v>-0.28856469430460852</v>
      </c>
      <c r="BS41" s="3">
        <f t="shared" si="32"/>
        <v>0.18950605688853739</v>
      </c>
      <c r="BT41" s="3">
        <f t="shared" si="33"/>
        <v>0.6990043654237289</v>
      </c>
      <c r="BU41"/>
      <c r="BV41" s="3">
        <v>3</v>
      </c>
      <c r="BW41" s="3">
        <f t="shared" si="44"/>
        <v>3.1415926535897934E-2</v>
      </c>
      <c r="BX41" s="3">
        <v>-0.86871678463666668</v>
      </c>
      <c r="BY41" s="3">
        <f t="shared" si="45"/>
        <v>0.73042029195962688</v>
      </c>
      <c r="BZ41" s="3">
        <v>0.66107622924197873</v>
      </c>
      <c r="CA41" s="3">
        <f t="shared" si="34"/>
        <v>0.38091810924776243</v>
      </c>
      <c r="CB41" s="3">
        <v>0.31716695467261213</v>
      </c>
      <c r="CC41" s="3">
        <f t="shared" si="35"/>
        <v>-0.27552825705619499</v>
      </c>
      <c r="CD41" s="3">
        <f t="shared" si="36"/>
        <v>0.20967153443513201</v>
      </c>
      <c r="CE41" s="3">
        <f t="shared" si="37"/>
        <v>0.6990043654237289</v>
      </c>
    </row>
    <row r="42" spans="2:83" x14ac:dyDescent="0.2">
      <c r="B42" s="5" t="s">
        <v>102</v>
      </c>
      <c r="C42" s="8">
        <v>0.8</v>
      </c>
      <c r="F42" t="s">
        <v>91</v>
      </c>
      <c r="G42" s="5">
        <f>SQRT($G$36^2-$G$37^2)</f>
        <v>49.976768843133506</v>
      </c>
      <c r="H42" t="s">
        <v>13</v>
      </c>
      <c r="N42" s="3">
        <v>7</v>
      </c>
      <c r="O42" s="3">
        <f t="shared" si="25"/>
        <v>843.75</v>
      </c>
      <c r="P42" s="3">
        <v>80.98107607156453</v>
      </c>
      <c r="Q42" s="3">
        <f t="shared" si="26"/>
        <v>859.375</v>
      </c>
      <c r="R42" s="3">
        <v>-27.182739292870338</v>
      </c>
      <c r="S42" s="3">
        <f t="shared" si="21"/>
        <v>851.5625</v>
      </c>
      <c r="T42" s="3">
        <v>27.147250534677823</v>
      </c>
      <c r="U42" s="3">
        <f t="shared" si="22"/>
        <v>2198.4135606825657</v>
      </c>
      <c r="V42" s="3">
        <f t="shared" si="23"/>
        <v>-737.93663380238218</v>
      </c>
      <c r="W42" s="3">
        <f t="shared" si="24"/>
        <v>15.625</v>
      </c>
      <c r="AB42" s="3">
        <v>3</v>
      </c>
      <c r="AC42" s="3">
        <f t="shared" si="46"/>
        <v>0</v>
      </c>
      <c r="AD42" s="3">
        <f t="shared" si="27"/>
        <v>5.1884104246821376E-2</v>
      </c>
      <c r="AE42" s="3">
        <f t="shared" si="47"/>
        <v>0.125</v>
      </c>
      <c r="AF42" s="3">
        <f t="shared" si="28"/>
        <v>-7.4773491000768966E-2</v>
      </c>
      <c r="AG42" s="3">
        <f t="shared" si="38"/>
        <v>6.25E-2</v>
      </c>
      <c r="AH42" s="3">
        <f t="shared" si="29"/>
        <v>-1.1068841185719387E-2</v>
      </c>
      <c r="AI42" s="3">
        <f t="shared" si="39"/>
        <v>-5.7429690997137458E-4</v>
      </c>
      <c r="AJ42" s="3">
        <f t="shared" si="40"/>
        <v>8.2765589678932949E-4</v>
      </c>
      <c r="AK42" s="3">
        <f t="shared" si="41"/>
        <v>0.125</v>
      </c>
      <c r="AM42" s="45"/>
      <c r="AN42" s="4">
        <v>-2.34</v>
      </c>
      <c r="AO42" s="14" t="s">
        <v>53</v>
      </c>
      <c r="AP42"/>
      <c r="AQ42" s="27"/>
      <c r="AR42" s="43" t="s">
        <v>226</v>
      </c>
      <c r="AS42" s="43"/>
      <c r="AT42" s="43"/>
      <c r="AU42" s="43" t="s">
        <v>227</v>
      </c>
      <c r="AV42" s="43"/>
      <c r="AW42" s="43"/>
      <c r="AX42" s="43"/>
      <c r="AY42" s="43" t="s">
        <v>228</v>
      </c>
      <c r="AZ42" s="43"/>
      <c r="BA42" s="47"/>
      <c r="BB42"/>
      <c r="BC42" s="15" t="s">
        <v>169</v>
      </c>
      <c r="BD42" s="16">
        <f>BP102</f>
        <v>0.1813046933893625</v>
      </c>
      <c r="BE42" s="13" t="s">
        <v>170</v>
      </c>
      <c r="BF42" s="3"/>
      <c r="BG42" s="15" t="s">
        <v>169</v>
      </c>
      <c r="BH42" s="16">
        <f>CA102</f>
        <v>0.16258369386344507</v>
      </c>
      <c r="BI42" s="13" t="s">
        <v>170</v>
      </c>
      <c r="BJ42"/>
      <c r="BK42" s="3">
        <v>4</v>
      </c>
      <c r="BL42" s="3">
        <f t="shared" si="42"/>
        <v>3.1415926535897934E-2</v>
      </c>
      <c r="BM42" s="3">
        <v>-1.0043535665684185</v>
      </c>
      <c r="BN42" s="3">
        <f t="shared" si="43"/>
        <v>0.38091810924776243</v>
      </c>
      <c r="BO42" s="3">
        <v>0.28731385431382439</v>
      </c>
      <c r="BP42" s="3">
        <f t="shared" si="30"/>
        <v>0.20616701789183017</v>
      </c>
      <c r="BQ42" s="3">
        <v>-7.1808489043119789E-2</v>
      </c>
      <c r="BR42" s="3">
        <f t="shared" si="31"/>
        <v>7.2121112080346564E-2</v>
      </c>
      <c r="BS42" s="3">
        <f t="shared" si="32"/>
        <v>-2.0631573759430775E-2</v>
      </c>
      <c r="BT42" s="3">
        <f t="shared" si="33"/>
        <v>0.34950218271186451</v>
      </c>
      <c r="BU42"/>
      <c r="BV42" s="3">
        <v>4</v>
      </c>
      <c r="BW42" s="3">
        <f t="shared" si="44"/>
        <v>3.1415926535897934E-2</v>
      </c>
      <c r="BX42" s="3">
        <v>-0.86871678463666668</v>
      </c>
      <c r="BY42" s="3">
        <f t="shared" si="45"/>
        <v>0.38091810924776243</v>
      </c>
      <c r="BZ42" s="3">
        <v>0.31716695467261213</v>
      </c>
      <c r="CA42" s="3">
        <f t="shared" si="34"/>
        <v>0.20616701789183017</v>
      </c>
      <c r="CB42" s="3">
        <v>3.1818862958174279E-3</v>
      </c>
      <c r="CC42" s="3">
        <f t="shared" si="35"/>
        <v>-2.7641580319819896E-3</v>
      </c>
      <c r="CD42" s="3">
        <f t="shared" si="36"/>
        <v>1.0091891865589319E-3</v>
      </c>
      <c r="CE42" s="3">
        <f t="shared" si="37"/>
        <v>0.34950218271186451</v>
      </c>
    </row>
    <row r="43" spans="2:83" x14ac:dyDescent="0.2">
      <c r="F43" t="s">
        <v>92</v>
      </c>
      <c r="G43" s="5">
        <f>$G$42*($G$38/$G$37)</f>
        <v>9995.3537686267009</v>
      </c>
      <c r="H43" t="s">
        <v>11</v>
      </c>
      <c r="N43" s="3">
        <v>8</v>
      </c>
      <c r="O43" s="3">
        <f t="shared" si="25"/>
        <v>851.5625</v>
      </c>
      <c r="P43" s="3">
        <v>27.147250534677823</v>
      </c>
      <c r="Q43" s="3">
        <f t="shared" si="26"/>
        <v>859.375</v>
      </c>
      <c r="R43" s="3">
        <v>-27.182739292870338</v>
      </c>
      <c r="S43" s="3">
        <f t="shared" si="21"/>
        <v>855.46875</v>
      </c>
      <c r="T43" s="3">
        <v>4.4276157235799474E-2</v>
      </c>
      <c r="U43" s="3">
        <f t="shared" si="22"/>
        <v>1.2019759331930366</v>
      </c>
      <c r="V43" s="3">
        <f t="shared" si="23"/>
        <v>-1.2035472390308717</v>
      </c>
      <c r="W43" s="3">
        <f t="shared" si="24"/>
        <v>7.8125</v>
      </c>
      <c r="AB43" s="3">
        <v>4</v>
      </c>
      <c r="AC43" s="3">
        <f t="shared" si="46"/>
        <v>0</v>
      </c>
      <c r="AD43" s="3">
        <f t="shared" si="27"/>
        <v>5.1884104246821376E-2</v>
      </c>
      <c r="AE43" s="3">
        <f t="shared" si="47"/>
        <v>6.25E-2</v>
      </c>
      <c r="AF43" s="3">
        <f t="shared" si="28"/>
        <v>-1.1068841185719387E-2</v>
      </c>
      <c r="AG43" s="3">
        <f t="shared" si="38"/>
        <v>3.125E-2</v>
      </c>
      <c r="AH43" s="3">
        <f t="shared" si="29"/>
        <v>2.0518137748808798E-2</v>
      </c>
      <c r="AI43" s="3">
        <f t="shared" si="39"/>
        <v>1.0645651979098365E-3</v>
      </c>
      <c r="AJ43" s="3">
        <f t="shared" si="40"/>
        <v>-2.2711200816827849E-4</v>
      </c>
      <c r="AK43" s="3">
        <f t="shared" si="41"/>
        <v>6.25E-2</v>
      </c>
      <c r="AM43" s="3"/>
      <c r="AN43" s="3"/>
      <c r="AO43" s="14"/>
      <c r="AP43"/>
      <c r="AQ43" s="27"/>
      <c r="AR43" s="20" t="s">
        <v>229</v>
      </c>
      <c r="AS43" s="3">
        <v>-180</v>
      </c>
      <c r="AT43" s="3">
        <v>-9.5</v>
      </c>
      <c r="AU43" s="43" t="s">
        <v>229</v>
      </c>
      <c r="AV43" s="43"/>
      <c r="AW43" s="3">
        <v>-9.5</v>
      </c>
      <c r="AX43" s="3">
        <v>18.5</v>
      </c>
      <c r="AY43" s="20" t="s">
        <v>229</v>
      </c>
      <c r="AZ43" s="3">
        <v>18.5</v>
      </c>
      <c r="BA43" s="28">
        <v>180</v>
      </c>
      <c r="BB43"/>
      <c r="BC43" s="3" t="s">
        <v>173</v>
      </c>
      <c r="BD43" s="3">
        <f>($AN$39+$AN$5)/180*PI()</f>
        <v>0.37734018428117405</v>
      </c>
      <c r="BE43" s="3" t="s">
        <v>170</v>
      </c>
      <c r="BF43" s="3"/>
      <c r="BG43" s="3" t="s">
        <v>173</v>
      </c>
      <c r="BH43" s="3">
        <f>($AN$40+$AN$5)/180*PI()</f>
        <v>0.35430183815484889</v>
      </c>
      <c r="BI43" s="3" t="s">
        <v>170</v>
      </c>
      <c r="BJ43"/>
      <c r="BK43" s="3">
        <v>5</v>
      </c>
      <c r="BL43" s="3">
        <f t="shared" si="42"/>
        <v>0.20616701789183017</v>
      </c>
      <c r="BM43" s="3">
        <v>-7.1808489043119789E-2</v>
      </c>
      <c r="BN43" s="3">
        <f t="shared" si="43"/>
        <v>0.38091810924776243</v>
      </c>
      <c r="BO43" s="3">
        <v>0.28731385431382439</v>
      </c>
      <c r="BP43" s="3">
        <f t="shared" si="30"/>
        <v>0.2935425635697963</v>
      </c>
      <c r="BQ43" s="3">
        <v>0.12678964120258027</v>
      </c>
      <c r="BR43" s="3">
        <f t="shared" si="31"/>
        <v>-9.1045725610765741E-3</v>
      </c>
      <c r="BS43" s="3">
        <f t="shared" si="32"/>
        <v>3.6428420500980212E-2</v>
      </c>
      <c r="BT43" s="3">
        <f t="shared" si="33"/>
        <v>0.17475109135593225</v>
      </c>
      <c r="BU43"/>
      <c r="BV43" s="3">
        <v>5</v>
      </c>
      <c r="BW43" s="3">
        <f t="shared" si="44"/>
        <v>3.1415926535897934E-2</v>
      </c>
      <c r="BX43" s="3">
        <v>-0.86871678463666668</v>
      </c>
      <c r="BY43" s="3">
        <f t="shared" si="45"/>
        <v>0.20616701789183017</v>
      </c>
      <c r="BZ43" s="3">
        <v>3.1818862958174279E-3</v>
      </c>
      <c r="CA43" s="3">
        <f t="shared" si="34"/>
        <v>0.11879147221386405</v>
      </c>
      <c r="CB43" s="3">
        <v>-0.23539283415508713</v>
      </c>
      <c r="CC43" s="3">
        <f t="shared" si="35"/>
        <v>0.20448970601371944</v>
      </c>
      <c r="CD43" s="3">
        <f t="shared" si="36"/>
        <v>-7.4899323313169634E-4</v>
      </c>
      <c r="CE43" s="3">
        <f t="shared" si="37"/>
        <v>0.17475109135593225</v>
      </c>
    </row>
    <row r="44" spans="2:83" x14ac:dyDescent="0.2">
      <c r="B44" s="51" t="s">
        <v>23</v>
      </c>
      <c r="C44" s="51"/>
      <c r="D44" s="51"/>
      <c r="F44" t="s">
        <v>93</v>
      </c>
      <c r="G44" s="5">
        <f>ATAN(G37/G42)/PI()*180</f>
        <v>1.7466458786346903</v>
      </c>
      <c r="H44" t="s">
        <v>53</v>
      </c>
      <c r="N44" s="3">
        <v>9</v>
      </c>
      <c r="O44" s="3">
        <f t="shared" si="25"/>
        <v>855.46875</v>
      </c>
      <c r="P44" s="3">
        <v>4.4276157235799474E-2</v>
      </c>
      <c r="Q44" s="3">
        <f t="shared" si="26"/>
        <v>859.375</v>
      </c>
      <c r="R44" s="3">
        <v>-27.182739292870338</v>
      </c>
      <c r="S44" s="3">
        <f t="shared" si="21"/>
        <v>857.421875</v>
      </c>
      <c r="T44" s="3">
        <v>-13.553726433733573</v>
      </c>
      <c r="U44" s="3">
        <f t="shared" si="22"/>
        <v>-0.6001069227109993</v>
      </c>
      <c r="V44" s="3">
        <f t="shared" si="23"/>
        <v>368.42741209506494</v>
      </c>
      <c r="W44" s="3">
        <f t="shared" si="24"/>
        <v>3.90625</v>
      </c>
      <c r="AB44" s="3">
        <v>5</v>
      </c>
      <c r="AC44" s="3">
        <f t="shared" si="46"/>
        <v>3.125E-2</v>
      </c>
      <c r="AD44" s="3">
        <f t="shared" si="27"/>
        <v>2.0518137748808798E-2</v>
      </c>
      <c r="AE44" s="3">
        <f t="shared" si="47"/>
        <v>6.25E-2</v>
      </c>
      <c r="AF44" s="3">
        <f t="shared" si="28"/>
        <v>-1.1068841185719387E-2</v>
      </c>
      <c r="AG44" s="3">
        <f t="shared" si="38"/>
        <v>4.6875E-2</v>
      </c>
      <c r="AH44" s="3">
        <f t="shared" si="29"/>
        <v>4.7507787003495533E-3</v>
      </c>
      <c r="AI44" s="3">
        <f t="shared" si="39"/>
        <v>9.7477131787878979E-5</v>
      </c>
      <c r="AJ44" s="3">
        <f t="shared" si="40"/>
        <v>-5.258561494266756E-5</v>
      </c>
      <c r="AK44" s="3">
        <f t="shared" si="41"/>
        <v>3.125E-2</v>
      </c>
      <c r="AM44" s="41" t="s">
        <v>230</v>
      </c>
      <c r="AN44" s="41"/>
      <c r="AO44" s="41"/>
      <c r="AP44"/>
      <c r="AQ44" s="29" t="s">
        <v>231</v>
      </c>
      <c r="AR44" s="3">
        <v>-4.9719999999999998E-5</v>
      </c>
      <c r="AS44" s="3">
        <v>-9.4228200000000002E-3</v>
      </c>
      <c r="AT44" s="3">
        <v>-0.58952914000000001</v>
      </c>
      <c r="AU44" s="3">
        <v>-2.3201E-4</v>
      </c>
      <c r="AV44" s="3">
        <v>1.5145600000000001E-3</v>
      </c>
      <c r="AW44" s="3">
        <v>0.11609899</v>
      </c>
      <c r="AX44" s="3">
        <v>0.17357117999999999</v>
      </c>
      <c r="AY44" s="3">
        <v>6.9132000000000004E-4</v>
      </c>
      <c r="AZ44" s="3">
        <v>-0.13722607000000001</v>
      </c>
      <c r="BA44" s="28">
        <v>3.6431797299999999</v>
      </c>
      <c r="BB44"/>
      <c r="BC44" s="3" t="s">
        <v>36</v>
      </c>
      <c r="BD44" s="3">
        <f>BD43-BD42</f>
        <v>0.19603549089181155</v>
      </c>
      <c r="BE44" s="3" t="s">
        <v>170</v>
      </c>
      <c r="BF44" s="3"/>
      <c r="BG44" s="3" t="s">
        <v>36</v>
      </c>
      <c r="BH44" s="3">
        <f>BH43-BH42</f>
        <v>0.19171814429140382</v>
      </c>
      <c r="BI44" s="3" t="s">
        <v>170</v>
      </c>
      <c r="BJ44"/>
      <c r="BK44" s="3">
        <v>6</v>
      </c>
      <c r="BL44" s="3">
        <f t="shared" si="42"/>
        <v>0.20616701789183017</v>
      </c>
      <c r="BM44" s="3">
        <v>-7.1808489043119789E-2</v>
      </c>
      <c r="BN44" s="3">
        <f t="shared" si="43"/>
        <v>0.2935425635697963</v>
      </c>
      <c r="BO44" s="3">
        <v>0.12678964120258027</v>
      </c>
      <c r="BP44" s="3">
        <f t="shared" si="30"/>
        <v>0.24985479073081324</v>
      </c>
      <c r="BQ44" s="3">
        <v>3.306470255827744E-2</v>
      </c>
      <c r="BR44" s="3">
        <f t="shared" si="31"/>
        <v>-2.3743263313700802E-3</v>
      </c>
      <c r="BS44" s="3">
        <f t="shared" si="32"/>
        <v>4.1922617738340343E-3</v>
      </c>
      <c r="BT44" s="3">
        <f t="shared" si="33"/>
        <v>8.7375545677966127E-2</v>
      </c>
      <c r="BU44"/>
      <c r="BV44" s="3">
        <v>6</v>
      </c>
      <c r="BW44" s="3">
        <f t="shared" si="44"/>
        <v>0.11879147221386405</v>
      </c>
      <c r="BX44" s="3">
        <v>-0.23539283415508713</v>
      </c>
      <c r="BY44" s="3">
        <f t="shared" si="45"/>
        <v>0.20616701789183017</v>
      </c>
      <c r="BZ44" s="3">
        <v>3.1818862958174279E-3</v>
      </c>
      <c r="CA44" s="3">
        <f t="shared" si="34"/>
        <v>0.16247924505284711</v>
      </c>
      <c r="CB44" s="3">
        <v>-0.10349361469786456</v>
      </c>
      <c r="CC44" s="3">
        <f t="shared" si="35"/>
        <v>2.4361655280684919E-2</v>
      </c>
      <c r="CD44" s="3">
        <f t="shared" si="36"/>
        <v>-3.2930491431174436E-4</v>
      </c>
      <c r="CE44" s="3">
        <f t="shared" si="37"/>
        <v>8.7375545677966127E-2</v>
      </c>
    </row>
    <row r="45" spans="2:83" x14ac:dyDescent="0.2">
      <c r="B45" s="5" t="s">
        <v>24</v>
      </c>
      <c r="C45" s="8">
        <v>30</v>
      </c>
      <c r="F45" t="s">
        <v>94</v>
      </c>
      <c r="G45" s="5">
        <f>1/1000 * (W25 + W21 * (W30 * W27 + $G$36 * SIN(W20/180*PI())))</f>
        <v>24.302607372922029</v>
      </c>
      <c r="H45" t="s">
        <v>81</v>
      </c>
      <c r="N45" s="3">
        <v>10</v>
      </c>
      <c r="O45" s="3">
        <f t="shared" si="25"/>
        <v>855.46875</v>
      </c>
      <c r="P45" s="3">
        <v>4.4276157235799474E-2</v>
      </c>
      <c r="Q45" s="3">
        <f t="shared" si="26"/>
        <v>857.421875</v>
      </c>
      <c r="R45" s="3">
        <v>-13.553726433733573</v>
      </c>
      <c r="S45" s="3">
        <f t="shared" si="21"/>
        <v>856.4453125</v>
      </c>
      <c r="T45" s="3">
        <v>-6.7508488547273373</v>
      </c>
      <c r="U45" s="3">
        <f t="shared" si="22"/>
        <v>-0.2989016453670244</v>
      </c>
      <c r="V45" s="3">
        <f t="shared" si="23"/>
        <v>91.499158572457929</v>
      </c>
      <c r="W45" s="3">
        <f t="shared" si="24"/>
        <v>1.953125</v>
      </c>
      <c r="AB45" s="3">
        <v>6</v>
      </c>
      <c r="AC45" s="3">
        <f t="shared" si="46"/>
        <v>4.6875E-2</v>
      </c>
      <c r="AD45" s="3">
        <f t="shared" si="27"/>
        <v>4.7507787003495533E-3</v>
      </c>
      <c r="AE45" s="3">
        <f t="shared" si="47"/>
        <v>6.25E-2</v>
      </c>
      <c r="AF45" s="3">
        <f t="shared" si="28"/>
        <v>-1.1068841185719387E-2</v>
      </c>
      <c r="AG45" s="3">
        <f t="shared" si="38"/>
        <v>5.46875E-2</v>
      </c>
      <c r="AH45" s="3">
        <f t="shared" si="29"/>
        <v>-3.1527476798897253E-3</v>
      </c>
      <c r="AI45" s="3">
        <f t="shared" si="39"/>
        <v>-1.4978006525196578E-5</v>
      </c>
      <c r="AJ45" s="3">
        <f t="shared" si="40"/>
        <v>3.4897263367344631E-5</v>
      </c>
      <c r="AK45" s="3">
        <f t="shared" si="41"/>
        <v>1.5625E-2</v>
      </c>
      <c r="AM45" s="3" t="s">
        <v>24</v>
      </c>
      <c r="AN45" s="3">
        <f>$C$38</f>
        <v>1.2250000000000001</v>
      </c>
      <c r="AO45" s="14" t="s">
        <v>20</v>
      </c>
      <c r="AP45"/>
      <c r="AQ45" s="30" t="s">
        <v>232</v>
      </c>
      <c r="AR45" s="31">
        <v>-1.4875000000000001E-4</v>
      </c>
      <c r="AS45" s="31">
        <v>-2.818766E-2</v>
      </c>
      <c r="AT45" s="31">
        <v>-0.15965826999999999</v>
      </c>
      <c r="AU45" s="31">
        <v>-4.4100000000000001E-6</v>
      </c>
      <c r="AV45" s="31">
        <v>3.8060999999999998E-4</v>
      </c>
      <c r="AW45" s="31">
        <v>-2.2518899999999999E-3</v>
      </c>
      <c r="AX45" s="31">
        <v>6.2865899999999999E-3</v>
      </c>
      <c r="AY45" s="31">
        <v>-2.0911000000000001E-4</v>
      </c>
      <c r="AZ45" s="31">
        <v>4.150877E-2</v>
      </c>
      <c r="BA45" s="32">
        <v>-0.59881362999999999</v>
      </c>
      <c r="BB45"/>
      <c r="BC45" s="3" t="s">
        <v>180</v>
      </c>
      <c r="BD45" s="3">
        <f>BD44/PI()*180</f>
        <v>11.232006262876093</v>
      </c>
      <c r="BE45" s="3" t="s">
        <v>53</v>
      </c>
      <c r="BF45" s="3"/>
      <c r="BG45" s="3" t="s">
        <v>180</v>
      </c>
      <c r="BH45" s="3">
        <f>BH44/PI()*180</f>
        <v>10.984640523977577</v>
      </c>
      <c r="BI45" s="3" t="s">
        <v>53</v>
      </c>
      <c r="BJ45"/>
      <c r="BK45" s="3">
        <v>7</v>
      </c>
      <c r="BL45" s="3">
        <f t="shared" si="42"/>
        <v>0.20616701789183017</v>
      </c>
      <c r="BM45" s="3">
        <v>-7.1808489043119789E-2</v>
      </c>
      <c r="BN45" s="3">
        <f t="shared" si="43"/>
        <v>0.24985479073081324</v>
      </c>
      <c r="BO45" s="3">
        <v>3.306470255827744E-2</v>
      </c>
      <c r="BP45" s="3">
        <f t="shared" si="30"/>
        <v>0.2280109043113217</v>
      </c>
      <c r="BQ45" s="3">
        <v>-1.780907747565107E-2</v>
      </c>
      <c r="BR45" s="3">
        <f t="shared" si="31"/>
        <v>1.2788429447783613E-3</v>
      </c>
      <c r="BS45" s="3">
        <f t="shared" si="32"/>
        <v>-5.8885184956972104E-4</v>
      </c>
      <c r="BT45" s="3">
        <f t="shared" si="33"/>
        <v>4.3687772838983063E-2</v>
      </c>
      <c r="BU45"/>
      <c r="BV45" s="3">
        <v>7</v>
      </c>
      <c r="BW45" s="3">
        <f t="shared" si="44"/>
        <v>0.16247924505284711</v>
      </c>
      <c r="BX45" s="3">
        <v>-0.10349361469786456</v>
      </c>
      <c r="BY45" s="3">
        <f t="shared" si="45"/>
        <v>0.20616701789183017</v>
      </c>
      <c r="BZ45" s="3">
        <v>3.1818862958174279E-3</v>
      </c>
      <c r="CA45" s="3">
        <f t="shared" si="34"/>
        <v>0.18432313147233864</v>
      </c>
      <c r="CB45" s="3">
        <v>-4.790964266863685E-2</v>
      </c>
      <c r="CC45" s="3">
        <f t="shared" si="35"/>
        <v>4.9583420986602737E-3</v>
      </c>
      <c r="CD45" s="3">
        <f t="shared" si="36"/>
        <v>-1.5244303544484551E-4</v>
      </c>
      <c r="CE45" s="3">
        <f t="shared" si="37"/>
        <v>4.3687772838983063E-2</v>
      </c>
    </row>
    <row r="46" spans="2:83" x14ac:dyDescent="0.2">
      <c r="F46" s="33" t="s">
        <v>103</v>
      </c>
      <c r="G46" s="34">
        <f>$C$17*G45</f>
        <v>97.210429491688117</v>
      </c>
      <c r="H46" s="33" t="s">
        <v>81</v>
      </c>
      <c r="N46" s="3">
        <v>11</v>
      </c>
      <c r="O46" s="3">
        <f t="shared" si="25"/>
        <v>855.46875</v>
      </c>
      <c r="P46" s="3">
        <v>4.4276157235799474E-2</v>
      </c>
      <c r="Q46" s="3">
        <f t="shared" si="26"/>
        <v>856.4453125</v>
      </c>
      <c r="R46" s="3">
        <v>-6.7508488547273373</v>
      </c>
      <c r="S46" s="3">
        <f t="shared" si="21"/>
        <v>855.95703125</v>
      </c>
      <c r="T46" s="3">
        <v>-3.35231727786595</v>
      </c>
      <c r="U46" s="3">
        <f t="shared" si="22"/>
        <v>-0.14842772689908007</v>
      </c>
      <c r="V46" s="3">
        <f t="shared" si="23"/>
        <v>22.630987255964012</v>
      </c>
      <c r="W46" s="3">
        <f t="shared" si="24"/>
        <v>0.9765625</v>
      </c>
      <c r="AB46" s="3">
        <v>7</v>
      </c>
      <c r="AC46" s="3">
        <f t="shared" si="46"/>
        <v>4.6875E-2</v>
      </c>
      <c r="AD46" s="3">
        <f t="shared" si="27"/>
        <v>4.7507787003495533E-3</v>
      </c>
      <c r="AE46" s="3">
        <f t="shared" si="47"/>
        <v>5.46875E-2</v>
      </c>
      <c r="AF46" s="3">
        <f t="shared" si="28"/>
        <v>-3.1527476798897253E-3</v>
      </c>
      <c r="AG46" s="3">
        <f t="shared" si="38"/>
        <v>5.078125E-2</v>
      </c>
      <c r="AH46" s="3">
        <f t="shared" si="29"/>
        <v>8.0061995909068429E-4</v>
      </c>
      <c r="AI46" s="3">
        <f t="shared" si="39"/>
        <v>3.8035682487227536E-6</v>
      </c>
      <c r="AJ46" s="3">
        <f t="shared" si="40"/>
        <v>-2.5241527184965618E-6</v>
      </c>
      <c r="AK46" s="3">
        <f t="shared" si="41"/>
        <v>7.8125E-3</v>
      </c>
      <c r="AM46" s="3" t="s">
        <v>39</v>
      </c>
      <c r="AN46" s="19">
        <f>$C$39</f>
        <v>1.7893802780775801E-5</v>
      </c>
      <c r="AO46" s="14" t="s">
        <v>155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3" t="s">
        <v>183</v>
      </c>
      <c r="BD46" s="3">
        <f xml:space="preserve"> $AN$8*$AN$31 / (2*PI()*$AN$23)</f>
        <v>8.187421970845267E-2</v>
      </c>
      <c r="BE46" s="3"/>
      <c r="BF46" s="3"/>
      <c r="BG46" s="3" t="s">
        <v>183</v>
      </c>
      <c r="BH46" s="3">
        <f xml:space="preserve"> $AN$8*$AN$32 / (2*PI()*$AN$24)</f>
        <v>6.7201802695181334E-2</v>
      </c>
      <c r="BI46" s="3"/>
      <c r="BJ46"/>
      <c r="BK46" s="3">
        <v>8</v>
      </c>
      <c r="BL46" s="3">
        <f t="shared" si="42"/>
        <v>0.2280109043113217</v>
      </c>
      <c r="BM46" s="3">
        <v>-1.780907747565107E-2</v>
      </c>
      <c r="BN46" s="3">
        <f t="shared" si="43"/>
        <v>0.24985479073081324</v>
      </c>
      <c r="BO46" s="3">
        <v>3.306470255827744E-2</v>
      </c>
      <c r="BP46" s="3">
        <f t="shared" si="30"/>
        <v>0.23893284752106747</v>
      </c>
      <c r="BQ46" s="3">
        <v>7.9925062414504533E-3</v>
      </c>
      <c r="BR46" s="3">
        <f t="shared" si="31"/>
        <v>-1.4233916287861585E-4</v>
      </c>
      <c r="BS46" s="3">
        <f t="shared" si="32"/>
        <v>2.6426984156873519E-4</v>
      </c>
      <c r="BT46" s="3">
        <f t="shared" si="33"/>
        <v>2.1843886419491532E-2</v>
      </c>
      <c r="BU46"/>
      <c r="BV46" s="3">
        <v>8</v>
      </c>
      <c r="BW46" s="3">
        <f t="shared" si="44"/>
        <v>0.18432313147233864</v>
      </c>
      <c r="BX46" s="3">
        <v>-4.790964266863685E-2</v>
      </c>
      <c r="BY46" s="3">
        <f t="shared" si="45"/>
        <v>0.20616701789183017</v>
      </c>
      <c r="BZ46" s="3">
        <v>3.1818862958174279E-3</v>
      </c>
      <c r="CA46" s="3">
        <f t="shared" si="34"/>
        <v>0.19524507468208441</v>
      </c>
      <c r="CB46" s="3">
        <v>-2.1870832690795143E-2</v>
      </c>
      <c r="CC46" s="3">
        <f t="shared" si="35"/>
        <v>1.0478237790815367E-3</v>
      </c>
      <c r="CD46" s="3">
        <f t="shared" si="36"/>
        <v>-6.959050281695687E-5</v>
      </c>
      <c r="CE46" s="3">
        <f t="shared" si="37"/>
        <v>2.1843886419491532E-2</v>
      </c>
    </row>
    <row r="47" spans="2:83" x14ac:dyDescent="0.2">
      <c r="N47" s="3">
        <v>12</v>
      </c>
      <c r="O47" s="3">
        <f t="shared" si="25"/>
        <v>855.46875</v>
      </c>
      <c r="P47" s="3">
        <v>4.4276157235799474E-2</v>
      </c>
      <c r="Q47" s="3">
        <f t="shared" si="26"/>
        <v>855.95703125</v>
      </c>
      <c r="R47" s="3">
        <v>-3.35231727786595</v>
      </c>
      <c r="S47" s="3">
        <f t="shared" si="21"/>
        <v>855.712890625</v>
      </c>
      <c r="T47" s="3">
        <v>-1.6537782925943247</v>
      </c>
      <c r="U47" s="3">
        <f t="shared" si="22"/>
        <v>-7.3222947716058306E-2</v>
      </c>
      <c r="V47" s="3">
        <f t="shared" si="23"/>
        <v>5.5439895440236056</v>
      </c>
      <c r="W47" s="3">
        <f t="shared" si="24"/>
        <v>0.48828125</v>
      </c>
      <c r="AB47" s="3">
        <v>8</v>
      </c>
      <c r="AC47" s="3">
        <f t="shared" si="46"/>
        <v>5.078125E-2</v>
      </c>
      <c r="AD47" s="3">
        <f t="shared" si="27"/>
        <v>8.0061995909068429E-4</v>
      </c>
      <c r="AE47" s="3">
        <f t="shared" si="47"/>
        <v>5.46875E-2</v>
      </c>
      <c r="AF47" s="3">
        <f t="shared" si="28"/>
        <v>-3.1527476798897253E-3</v>
      </c>
      <c r="AG47" s="3">
        <f t="shared" si="38"/>
        <v>5.2734375E-2</v>
      </c>
      <c r="AH47" s="3">
        <f t="shared" si="29"/>
        <v>-1.1756668015103569E-3</v>
      </c>
      <c r="AI47" s="3">
        <f t="shared" si="39"/>
        <v>-9.4126230652949761E-7</v>
      </c>
      <c r="AJ47" s="3">
        <f t="shared" si="40"/>
        <v>3.7065807807851521E-6</v>
      </c>
      <c r="AK47" s="3">
        <f t="shared" si="41"/>
        <v>3.90625E-3</v>
      </c>
      <c r="AP47"/>
      <c r="AQ47" t="s">
        <v>180</v>
      </c>
      <c r="AR47" t="s">
        <v>244</v>
      </c>
      <c r="AS47" t="s">
        <v>245</v>
      </c>
      <c r="AT47" t="s">
        <v>246</v>
      </c>
      <c r="AU47" t="s">
        <v>200</v>
      </c>
      <c r="AV47" t="s">
        <v>201</v>
      </c>
      <c r="AW47"/>
      <c r="AX47"/>
      <c r="AY47"/>
      <c r="AZ47"/>
      <c r="BA47"/>
      <c r="BB47"/>
      <c r="BC47" s="3" t="s">
        <v>187</v>
      </c>
      <c r="BD47" s="3">
        <f>IF(-$AN$8*($AR$3-$AN$23)/(2*$AN$23*SIN(BD42))&gt;500, 1, 2*ACOS(MIN(1, EXP(-$AN$8*($AR$3-$AN$23)/(2*$AN$23*SIN(BD42)))))/PI() )</f>
        <v>0.99989175988076828</v>
      </c>
      <c r="BE47" s="3"/>
      <c r="BF47" s="3"/>
      <c r="BG47" s="3" t="s">
        <v>187</v>
      </c>
      <c r="BH47" s="3">
        <f>IF(-$AN$8*($AR$3-$AN$24)/(2*$AN$24*SIN(BH42))&gt;500, 1, 2*ACOS(MIN(1, EXP(-$AN$8*($AR$3-$AN$24)/(2*$AN$24*SIN(BH42)))))/PI() )</f>
        <v>0.99818177820138787</v>
      </c>
      <c r="BI47" s="3"/>
      <c r="BJ47"/>
      <c r="BK47" s="3">
        <v>9</v>
      </c>
      <c r="BL47" s="3">
        <f t="shared" si="42"/>
        <v>0.2280109043113217</v>
      </c>
      <c r="BM47" s="3">
        <v>-1.780907747565107E-2</v>
      </c>
      <c r="BN47" s="3">
        <f t="shared" si="43"/>
        <v>0.23893284752106747</v>
      </c>
      <c r="BO47" s="3">
        <v>7.9925062414504533E-3</v>
      </c>
      <c r="BP47" s="3">
        <f t="shared" si="30"/>
        <v>0.23347187591619459</v>
      </c>
      <c r="BQ47" s="3">
        <v>-4.8142445106180154E-3</v>
      </c>
      <c r="BR47" s="3">
        <f t="shared" si="31"/>
        <v>8.5737253476324114E-5</v>
      </c>
      <c r="BS47" s="3">
        <f t="shared" si="32"/>
        <v>-3.847787929898307E-5</v>
      </c>
      <c r="BT47" s="3">
        <f t="shared" si="33"/>
        <v>1.0921943209745766E-2</v>
      </c>
      <c r="BU47"/>
      <c r="BV47" s="3">
        <v>9</v>
      </c>
      <c r="BW47" s="3">
        <f t="shared" si="44"/>
        <v>0.19524507468208441</v>
      </c>
      <c r="BX47" s="3">
        <v>-2.1870832690795143E-2</v>
      </c>
      <c r="BY47" s="3">
        <f t="shared" si="45"/>
        <v>0.20616701789183017</v>
      </c>
      <c r="BZ47" s="3">
        <v>3.1818862958174279E-3</v>
      </c>
      <c r="CA47" s="3">
        <f t="shared" si="34"/>
        <v>0.20070604628695729</v>
      </c>
      <c r="CB47" s="3">
        <v>-9.2281216322022408E-3</v>
      </c>
      <c r="CC47" s="3">
        <f t="shared" si="35"/>
        <v>2.018267042682026E-4</v>
      </c>
      <c r="CD47" s="3">
        <f t="shared" si="36"/>
        <v>-2.9362833757640664E-5</v>
      </c>
      <c r="CE47" s="3">
        <f t="shared" si="37"/>
        <v>1.0921943209745766E-2</v>
      </c>
    </row>
    <row r="48" spans="2:83" x14ac:dyDescent="0.2">
      <c r="F48" s="49" t="s">
        <v>105</v>
      </c>
      <c r="G48" s="50"/>
      <c r="H48" s="50"/>
      <c r="N48" s="3">
        <v>13</v>
      </c>
      <c r="O48" s="3">
        <f t="shared" si="25"/>
        <v>855.46875</v>
      </c>
      <c r="P48" s="3">
        <v>4.4276157235799474E-2</v>
      </c>
      <c r="Q48" s="3">
        <f t="shared" si="26"/>
        <v>855.712890625</v>
      </c>
      <c r="R48" s="3">
        <v>-1.6537782925943247</v>
      </c>
      <c r="S48" s="3">
        <f t="shared" si="21"/>
        <v>855.5908203125</v>
      </c>
      <c r="T48" s="3">
        <v>-0.8046905007481655</v>
      </c>
      <c r="U48" s="3">
        <f t="shared" si="22"/>
        <v>-3.5628603137279988E-2</v>
      </c>
      <c r="V48" s="3">
        <f t="shared" si="23"/>
        <v>1.3307796823941733</v>
      </c>
      <c r="W48" s="3">
        <f t="shared" si="24"/>
        <v>0.244140625</v>
      </c>
      <c r="AB48" s="3">
        <v>9</v>
      </c>
      <c r="AC48" s="3">
        <f t="shared" si="46"/>
        <v>5.078125E-2</v>
      </c>
      <c r="AD48" s="3">
        <f t="shared" si="27"/>
        <v>8.0061995909068429E-4</v>
      </c>
      <c r="AE48" s="3">
        <f t="shared" si="47"/>
        <v>5.2734375E-2</v>
      </c>
      <c r="AF48" s="3">
        <f t="shared" si="28"/>
        <v>-1.1756668015103569E-3</v>
      </c>
      <c r="AG48" s="3">
        <f t="shared" si="38"/>
        <v>5.17578125E-2</v>
      </c>
      <c r="AH48" s="3">
        <f t="shared" si="29"/>
        <v>-1.8742364064763123E-4</v>
      </c>
      <c r="AI48" s="3">
        <f t="shared" si="39"/>
        <v>-1.5005510750793362E-7</v>
      </c>
      <c r="AJ48" s="3">
        <f t="shared" si="40"/>
        <v>2.2034775212762712E-7</v>
      </c>
      <c r="AK48" s="3">
        <f t="shared" si="41"/>
        <v>1.953125E-3</v>
      </c>
      <c r="AP48"/>
      <c r="AQ48">
        <f>BD7</f>
        <v>6.9068143768236023</v>
      </c>
      <c r="AR48">
        <f>AQ48/180*PI()</f>
        <v>0.12054665169965219</v>
      </c>
      <c r="AS48">
        <f>1+AR48</f>
        <v>1.1205466516996523</v>
      </c>
      <c r="AT48">
        <f>AS48/PI()*180</f>
        <v>64.202593889905927</v>
      </c>
      <c r="AU48"/>
      <c r="AV48">
        <f>$AU$45*AQ48^3 + $AV$45*AQ48^2 + $AW$45*AQ48 + $AX$45</f>
        <v>7.4368343302734907E-3</v>
      </c>
      <c r="AW48"/>
      <c r="AX48"/>
      <c r="AY48"/>
      <c r="AZ48"/>
      <c r="BA48"/>
      <c r="BB48"/>
      <c r="BC48" s="3" t="s">
        <v>192</v>
      </c>
      <c r="BD48" s="3">
        <f>IF(-$AN$8*($AN$23-$AN$10)/(2*$AN$23*SIN(BD42))&gt;500, 1, 2*ACOS(MIN(1, EXP(-$AN$8*($AN$23-$AN$10)/(2*$AN$23*SIN(BD42)))))/PI() )</f>
        <v>0.9999909345245791</v>
      </c>
      <c r="BE48" s="3"/>
      <c r="BF48" s="3"/>
      <c r="BG48" s="3" t="s">
        <v>192</v>
      </c>
      <c r="BH48" s="3">
        <f>IF(-$AN$8*($AN$24-$AN$10)/(2*$AN$24*SIN(BH42))&gt;500, 1, 2*ACOS(MIN(1, EXP(-$AN$8*($AN$24-$AN$10)/(2*$AN$24*SIN(BH42)))))/PI() )</f>
        <v>0.99999839096442611</v>
      </c>
      <c r="BI48" s="3"/>
      <c r="BJ48"/>
      <c r="BK48" s="3">
        <v>10</v>
      </c>
      <c r="BL48" s="3">
        <f t="shared" si="42"/>
        <v>0.23347187591619459</v>
      </c>
      <c r="BM48" s="3">
        <v>-4.8142445106180154E-3</v>
      </c>
      <c r="BN48" s="3">
        <f t="shared" si="43"/>
        <v>0.23893284752106747</v>
      </c>
      <c r="BO48" s="3">
        <v>7.9925062414504533E-3</v>
      </c>
      <c r="BP48" s="3">
        <f t="shared" si="30"/>
        <v>0.23620236171863102</v>
      </c>
      <c r="BQ48" s="3">
        <v>1.6122618486193174E-3</v>
      </c>
      <c r="BR48" s="3">
        <f t="shared" si="31"/>
        <v>-7.7618227543944032E-6</v>
      </c>
      <c r="BS48" s="3">
        <f t="shared" si="32"/>
        <v>1.2886012887942341E-5</v>
      </c>
      <c r="BT48" s="3">
        <f t="shared" si="33"/>
        <v>5.4609716048728829E-3</v>
      </c>
      <c r="BU48"/>
      <c r="BV48" s="3">
        <v>10</v>
      </c>
      <c r="BW48" s="3">
        <f t="shared" si="44"/>
        <v>0.20070604628695729</v>
      </c>
      <c r="BX48" s="3">
        <v>-9.2281216322022408E-3</v>
      </c>
      <c r="BY48" s="3">
        <f t="shared" si="45"/>
        <v>0.20616701789183017</v>
      </c>
      <c r="BZ48" s="3">
        <v>3.1818862958174279E-3</v>
      </c>
      <c r="CA48" s="3">
        <f t="shared" si="34"/>
        <v>0.20343653208939372</v>
      </c>
      <c r="CB48" s="3">
        <v>-2.994811112074551E-3</v>
      </c>
      <c r="CC48" s="3">
        <f t="shared" si="35"/>
        <v>2.7636481207694813E-5</v>
      </c>
      <c r="CD48" s="3">
        <f t="shared" si="36"/>
        <v>-9.5291484360717648E-6</v>
      </c>
      <c r="CE48" s="3">
        <f t="shared" si="37"/>
        <v>5.4609716048728829E-3</v>
      </c>
    </row>
    <row r="49" spans="6:83" x14ac:dyDescent="0.2">
      <c r="F49" t="s">
        <v>107</v>
      </c>
      <c r="G49" s="1">
        <v>1.524</v>
      </c>
      <c r="H49" t="s">
        <v>13</v>
      </c>
      <c r="N49" s="3">
        <v>14</v>
      </c>
      <c r="O49" s="3">
        <f t="shared" si="25"/>
        <v>855.46875</v>
      </c>
      <c r="P49" s="3">
        <v>4.4276157235799474E-2</v>
      </c>
      <c r="Q49" s="3">
        <f t="shared" si="26"/>
        <v>855.5908203125</v>
      </c>
      <c r="R49" s="3">
        <v>-0.8046905007481655</v>
      </c>
      <c r="S49" s="3">
        <f t="shared" si="21"/>
        <v>855.52978515625</v>
      </c>
      <c r="T49" s="3">
        <v>-0.38019203002295399</v>
      </c>
      <c r="U49" s="3">
        <f t="shared" si="22"/>
        <v>-1.6833442101094106E-2</v>
      </c>
      <c r="V49" s="3">
        <f t="shared" si="23"/>
        <v>0.30593691501963244</v>
      </c>
      <c r="W49" s="3">
        <f t="shared" si="24"/>
        <v>0.1220703125</v>
      </c>
      <c r="AB49" s="3">
        <v>10</v>
      </c>
      <c r="AC49" s="3">
        <f t="shared" si="46"/>
        <v>5.078125E-2</v>
      </c>
      <c r="AD49" s="3">
        <f t="shared" si="27"/>
        <v>8.0061995909068429E-4</v>
      </c>
      <c r="AE49" s="3">
        <f t="shared" si="47"/>
        <v>5.17578125E-2</v>
      </c>
      <c r="AF49" s="3">
        <f t="shared" si="28"/>
        <v>-1.8742364064763123E-4</v>
      </c>
      <c r="AG49" s="3">
        <f t="shared" si="38"/>
        <v>5.126953125E-2</v>
      </c>
      <c r="AH49" s="3">
        <f t="shared" si="29"/>
        <v>3.0662316805107892E-4</v>
      </c>
      <c r="AI49" s="3">
        <f t="shared" si="39"/>
        <v>2.4548862826131084E-7</v>
      </c>
      <c r="AJ49" s="3">
        <f t="shared" si="40"/>
        <v>-5.7468430463043657E-8</v>
      </c>
      <c r="AK49" s="3">
        <f t="shared" si="41"/>
        <v>9.765625E-4</v>
      </c>
      <c r="AP49"/>
      <c r="AQ49">
        <f>BH7</f>
        <v>9.6141884484514666</v>
      </c>
      <c r="AR49">
        <f t="shared" ref="AR49:AR55" si="48">AQ49/180*PI()</f>
        <v>0.1677992433326832</v>
      </c>
      <c r="AS49">
        <f t="shared" ref="AS49:AS55" si="49">1+AR49</f>
        <v>1.1677992433326831</v>
      </c>
      <c r="AT49">
        <f t="shared" ref="AT49:AT55" si="50">AS49/PI()*180</f>
        <v>66.909967961533781</v>
      </c>
      <c r="AU49"/>
      <c r="AV49">
        <f t="shared" ref="AV49:AV55" si="51">$AU$45*AQ49^3 + $AV$45*AQ49^2 + $AW$45*AQ49 + $AX$45</f>
        <v>1.5898263504349051E-2</v>
      </c>
      <c r="AW49"/>
      <c r="AX49"/>
      <c r="AY49"/>
      <c r="AZ49"/>
      <c r="BA49"/>
      <c r="BB49"/>
      <c r="BC49" s="3" t="s">
        <v>196</v>
      </c>
      <c r="BD49" s="3">
        <f>IF(BD42=0,1,BD47*BD48)</f>
        <v>0.99988269538659558</v>
      </c>
      <c r="BE49" s="3"/>
      <c r="BF49" s="3"/>
      <c r="BG49" s="3" t="s">
        <v>196</v>
      </c>
      <c r="BH49" s="3">
        <f>IF(BH42=0,1,BH47*BH48)</f>
        <v>0.99818017209139753</v>
      </c>
      <c r="BI49" s="3"/>
      <c r="BJ49"/>
      <c r="BK49" s="3">
        <v>11</v>
      </c>
      <c r="BL49" s="3">
        <f t="shared" si="42"/>
        <v>0.23347187591619459</v>
      </c>
      <c r="BM49" s="3">
        <v>-4.8142445106180154E-3</v>
      </c>
      <c r="BN49" s="3">
        <f t="shared" si="43"/>
        <v>0.23620236171863102</v>
      </c>
      <c r="BO49" s="3">
        <v>1.6122618486193174E-3</v>
      </c>
      <c r="BP49" s="3">
        <f t="shared" si="30"/>
        <v>0.23483711881741282</v>
      </c>
      <c r="BQ49" s="3">
        <v>-1.5951625615464177E-3</v>
      </c>
      <c r="BR49" s="3">
        <f t="shared" si="31"/>
        <v>7.6795026054682126E-6</v>
      </c>
      <c r="BS49" s="3">
        <f t="shared" si="32"/>
        <v>-2.571819740327153E-6</v>
      </c>
      <c r="BT49" s="3">
        <f t="shared" si="33"/>
        <v>2.7304858024364276E-3</v>
      </c>
      <c r="BU49"/>
      <c r="BV49" s="3">
        <v>11</v>
      </c>
      <c r="BW49" s="3">
        <f t="shared" si="44"/>
        <v>0.20343653208939372</v>
      </c>
      <c r="BX49" s="3">
        <v>-2.994811112074551E-3</v>
      </c>
      <c r="BY49" s="3">
        <f t="shared" si="45"/>
        <v>0.20616701789183017</v>
      </c>
      <c r="BZ49" s="3">
        <v>3.1818862958174279E-3</v>
      </c>
      <c r="CA49" s="3">
        <f t="shared" si="34"/>
        <v>0.20480177499061195</v>
      </c>
      <c r="CB49" s="3">
        <v>1.0052119299785306E-4</v>
      </c>
      <c r="CC49" s="3">
        <f t="shared" si="35"/>
        <v>-3.010419857889609E-7</v>
      </c>
      <c r="CD49" s="3">
        <f t="shared" si="36"/>
        <v>3.1984700643908747E-7</v>
      </c>
      <c r="CE49" s="3">
        <f t="shared" si="37"/>
        <v>2.7304858024364553E-3</v>
      </c>
    </row>
    <row r="50" spans="6:83" x14ac:dyDescent="0.2">
      <c r="F50" t="s">
        <v>108</v>
      </c>
      <c r="G50" s="1">
        <v>152.4</v>
      </c>
      <c r="H50" t="s">
        <v>11</v>
      </c>
      <c r="N50" s="3">
        <v>15</v>
      </c>
      <c r="O50" s="3">
        <f t="shared" si="25"/>
        <v>855.46875</v>
      </c>
      <c r="P50" s="3">
        <v>4.4276157235799474E-2</v>
      </c>
      <c r="Q50" s="3">
        <f t="shared" si="26"/>
        <v>855.52978515625</v>
      </c>
      <c r="R50" s="3">
        <v>-0.38019203002295399</v>
      </c>
      <c r="S50" s="3">
        <f t="shared" si="21"/>
        <v>855.499267578125</v>
      </c>
      <c r="T50" s="3">
        <v>-0.1679541509606679</v>
      </c>
      <c r="U50" s="3">
        <f t="shared" si="22"/>
        <v>-7.4363643963397336E-3</v>
      </c>
      <c r="V50" s="3">
        <f t="shared" si="23"/>
        <v>6.3854829604517993E-2</v>
      </c>
      <c r="W50" s="3">
        <f t="shared" si="24"/>
        <v>6.103515625E-2</v>
      </c>
      <c r="AB50" s="3">
        <v>11</v>
      </c>
      <c r="AC50" s="3">
        <f t="shared" si="46"/>
        <v>5.126953125E-2</v>
      </c>
      <c r="AD50" s="3">
        <f t="shared" si="27"/>
        <v>3.0662316805107892E-4</v>
      </c>
      <c r="AE50" s="3">
        <f t="shared" si="47"/>
        <v>5.17578125E-2</v>
      </c>
      <c r="AF50" s="3">
        <f t="shared" si="28"/>
        <v>-1.8742364064763123E-4</v>
      </c>
      <c r="AG50" s="3">
        <f t="shared" si="38"/>
        <v>5.1513671875E-2</v>
      </c>
      <c r="AH50" s="3">
        <f t="shared" si="29"/>
        <v>5.9606007983679932E-5</v>
      </c>
      <c r="AI50" s="3">
        <f t="shared" si="39"/>
        <v>1.8276583002833843E-8</v>
      </c>
      <c r="AJ50" s="3">
        <f t="shared" si="40"/>
        <v>-1.1171575020773065E-8</v>
      </c>
      <c r="AK50" s="3">
        <f t="shared" si="41"/>
        <v>4.8828125E-4</v>
      </c>
      <c r="AP50"/>
      <c r="AQ50">
        <f>BD26</f>
        <v>10.765956829153001</v>
      </c>
      <c r="AR50">
        <f t="shared" si="48"/>
        <v>0.18790139379628853</v>
      </c>
      <c r="AS50">
        <f t="shared" si="49"/>
        <v>1.1879013937962886</v>
      </c>
      <c r="AT50">
        <f t="shared" si="50"/>
        <v>68.061736342235321</v>
      </c>
      <c r="AU50"/>
      <c r="AV50">
        <f t="shared" si="51"/>
        <v>2.0654794364202485E-2</v>
      </c>
      <c r="AW50"/>
      <c r="AX50"/>
      <c r="AY50"/>
      <c r="AZ50"/>
      <c r="BA50"/>
      <c r="BB50"/>
      <c r="BC50" s="3" t="s">
        <v>200</v>
      </c>
      <c r="BD50" s="3">
        <f>IF(BD45&lt;$AW$43, $AR$44*BD45^2 + $AS$44*BD45 + $AT$44, IF(BD45&gt;$AX$43, $AY$44*BD45^2 + $AZ$44*BD45 + $BA$44, $AU$44*BD45^3 + $AV$44*BD45^2 + $AW$44*BD45 + $AX$44))</f>
        <v>1.3399097642384883</v>
      </c>
      <c r="BE50" s="3"/>
      <c r="BF50" s="3"/>
      <c r="BG50" s="3" t="s">
        <v>200</v>
      </c>
      <c r="BH50" s="3">
        <f>IF(BH45&lt;$AW$43, $AR$44*BH45^2 + $AS$44*BH45 + $AT$44, IF(BH45&gt;$AX$43, $AY$44*BH45^2 + $AZ$44*BH45 + $BA$44, $AU$44*BH45^3 + $AV$44*BH45^2 + $AW$44*BH45 + $AX$44))</f>
        <v>1.3241136389925807</v>
      </c>
      <c r="BI50" s="3"/>
      <c r="BJ50"/>
      <c r="BK50" s="3">
        <v>12</v>
      </c>
      <c r="BL50" s="3">
        <f t="shared" si="42"/>
        <v>0.23483711881741282</v>
      </c>
      <c r="BM50" s="3">
        <v>-1.5951625615464177E-3</v>
      </c>
      <c r="BN50" s="3">
        <f t="shared" si="43"/>
        <v>0.23620236171863102</v>
      </c>
      <c r="BO50" s="3">
        <v>1.6122618486193174E-3</v>
      </c>
      <c r="BP50" s="3">
        <f t="shared" si="30"/>
        <v>0.23551974026802192</v>
      </c>
      <c r="BQ50" s="3">
        <v>1.0000999044829095E-5</v>
      </c>
      <c r="BR50" s="3">
        <f t="shared" si="31"/>
        <v>-1.5953219254372856E-8</v>
      </c>
      <c r="BS50" s="3">
        <f t="shared" si="32"/>
        <v>1.6124229208056186E-8</v>
      </c>
      <c r="BT50" s="3">
        <f t="shared" si="33"/>
        <v>1.3652429012181999E-3</v>
      </c>
      <c r="BU50"/>
      <c r="BV50" s="3">
        <v>12</v>
      </c>
      <c r="BW50" s="3">
        <f t="shared" si="44"/>
        <v>0.20343653208939372</v>
      </c>
      <c r="BX50" s="3">
        <v>-2.994811112074551E-3</v>
      </c>
      <c r="BY50" s="3">
        <f t="shared" si="45"/>
        <v>0.20480177499061195</v>
      </c>
      <c r="BZ50" s="3">
        <v>1.0052119299785306E-4</v>
      </c>
      <c r="CA50" s="3">
        <f t="shared" si="34"/>
        <v>0.20411915354000282</v>
      </c>
      <c r="CB50" s="3">
        <v>-1.4453876270771465E-3</v>
      </c>
      <c r="CC50" s="3">
        <f t="shared" si="35"/>
        <v>4.3286629268257056E-6</v>
      </c>
      <c r="CD50" s="3">
        <f t="shared" si="36"/>
        <v>-1.4529208861813071E-7</v>
      </c>
      <c r="CE50" s="3">
        <f t="shared" si="37"/>
        <v>1.3652429012182277E-3</v>
      </c>
    </row>
    <row r="51" spans="6:83" x14ac:dyDescent="0.2">
      <c r="F51" t="s">
        <v>110</v>
      </c>
      <c r="G51" s="9">
        <f>$G$50/$G$49</f>
        <v>100</v>
      </c>
      <c r="H51" t="s">
        <v>18</v>
      </c>
      <c r="N51" s="3">
        <v>16</v>
      </c>
      <c r="O51" s="3">
        <f t="shared" si="25"/>
        <v>855.46875</v>
      </c>
      <c r="P51" s="3">
        <v>4.4276157235799474E-2</v>
      </c>
      <c r="Q51" s="3">
        <f t="shared" si="26"/>
        <v>855.499267578125</v>
      </c>
      <c r="R51" s="3">
        <v>-0.1679541509606679</v>
      </c>
      <c r="S51" s="3">
        <f t="shared" si="21"/>
        <v>855.4840087890625</v>
      </c>
      <c r="T51" s="3">
        <v>-6.1838050504320563E-2</v>
      </c>
      <c r="U51" s="3">
        <f t="shared" si="22"/>
        <v>-2.7379512472846062E-3</v>
      </c>
      <c r="V51" s="3">
        <f t="shared" si="23"/>
        <v>1.0385957269516062E-2</v>
      </c>
      <c r="W51" s="3">
        <f t="shared" si="24"/>
        <v>3.0517578125E-2</v>
      </c>
      <c r="AB51" s="3">
        <v>12</v>
      </c>
      <c r="AC51" s="3">
        <f t="shared" si="46"/>
        <v>5.1513671875E-2</v>
      </c>
      <c r="AD51" s="3">
        <f t="shared" si="27"/>
        <v>5.9606007983679932E-5</v>
      </c>
      <c r="AE51" s="3">
        <f t="shared" si="47"/>
        <v>5.17578125E-2</v>
      </c>
      <c r="AF51" s="3">
        <f t="shared" si="28"/>
        <v>-1.8742364064763123E-4</v>
      </c>
      <c r="AG51" s="3">
        <f t="shared" si="38"/>
        <v>5.16357421875E-2</v>
      </c>
      <c r="AH51" s="3">
        <f t="shared" si="29"/>
        <v>-6.3907256255296696E-5</v>
      </c>
      <c r="AI51" s="3">
        <f t="shared" si="39"/>
        <v>-3.8092564265682937E-9</v>
      </c>
      <c r="AJ51" s="3">
        <f t="shared" si="40"/>
        <v>1.1977730631168811E-8</v>
      </c>
      <c r="AK51" s="3">
        <f t="shared" si="41"/>
        <v>2.44140625E-4</v>
      </c>
      <c r="AP51"/>
      <c r="AQ51">
        <f>BH26</f>
        <v>11.208268419615925</v>
      </c>
      <c r="AR51">
        <f t="shared" si="48"/>
        <v>0.19562118736959927</v>
      </c>
      <c r="AS51">
        <f t="shared" si="49"/>
        <v>1.1956211873695992</v>
      </c>
      <c r="AT51">
        <f t="shared" si="50"/>
        <v>68.504047932698242</v>
      </c>
      <c r="AU51"/>
      <c r="AV51">
        <f t="shared" si="51"/>
        <v>2.2651575973210644E-2</v>
      </c>
      <c r="AW51"/>
      <c r="AX51"/>
      <c r="AY51"/>
      <c r="AZ51"/>
      <c r="BA51"/>
      <c r="BB51"/>
      <c r="BC51" s="3" t="s">
        <v>201</v>
      </c>
      <c r="BD51" s="3">
        <f>IF(BD45&lt;$AW$43, $AR$45*BD45^2 + $AS$45*BD45 + $AT$45, IF(BD45&gt;$AX$43, $AY$45*BD45^2 + $AZ$45*BD45 + $BA$45, $AU$45*BD45^3 + $AV$45*BD45^2 + $AW$45*BD45 + $AX$45))</f>
        <v>2.276132926877892E-2</v>
      </c>
      <c r="BE51" s="3"/>
      <c r="BF51" s="3"/>
      <c r="BG51" s="3" t="s">
        <v>201</v>
      </c>
      <c r="BH51" s="3">
        <f>IF(BH45&lt;$AW$43, $AR$45*BH45^2 + $AS$45*BH45 + $AT$45, IF(BH45&gt;$AX$43, $AY$45*BH45^2 + $AZ$45*BH45 + $BA$45, $AU$45*BH45^3 + $AV$45*BH45^2 + $AW$45*BH45 + $AX$45))</f>
        <v>2.163051989127155E-2</v>
      </c>
      <c r="BI51" s="3"/>
      <c r="BJ51"/>
      <c r="BK51" s="3">
        <v>13</v>
      </c>
      <c r="BL51" s="3">
        <f t="shared" si="42"/>
        <v>0.23483711881741282</v>
      </c>
      <c r="BM51" s="3">
        <v>-1.5951625615464177E-3</v>
      </c>
      <c r="BN51" s="3">
        <f t="shared" si="43"/>
        <v>0.23551974026802192</v>
      </c>
      <c r="BO51" s="3">
        <v>1.0000999044829095E-5</v>
      </c>
      <c r="BP51" s="3">
        <f t="shared" si="30"/>
        <v>0.23517842954271737</v>
      </c>
      <c r="BQ51" s="3">
        <v>-7.9221721809691337E-4</v>
      </c>
      <c r="BR51" s="3">
        <f t="shared" si="31"/>
        <v>1.2637152469206493E-6</v>
      </c>
      <c r="BS51" s="3">
        <f t="shared" si="32"/>
        <v>-7.922963641484394E-9</v>
      </c>
      <c r="BT51" s="3">
        <f t="shared" si="33"/>
        <v>6.8262145060909996E-4</v>
      </c>
      <c r="BU51"/>
      <c r="BV51" s="3">
        <v>13</v>
      </c>
      <c r="BW51" s="3">
        <f t="shared" si="44"/>
        <v>0.20411915354000282</v>
      </c>
      <c r="BX51" s="3">
        <v>-1.4453876270771465E-3</v>
      </c>
      <c r="BY51" s="3">
        <f t="shared" si="45"/>
        <v>0.20480177499061195</v>
      </c>
      <c r="BZ51" s="3">
        <v>1.0052119299785306E-4</v>
      </c>
      <c r="CA51" s="3">
        <f t="shared" si="34"/>
        <v>0.2044604642653074</v>
      </c>
      <c r="CB51" s="3">
        <v>-6.7199532506453247E-4</v>
      </c>
      <c r="CC51" s="3">
        <f t="shared" si="35"/>
        <v>9.7129372830196029E-7</v>
      </c>
      <c r="CD51" s="3">
        <f t="shared" si="36"/>
        <v>-6.7549771764466871E-8</v>
      </c>
      <c r="CE51" s="3">
        <f t="shared" si="37"/>
        <v>6.8262145060912771E-4</v>
      </c>
    </row>
    <row r="52" spans="6:83" x14ac:dyDescent="0.2">
      <c r="F52" t="s">
        <v>26</v>
      </c>
      <c r="G52" s="5">
        <f xml:space="preserve"> $C$5 * $C$41 / $C$17</f>
        <v>3066.7129096070257</v>
      </c>
      <c r="H52" t="s">
        <v>27</v>
      </c>
      <c r="N52" s="3">
        <v>17</v>
      </c>
      <c r="O52" s="3">
        <f t="shared" si="25"/>
        <v>855.46875</v>
      </c>
      <c r="P52" s="3">
        <v>4.4276157235799474E-2</v>
      </c>
      <c r="Q52" s="3">
        <f t="shared" si="26"/>
        <v>855.4840087890625</v>
      </c>
      <c r="R52" s="3">
        <v>-6.1838050504320563E-2</v>
      </c>
      <c r="S52" s="3">
        <f t="shared" si="21"/>
        <v>855.47637939453125</v>
      </c>
      <c r="T52" s="3">
        <v>-8.7807100426289253E-3</v>
      </c>
      <c r="U52" s="3">
        <f t="shared" si="22"/>
        <v>-3.8877609848940182E-4</v>
      </c>
      <c r="V52" s="3">
        <f t="shared" si="23"/>
        <v>5.4298199107988222E-4</v>
      </c>
      <c r="W52" s="3">
        <f t="shared" si="24"/>
        <v>1.52587890625E-2</v>
      </c>
      <c r="AB52" s="3">
        <v>13</v>
      </c>
      <c r="AC52" s="3">
        <f t="shared" si="46"/>
        <v>5.1513671875E-2</v>
      </c>
      <c r="AD52" s="3">
        <f t="shared" si="27"/>
        <v>5.9606007983679932E-5</v>
      </c>
      <c r="AE52" s="3">
        <f t="shared" si="47"/>
        <v>5.16357421875E-2</v>
      </c>
      <c r="AF52" s="3">
        <f t="shared" si="28"/>
        <v>-6.3907256255296696E-5</v>
      </c>
      <c r="AG52" s="3">
        <f t="shared" si="38"/>
        <v>5.157470703125E-2</v>
      </c>
      <c r="AH52" s="3">
        <f t="shared" si="29"/>
        <v>-2.1502339922763181E-6</v>
      </c>
      <c r="AI52" s="3">
        <f t="shared" si="39"/>
        <v>-1.2816686451040219E-10</v>
      </c>
      <c r="AJ52" s="3">
        <f t="shared" si="40"/>
        <v>1.3741555475325231E-10</v>
      </c>
      <c r="AK52" s="3">
        <f t="shared" si="41"/>
        <v>1.220703125E-4</v>
      </c>
      <c r="AP52"/>
      <c r="AQ52">
        <f>BD45</f>
        <v>11.232006262876093</v>
      </c>
      <c r="AR52">
        <f t="shared" si="48"/>
        <v>0.19603549089181155</v>
      </c>
      <c r="AS52">
        <f t="shared" si="49"/>
        <v>1.1960354908918116</v>
      </c>
      <c r="AT52">
        <f t="shared" si="50"/>
        <v>68.527785775958421</v>
      </c>
      <c r="AU52"/>
      <c r="AV52">
        <f t="shared" si="51"/>
        <v>2.276132926877892E-2</v>
      </c>
      <c r="AW52"/>
      <c r="AX52"/>
      <c r="AY52"/>
      <c r="AZ52"/>
      <c r="BA52"/>
      <c r="BB52"/>
      <c r="BC52" s="3" t="s">
        <v>203</v>
      </c>
      <c r="BD52" s="3">
        <f xml:space="preserve"> BD50*COS(BD42) - BD51*SIN(BD42)</f>
        <v>1.3138435098069059</v>
      </c>
      <c r="BE52" s="3"/>
      <c r="BF52" s="3"/>
      <c r="BG52" s="3" t="s">
        <v>203</v>
      </c>
      <c r="BH52" s="3">
        <f xml:space="preserve"> BH50*COS(BH42) - BH51*SIN(BH42)</f>
        <v>1.3031504071286835</v>
      </c>
      <c r="BI52" s="3"/>
      <c r="BJ52"/>
      <c r="BK52" s="3">
        <v>14</v>
      </c>
      <c r="BL52" s="3">
        <f t="shared" si="42"/>
        <v>0.23517842954271737</v>
      </c>
      <c r="BM52" s="3">
        <v>-7.9221721809691337E-4</v>
      </c>
      <c r="BN52" s="3">
        <f t="shared" si="43"/>
        <v>0.23551974026802192</v>
      </c>
      <c r="BO52" s="3">
        <v>1.0000999044829095E-5</v>
      </c>
      <c r="BP52" s="3">
        <f t="shared" si="30"/>
        <v>0.23534908490536965</v>
      </c>
      <c r="BQ52" s="3">
        <v>-3.9101730960248993E-4</v>
      </c>
      <c r="BR52" s="3">
        <f t="shared" si="31"/>
        <v>3.0977064524102408E-7</v>
      </c>
      <c r="BS52" s="3">
        <f t="shared" si="32"/>
        <v>-3.9105637398461447E-9</v>
      </c>
      <c r="BT52" s="3">
        <f t="shared" si="33"/>
        <v>3.4131072530454998E-4</v>
      </c>
      <c r="BU52"/>
      <c r="BV52" s="3">
        <v>14</v>
      </c>
      <c r="BW52" s="3">
        <f t="shared" si="44"/>
        <v>0.2044604642653074</v>
      </c>
      <c r="BX52" s="3">
        <v>-6.7199532506453247E-4</v>
      </c>
      <c r="BY52" s="3">
        <f t="shared" si="45"/>
        <v>0.20480177499061195</v>
      </c>
      <c r="BZ52" s="3">
        <v>1.0052119299785306E-4</v>
      </c>
      <c r="CA52" s="3">
        <f t="shared" si="34"/>
        <v>0.20463111962795966</v>
      </c>
      <c r="CB52" s="3">
        <v>-2.8562777211374457E-4</v>
      </c>
      <c r="CC52" s="3">
        <f t="shared" si="35"/>
        <v>1.91940527569034E-7</v>
      </c>
      <c r="CD52" s="3">
        <f t="shared" si="36"/>
        <v>-2.8711644406192511E-8</v>
      </c>
      <c r="CE52" s="3">
        <f t="shared" si="37"/>
        <v>3.4131072530454998E-4</v>
      </c>
    </row>
    <row r="53" spans="6:83" x14ac:dyDescent="0.2">
      <c r="F53" s="33" t="s">
        <v>109</v>
      </c>
      <c r="G53" s="34">
        <f xml:space="preserve"> 1/1000 * IF($G$49&gt;= 2*SQRT(($C$5*$C$41)/(2*$C$38*$C$17*PI()*$C$7*$C$7)), ($C$5*$C$41)/$C$20 * ( ($G$49/2) - SQRT( ($G$49/2)^2 - ($C$5*$C$41)/(2*$C$38*$C$17*PI()*$C$7*$C$7 ) ) ), 1/$C$20 * SQRT(($C$5*$C$41)^3/(2*$C$38*$C$17*PI()*$C$7*$C$7)) )</f>
        <v>217.65025105780188</v>
      </c>
      <c r="H53" s="33" t="s">
        <v>81</v>
      </c>
      <c r="N53" s="3">
        <v>18</v>
      </c>
      <c r="O53" s="3">
        <f t="shared" si="25"/>
        <v>855.46875</v>
      </c>
      <c r="P53" s="3">
        <v>4.4276157235799474E-2</v>
      </c>
      <c r="Q53" s="3">
        <f t="shared" si="26"/>
        <v>855.47637939453125</v>
      </c>
      <c r="R53" s="3">
        <v>-8.7807100426289253E-3</v>
      </c>
      <c r="S53" s="3">
        <f t="shared" si="21"/>
        <v>855.47256469726562</v>
      </c>
      <c r="T53" s="3">
        <v>1.7747782743299467E-2</v>
      </c>
      <c r="U53" s="3">
        <f t="shared" si="22"/>
        <v>7.8580361932913578E-4</v>
      </c>
      <c r="V53" s="3">
        <f t="shared" si="23"/>
        <v>-1.5583813416848597E-4</v>
      </c>
      <c r="W53" s="3">
        <f t="shared" si="24"/>
        <v>7.62939453125E-3</v>
      </c>
      <c r="AB53" s="3">
        <v>14</v>
      </c>
      <c r="AC53" s="3">
        <f t="shared" si="46"/>
        <v>5.1513671875E-2</v>
      </c>
      <c r="AD53" s="3">
        <f t="shared" si="27"/>
        <v>5.9606007983679932E-5</v>
      </c>
      <c r="AE53" s="3">
        <f t="shared" si="47"/>
        <v>5.157470703125E-2</v>
      </c>
      <c r="AF53" s="3">
        <f t="shared" si="28"/>
        <v>-2.1502339922763181E-6</v>
      </c>
      <c r="AG53" s="3">
        <f t="shared" si="38"/>
        <v>5.1544189453125E-2</v>
      </c>
      <c r="AH53" s="3">
        <f t="shared" si="29"/>
        <v>2.8727984547116669E-5</v>
      </c>
      <c r="AI53" s="3">
        <f t="shared" si="39"/>
        <v>1.7123604762704698E-9</v>
      </c>
      <c r="AJ53" s="3">
        <f t="shared" si="40"/>
        <v>-6.1771888902799049E-11</v>
      </c>
      <c r="AK53" s="3">
        <f t="shared" si="41"/>
        <v>6.103515625E-5</v>
      </c>
      <c r="AP53"/>
      <c r="AQ53">
        <f>BH45</f>
        <v>10.984640523977577</v>
      </c>
      <c r="AR53">
        <f t="shared" si="48"/>
        <v>0.19171814429140382</v>
      </c>
      <c r="AS53">
        <f t="shared" si="49"/>
        <v>1.1917181442914038</v>
      </c>
      <c r="AT53">
        <f t="shared" si="50"/>
        <v>68.280420037059898</v>
      </c>
      <c r="AU53"/>
      <c r="AV53">
        <f t="shared" si="51"/>
        <v>2.163051989127155E-2</v>
      </c>
      <c r="AW53"/>
      <c r="AX53"/>
      <c r="AY53"/>
      <c r="AZ53"/>
      <c r="BA53"/>
      <c r="BB53"/>
      <c r="BC53" s="3" t="s">
        <v>205</v>
      </c>
      <c r="BD53" s="3">
        <f xml:space="preserve"> BD50*SIN(BD42) + BD51*COS(BD42)</f>
        <v>0.26399145090323262</v>
      </c>
      <c r="BE53" s="3"/>
      <c r="BF53" s="3"/>
      <c r="BG53" s="3" t="s">
        <v>205</v>
      </c>
      <c r="BH53" s="3">
        <f xml:space="preserve"> BH50*SIN(BH42) + BH51*COS(BH42)</f>
        <v>0.23567737430073279</v>
      </c>
      <c r="BI53" s="3"/>
      <c r="BJ53"/>
      <c r="BK53" s="3">
        <v>15</v>
      </c>
      <c r="BL53" s="3">
        <f t="shared" si="42"/>
        <v>0.23534908490536965</v>
      </c>
      <c r="BM53" s="3">
        <v>-3.9101730960248993E-4</v>
      </c>
      <c r="BN53" s="3">
        <f t="shared" si="43"/>
        <v>0.23551974026802192</v>
      </c>
      <c r="BO53" s="3">
        <v>1.0000999044829095E-5</v>
      </c>
      <c r="BP53" s="3">
        <f t="shared" si="30"/>
        <v>0.23543441258669578</v>
      </c>
      <c r="BQ53" s="3">
        <v>-1.9048546662708138E-4</v>
      </c>
      <c r="BR53" s="3">
        <f t="shared" si="31"/>
        <v>7.4483114678896241E-8</v>
      </c>
      <c r="BS53" s="3">
        <f t="shared" si="32"/>
        <v>-1.9050449697912654E-9</v>
      </c>
      <c r="BT53" s="3">
        <f t="shared" si="33"/>
        <v>1.7065536265226111E-4</v>
      </c>
      <c r="BU53"/>
      <c r="BV53" s="3">
        <v>15</v>
      </c>
      <c r="BW53" s="3">
        <f t="shared" si="44"/>
        <v>0.20463111962795966</v>
      </c>
      <c r="BX53" s="3">
        <v>-2.8562777211374457E-4</v>
      </c>
      <c r="BY53" s="3">
        <f t="shared" si="45"/>
        <v>0.20480177499061195</v>
      </c>
      <c r="BZ53" s="3">
        <v>1.0052119299785306E-4</v>
      </c>
      <c r="CA53" s="3">
        <f t="shared" si="34"/>
        <v>0.20471644730928579</v>
      </c>
      <c r="CB53" s="3">
        <v>-9.2525988396000014E-5</v>
      </c>
      <c r="CC53" s="3">
        <f t="shared" si="35"/>
        <v>2.6427991928171667E-8</v>
      </c>
      <c r="CD53" s="3">
        <f t="shared" si="36"/>
        <v>-9.30082273687143E-9</v>
      </c>
      <c r="CE53" s="3">
        <f t="shared" si="37"/>
        <v>1.7065536265228887E-4</v>
      </c>
    </row>
    <row r="54" spans="6:83" x14ac:dyDescent="0.2">
      <c r="N54" s="3">
        <v>19</v>
      </c>
      <c r="O54" s="3">
        <f t="shared" si="25"/>
        <v>855.47256469726562</v>
      </c>
      <c r="P54" s="3">
        <v>1.7747782743299467E-2</v>
      </c>
      <c r="Q54" s="3">
        <f t="shared" si="26"/>
        <v>855.47637939453125</v>
      </c>
      <c r="R54" s="3">
        <v>-8.7807100426289253E-3</v>
      </c>
      <c r="S54" s="3">
        <f t="shared" si="21"/>
        <v>855.47447204589844</v>
      </c>
      <c r="T54" s="3">
        <v>4.4835511366727587E-3</v>
      </c>
      <c r="U54" s="3">
        <f t="shared" si="22"/>
        <v>7.9573091492141505E-5</v>
      </c>
      <c r="V54" s="3">
        <f t="shared" si="23"/>
        <v>-3.9368762492422825E-5</v>
      </c>
      <c r="W54" s="3">
        <f t="shared" si="24"/>
        <v>3.814697265625E-3</v>
      </c>
      <c r="AB54" s="3">
        <v>15</v>
      </c>
      <c r="AC54" s="3">
        <f t="shared" si="46"/>
        <v>5.1544189453125E-2</v>
      </c>
      <c r="AD54" s="3">
        <f t="shared" si="27"/>
        <v>2.8727984547116669E-5</v>
      </c>
      <c r="AE54" s="3">
        <f t="shared" si="47"/>
        <v>5.157470703125E-2</v>
      </c>
      <c r="AF54" s="3">
        <f t="shared" si="28"/>
        <v>-2.1502339922763181E-6</v>
      </c>
      <c r="AG54" s="3">
        <f t="shared" si="38"/>
        <v>5.15594482421875E-2</v>
      </c>
      <c r="AH54" s="3">
        <f t="shared" si="29"/>
        <v>1.3288899663337073E-5</v>
      </c>
      <c r="AI54" s="3">
        <f t="shared" si="39"/>
        <v>3.8176330417653133E-10</v>
      </c>
      <c r="AJ54" s="3">
        <f t="shared" si="40"/>
        <v>-2.8574243776056694E-11</v>
      </c>
      <c r="AK54" s="3">
        <f t="shared" si="41"/>
        <v>3.0517578125E-5</v>
      </c>
      <c r="AP54"/>
      <c r="AQ54">
        <f>BD64</f>
        <v>10.500534159429373</v>
      </c>
      <c r="AR54">
        <f t="shared" si="48"/>
        <v>0.18326889430017773</v>
      </c>
      <c r="AS54">
        <f t="shared" si="49"/>
        <v>1.1832688943001777</v>
      </c>
      <c r="AT54">
        <f t="shared" si="50"/>
        <v>67.796313672511701</v>
      </c>
      <c r="AU54"/>
      <c r="AV54">
        <f t="shared" si="51"/>
        <v>1.9501158756562657E-2</v>
      </c>
      <c r="AW54"/>
      <c r="AX54"/>
      <c r="AY54"/>
      <c r="AZ54"/>
      <c r="BA54"/>
      <c r="BB54"/>
      <c r="BC54" s="3" t="s">
        <v>46</v>
      </c>
      <c r="BD54" s="3">
        <f xml:space="preserve"> 4*BD49*SIN(BD42)*SIN(BD42) / (BD46*BD52)</f>
        <v>1.2088501718843503</v>
      </c>
      <c r="BE54" s="3"/>
      <c r="BF54" s="3"/>
      <c r="BG54" s="3" t="s">
        <v>46</v>
      </c>
      <c r="BH54" s="3">
        <f xml:space="preserve"> 4*BH49*SIN(BH42)*SIN(BH42) / (BH46*BH52)</f>
        <v>1.1945860072741687</v>
      </c>
      <c r="BI54" s="3"/>
      <c r="BJ54"/>
      <c r="BK54" s="3">
        <v>16</v>
      </c>
      <c r="BL54" s="3">
        <f t="shared" si="42"/>
        <v>0.23543441258669578</v>
      </c>
      <c r="BM54" s="3">
        <v>-1.9048546662708138E-4</v>
      </c>
      <c r="BN54" s="3">
        <f t="shared" si="43"/>
        <v>0.23551974026802192</v>
      </c>
      <c r="BO54" s="3">
        <v>1.0000999044829095E-5</v>
      </c>
      <c r="BP54" s="3">
        <f t="shared" si="30"/>
        <v>0.23547707642735885</v>
      </c>
      <c r="BQ54" s="3">
        <v>-9.0236563042536688E-5</v>
      </c>
      <c r="BR54" s="3">
        <f t="shared" si="31"/>
        <v>1.7188753817981646E-8</v>
      </c>
      <c r="BS54" s="3">
        <f t="shared" si="32"/>
        <v>-9.0245578079706981E-10</v>
      </c>
      <c r="BT54" s="3">
        <f t="shared" si="33"/>
        <v>8.5327681326130556E-5</v>
      </c>
      <c r="BU54"/>
      <c r="BV54" s="3">
        <v>16</v>
      </c>
      <c r="BW54" s="3">
        <f t="shared" si="44"/>
        <v>0.20471644730928579</v>
      </c>
      <c r="BX54" s="3">
        <v>-9.2525988396000014E-5</v>
      </c>
      <c r="BY54" s="3">
        <f t="shared" si="45"/>
        <v>0.20480177499061195</v>
      </c>
      <c r="BZ54" s="3">
        <v>1.0052119299785306E-4</v>
      </c>
      <c r="CA54" s="3">
        <f t="shared" si="34"/>
        <v>0.20475911114994888</v>
      </c>
      <c r="CB54" s="3">
        <v>4.0044248058451748E-6</v>
      </c>
      <c r="CC54" s="3">
        <f t="shared" si="35"/>
        <v>-3.7051336311828523E-10</v>
      </c>
      <c r="CD54" s="3">
        <f t="shared" si="36"/>
        <v>4.025295587537531E-10</v>
      </c>
      <c r="CE54" s="3">
        <f t="shared" si="37"/>
        <v>8.5327681326158311E-5</v>
      </c>
    </row>
    <row r="55" spans="6:83" x14ac:dyDescent="0.2">
      <c r="N55" s="3">
        <v>20</v>
      </c>
      <c r="O55" s="3">
        <f t="shared" si="25"/>
        <v>855.47447204589844</v>
      </c>
      <c r="P55" s="3">
        <v>4.4835511366727587E-3</v>
      </c>
      <c r="Q55" s="3">
        <f t="shared" si="26"/>
        <v>855.47637939453125</v>
      </c>
      <c r="R55" s="3">
        <v>-8.7807100426289253E-3</v>
      </c>
      <c r="S55" s="3">
        <f t="shared" si="21"/>
        <v>855.47542572021484</v>
      </c>
      <c r="T55" s="3">
        <v>-2.1485757565642416E-3</v>
      </c>
      <c r="U55" s="3">
        <f t="shared" si="22"/>
        <v>-9.6332492755711379E-6</v>
      </c>
      <c r="V55" s="3">
        <f t="shared" si="23"/>
        <v>1.8866020723012677E-5</v>
      </c>
      <c r="W55" s="3">
        <f t="shared" si="24"/>
        <v>1.9073486328125E-3</v>
      </c>
      <c r="AB55" s="3">
        <v>16</v>
      </c>
      <c r="AC55" s="3">
        <f t="shared" si="46"/>
        <v>5.15594482421875E-2</v>
      </c>
      <c r="AD55" s="3">
        <f t="shared" si="27"/>
        <v>1.3288899663337073E-5</v>
      </c>
      <c r="AE55" s="3">
        <f t="shared" si="47"/>
        <v>5.157470703125E-2</v>
      </c>
      <c r="AF55" s="3">
        <f t="shared" si="28"/>
        <v>-2.1502339922763181E-6</v>
      </c>
      <c r="AG55" s="3">
        <f t="shared" si="38"/>
        <v>5.156707763671875E-2</v>
      </c>
      <c r="AH55" s="3">
        <f t="shared" si="29"/>
        <v>5.5693389317684749E-6</v>
      </c>
      <c r="AI55" s="3">
        <f t="shared" si="39"/>
        <v>7.4010386255388138E-11</v>
      </c>
      <c r="AJ55" s="3">
        <f t="shared" si="40"/>
        <v>-1.1975381885596453E-11</v>
      </c>
      <c r="AK55" s="3">
        <f t="shared" si="41"/>
        <v>1.52587890625E-5</v>
      </c>
      <c r="AP55"/>
      <c r="AQ55">
        <f>BH64</f>
        <v>9.205447519235312</v>
      </c>
      <c r="AR55">
        <f t="shared" si="48"/>
        <v>0.16066536833020023</v>
      </c>
      <c r="AS55">
        <f t="shared" si="49"/>
        <v>1.1606653683302002</v>
      </c>
      <c r="AT55">
        <f t="shared" si="50"/>
        <v>66.50122703231763</v>
      </c>
      <c r="AU55"/>
      <c r="AV55">
        <f t="shared" si="51"/>
        <v>1.4369808923134072E-2</v>
      </c>
      <c r="AW55"/>
      <c r="AX55"/>
      <c r="AY55"/>
      <c r="AZ55"/>
      <c r="BA55"/>
      <c r="BB55"/>
      <c r="BC55" s="3" t="s">
        <v>207</v>
      </c>
      <c r="BD55" s="3">
        <f xml:space="preserve"> 4*BD49*SIN(BD42)*COS(BD42) / (BD46*BD53)</f>
        <v>32.818728133526463</v>
      </c>
      <c r="BE55" s="3"/>
      <c r="BF55" s="3"/>
      <c r="BG55" s="3" t="s">
        <v>207</v>
      </c>
      <c r="BH55" s="3">
        <f xml:space="preserve"> 4*BH49*SIN(BH42)*COS(BH42) / (BH46*BH53)</f>
        <v>40.268613473753888</v>
      </c>
      <c r="BI55" s="3"/>
      <c r="BJ55"/>
      <c r="BK55" s="3">
        <v>17</v>
      </c>
      <c r="BL55" s="3">
        <f t="shared" si="42"/>
        <v>0.23547707642735885</v>
      </c>
      <c r="BM55" s="3">
        <v>-9.0236563042536688E-5</v>
      </c>
      <c r="BN55" s="3">
        <f t="shared" si="43"/>
        <v>0.23551974026802192</v>
      </c>
      <c r="BO55" s="3">
        <v>1.0000999044829095E-5</v>
      </c>
      <c r="BP55" s="3">
        <f t="shared" si="30"/>
        <v>0.23549840834769037</v>
      </c>
      <c r="BQ55" s="3">
        <v>-4.0116364488307354E-5</v>
      </c>
      <c r="BR55" s="3">
        <f t="shared" si="31"/>
        <v>3.6199628531865268E-9</v>
      </c>
      <c r="BS55" s="3">
        <f t="shared" si="32"/>
        <v>-4.012037229295777E-10</v>
      </c>
      <c r="BT55" s="3">
        <f t="shared" si="33"/>
        <v>4.2663840663065278E-5</v>
      </c>
      <c r="BU55"/>
      <c r="BV55" s="3">
        <v>17</v>
      </c>
      <c r="BW55" s="3">
        <f t="shared" si="44"/>
        <v>0.20471644730928579</v>
      </c>
      <c r="BX55" s="3">
        <v>-9.2525988396000014E-5</v>
      </c>
      <c r="BY55" s="3">
        <f t="shared" si="45"/>
        <v>0.20475911114994888</v>
      </c>
      <c r="BZ55" s="3">
        <v>4.0044248058451748E-6</v>
      </c>
      <c r="CA55" s="3">
        <f t="shared" si="34"/>
        <v>0.20473777922961733</v>
      </c>
      <c r="CB55" s="3">
        <v>-4.4259075820819727E-5</v>
      </c>
      <c r="CC55" s="3">
        <f t="shared" si="35"/>
        <v>4.0951147358148507E-9</v>
      </c>
      <c r="CD55" s="3">
        <f t="shared" si="36"/>
        <v>-1.772321411006729E-10</v>
      </c>
      <c r="CE55" s="3">
        <f t="shared" si="37"/>
        <v>4.2663840663093033E-5</v>
      </c>
    </row>
    <row r="56" spans="6:83" x14ac:dyDescent="0.2">
      <c r="N56" s="3">
        <v>21</v>
      </c>
      <c r="O56" s="3">
        <f t="shared" si="25"/>
        <v>855.47447204589844</v>
      </c>
      <c r="P56" s="3">
        <v>4.4835511366727587E-3</v>
      </c>
      <c r="Q56" s="3">
        <f t="shared" si="26"/>
        <v>855.47542572021484</v>
      </c>
      <c r="R56" s="3">
        <v>-2.1485757565642416E-3</v>
      </c>
      <c r="S56" s="3">
        <f t="shared" si="21"/>
        <v>855.47494888305664</v>
      </c>
      <c r="T56" s="3">
        <v>1.1674886150103703E-3</v>
      </c>
      <c r="U56" s="3">
        <f t="shared" si="22"/>
        <v>5.2344949068822504E-6</v>
      </c>
      <c r="V56" s="3">
        <f t="shared" si="23"/>
        <v>-2.5084377342760449E-6</v>
      </c>
      <c r="W56" s="3">
        <f t="shared" si="24"/>
        <v>9.5367431640625E-4</v>
      </c>
      <c r="AB56" s="3">
        <v>17</v>
      </c>
      <c r="AC56" s="3">
        <f t="shared" si="46"/>
        <v>5.156707763671875E-2</v>
      </c>
      <c r="AD56" s="3">
        <f t="shared" si="27"/>
        <v>5.5693389317684749E-6</v>
      </c>
      <c r="AE56" s="3">
        <f t="shared" si="47"/>
        <v>5.157470703125E-2</v>
      </c>
      <c r="AF56" s="3">
        <f t="shared" si="28"/>
        <v>-2.1502339922763181E-6</v>
      </c>
      <c r="AG56" s="3">
        <f t="shared" si="38"/>
        <v>5.1570892333984375E-2</v>
      </c>
      <c r="AH56" s="3">
        <f t="shared" si="29"/>
        <v>1.709553993770041E-6</v>
      </c>
      <c r="AI56" s="3">
        <f t="shared" si="39"/>
        <v>9.5210856134637697E-12</v>
      </c>
      <c r="AJ56" s="3">
        <f t="shared" si="40"/>
        <v>-3.675941109036079E-12</v>
      </c>
      <c r="AK56" s="3">
        <f t="shared" si="41"/>
        <v>7.62939453125E-6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3" t="s">
        <v>55</v>
      </c>
      <c r="BD56" s="3">
        <f>1/(BD54-1)</f>
        <v>4.7881215082444122</v>
      </c>
      <c r="BE56" s="3"/>
      <c r="BF56" s="3"/>
      <c r="BG56" s="3" t="s">
        <v>55</v>
      </c>
      <c r="BH56" s="3">
        <f>1/(BH54-1)</f>
        <v>5.1391156743918129</v>
      </c>
      <c r="BI56" s="3"/>
      <c r="BJ56"/>
      <c r="BK56" s="3">
        <v>18</v>
      </c>
      <c r="BL56" s="3">
        <f t="shared" si="42"/>
        <v>0.23549840834769037</v>
      </c>
      <c r="BM56" s="3">
        <v>-4.0116364488307354E-5</v>
      </c>
      <c r="BN56" s="3">
        <f t="shared" si="43"/>
        <v>0.23551974026802192</v>
      </c>
      <c r="BO56" s="3">
        <v>1.0000999044829095E-5</v>
      </c>
      <c r="BP56" s="3">
        <f t="shared" si="30"/>
        <v>0.23550907430785614</v>
      </c>
      <c r="BQ56" s="3">
        <v>-1.5057328366221978E-5</v>
      </c>
      <c r="BR56" s="3">
        <f t="shared" si="31"/>
        <v>6.0404527295949033E-10</v>
      </c>
      <c r="BS56" s="3">
        <f t="shared" si="32"/>
        <v>-1.5058832660826405E-10</v>
      </c>
      <c r="BT56" s="3">
        <f t="shared" si="33"/>
        <v>2.1331920331546517E-5</v>
      </c>
      <c r="BU56"/>
      <c r="BV56" s="3">
        <v>18</v>
      </c>
      <c r="BW56" s="3">
        <f t="shared" si="44"/>
        <v>0.20473777922961733</v>
      </c>
      <c r="BX56" s="3">
        <v>-4.4259075820819727E-5</v>
      </c>
      <c r="BY56" s="3">
        <f t="shared" si="45"/>
        <v>0.20475911114994888</v>
      </c>
      <c r="BZ56" s="3">
        <v>4.0044248058451748E-6</v>
      </c>
      <c r="CA56" s="3">
        <f t="shared" si="34"/>
        <v>0.20474844518978311</v>
      </c>
      <c r="CB56" s="3">
        <v>-2.0126899057448799E-5</v>
      </c>
      <c r="CC56" s="3">
        <f t="shared" si="35"/>
        <v>8.9079795142161145E-10</v>
      </c>
      <c r="CD56" s="3">
        <f t="shared" si="36"/>
        <v>-8.0596653850389838E-11</v>
      </c>
      <c r="CE56" s="3">
        <f t="shared" si="37"/>
        <v>2.1331920331546517E-5</v>
      </c>
    </row>
    <row r="57" spans="6:83" x14ac:dyDescent="0.2">
      <c r="N57" s="3">
        <v>22</v>
      </c>
      <c r="O57" s="3">
        <f t="shared" si="25"/>
        <v>855.47494888305664</v>
      </c>
      <c r="P57" s="3">
        <v>1.1674886150103703E-3</v>
      </c>
      <c r="Q57" s="3">
        <f t="shared" si="26"/>
        <v>855.47542572021484</v>
      </c>
      <c r="R57" s="3">
        <v>-2.1485757565642416E-3</v>
      </c>
      <c r="S57" s="3">
        <f t="shared" si="21"/>
        <v>855.47518730163574</v>
      </c>
      <c r="T57" s="3">
        <v>-4.9054334067477612E-4</v>
      </c>
      <c r="U57" s="3">
        <f t="shared" si="22"/>
        <v>-5.7270376540695458E-7</v>
      </c>
      <c r="V57" s="3">
        <f t="shared" si="23"/>
        <v>1.0539695293178577E-6</v>
      </c>
      <c r="W57" s="3">
        <f t="shared" si="24"/>
        <v>4.76837158203125E-4</v>
      </c>
      <c r="AB57" s="3">
        <v>18</v>
      </c>
      <c r="AC57" s="3">
        <f t="shared" si="46"/>
        <v>5.1570892333984375E-2</v>
      </c>
      <c r="AD57" s="3">
        <f t="shared" si="27"/>
        <v>1.709553993770041E-6</v>
      </c>
      <c r="AE57" s="3">
        <f t="shared" si="47"/>
        <v>5.157470703125E-2</v>
      </c>
      <c r="AF57" s="3">
        <f t="shared" si="28"/>
        <v>-2.1502339922763181E-6</v>
      </c>
      <c r="AG57" s="3">
        <f t="shared" si="38"/>
        <v>5.1572799682617188E-2</v>
      </c>
      <c r="AH57" s="3">
        <f t="shared" si="29"/>
        <v>-2.2033961824541315E-7</v>
      </c>
      <c r="AI57" s="3">
        <f t="shared" si="39"/>
        <v>-3.7668247435721224E-13</v>
      </c>
      <c r="AJ57" s="3">
        <f t="shared" si="40"/>
        <v>4.7378173699647452E-13</v>
      </c>
      <c r="AK57" s="3">
        <f t="shared" si="41"/>
        <v>3.814697265625E-6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" t="s">
        <v>210</v>
      </c>
      <c r="BD57" s="3">
        <f>1/(BD55+1)</f>
        <v>2.9569414794421028E-2</v>
      </c>
      <c r="BE57" s="3"/>
      <c r="BF57" s="3"/>
      <c r="BG57" s="3" t="s">
        <v>210</v>
      </c>
      <c r="BH57" s="3">
        <f>1/(BH55+1)</f>
        <v>2.4231490128350991E-2</v>
      </c>
      <c r="BI57" s="3"/>
      <c r="BJ57"/>
      <c r="BK57" s="3">
        <v>19</v>
      </c>
      <c r="BL57" s="3">
        <f t="shared" si="42"/>
        <v>0.23550907430785614</v>
      </c>
      <c r="BM57" s="3">
        <v>-1.5057328366221978E-5</v>
      </c>
      <c r="BN57" s="3">
        <f t="shared" si="43"/>
        <v>0.23551974026802192</v>
      </c>
      <c r="BO57" s="3">
        <v>1.0000999044829095E-5</v>
      </c>
      <c r="BP57" s="3">
        <f t="shared" si="30"/>
        <v>0.23551440728793904</v>
      </c>
      <c r="BQ57" s="3">
        <v>-2.5280760744955666E-6</v>
      </c>
      <c r="BR57" s="3">
        <f t="shared" si="31"/>
        <v>3.8066071588469204E-11</v>
      </c>
      <c r="BS57" s="3">
        <f t="shared" si="32"/>
        <v>-2.5283286406285451E-11</v>
      </c>
      <c r="BT57" s="3">
        <f t="shared" si="33"/>
        <v>1.0665960165773258E-5</v>
      </c>
      <c r="BU57"/>
      <c r="BV57" s="3">
        <v>19</v>
      </c>
      <c r="BW57" s="3">
        <f t="shared" si="44"/>
        <v>0.20474844518978311</v>
      </c>
      <c r="BX57" s="3">
        <v>-2.0126899057448799E-5</v>
      </c>
      <c r="BY57" s="3">
        <f t="shared" si="45"/>
        <v>0.20475911114994888</v>
      </c>
      <c r="BZ57" s="3">
        <v>4.0044248058451748E-6</v>
      </c>
      <c r="CA57" s="3">
        <f t="shared" si="34"/>
        <v>0.20475377816986601</v>
      </c>
      <c r="CB57" s="3">
        <v>-8.0611305186620297E-6</v>
      </c>
      <c r="CC57" s="3">
        <f t="shared" si="35"/>
        <v>1.6224556023803056E-10</v>
      </c>
      <c r="CD57" s="3">
        <f t="shared" si="36"/>
        <v>-3.2280191012085811E-11</v>
      </c>
      <c r="CE57" s="3">
        <f t="shared" si="37"/>
        <v>1.0665960165773258E-5</v>
      </c>
    </row>
    <row r="58" spans="6:83" x14ac:dyDescent="0.2">
      <c r="N58" s="3">
        <v>23</v>
      </c>
      <c r="O58" s="3">
        <f t="shared" si="25"/>
        <v>855.47494888305664</v>
      </c>
      <c r="P58" s="3">
        <v>1.1674886150103703E-3</v>
      </c>
      <c r="Q58" s="3">
        <f t="shared" si="26"/>
        <v>855.47518730163574</v>
      </c>
      <c r="R58" s="3">
        <v>-4.9054334067477612E-4</v>
      </c>
      <c r="S58" s="3">
        <f t="shared" si="21"/>
        <v>855.47506809234619</v>
      </c>
      <c r="T58" s="3">
        <v>3.3847269560283166E-4</v>
      </c>
      <c r="U58" s="3">
        <f t="shared" si="22"/>
        <v>3.9516301860817658E-7</v>
      </c>
      <c r="V58" s="3">
        <f t="shared" si="23"/>
        <v>-1.6603552682820964E-7</v>
      </c>
      <c r="W58" s="3">
        <f t="shared" si="24"/>
        <v>2.384185791015625E-4</v>
      </c>
      <c r="AB58" s="3">
        <v>19</v>
      </c>
      <c r="AC58" s="3">
        <f t="shared" si="46"/>
        <v>5.1570892333984375E-2</v>
      </c>
      <c r="AD58" s="3">
        <f t="shared" si="27"/>
        <v>1.709553993770041E-6</v>
      </c>
      <c r="AE58" s="3">
        <f t="shared" si="47"/>
        <v>5.1572799682617188E-2</v>
      </c>
      <c r="AF58" s="3">
        <f t="shared" si="28"/>
        <v>-2.2033961824541315E-7</v>
      </c>
      <c r="AG58" s="3">
        <f t="shared" si="38"/>
        <v>5.1571846008300781E-2</v>
      </c>
      <c r="AH58" s="3">
        <f t="shared" si="29"/>
        <v>7.4460728301251056E-7</v>
      </c>
      <c r="AI58" s="3">
        <f t="shared" si="39"/>
        <v>1.2729463544642967E-12</v>
      </c>
      <c r="AJ58" s="3">
        <f t="shared" si="40"/>
        <v>-1.6406648448173088E-13</v>
      </c>
      <c r="AK58" s="3">
        <f t="shared" si="41"/>
        <v>1.9073486328125E-6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7" t="s">
        <v>212</v>
      </c>
      <c r="BD58" s="23">
        <f>SIN(BD42)/(1+BD56) - $AN$3*COS(BD42)/($AR$5*$AN$23*(1-BD57))</f>
        <v>1.4031971071193361E-10</v>
      </c>
      <c r="BE58" s="23"/>
      <c r="BF58" s="3"/>
      <c r="BG58" s="7" t="s">
        <v>212</v>
      </c>
      <c r="BH58" s="23">
        <f>SIN(BH42)/(1+BH56) - $AN$3*COS(BH42)/($AR$5*$AN$24*(1-BH57))</f>
        <v>-4.1864982175399135E-9</v>
      </c>
      <c r="BI58" s="23"/>
      <c r="BJ58"/>
      <c r="BK58" s="3">
        <v>20</v>
      </c>
      <c r="BL58" s="3">
        <f t="shared" si="42"/>
        <v>0.23551440728793904</v>
      </c>
      <c r="BM58" s="3">
        <v>-2.5280760744955666E-6</v>
      </c>
      <c r="BN58" s="3">
        <f t="shared" si="43"/>
        <v>0.23551974026802192</v>
      </c>
      <c r="BO58" s="3">
        <v>1.0000999044829095E-5</v>
      </c>
      <c r="BP58" s="3">
        <f t="shared" si="30"/>
        <v>0.23551707377798048</v>
      </c>
      <c r="BQ58" s="3">
        <v>3.7364836313405481E-6</v>
      </c>
      <c r="BR58" s="3">
        <f t="shared" si="31"/>
        <v>-9.4461148711363533E-12</v>
      </c>
      <c r="BS58" s="3">
        <f t="shared" si="32"/>
        <v>3.7368569228056367E-11</v>
      </c>
      <c r="BT58" s="3">
        <f t="shared" si="33"/>
        <v>5.3329800828727514E-6</v>
      </c>
      <c r="BU58"/>
      <c r="BV58" s="3">
        <v>20</v>
      </c>
      <c r="BW58" s="3">
        <f t="shared" si="44"/>
        <v>0.20475377816986601</v>
      </c>
      <c r="BX58" s="3">
        <v>-8.0611305186620297E-6</v>
      </c>
      <c r="BY58" s="3">
        <f t="shared" si="45"/>
        <v>0.20475911114994888</v>
      </c>
      <c r="BZ58" s="3">
        <v>4.0044248058451748E-6</v>
      </c>
      <c r="CA58" s="3">
        <f t="shared" si="34"/>
        <v>0.20475644465990744</v>
      </c>
      <c r="CB58" s="3">
        <v>-2.0283262053139017E-6</v>
      </c>
      <c r="CC58" s="3">
        <f t="shared" si="35"/>
        <v>1.6350602275457838E-11</v>
      </c>
      <c r="CD58" s="3">
        <f t="shared" si="36"/>
        <v>-8.1222797709048003E-12</v>
      </c>
      <c r="CE58" s="3">
        <f t="shared" si="37"/>
        <v>5.3329800828727514E-6</v>
      </c>
    </row>
    <row r="59" spans="6:83" x14ac:dyDescent="0.2">
      <c r="N59" s="3">
        <v>24</v>
      </c>
      <c r="O59" s="3">
        <f t="shared" si="25"/>
        <v>855.47506809234619</v>
      </c>
      <c r="P59" s="3">
        <v>3.3847269560283166E-4</v>
      </c>
      <c r="Q59" s="3">
        <f t="shared" si="26"/>
        <v>855.47518730163574</v>
      </c>
      <c r="R59" s="3">
        <v>-4.9054334067477612E-4</v>
      </c>
      <c r="S59" s="3">
        <f t="shared" si="21"/>
        <v>855.47512769699097</v>
      </c>
      <c r="T59" s="3">
        <v>-7.6035308666178025E-5</v>
      </c>
      <c r="U59" s="3">
        <f t="shared" si="22"/>
        <v>-2.5735875885234622E-8</v>
      </c>
      <c r="V59" s="3">
        <f t="shared" si="23"/>
        <v>3.7298614322344726E-8</v>
      </c>
      <c r="W59" s="3">
        <f t="shared" si="24"/>
        <v>1.1920928955078125E-4</v>
      </c>
      <c r="AB59" s="3">
        <v>20</v>
      </c>
      <c r="AC59" s="3">
        <f t="shared" si="46"/>
        <v>5.1571846008300781E-2</v>
      </c>
      <c r="AD59" s="3">
        <f t="shared" si="27"/>
        <v>7.4460728301251056E-7</v>
      </c>
      <c r="AE59" s="3">
        <f t="shared" si="47"/>
        <v>5.1572799682617188E-2</v>
      </c>
      <c r="AF59" s="3">
        <f t="shared" si="28"/>
        <v>-2.2033961824541315E-7</v>
      </c>
      <c r="AG59" s="3">
        <f t="shared" si="38"/>
        <v>5.1572322845458984E-2</v>
      </c>
      <c r="AH59" s="3">
        <f t="shared" si="29"/>
        <v>2.6213385619783258E-7</v>
      </c>
      <c r="AI59" s="3">
        <f t="shared" si="39"/>
        <v>1.9518677844906028E-13</v>
      </c>
      <c r="AJ59" s="3">
        <f t="shared" si="40"/>
        <v>-5.7758473803828464E-14</v>
      </c>
      <c r="AK59" s="3">
        <f t="shared" si="41"/>
        <v>9.5367431640625E-7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"/>
      <c r="BD59" s="3"/>
      <c r="BE59" s="3"/>
      <c r="BF59" s="3"/>
      <c r="BG59" s="3"/>
      <c r="BH59" s="3"/>
      <c r="BI59" s="3"/>
      <c r="BJ59"/>
      <c r="BK59" s="3">
        <v>21</v>
      </c>
      <c r="BL59" s="3">
        <f t="shared" si="42"/>
        <v>0.23551440728793904</v>
      </c>
      <c r="BM59" s="3">
        <v>-2.5280760744955666E-6</v>
      </c>
      <c r="BN59" s="3">
        <f t="shared" si="43"/>
        <v>0.23551707377798048</v>
      </c>
      <c r="BO59" s="3">
        <v>3.7364836313405481E-6</v>
      </c>
      <c r="BP59" s="3">
        <f t="shared" si="30"/>
        <v>0.23551574053295976</v>
      </c>
      <c r="BQ59" s="3">
        <v>6.0420931496246721E-7</v>
      </c>
      <c r="BR59" s="3">
        <f t="shared" si="31"/>
        <v>-1.5274871131439695E-12</v>
      </c>
      <c r="BS59" s="3">
        <f t="shared" si="32"/>
        <v>2.2576182152607444E-12</v>
      </c>
      <c r="BT59" s="3">
        <f t="shared" si="33"/>
        <v>2.6664900414363757E-6</v>
      </c>
      <c r="BU59"/>
      <c r="BV59" s="3">
        <v>21</v>
      </c>
      <c r="BW59" s="3">
        <f t="shared" si="44"/>
        <v>0.20475644465990744</v>
      </c>
      <c r="BX59" s="3">
        <v>-2.0283262053139017E-6</v>
      </c>
      <c r="BY59" s="3">
        <f t="shared" si="45"/>
        <v>0.20475911114994888</v>
      </c>
      <c r="BZ59" s="3">
        <v>4.0044248058451748E-6</v>
      </c>
      <c r="CA59" s="3">
        <f t="shared" si="34"/>
        <v>0.20475777790492816</v>
      </c>
      <c r="CB59" s="3">
        <v>9.8805596292911302E-7</v>
      </c>
      <c r="CC59" s="3">
        <f t="shared" si="35"/>
        <v>-2.0040998019257809E-12</v>
      </c>
      <c r="CD59" s="3">
        <f t="shared" si="36"/>
        <v>3.9565958075165809E-12</v>
      </c>
      <c r="CE59" s="3">
        <f t="shared" si="37"/>
        <v>2.6664900414363757E-6</v>
      </c>
    </row>
    <row r="60" spans="6:83" x14ac:dyDescent="0.2">
      <c r="N60" s="3">
        <v>25</v>
      </c>
      <c r="O60" s="3">
        <f t="shared" si="25"/>
        <v>855.47506809234619</v>
      </c>
      <c r="P60" s="3">
        <v>3.3847269560283166E-4</v>
      </c>
      <c r="Q60" s="3">
        <f t="shared" si="26"/>
        <v>855.47512769699097</v>
      </c>
      <c r="R60" s="3">
        <v>-7.6035308666178025E-5</v>
      </c>
      <c r="S60" s="3">
        <f t="shared" si="21"/>
        <v>855.47509789466858</v>
      </c>
      <c r="T60" s="3">
        <v>1.3121869687893195E-4</v>
      </c>
      <c r="U60" s="3">
        <f t="shared" si="22"/>
        <v>4.441394604610297E-8</v>
      </c>
      <c r="V60" s="3">
        <f t="shared" si="23"/>
        <v>-9.977254119963242E-9</v>
      </c>
      <c r="W60" s="3">
        <f t="shared" si="24"/>
        <v>5.9604644775390625E-5</v>
      </c>
      <c r="AB60" s="3">
        <v>21</v>
      </c>
      <c r="AC60" s="3">
        <f t="shared" si="46"/>
        <v>5.1572322845458984E-2</v>
      </c>
      <c r="AD60" s="3">
        <f t="shared" si="27"/>
        <v>2.6213385619783258E-7</v>
      </c>
      <c r="AE60" s="3">
        <f t="shared" si="47"/>
        <v>5.1572799682617188E-2</v>
      </c>
      <c r="AF60" s="3">
        <f t="shared" si="28"/>
        <v>-2.2033961824541315E-7</v>
      </c>
      <c r="AG60" s="3">
        <f t="shared" si="38"/>
        <v>5.1572561264038086E-2</v>
      </c>
      <c r="AH60" s="3">
        <f t="shared" si="29"/>
        <v>2.0897124926311239E-8</v>
      </c>
      <c r="AI60" s="3">
        <f t="shared" si="39"/>
        <v>5.4778439403818134E-15</v>
      </c>
      <c r="AJ60" s="3">
        <f t="shared" si="40"/>
        <v>-4.6044645286901255E-15</v>
      </c>
      <c r="AK60" s="3">
        <f t="shared" si="41"/>
        <v>4.76837158203125E-7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44" t="s">
        <v>219</v>
      </c>
      <c r="BD60" s="44"/>
      <c r="BE60" s="44"/>
      <c r="BF60" s="3"/>
      <c r="BG60" s="44" t="s">
        <v>220</v>
      </c>
      <c r="BH60" s="44"/>
      <c r="BI60" s="44"/>
      <c r="BJ60"/>
      <c r="BK60" s="3">
        <v>22</v>
      </c>
      <c r="BL60" s="3">
        <f t="shared" si="42"/>
        <v>0.23551440728793904</v>
      </c>
      <c r="BM60" s="3">
        <v>-2.5280760744955666E-6</v>
      </c>
      <c r="BN60" s="3">
        <f t="shared" si="43"/>
        <v>0.23551574053295976</v>
      </c>
      <c r="BO60" s="3">
        <v>6.0420931496246721E-7</v>
      </c>
      <c r="BP60" s="3">
        <f t="shared" si="30"/>
        <v>0.2355150739104494</v>
      </c>
      <c r="BQ60" s="3">
        <v>-9.6193199560640208E-7</v>
      </c>
      <c r="BR60" s="3">
        <f t="shared" si="31"/>
        <v>2.4318372633843194E-12</v>
      </c>
      <c r="BS60" s="3">
        <f t="shared" si="32"/>
        <v>-5.8120827210582319E-13</v>
      </c>
      <c r="BT60" s="3">
        <f t="shared" si="33"/>
        <v>1.3332450207181878E-6</v>
      </c>
      <c r="BU60"/>
      <c r="BV60" s="3">
        <v>22</v>
      </c>
      <c r="BW60" s="3">
        <f t="shared" si="44"/>
        <v>0.20475644465990744</v>
      </c>
      <c r="BX60" s="3">
        <v>-2.0283262053139017E-6</v>
      </c>
      <c r="BY60" s="3">
        <f t="shared" si="45"/>
        <v>0.20475777790492816</v>
      </c>
      <c r="BZ60" s="3">
        <v>9.8805596292911302E-7</v>
      </c>
      <c r="CA60" s="3">
        <f t="shared" si="34"/>
        <v>0.2047571112824178</v>
      </c>
      <c r="CB60" s="3">
        <v>-5.2013345543805434E-7</v>
      </c>
      <c r="CC60" s="3">
        <f t="shared" si="35"/>
        <v>1.0550003179254763E-12</v>
      </c>
      <c r="CD60" s="3">
        <f t="shared" si="36"/>
        <v>-5.1392096216449369E-13</v>
      </c>
      <c r="CE60" s="3">
        <f t="shared" si="37"/>
        <v>1.3332450207181878E-6</v>
      </c>
    </row>
    <row r="61" spans="6:83" x14ac:dyDescent="0.2">
      <c r="N61" s="3">
        <v>26</v>
      </c>
      <c r="O61" s="3">
        <f t="shared" si="25"/>
        <v>855.47509789466858</v>
      </c>
      <c r="P61" s="3">
        <v>1.3121869687893195E-4</v>
      </c>
      <c r="Q61" s="3">
        <f t="shared" si="26"/>
        <v>855.47512769699097</v>
      </c>
      <c r="R61" s="3">
        <v>-7.6035308666178025E-5</v>
      </c>
      <c r="S61" s="3">
        <f t="shared" si="21"/>
        <v>855.47511279582977</v>
      </c>
      <c r="T61" s="3">
        <v>2.7591695015871665E-5</v>
      </c>
      <c r="U61" s="3">
        <f t="shared" si="22"/>
        <v>3.6205462646636014E-9</v>
      </c>
      <c r="V61" s="3">
        <f t="shared" si="23"/>
        <v>-2.0979430471548478E-9</v>
      </c>
      <c r="W61" s="3">
        <f t="shared" si="24"/>
        <v>2.9802322387695312E-5</v>
      </c>
      <c r="AB61" s="3">
        <v>22</v>
      </c>
      <c r="AC61" s="3">
        <f t="shared" si="46"/>
        <v>5.1572561264038086E-2</v>
      </c>
      <c r="AD61" s="3">
        <f t="shared" si="27"/>
        <v>2.0897124926311239E-8</v>
      </c>
      <c r="AE61" s="3">
        <f t="shared" si="47"/>
        <v>5.1572799682617188E-2</v>
      </c>
      <c r="AF61" s="3">
        <f t="shared" si="28"/>
        <v>-2.2033961824541315E-7</v>
      </c>
      <c r="AG61" s="3">
        <f t="shared" si="38"/>
        <v>5.1572680473327637E-2</v>
      </c>
      <c r="AH61" s="3">
        <f t="shared" si="29"/>
        <v>-9.9721245171158213E-8</v>
      </c>
      <c r="AI61" s="3">
        <f t="shared" si="39"/>
        <v>-2.0838873181490047E-15</v>
      </c>
      <c r="AJ61" s="3">
        <f t="shared" si="40"/>
        <v>2.1972541091970251E-14</v>
      </c>
      <c r="AK61" s="3">
        <f t="shared" si="41"/>
        <v>2.384185791015625E-7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15" t="s">
        <v>169</v>
      </c>
      <c r="BD61" s="16">
        <f>BP136</f>
        <v>0.14799459772834606</v>
      </c>
      <c r="BE61" s="13" t="s">
        <v>170</v>
      </c>
      <c r="BF61" s="3"/>
      <c r="BG61" s="15" t="s">
        <v>169</v>
      </c>
      <c r="BH61" s="16">
        <f>CA136</f>
        <v>0.14755977757199834</v>
      </c>
      <c r="BI61" s="13" t="s">
        <v>170</v>
      </c>
      <c r="BJ61"/>
      <c r="BK61" s="3">
        <v>23</v>
      </c>
      <c r="BL61" s="3">
        <f t="shared" si="42"/>
        <v>0.2355150739104494</v>
      </c>
      <c r="BM61" s="3">
        <v>-9.6193199560640208E-7</v>
      </c>
      <c r="BN61" s="3">
        <f t="shared" si="43"/>
        <v>0.23551574053295976</v>
      </c>
      <c r="BO61" s="3">
        <v>6.0420931496246721E-7</v>
      </c>
      <c r="BP61" s="3">
        <f t="shared" si="30"/>
        <v>0.23551540722170458</v>
      </c>
      <c r="BQ61" s="3">
        <v>-1.7886099431402291E-7</v>
      </c>
      <c r="BR61" s="3">
        <f t="shared" si="31"/>
        <v>1.7205211319663339E-13</v>
      </c>
      <c r="BS61" s="3">
        <f t="shared" si="32"/>
        <v>-1.0806947884798153E-13</v>
      </c>
      <c r="BT61" s="3">
        <f t="shared" si="33"/>
        <v>6.6662251035909392E-7</v>
      </c>
      <c r="BU61"/>
      <c r="BV61" s="3">
        <v>23</v>
      </c>
      <c r="BW61" s="3">
        <f t="shared" si="44"/>
        <v>0.2047571112824178</v>
      </c>
      <c r="BX61" s="3">
        <v>-5.2013345543805434E-7</v>
      </c>
      <c r="BY61" s="3">
        <f t="shared" si="45"/>
        <v>0.20475777790492816</v>
      </c>
      <c r="BZ61" s="3">
        <v>9.8805596292911302E-7</v>
      </c>
      <c r="CA61" s="3">
        <f t="shared" si="34"/>
        <v>0.20475744459367298</v>
      </c>
      <c r="CB61" s="3">
        <v>2.3396167015549141E-7</v>
      </c>
      <c r="CC61" s="3">
        <f t="shared" si="35"/>
        <v>-1.2169129193803406E-13</v>
      </c>
      <c r="CD61" s="3">
        <f t="shared" si="36"/>
        <v>2.3116722329398757E-13</v>
      </c>
      <c r="CE61" s="3">
        <f t="shared" si="37"/>
        <v>6.6662251035909392E-7</v>
      </c>
    </row>
    <row r="62" spans="6:83" x14ac:dyDescent="0.2">
      <c r="N62" s="3">
        <v>27</v>
      </c>
      <c r="O62" s="3">
        <f t="shared" si="25"/>
        <v>855.47511279582977</v>
      </c>
      <c r="P62" s="3">
        <v>2.7591695015871665E-5</v>
      </c>
      <c r="Q62" s="3">
        <f t="shared" si="26"/>
        <v>855.47512769699097</v>
      </c>
      <c r="R62" s="3">
        <v>-7.6035308666178025E-5</v>
      </c>
      <c r="S62" s="3">
        <f t="shared" si="21"/>
        <v>855.47512024641037</v>
      </c>
      <c r="T62" s="3">
        <v>-2.4221806143032154E-5</v>
      </c>
      <c r="U62" s="3">
        <f t="shared" si="22"/>
        <v>-6.6832068783210995E-10</v>
      </c>
      <c r="V62" s="3">
        <f t="shared" si="23"/>
        <v>1.8417125065377769E-9</v>
      </c>
      <c r="W62" s="3">
        <f t="shared" si="24"/>
        <v>1.4901161193847656E-5</v>
      </c>
      <c r="AB62" s="3">
        <v>23</v>
      </c>
      <c r="AC62" s="3">
        <f t="shared" si="46"/>
        <v>5.1572561264038086E-2</v>
      </c>
      <c r="AD62" s="3">
        <f t="shared" si="27"/>
        <v>2.0897124926311239E-8</v>
      </c>
      <c r="AE62" s="3">
        <f t="shared" si="47"/>
        <v>5.1572680473327637E-2</v>
      </c>
      <c r="AF62" s="3">
        <f t="shared" si="28"/>
        <v>-9.9721245171158213E-8</v>
      </c>
      <c r="AG62" s="3">
        <f t="shared" si="38"/>
        <v>5.1572620868682861E-2</v>
      </c>
      <c r="AH62" s="3">
        <f t="shared" si="29"/>
        <v>-3.941205975466211E-8</v>
      </c>
      <c r="AI62" s="3">
        <f t="shared" si="39"/>
        <v>-8.235987362964176E-16</v>
      </c>
      <c r="AJ62" s="3">
        <f t="shared" si="40"/>
        <v>3.930219673494998E-15</v>
      </c>
      <c r="AK62" s="3">
        <f t="shared" si="41"/>
        <v>1.1920928955078125E-7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" t="s">
        <v>173</v>
      </c>
      <c r="BD62" s="3">
        <f>($AN$41+$AN$5)/180*PI()</f>
        <v>0.33126349202852379</v>
      </c>
      <c r="BE62" s="3" t="s">
        <v>170</v>
      </c>
      <c r="BF62" s="3"/>
      <c r="BG62" s="3" t="s">
        <v>173</v>
      </c>
      <c r="BH62" s="3">
        <f>($AN$42+$AN$5)/180*PI()</f>
        <v>0.30822514590219857</v>
      </c>
      <c r="BI62" s="3" t="s">
        <v>170</v>
      </c>
      <c r="BJ62"/>
      <c r="BK62" s="3">
        <v>24</v>
      </c>
      <c r="BL62" s="3">
        <f t="shared" si="42"/>
        <v>0.23551540722170458</v>
      </c>
      <c r="BM62" s="3">
        <v>-1.7886099431402291E-7</v>
      </c>
      <c r="BN62" s="3">
        <f t="shared" si="43"/>
        <v>0.23551574053295976</v>
      </c>
      <c r="BO62" s="3">
        <v>6.0420931496246721E-7</v>
      </c>
      <c r="BP62" s="3">
        <f t="shared" si="30"/>
        <v>0.23551557387733218</v>
      </c>
      <c r="BQ62" s="3">
        <v>2.126742468938625E-7</v>
      </c>
      <c r="BR62" s="3">
        <f t="shared" si="31"/>
        <v>-3.8039127264422244E-14</v>
      </c>
      <c r="BS62" s="3">
        <f t="shared" si="32"/>
        <v>1.2849976102589927E-13</v>
      </c>
      <c r="BT62" s="3">
        <f t="shared" si="33"/>
        <v>3.3331125517954696E-7</v>
      </c>
      <c r="BU62"/>
      <c r="BV62" s="3">
        <v>24</v>
      </c>
      <c r="BW62" s="3">
        <f t="shared" si="44"/>
        <v>0.2047571112824178</v>
      </c>
      <c r="BX62" s="3">
        <v>-5.2013345543805434E-7</v>
      </c>
      <c r="BY62" s="3">
        <f t="shared" si="45"/>
        <v>0.20475744459367298</v>
      </c>
      <c r="BZ62" s="3">
        <v>2.3396167015549141E-7</v>
      </c>
      <c r="CA62" s="3">
        <f t="shared" si="34"/>
        <v>0.20475727793804538</v>
      </c>
      <c r="CB62" s="3">
        <v>-1.4308578864807853E-7</v>
      </c>
      <c r="CC62" s="3">
        <f t="shared" si="35"/>
        <v>7.4423705673604208E-14</v>
      </c>
      <c r="CD62" s="3">
        <f t="shared" si="36"/>
        <v>-3.3476590087620108E-14</v>
      </c>
      <c r="CE62" s="3">
        <f t="shared" si="37"/>
        <v>3.3331125517954696E-7</v>
      </c>
    </row>
    <row r="63" spans="6:83" x14ac:dyDescent="0.2">
      <c r="N63" s="3">
        <v>28</v>
      </c>
      <c r="O63" s="3">
        <f t="shared" si="25"/>
        <v>855.47511279582977</v>
      </c>
      <c r="P63" s="3">
        <v>2.7591695015871665E-5</v>
      </c>
      <c r="Q63" s="3">
        <f t="shared" si="26"/>
        <v>855.47512024641037</v>
      </c>
      <c r="R63" s="3">
        <v>-2.4221806143032154E-5</v>
      </c>
      <c r="S63" s="3">
        <f t="shared" si="21"/>
        <v>855.47511652112007</v>
      </c>
      <c r="T63" s="3">
        <v>1.6849439816724043E-6</v>
      </c>
      <c r="U63" s="3">
        <f t="shared" si="22"/>
        <v>4.6490460461133436E-11</v>
      </c>
      <c r="V63" s="3">
        <f t="shared" si="23"/>
        <v>-4.0812386485937701E-11</v>
      </c>
      <c r="W63" s="3">
        <f t="shared" si="24"/>
        <v>7.4505805969238281E-6</v>
      </c>
      <c r="AB63" s="3">
        <v>24</v>
      </c>
      <c r="AC63" s="3">
        <f t="shared" si="46"/>
        <v>5.1572561264038086E-2</v>
      </c>
      <c r="AD63" s="3">
        <f t="shared" si="27"/>
        <v>2.0897124926311239E-8</v>
      </c>
      <c r="AE63" s="3">
        <f t="shared" si="47"/>
        <v>5.1572620868682861E-2</v>
      </c>
      <c r="AF63" s="3">
        <f t="shared" si="28"/>
        <v>-3.941205975466211E-8</v>
      </c>
      <c r="AG63" s="3">
        <f t="shared" si="38"/>
        <v>5.1572591066360474E-2</v>
      </c>
      <c r="AH63" s="3">
        <f t="shared" si="29"/>
        <v>-9.2574673205003677E-9</v>
      </c>
      <c r="AI63" s="3">
        <f t="shared" si="39"/>
        <v>-1.9345445109773994E-16</v>
      </c>
      <c r="AJ63" s="3">
        <f t="shared" si="40"/>
        <v>3.648558552123922E-16</v>
      </c>
      <c r="AK63" s="3">
        <f t="shared" si="41"/>
        <v>5.9604644775390625E-8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" t="s">
        <v>36</v>
      </c>
      <c r="BD63" s="3">
        <f>BD62-BD61</f>
        <v>0.18326889430017773</v>
      </c>
      <c r="BE63" s="3" t="s">
        <v>170</v>
      </c>
      <c r="BF63" s="3"/>
      <c r="BG63" s="3" t="s">
        <v>36</v>
      </c>
      <c r="BH63" s="3">
        <f>BH62-BH61</f>
        <v>0.16066536833020023</v>
      </c>
      <c r="BI63" s="3" t="s">
        <v>170</v>
      </c>
      <c r="BJ63"/>
      <c r="BK63" s="3">
        <v>25</v>
      </c>
      <c r="BL63" s="3">
        <f t="shared" si="42"/>
        <v>0.23551540722170458</v>
      </c>
      <c r="BM63" s="3">
        <v>-1.7886099431402291E-7</v>
      </c>
      <c r="BN63" s="3">
        <f t="shared" si="43"/>
        <v>0.23551557387733218</v>
      </c>
      <c r="BO63" s="3">
        <v>2.126742468938625E-7</v>
      </c>
      <c r="BP63" s="3">
        <f t="shared" si="30"/>
        <v>0.23551549054951837</v>
      </c>
      <c r="BQ63" s="3">
        <v>1.6906647908043748E-8</v>
      </c>
      <c r="BR63" s="3">
        <f t="shared" si="31"/>
        <v>-3.0239398553498003E-15</v>
      </c>
      <c r="BS63" s="3">
        <f t="shared" si="32"/>
        <v>3.5956086113429003E-15</v>
      </c>
      <c r="BT63" s="3">
        <f t="shared" si="33"/>
        <v>1.6665562760365127E-7</v>
      </c>
      <c r="BU63"/>
      <c r="BV63" s="3">
        <v>25</v>
      </c>
      <c r="BW63" s="3">
        <f t="shared" si="44"/>
        <v>0.20475727793804538</v>
      </c>
      <c r="BX63" s="3">
        <v>-1.4308578864807853E-7</v>
      </c>
      <c r="BY63" s="3">
        <f t="shared" si="45"/>
        <v>0.20475744459367298</v>
      </c>
      <c r="BZ63" s="3">
        <v>2.3396167015549141E-7</v>
      </c>
      <c r="CA63" s="3">
        <f t="shared" si="34"/>
        <v>0.20475736126585919</v>
      </c>
      <c r="CB63" s="3">
        <v>4.5437966805783603E-8</v>
      </c>
      <c r="CC63" s="3">
        <f t="shared" si="35"/>
        <v>-6.5015273149707603E-15</v>
      </c>
      <c r="CD63" s="3">
        <f t="shared" si="36"/>
        <v>1.0630742602350911E-14</v>
      </c>
      <c r="CE63" s="3">
        <f t="shared" si="37"/>
        <v>1.6665562760365127E-7</v>
      </c>
    </row>
    <row r="64" spans="6:83" x14ac:dyDescent="0.2">
      <c r="N64" s="3">
        <v>29</v>
      </c>
      <c r="O64" s="3">
        <f t="shared" si="25"/>
        <v>855.47511652112007</v>
      </c>
      <c r="P64" s="3">
        <v>1.6849439816724043E-6</v>
      </c>
      <c r="Q64" s="3">
        <f t="shared" si="26"/>
        <v>855.47512024641037</v>
      </c>
      <c r="R64" s="3">
        <v>-2.4221806143032154E-5</v>
      </c>
      <c r="S64" s="3">
        <f t="shared" si="21"/>
        <v>855.47511838376522</v>
      </c>
      <c r="T64" s="3">
        <v>-1.1268431535427226E-5</v>
      </c>
      <c r="U64" s="3">
        <f t="shared" si="22"/>
        <v>-1.8986675898505634E-11</v>
      </c>
      <c r="V64" s="3">
        <f t="shared" si="23"/>
        <v>2.7294176418714842E-10</v>
      </c>
      <c r="W64" s="3">
        <f t="shared" si="24"/>
        <v>3.7252902984619141E-6</v>
      </c>
      <c r="AB64" s="3">
        <v>25</v>
      </c>
      <c r="AC64" s="3">
        <f t="shared" si="46"/>
        <v>5.1572561264038086E-2</v>
      </c>
      <c r="AD64" s="3">
        <f t="shared" si="27"/>
        <v>2.0897124926311239E-8</v>
      </c>
      <c r="AE64" s="3">
        <f t="shared" si="47"/>
        <v>5.1572591066360474E-2</v>
      </c>
      <c r="AF64" s="3">
        <f t="shared" si="28"/>
        <v>-9.2574673205003677E-9</v>
      </c>
      <c r="AG64" s="3">
        <f t="shared" si="38"/>
        <v>5.157257616519928E-2</v>
      </c>
      <c r="AH64" s="3">
        <f t="shared" si="29"/>
        <v>5.8198288271915644E-9</v>
      </c>
      <c r="AI64" s="3">
        <f t="shared" si="39"/>
        <v>1.2161769005156955E-16</v>
      </c>
      <c r="AJ64" s="3">
        <f t="shared" si="40"/>
        <v>-5.387687517863189E-17</v>
      </c>
      <c r="AK64" s="3">
        <f t="shared" si="41"/>
        <v>2.9802322387695312E-8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" t="s">
        <v>180</v>
      </c>
      <c r="BD64" s="3">
        <f>BD63/PI()*180</f>
        <v>10.500534159429373</v>
      </c>
      <c r="BE64" s="3" t="s">
        <v>53</v>
      </c>
      <c r="BF64" s="3"/>
      <c r="BG64" s="3" t="s">
        <v>180</v>
      </c>
      <c r="BH64" s="3">
        <f>BH63/PI()*180</f>
        <v>9.205447519235312</v>
      </c>
      <c r="BI64" s="3" t="s">
        <v>53</v>
      </c>
      <c r="BJ64"/>
      <c r="BK64" s="3">
        <v>26</v>
      </c>
      <c r="BL64" s="3">
        <f t="shared" si="42"/>
        <v>0.23551540722170458</v>
      </c>
      <c r="BM64" s="3">
        <v>-1.7886099431402291E-7</v>
      </c>
      <c r="BN64" s="3">
        <f t="shared" si="43"/>
        <v>0.23551549054951837</v>
      </c>
      <c r="BO64" s="3">
        <v>1.6906647908043748E-8</v>
      </c>
      <c r="BP64" s="3">
        <f t="shared" si="30"/>
        <v>0.23551544888561149</v>
      </c>
      <c r="BQ64" s="3">
        <v>-8.0977167749018975E-8</v>
      </c>
      <c r="BR64" s="3">
        <f t="shared" si="31"/>
        <v>1.4483656740322963E-14</v>
      </c>
      <c r="BS64" s="3">
        <f t="shared" si="32"/>
        <v>-1.3690524637232594E-15</v>
      </c>
      <c r="BT64" s="3">
        <f t="shared" si="33"/>
        <v>8.3327813787947846E-8</v>
      </c>
      <c r="BU64"/>
      <c r="BV64" s="3">
        <v>26</v>
      </c>
      <c r="BW64" s="3">
        <f t="shared" si="44"/>
        <v>0.20475727793804538</v>
      </c>
      <c r="BX64" s="3">
        <v>-1.4308578864807853E-7</v>
      </c>
      <c r="BY64" s="3">
        <f t="shared" si="45"/>
        <v>0.20475736126585919</v>
      </c>
      <c r="BZ64" s="3">
        <v>4.5437966805783603E-8</v>
      </c>
      <c r="CA64" s="3">
        <f t="shared" si="34"/>
        <v>0.20475731960195229</v>
      </c>
      <c r="CB64" s="3">
        <v>-4.8823904384709405E-8</v>
      </c>
      <c r="CC64" s="3">
        <f t="shared" si="35"/>
        <v>6.9860068637645246E-15</v>
      </c>
      <c r="CD64" s="3">
        <f t="shared" si="36"/>
        <v>-2.2184589467611785E-15</v>
      </c>
      <c r="CE64" s="3">
        <f t="shared" si="37"/>
        <v>8.3327813815703422E-8</v>
      </c>
    </row>
    <row r="65" spans="2:83" x14ac:dyDescent="0.2">
      <c r="F65" s="11"/>
      <c r="N65" s="3">
        <v>30</v>
      </c>
      <c r="O65" s="3">
        <f t="shared" si="25"/>
        <v>855.47511652112007</v>
      </c>
      <c r="P65" s="3">
        <v>1.6849439816724043E-6</v>
      </c>
      <c r="Q65" s="3">
        <f t="shared" si="26"/>
        <v>855.47511838376522</v>
      </c>
      <c r="R65" s="3">
        <v>-1.1268431535427226E-5</v>
      </c>
      <c r="S65" s="13">
        <f t="shared" si="21"/>
        <v>855.47511745244265</v>
      </c>
      <c r="T65" s="3">
        <v>-4.7917437768774107E-6</v>
      </c>
      <c r="U65" s="3">
        <f t="shared" si="22"/>
        <v>-8.0738198385657894E-12</v>
      </c>
      <c r="V65" s="3">
        <f t="shared" si="23"/>
        <v>5.3995436685052575E-11</v>
      </c>
      <c r="W65" s="3">
        <f t="shared" si="24"/>
        <v>1.862645149230957E-6</v>
      </c>
      <c r="AB65" s="3">
        <v>26</v>
      </c>
      <c r="AC65" s="3">
        <f t="shared" si="46"/>
        <v>5.157257616519928E-2</v>
      </c>
      <c r="AD65" s="3">
        <f t="shared" si="27"/>
        <v>5.8198288271915644E-9</v>
      </c>
      <c r="AE65" s="3">
        <f t="shared" si="47"/>
        <v>5.1572591066360474E-2</v>
      </c>
      <c r="AF65" s="3">
        <f t="shared" si="28"/>
        <v>-9.2574673205003677E-9</v>
      </c>
      <c r="AG65" s="3">
        <f t="shared" si="38"/>
        <v>5.1572583615779877E-2</v>
      </c>
      <c r="AH65" s="3">
        <f t="shared" si="29"/>
        <v>-1.7188192397155078E-9</v>
      </c>
      <c r="AI65" s="3">
        <f t="shared" si="39"/>
        <v>-1.00032337600278E-17</v>
      </c>
      <c r="AJ65" s="3">
        <f t="shared" si="40"/>
        <v>1.59119129415136E-17</v>
      </c>
      <c r="AK65" s="3">
        <f t="shared" si="41"/>
        <v>1.4901161193847656E-8</v>
      </c>
      <c r="AM65" s="3"/>
      <c r="AN65" s="3"/>
      <c r="AO65" s="14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" t="s">
        <v>183</v>
      </c>
      <c r="BD65" s="3">
        <f xml:space="preserve"> $AN$8*$AN$33 / (2*PI()*$AN$25)</f>
        <v>5.6395172200376681E-2</v>
      </c>
      <c r="BE65" s="3"/>
      <c r="BF65" s="3"/>
      <c r="BG65" s="3" t="s">
        <v>183</v>
      </c>
      <c r="BH65" s="3">
        <f xml:space="preserve"> $AN$8*$AN$34 / (2*PI()*$AN$26)</f>
        <v>4.8104371027113874E-2</v>
      </c>
      <c r="BI65" s="3"/>
      <c r="BJ65"/>
      <c r="BK65" s="3">
        <v>27</v>
      </c>
      <c r="BL65" s="3">
        <f t="shared" si="42"/>
        <v>0.23551544888561149</v>
      </c>
      <c r="BM65" s="3">
        <v>-8.0977167749018975E-8</v>
      </c>
      <c r="BN65" s="3">
        <f t="shared" si="43"/>
        <v>0.23551549054951837</v>
      </c>
      <c r="BO65" s="3">
        <v>1.6906647908043748E-8</v>
      </c>
      <c r="BP65" s="3">
        <f t="shared" si="30"/>
        <v>0.23551546971756493</v>
      </c>
      <c r="BQ65" s="3">
        <v>-3.2035258612506112E-8</v>
      </c>
      <c r="BR65" s="3">
        <f t="shared" si="31"/>
        <v>2.5941245105481124E-15</v>
      </c>
      <c r="BS65" s="3">
        <f t="shared" si="32"/>
        <v>-5.416088380047669E-16</v>
      </c>
      <c r="BT65" s="3">
        <f t="shared" si="33"/>
        <v>4.1663906880096135E-8</v>
      </c>
      <c r="BU65"/>
      <c r="BV65" s="3">
        <v>27</v>
      </c>
      <c r="BW65" s="3">
        <f t="shared" si="44"/>
        <v>0.20475731960195229</v>
      </c>
      <c r="BX65" s="3">
        <v>-4.8823904384709405E-8</v>
      </c>
      <c r="BY65" s="3">
        <f t="shared" si="45"/>
        <v>0.20475736126585919</v>
      </c>
      <c r="BZ65" s="3">
        <v>4.5437966805783603E-8</v>
      </c>
      <c r="CA65" s="3">
        <f t="shared" si="34"/>
        <v>0.20475734043390575</v>
      </c>
      <c r="CB65" s="3">
        <v>-1.6929671484144926E-9</v>
      </c>
      <c r="CC65" s="3">
        <f t="shared" si="35"/>
        <v>8.265726618064332E-17</v>
      </c>
      <c r="CD65" s="3">
        <f t="shared" si="36"/>
        <v>-7.6924985092939835E-17</v>
      </c>
      <c r="CE65" s="3">
        <f t="shared" si="37"/>
        <v>4.1663906907851711E-8</v>
      </c>
    </row>
    <row r="66" spans="2:83" x14ac:dyDescent="0.2">
      <c r="AB66" s="3">
        <v>27</v>
      </c>
      <c r="AC66" s="3">
        <f t="shared" si="46"/>
        <v>5.157257616519928E-2</v>
      </c>
      <c r="AD66" s="3">
        <f t="shared" si="27"/>
        <v>5.8198288271915644E-9</v>
      </c>
      <c r="AE66" s="3">
        <f t="shared" si="47"/>
        <v>5.1572583615779877E-2</v>
      </c>
      <c r="AF66" s="3">
        <f t="shared" si="28"/>
        <v>-1.7188192397155078E-9</v>
      </c>
      <c r="AG66" s="3">
        <f t="shared" si="38"/>
        <v>5.1572579890489578E-2</v>
      </c>
      <c r="AH66" s="3">
        <f t="shared" si="29"/>
        <v>2.0505047937380283E-9</v>
      </c>
      <c r="AI66" s="3">
        <f t="shared" si="39"/>
        <v>1.193358690889107E-17</v>
      </c>
      <c r="AJ66" s="3">
        <f t="shared" si="40"/>
        <v>-3.5244470906058022E-18</v>
      </c>
      <c r="AK66" s="3">
        <f t="shared" si="41"/>
        <v>7.4505805969238281E-9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" t="s">
        <v>187</v>
      </c>
      <c r="BD66" s="3">
        <f>IF(-$AN$8*($AR$3-$AN$25)/(2*$AN$25*SIN(BD61))&gt;500, 1, 2*ACOS(MIN(1, EXP(-$AN$8*($AR$3-$AN$25)/(2*$AN$25*SIN(BD61)))))/PI() )</f>
        <v>0.97766576465351729</v>
      </c>
      <c r="BE66" s="3"/>
      <c r="BF66" s="3"/>
      <c r="BG66" s="3" t="s">
        <v>187</v>
      </c>
      <c r="BH66" s="3">
        <f>IF(-$AN$8*($AR$3-$AN$26)/(2*$AN$26*SIN(BH61))&gt;500, 1, 2*ACOS(MIN(1, EXP(-$AN$8*($AR$3-$AN$26)/(2*$AN$26*SIN(BH61)))))/PI() )</f>
        <v>0.75754447807778813</v>
      </c>
      <c r="BI66" s="3"/>
      <c r="BJ66"/>
      <c r="BK66" s="3">
        <v>28</v>
      </c>
      <c r="BL66" s="3">
        <f t="shared" si="42"/>
        <v>0.23551546971756493</v>
      </c>
      <c r="BM66" s="3">
        <v>-3.2035258612506112E-8</v>
      </c>
      <c r="BN66" s="3">
        <f t="shared" si="43"/>
        <v>0.23551549054951837</v>
      </c>
      <c r="BO66" s="3">
        <v>1.6906647908043748E-8</v>
      </c>
      <c r="BP66" s="3">
        <f t="shared" si="30"/>
        <v>0.23551548013354165</v>
      </c>
      <c r="BQ66" s="3">
        <v>-7.5643050087559338E-9</v>
      </c>
      <c r="BR66" s="3">
        <f t="shared" si="31"/>
        <v>2.4232446717937167E-16</v>
      </c>
      <c r="BS66" s="3">
        <f t="shared" si="32"/>
        <v>-1.2788704145208835E-16</v>
      </c>
      <c r="BT66" s="3">
        <f t="shared" si="33"/>
        <v>2.0831953440048068E-8</v>
      </c>
      <c r="BU66"/>
      <c r="BV66" s="3">
        <v>28</v>
      </c>
      <c r="BW66" s="3">
        <f t="shared" si="44"/>
        <v>0.20475734043390575</v>
      </c>
      <c r="BX66" s="3">
        <v>-1.6929671484144926E-9</v>
      </c>
      <c r="BY66" s="3">
        <f t="shared" si="45"/>
        <v>0.20475736126585919</v>
      </c>
      <c r="BZ66" s="3">
        <v>4.5437966805783603E-8</v>
      </c>
      <c r="CA66" s="3">
        <f t="shared" si="34"/>
        <v>0.20475735084988247</v>
      </c>
      <c r="CB66" s="3">
        <v>2.1872500269304318E-8</v>
      </c>
      <c r="CC66" s="3">
        <f t="shared" si="35"/>
        <v>-3.7029424409619352E-17</v>
      </c>
      <c r="CD66" s="3">
        <f t="shared" si="36"/>
        <v>9.9384194119614253E-16</v>
      </c>
      <c r="CE66" s="3">
        <f t="shared" si="37"/>
        <v>2.0831953440048068E-8</v>
      </c>
    </row>
    <row r="67" spans="2:83" x14ac:dyDescent="0.2">
      <c r="AB67" s="3">
        <v>28</v>
      </c>
      <c r="AC67" s="3">
        <f t="shared" si="46"/>
        <v>5.1572579890489578E-2</v>
      </c>
      <c r="AD67" s="3">
        <f t="shared" si="27"/>
        <v>2.0505047937380283E-9</v>
      </c>
      <c r="AE67" s="3">
        <f t="shared" si="47"/>
        <v>5.1572583615779877E-2</v>
      </c>
      <c r="AF67" s="3">
        <f t="shared" si="28"/>
        <v>-1.7188192397155078E-9</v>
      </c>
      <c r="AG67" s="3">
        <f t="shared" si="38"/>
        <v>5.1572581753134727E-2</v>
      </c>
      <c r="AH67" s="3">
        <f t="shared" si="29"/>
        <v>1.6584278395015417E-10</v>
      </c>
      <c r="AI67" s="3">
        <f t="shared" si="39"/>
        <v>3.4006142349665127E-19</v>
      </c>
      <c r="AJ67" s="3">
        <f t="shared" si="40"/>
        <v>-2.8505376782150721E-19</v>
      </c>
      <c r="AK67" s="3">
        <f t="shared" si="41"/>
        <v>3.7252902984619141E-9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" t="s">
        <v>192</v>
      </c>
      <c r="BD67" s="3">
        <f>IF(-$AN$8*($AN$25-$AN$10)/(2*$AN$25*SIN(BD61))&gt;500, 1, 2*ACOS(MIN(1, EXP(-$AN$8*($AN$25-$AN$10)/(2*$AN$25*SIN(BD61)))))/PI() )</f>
        <v>0.99999968458071309</v>
      </c>
      <c r="BE67" s="3"/>
      <c r="BF67" s="3"/>
      <c r="BG67" s="3" t="s">
        <v>192</v>
      </c>
      <c r="BH67" s="3">
        <f>IF(-$AN$8*($AN$26-$AN$10)/(2*$AN$26*SIN(BH61))&gt;500, 1, 2*ACOS(MIN(1, EXP(-$AN$8*($AN$26-$AN$10)/(2*$AN$26*SIN(BH61)))))/PI() )</f>
        <v>0.99999977253741934</v>
      </c>
      <c r="BI67" s="3"/>
      <c r="BJ67"/>
      <c r="BK67" s="3">
        <v>29</v>
      </c>
      <c r="BL67" s="3">
        <f t="shared" si="42"/>
        <v>0.23551548013354165</v>
      </c>
      <c r="BM67" s="3">
        <v>-7.5643050087559338E-9</v>
      </c>
      <c r="BN67" s="3">
        <f t="shared" si="43"/>
        <v>0.23551549054951837</v>
      </c>
      <c r="BO67" s="3">
        <v>1.6906647908043748E-8</v>
      </c>
      <c r="BP67" s="3">
        <f t="shared" si="30"/>
        <v>0.23551548534153</v>
      </c>
      <c r="BQ67" s="3">
        <v>4.6711714704605889E-9</v>
      </c>
      <c r="BR67" s="3">
        <f t="shared" si="31"/>
        <v>-3.5334165750762851E-17</v>
      </c>
      <c r="BS67" s="3">
        <f t="shared" si="32"/>
        <v>7.8973851369176152E-17</v>
      </c>
      <c r="BT67" s="3">
        <f t="shared" si="33"/>
        <v>1.0415976720024034E-8</v>
      </c>
      <c r="BU67"/>
      <c r="BV67" s="3">
        <v>29</v>
      </c>
      <c r="BW67" s="3">
        <f t="shared" si="44"/>
        <v>0.20475734043390575</v>
      </c>
      <c r="BX67" s="3">
        <v>-1.6929671484144926E-9</v>
      </c>
      <c r="BY67" s="3">
        <f t="shared" si="45"/>
        <v>0.20475735084988247</v>
      </c>
      <c r="BZ67" s="3">
        <v>2.1872500269304318E-8</v>
      </c>
      <c r="CA67" s="3">
        <f t="shared" si="34"/>
        <v>0.20475734564189413</v>
      </c>
      <c r="CB67" s="3">
        <v>1.0089766716570026E-8</v>
      </c>
      <c r="CC67" s="3">
        <f t="shared" si="35"/>
        <v>-1.7081643586319015E-17</v>
      </c>
      <c r="CD67" s="3">
        <f t="shared" si="36"/>
        <v>2.2068842522539564E-16</v>
      </c>
      <c r="CE67" s="3">
        <f t="shared" si="37"/>
        <v>1.0415976720024034E-8</v>
      </c>
    </row>
    <row r="68" spans="2:83" x14ac:dyDescent="0.2">
      <c r="AB68" s="3">
        <v>29</v>
      </c>
      <c r="AC68" s="3">
        <f t="shared" si="46"/>
        <v>5.1572581753134727E-2</v>
      </c>
      <c r="AD68" s="3">
        <f t="shared" si="27"/>
        <v>1.6584278395015417E-10</v>
      </c>
      <c r="AE68" s="3">
        <f t="shared" si="47"/>
        <v>5.1572583615779877E-2</v>
      </c>
      <c r="AF68" s="3">
        <f t="shared" si="28"/>
        <v>-1.7188192397155078E-9</v>
      </c>
      <c r="AG68" s="3">
        <f t="shared" si="38"/>
        <v>5.1572582684457302E-2</v>
      </c>
      <c r="AH68" s="3">
        <f t="shared" si="29"/>
        <v>-7.764882348215707E-10</v>
      </c>
      <c r="AI68" s="3">
        <f t="shared" si="39"/>
        <v>-1.2877497056735033E-19</v>
      </c>
      <c r="AJ68" s="3">
        <f t="shared" si="40"/>
        <v>1.3346429174240488E-18</v>
      </c>
      <c r="AK68" s="3">
        <f t="shared" si="41"/>
        <v>1.862645149230957E-9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" t="s">
        <v>196</v>
      </c>
      <c r="BD68" s="3">
        <f>IF(BD61=0,1,BD66*BD67)</f>
        <v>0.97766545627887902</v>
      </c>
      <c r="BE68" s="3"/>
      <c r="BF68" s="3"/>
      <c r="BG68" s="3" t="s">
        <v>196</v>
      </c>
      <c r="BH68" s="3">
        <f>IF(BH61=0,1,BH66*BH67)</f>
        <v>0.75754430576476617</v>
      </c>
      <c r="BI68" s="3"/>
      <c r="BJ68"/>
      <c r="BK68" s="3">
        <v>30</v>
      </c>
      <c r="BL68" s="3">
        <f t="shared" si="42"/>
        <v>0.23551548013354165</v>
      </c>
      <c r="BM68" s="3">
        <v>-7.5643050087559338E-9</v>
      </c>
      <c r="BN68" s="3">
        <f t="shared" si="43"/>
        <v>0.23551548534153</v>
      </c>
      <c r="BO68" s="3">
        <v>4.6711714704605889E-9</v>
      </c>
      <c r="BP68" s="13">
        <f t="shared" si="30"/>
        <v>0.23551548273753581</v>
      </c>
      <c r="BQ68" s="3">
        <v>-1.4465667899643542E-9</v>
      </c>
      <c r="BR68" s="3">
        <f t="shared" si="31"/>
        <v>1.0942272414827358E-17</v>
      </c>
      <c r="BS68" s="3">
        <f t="shared" si="32"/>
        <v>-6.7571615193972462E-18</v>
      </c>
      <c r="BT68" s="3">
        <f t="shared" si="33"/>
        <v>5.2079883461342291E-9</v>
      </c>
      <c r="BU68"/>
      <c r="BV68" s="3">
        <v>30</v>
      </c>
      <c r="BW68" s="3">
        <f t="shared" si="44"/>
        <v>0.20475734043390575</v>
      </c>
      <c r="BX68" s="3">
        <v>-1.6929671484144926E-9</v>
      </c>
      <c r="BY68" s="3">
        <f t="shared" si="45"/>
        <v>0.20475734564189413</v>
      </c>
      <c r="BZ68" s="3">
        <v>1.0089766716570026E-8</v>
      </c>
      <c r="CA68" s="13">
        <f t="shared" si="34"/>
        <v>0.20475734303789994</v>
      </c>
      <c r="CB68" s="3">
        <v>4.1983998846917281E-9</v>
      </c>
      <c r="CC68" s="3">
        <f t="shared" si="35"/>
        <v>-7.1077530806902892E-18</v>
      </c>
      <c r="CD68" s="3">
        <f t="shared" si="36"/>
        <v>4.2360875419414031E-17</v>
      </c>
      <c r="CE68" s="3">
        <f t="shared" si="37"/>
        <v>5.2079883738898047E-9</v>
      </c>
    </row>
    <row r="69" spans="2:83" x14ac:dyDescent="0.2">
      <c r="AB69" s="3">
        <v>30</v>
      </c>
      <c r="AC69" s="3">
        <f t="shared" si="46"/>
        <v>5.1572581753134727E-2</v>
      </c>
      <c r="AD69" s="3">
        <f t="shared" si="27"/>
        <v>1.6584278395015417E-10</v>
      </c>
      <c r="AE69" s="3">
        <f t="shared" si="47"/>
        <v>5.1572582684457302E-2</v>
      </c>
      <c r="AF69" s="3">
        <f t="shared" si="28"/>
        <v>-7.764882348215707E-10</v>
      </c>
      <c r="AG69" s="3">
        <f t="shared" si="38"/>
        <v>5.1572582218796015E-2</v>
      </c>
      <c r="AH69" s="3">
        <f t="shared" si="29"/>
        <v>-3.0532272543570826E-10</v>
      </c>
      <c r="AI69" s="3">
        <f t="shared" si="39"/>
        <v>-5.0635570789506407E-20</v>
      </c>
      <c r="AJ69" s="3">
        <f t="shared" si="40"/>
        <v>2.370795041244842E-19</v>
      </c>
      <c r="AK69" s="3">
        <f t="shared" si="41"/>
        <v>9.3132257461547852E-10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" t="s">
        <v>200</v>
      </c>
      <c r="BD69" s="3">
        <f>IF(BD64&lt;$AW$43, $AR$44*BD64^2 + $AS$44*BD64 + $AT$44, IF(BD64&gt;$AX$43, $AY$44*BD64^2 + $AZ$44*BD64 + $BA$44, $AU$44*BD64^3 + $AV$44*BD64^2 + $AW$44*BD64 + $AX$44))</f>
        <v>1.2910482518573296</v>
      </c>
      <c r="BE69" s="3"/>
      <c r="BF69" s="3"/>
      <c r="BG69" s="3" t="s">
        <v>200</v>
      </c>
      <c r="BH69" s="3">
        <f>IF(BH64&lt;$AW$43, $AR$44*BH64^2 + $AS$44*BH64 + $AT$44, IF(BH64&gt;$AX$43, $AY$44*BH64^2 + $AZ$44*BH64 + $BA$44, $AU$44*BH64^3 + $AV$44*BH64^2 + $AW$44*BH64 + $AX$44))</f>
        <v>1.189674036686065</v>
      </c>
      <c r="BI69" s="3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</row>
    <row r="70" spans="2:83" x14ac:dyDescent="0.2"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" t="s">
        <v>201</v>
      </c>
      <c r="BD70" s="3">
        <f>IF(BD64&lt;$AW$43, $AR$45*BD64^2 + $AS$45*BD64 + $AT$45, IF(BD64&gt;$AX$43, $AY$45*BD64^2 + $AZ$45*BD64 + $BA$45, $AU$45*BD64^3 + $AV$45*BD64^2 + $AW$45*BD64 + $AX$45))</f>
        <v>1.9501158756562657E-2</v>
      </c>
      <c r="BE70" s="3"/>
      <c r="BF70" s="3"/>
      <c r="BG70" s="3" t="s">
        <v>201</v>
      </c>
      <c r="BH70" s="3">
        <f>IF(BH64&lt;$AW$43, $AR$45*BH64^2 + $AS$45*BH64 + $AT$45, IF(BH64&gt;$AX$43, $AY$45*BH64^2 + $AZ$45*BH64 + $BA$45, $AU$45*BH64^3 + $AV$45*BH64^2 + $AW$45*BH64 + $AX$45))</f>
        <v>1.4369808923134072E-2</v>
      </c>
      <c r="BI70" s="3"/>
      <c r="BJ70"/>
      <c r="BK70" s="41" t="s">
        <v>233</v>
      </c>
      <c r="BL70" s="41"/>
      <c r="BM70" s="41"/>
      <c r="BN70" s="41"/>
      <c r="BO70" s="41"/>
      <c r="BP70" s="41"/>
      <c r="BQ70" s="41"/>
      <c r="BR70" s="41"/>
      <c r="BS70" s="41"/>
      <c r="BT70" s="41"/>
      <c r="BU70"/>
      <c r="BV70" s="41" t="s">
        <v>234</v>
      </c>
      <c r="BW70" s="41"/>
      <c r="BX70" s="41"/>
      <c r="BY70" s="41"/>
      <c r="BZ70" s="41"/>
      <c r="CA70" s="41"/>
      <c r="CB70" s="41"/>
      <c r="CC70" s="41"/>
      <c r="CD70" s="41"/>
      <c r="CE70" s="41"/>
    </row>
    <row r="71" spans="2:83" x14ac:dyDescent="0.2"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" t="s">
        <v>203</v>
      </c>
      <c r="BD71" s="3">
        <f xml:space="preserve"> BD69*COS(BD61) - BD70*SIN(BD61)</f>
        <v>1.2740599680535134</v>
      </c>
      <c r="BE71" s="3"/>
      <c r="BF71" s="3"/>
      <c r="BG71" s="3" t="s">
        <v>203</v>
      </c>
      <c r="BH71" s="3">
        <f xml:space="preserve"> BH69*COS(BH61) - BH70*SIN(BH61)</f>
        <v>1.1746328869051883</v>
      </c>
      <c r="BI71" s="3"/>
      <c r="BJ71"/>
      <c r="BK71" s="7" t="s">
        <v>54</v>
      </c>
      <c r="BL71" s="7" t="s">
        <v>55</v>
      </c>
      <c r="BM71" s="7" t="s">
        <v>56</v>
      </c>
      <c r="BN71" s="7" t="s">
        <v>57</v>
      </c>
      <c r="BO71" s="7" t="s">
        <v>58</v>
      </c>
      <c r="BP71" s="7" t="s">
        <v>59</v>
      </c>
      <c r="BQ71" s="7" t="s">
        <v>60</v>
      </c>
      <c r="BR71" s="7" t="s">
        <v>61</v>
      </c>
      <c r="BS71" s="7" t="s">
        <v>62</v>
      </c>
      <c r="BT71" s="7" t="s">
        <v>63</v>
      </c>
      <c r="BU71"/>
      <c r="BV71" s="7" t="s">
        <v>54</v>
      </c>
      <c r="BW71" s="7" t="s">
        <v>55</v>
      </c>
      <c r="BX71" s="7" t="s">
        <v>56</v>
      </c>
      <c r="BY71" s="7" t="s">
        <v>57</v>
      </c>
      <c r="BZ71" s="7" t="s">
        <v>58</v>
      </c>
      <c r="CA71" s="7" t="s">
        <v>59</v>
      </c>
      <c r="CB71" s="7" t="s">
        <v>60</v>
      </c>
      <c r="CC71" s="7" t="s">
        <v>61</v>
      </c>
      <c r="CD71" s="7" t="s">
        <v>62</v>
      </c>
      <c r="CE71" s="7" t="s">
        <v>63</v>
      </c>
    </row>
    <row r="72" spans="2:83" x14ac:dyDescent="0.2">
      <c r="AB72" s="6" t="s">
        <v>111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" t="s">
        <v>205</v>
      </c>
      <c r="BD72" s="3">
        <f xml:space="preserve"> BD69*SIN(BD61) + BD70*COS(BD61)</f>
        <v>0.20965944200106057</v>
      </c>
      <c r="BE72" s="3"/>
      <c r="BF72" s="3"/>
      <c r="BG72" s="3" t="s">
        <v>205</v>
      </c>
      <c r="BH72" s="3">
        <f xml:space="preserve"> BH69*SIN(BH61) + BH70*COS(BH61)</f>
        <v>0.18912531817339356</v>
      </c>
      <c r="BI72" s="3"/>
      <c r="BJ72"/>
      <c r="BK72" s="17">
        <v>0</v>
      </c>
      <c r="BL72" s="17"/>
      <c r="BM72" s="17">
        <f>$BD$58</f>
        <v>1.4031971071193361E-10</v>
      </c>
      <c r="BN72" s="17"/>
      <c r="BO72" s="17">
        <f>$BD$58</f>
        <v>1.4031971071193361E-10</v>
      </c>
      <c r="BP72" s="17"/>
      <c r="BQ72" s="17">
        <f>$BD$58</f>
        <v>1.4031971071193361E-10</v>
      </c>
      <c r="BR72" s="17"/>
      <c r="BS72" s="17"/>
      <c r="BT72" s="17"/>
      <c r="BU72"/>
      <c r="BV72" s="17">
        <v>0</v>
      </c>
      <c r="BW72" s="17"/>
      <c r="BX72" s="17">
        <f>$BH$58</f>
        <v>-4.1864982175399135E-9</v>
      </c>
      <c r="BY72" s="17"/>
      <c r="BZ72" s="17">
        <f>$BH$58</f>
        <v>-4.1864982175399135E-9</v>
      </c>
      <c r="CA72" s="17"/>
      <c r="CB72" s="17">
        <f>$BH$58</f>
        <v>-4.1864982175399135E-9</v>
      </c>
      <c r="CC72" s="17"/>
      <c r="CD72" s="17"/>
      <c r="CE72" s="17"/>
    </row>
    <row r="73" spans="2:83" x14ac:dyDescent="0.2">
      <c r="AB73" s="7" t="s">
        <v>54</v>
      </c>
      <c r="AC73" s="7" t="s">
        <v>55</v>
      </c>
      <c r="AD73" s="7" t="s">
        <v>56</v>
      </c>
      <c r="AE73" s="7" t="s">
        <v>57</v>
      </c>
      <c r="AF73" s="7" t="s">
        <v>58</v>
      </c>
      <c r="AG73" s="7" t="s">
        <v>59</v>
      </c>
      <c r="AH73" s="7" t="s">
        <v>60</v>
      </c>
      <c r="AI73" s="7" t="s">
        <v>61</v>
      </c>
      <c r="AJ73" s="7" t="s">
        <v>62</v>
      </c>
      <c r="AK73" s="7" t="s">
        <v>63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" t="s">
        <v>46</v>
      </c>
      <c r="BD73" s="3">
        <f xml:space="preserve"> 4*BD68*SIN(BD61)*SIN(BD61) / (BD65*BD71)</f>
        <v>1.1834152854793889</v>
      </c>
      <c r="BE73" s="3"/>
      <c r="BF73" s="3"/>
      <c r="BG73" s="3" t="s">
        <v>46</v>
      </c>
      <c r="BH73" s="3">
        <f xml:space="preserve"> 4*BH68*SIN(BH61)*SIN(BH61) / (BH65*BH71)</f>
        <v>1.159212172119674</v>
      </c>
      <c r="BI73" s="3"/>
      <c r="BJ73"/>
      <c r="BK73" s="3">
        <v>1</v>
      </c>
      <c r="BL73" s="4">
        <f>0.01*PI()</f>
        <v>3.1415926535897934E-2</v>
      </c>
      <c r="BM73" s="3">
        <f t="dataTable" ref="BM73:BM102" dt2D="0" dtr="0" r1="BD42"/>
        <v>-0.77827987202225868</v>
      </c>
      <c r="BN73" s="4">
        <f>0.9*PI()</f>
        <v>2.8274333882308138</v>
      </c>
      <c r="BO73" s="3">
        <f t="dataTable" ref="BO73:BO102" dt2D="0" dtr="0" r1="BD42" ca="1"/>
        <v>0.34229232979949303</v>
      </c>
      <c r="BP73" s="3">
        <f t="shared" ref="BP73:BP102" si="52">(BL73+BN73)/2</f>
        <v>1.4294246573833558</v>
      </c>
      <c r="BQ73" s="3">
        <f t="dataTable" ref="BQ73:BQ102" dt2D="0" dtr="0" r1="BD42" ca="1"/>
        <v>1.0121876060418349</v>
      </c>
      <c r="BR73" s="3">
        <f t="shared" ref="BR73:BR102" si="53">BM73*BQ73</f>
        <v>-0.78776524049275565</v>
      </c>
      <c r="BS73" s="3">
        <f t="shared" ref="BS73:BS102" si="54">BO73*BQ73</f>
        <v>0.34646405386623108</v>
      </c>
      <c r="BT73" s="3">
        <f t="shared" ref="BT73:BT102" si="55">BN73-BL73</f>
        <v>2.7960174616949161</v>
      </c>
      <c r="BU73"/>
      <c r="BV73" s="3">
        <v>1</v>
      </c>
      <c r="BW73" s="4">
        <f>0.01*PI()</f>
        <v>3.1415926535897934E-2</v>
      </c>
      <c r="BX73" s="3">
        <f t="dataTable" ref="BX73:BX102" dt2D="0" dtr="0" r1="BH42"/>
        <v>-0.72786385385725083</v>
      </c>
      <c r="BY73" s="4">
        <f>0.9*PI()</f>
        <v>2.8274333882308138</v>
      </c>
      <c r="BZ73" s="3">
        <f t="dataTable" ref="BZ73:BZ102" dt2D="0" dtr="0" r1="BH42" ca="1"/>
        <v>0.33632264858316707</v>
      </c>
      <c r="CA73" s="3">
        <f t="shared" ref="CA73:CA102" si="56">(BW73+BY73)/2</f>
        <v>1.4294246573833558</v>
      </c>
      <c r="CB73" s="3">
        <f t="dataTable" ref="CB73:CB102" dt2D="0" dtr="0" r1="BH42" ca="1"/>
        <v>1.0116743833412929</v>
      </c>
      <c r="CC73" s="3">
        <f t="shared" ref="CC73:CC102" si="57">BX73*CB73</f>
        <v>-0.73636121550745115</v>
      </c>
      <c r="CD73" s="3">
        <f t="shared" ref="CD73:CD102" si="58">BZ73*CB73</f>
        <v>0.34024900810908593</v>
      </c>
      <c r="CE73" s="3">
        <f t="shared" ref="CE73:CE102" si="59">BY73-BW73</f>
        <v>2.7960174616949161</v>
      </c>
    </row>
    <row r="74" spans="2:83" x14ac:dyDescent="0.2">
      <c r="AB74" s="3">
        <v>0</v>
      </c>
      <c r="AC74" s="4">
        <v>0</v>
      </c>
      <c r="AD74" s="3">
        <f t="shared" ref="AD74:AD104" si="60" xml:space="preserve"> $C$10 * TAN($W$20/180*PI()) + $W$23 / (2 * SQRT($C$10^2 + AC74^2)) - AC74</f>
        <v>2.7167311056674623E-2</v>
      </c>
      <c r="AE74" s="4">
        <v>1</v>
      </c>
      <c r="AF74" s="3">
        <f t="shared" ref="AF74:AF104" si="61" xml:space="preserve"> $C$10 * TAN($W$20/180*PI()) + $W$23 / (2 * SQRT($C$10^2 + AE74^2)) - AE74</f>
        <v>-0.98797823138584961</v>
      </c>
      <c r="AG74" s="3">
        <f xml:space="preserve"> (AC74 + AE74)/2</f>
        <v>0.5</v>
      </c>
      <c r="AH74" s="3">
        <f t="shared" ref="AH74:AH104" si="62" xml:space="preserve"> $C$10 * TAN($W$20/180*PI()) + $W$23 / (2 * SQRT($C$10^2 + AG74^2)) - AG74</f>
        <v>-0.48315080207772848</v>
      </c>
      <c r="AI74" s="3">
        <f>AD74*AH74</f>
        <v>-1.3125908127327486E-2</v>
      </c>
      <c r="AJ74" s="3">
        <f>AF74*AH74</f>
        <v>0.47734247492940884</v>
      </c>
      <c r="AK74" s="3">
        <f>AE74-AC74</f>
        <v>1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" t="s">
        <v>207</v>
      </c>
      <c r="BD74" s="3">
        <f xml:space="preserve"> 4*BD68*SIN(BD61)*COS(BD61) / (BD65*BD72)</f>
        <v>48.236940540418644</v>
      </c>
      <c r="BE74" s="3"/>
      <c r="BF74" s="3"/>
      <c r="BG74" s="3" t="s">
        <v>207</v>
      </c>
      <c r="BH74" s="3">
        <f xml:space="preserve"> 4*BH68*SIN(BH61)*COS(BH61) / (BH65*BH72)</f>
        <v>48.437221049976387</v>
      </c>
      <c r="BI74" s="3"/>
      <c r="BJ74"/>
      <c r="BK74" s="3">
        <v>2</v>
      </c>
      <c r="BL74" s="3">
        <f t="shared" ref="BL74:BL102" si="63">IF(BR73&gt;0,BP73,BL73)</f>
        <v>3.1415926535897934E-2</v>
      </c>
      <c r="BM74" s="3">
        <v>-0.77827987202225868</v>
      </c>
      <c r="BN74" s="3">
        <f t="shared" ref="BN74:BN102" si="64">IF(BS73&gt;0,BP73,BN73)</f>
        <v>1.4294246573833558</v>
      </c>
      <c r="BO74" s="3">
        <v>1.0121876060418349</v>
      </c>
      <c r="BP74" s="3">
        <f t="shared" si="52"/>
        <v>0.73042029195962688</v>
      </c>
      <c r="BQ74" s="3">
        <v>0.66271034842359433</v>
      </c>
      <c r="BR74" s="3">
        <f t="shared" si="53"/>
        <v>-0.5157741251589415</v>
      </c>
      <c r="BS74" s="3">
        <f t="shared" si="54"/>
        <v>0.67078720107002821</v>
      </c>
      <c r="BT74" s="3">
        <f t="shared" si="55"/>
        <v>1.3980087308474578</v>
      </c>
      <c r="BU74"/>
      <c r="BV74" s="3">
        <v>2</v>
      </c>
      <c r="BW74" s="3">
        <f t="shared" ref="BW74:BW102" si="65">IF(CC73&gt;0,CA73,BW73)</f>
        <v>3.1415926535897934E-2</v>
      </c>
      <c r="BX74" s="3">
        <v>-0.72786385385725083</v>
      </c>
      <c r="BY74" s="3">
        <f t="shared" ref="BY74:BY102" si="66">IF(CD73&gt;0,CA73,BY73)</f>
        <v>1.4294246573833558</v>
      </c>
      <c r="BZ74" s="3">
        <v>1.0116743833412929</v>
      </c>
      <c r="CA74" s="3">
        <f t="shared" si="56"/>
        <v>0.73042029195962688</v>
      </c>
      <c r="CB74" s="3">
        <v>0.66485772366752094</v>
      </c>
      <c r="CC74" s="3">
        <f t="shared" si="57"/>
        <v>-0.48392590501540089</v>
      </c>
      <c r="CD74" s="3">
        <f t="shared" si="58"/>
        <v>0.67261952760103494</v>
      </c>
      <c r="CE74" s="3">
        <f t="shared" si="59"/>
        <v>1.3980087308474578</v>
      </c>
    </row>
    <row r="75" spans="2:83" x14ac:dyDescent="0.2">
      <c r="B75"/>
      <c r="C75"/>
      <c r="D75"/>
      <c r="AB75" s="3">
        <v>1</v>
      </c>
      <c r="AC75" s="3">
        <f>IF(AI74&gt;0, AG74, AC74)</f>
        <v>0</v>
      </c>
      <c r="AD75" s="3">
        <f t="shared" si="60"/>
        <v>2.7167311056674623E-2</v>
      </c>
      <c r="AE75" s="3">
        <f>IF(AJ74&gt;0, AG74, AE74)</f>
        <v>0.5</v>
      </c>
      <c r="AF75" s="3">
        <f t="shared" si="61"/>
        <v>-0.48315080207772848</v>
      </c>
      <c r="AG75" s="3">
        <f t="shared" ref="AG75:AG104" si="67" xml:space="preserve"> (AC75 + AE75)/2</f>
        <v>0.25</v>
      </c>
      <c r="AH75" s="3">
        <f t="shared" si="62"/>
        <v>-0.22775853477474009</v>
      </c>
      <c r="AI75" s="3">
        <f t="shared" ref="AI75:AI104" si="68">AD75*AH75</f>
        <v>-6.1875869600378081E-3</v>
      </c>
      <c r="AJ75" s="3">
        <f t="shared" ref="AJ75:AJ104" si="69">AF75*AH75</f>
        <v>0.11004171875646389</v>
      </c>
      <c r="AK75" s="3">
        <f t="shared" ref="AK75:AK104" si="70">AE75-AC75</f>
        <v>0.5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" t="s">
        <v>55</v>
      </c>
      <c r="BD75" s="3">
        <f>1/(BD73-1)</f>
        <v>5.4521082983150491</v>
      </c>
      <c r="BE75" s="3"/>
      <c r="BF75" s="3"/>
      <c r="BG75" s="3" t="s">
        <v>55</v>
      </c>
      <c r="BH75" s="3">
        <f>1/(BH73-1)</f>
        <v>6.2809268078343692</v>
      </c>
      <c r="BI75" s="3"/>
      <c r="BJ75"/>
      <c r="BK75" s="3">
        <v>3</v>
      </c>
      <c r="BL75" s="3">
        <f t="shared" si="63"/>
        <v>3.1415926535897934E-2</v>
      </c>
      <c r="BM75" s="3">
        <v>-0.77827987202225868</v>
      </c>
      <c r="BN75" s="3">
        <f t="shared" si="64"/>
        <v>0.73042029195962688</v>
      </c>
      <c r="BO75" s="3">
        <v>0.66271034842359433</v>
      </c>
      <c r="BP75" s="3">
        <f t="shared" si="52"/>
        <v>0.38091810924776243</v>
      </c>
      <c r="BQ75" s="3">
        <v>0.33552169160896833</v>
      </c>
      <c r="BR75" s="3">
        <f t="shared" si="53"/>
        <v>-0.26112977920611963</v>
      </c>
      <c r="BS75" s="3">
        <f t="shared" si="54"/>
        <v>0.22235369714985317</v>
      </c>
      <c r="BT75" s="3">
        <f t="shared" si="55"/>
        <v>0.6990043654237289</v>
      </c>
      <c r="BU75"/>
      <c r="BV75" s="3">
        <v>3</v>
      </c>
      <c r="BW75" s="3">
        <f t="shared" si="65"/>
        <v>3.1415926535897934E-2</v>
      </c>
      <c r="BX75" s="3">
        <v>-0.72786385385725083</v>
      </c>
      <c r="BY75" s="3">
        <f t="shared" si="66"/>
        <v>0.73042029195962688</v>
      </c>
      <c r="BZ75" s="3">
        <v>0.66485772366752094</v>
      </c>
      <c r="CA75" s="3">
        <f t="shared" si="56"/>
        <v>0.38091810924776243</v>
      </c>
      <c r="CB75" s="3">
        <v>0.34770727875583329</v>
      </c>
      <c r="CC75" s="3">
        <f t="shared" si="57"/>
        <v>-0.25308355992943821</v>
      </c>
      <c r="CD75" s="3">
        <f t="shared" si="58"/>
        <v>0.23117586985623148</v>
      </c>
      <c r="CE75" s="3">
        <f t="shared" si="59"/>
        <v>0.6990043654237289</v>
      </c>
    </row>
    <row r="76" spans="2:83" x14ac:dyDescent="0.2">
      <c r="AB76" s="3">
        <v>2</v>
      </c>
      <c r="AC76" s="3">
        <f t="shared" ref="AC76:AC104" si="71">IF(AI75&gt;0, AG75, AC75)</f>
        <v>0</v>
      </c>
      <c r="AD76" s="3">
        <f t="shared" si="60"/>
        <v>2.7167311056674623E-2</v>
      </c>
      <c r="AE76" s="3">
        <f t="shared" ref="AE76:AE104" si="72">IF(AJ75&gt;0, AG75, AE75)</f>
        <v>0.25</v>
      </c>
      <c r="AF76" s="3">
        <f t="shared" si="61"/>
        <v>-0.22775853477474009</v>
      </c>
      <c r="AG76" s="3">
        <f t="shared" si="67"/>
        <v>0.125</v>
      </c>
      <c r="AH76" s="3">
        <f t="shared" si="62"/>
        <v>-9.9467486206607031E-2</v>
      </c>
      <c r="AI76" s="3">
        <f t="shared" si="68"/>
        <v>-2.7022641378003859E-3</v>
      </c>
      <c r="AJ76" s="3">
        <f t="shared" si="69"/>
        <v>2.2654568916143487E-2</v>
      </c>
      <c r="AK76" s="3">
        <f t="shared" si="70"/>
        <v>0.25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" t="s">
        <v>210</v>
      </c>
      <c r="BD76" s="3">
        <f>1/(BD74+1)</f>
        <v>2.0309954051249371E-2</v>
      </c>
      <c r="BE76" s="3"/>
      <c r="BF76"/>
      <c r="BG76" s="3" t="s">
        <v>210</v>
      </c>
      <c r="BH76" s="3">
        <f>1/(BH74+1)</f>
        <v>2.0227674184782635E-2</v>
      </c>
      <c r="BI76" s="3"/>
      <c r="BJ76"/>
      <c r="BK76" s="3">
        <v>4</v>
      </c>
      <c r="BL76" s="3">
        <f t="shared" si="63"/>
        <v>3.1415926535897934E-2</v>
      </c>
      <c r="BM76" s="3">
        <v>-0.77827987202225868</v>
      </c>
      <c r="BN76" s="3">
        <f t="shared" si="64"/>
        <v>0.38091810924776243</v>
      </c>
      <c r="BO76" s="3">
        <v>0.33552169160896833</v>
      </c>
      <c r="BP76" s="3">
        <f t="shared" si="52"/>
        <v>0.20616701789183017</v>
      </c>
      <c r="BQ76" s="3">
        <v>5.2831239281678814E-2</v>
      </c>
      <c r="BR76" s="3">
        <f t="shared" si="53"/>
        <v>-4.1117490146922314E-2</v>
      </c>
      <c r="BS76" s="3">
        <f t="shared" si="54"/>
        <v>1.7726026773587054E-2</v>
      </c>
      <c r="BT76" s="3">
        <f t="shared" si="55"/>
        <v>0.34950218271186451</v>
      </c>
      <c r="BU76"/>
      <c r="BV76" s="3">
        <v>4</v>
      </c>
      <c r="BW76" s="3">
        <f t="shared" si="65"/>
        <v>3.1415926535897934E-2</v>
      </c>
      <c r="BX76" s="3">
        <v>-0.72786385385725083</v>
      </c>
      <c r="BY76" s="3">
        <f t="shared" si="66"/>
        <v>0.38091810924776243</v>
      </c>
      <c r="BZ76" s="3">
        <v>0.34770727875583329</v>
      </c>
      <c r="CA76" s="3">
        <f t="shared" si="56"/>
        <v>0.20616701789183017</v>
      </c>
      <c r="CB76" s="3">
        <v>8.7833088236177859E-2</v>
      </c>
      <c r="CC76" s="3">
        <f t="shared" si="57"/>
        <v>-6.3930530099768373E-2</v>
      </c>
      <c r="CD76" s="3">
        <f t="shared" si="58"/>
        <v>3.0540204095322397E-2</v>
      </c>
      <c r="CE76" s="3">
        <f t="shared" si="59"/>
        <v>0.34950218271186451</v>
      </c>
    </row>
    <row r="77" spans="2:83" x14ac:dyDescent="0.2">
      <c r="AB77" s="3">
        <v>3</v>
      </c>
      <c r="AC77" s="3">
        <f t="shared" si="71"/>
        <v>0</v>
      </c>
      <c r="AD77" s="3">
        <f t="shared" si="60"/>
        <v>2.7167311056674623E-2</v>
      </c>
      <c r="AE77" s="3">
        <f t="shared" si="72"/>
        <v>0.125</v>
      </c>
      <c r="AF77" s="3">
        <f t="shared" si="61"/>
        <v>-9.9467486206607031E-2</v>
      </c>
      <c r="AG77" s="3">
        <f t="shared" si="67"/>
        <v>6.25E-2</v>
      </c>
      <c r="AH77" s="3">
        <f t="shared" si="62"/>
        <v>-3.5779404723073172E-2</v>
      </c>
      <c r="AI77" s="3">
        <f t="shared" si="68"/>
        <v>-9.7203021753438203E-4</v>
      </c>
      <c r="AJ77" s="3">
        <f t="shared" si="69"/>
        <v>3.558887445772891E-3</v>
      </c>
      <c r="AK77" s="3">
        <f t="shared" si="70"/>
        <v>0.125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7" t="s">
        <v>212</v>
      </c>
      <c r="BD77" s="23">
        <f>SIN(BD61)/(1+BD75) - $AN$3*COS(BD61)/($AR$5*$AN$25*(1-BD76))</f>
        <v>-3.7152929413530877E-9</v>
      </c>
      <c r="BE77" s="23"/>
      <c r="BF77"/>
      <c r="BG77" s="7" t="s">
        <v>212</v>
      </c>
      <c r="BH77" s="23">
        <f>SIN(BH61)/(1+BH75) - $AN$3*COS(BH61)/($AR$5*$AN$26*(1-BH76))</f>
        <v>2.4320979327696612E-9</v>
      </c>
      <c r="BI77" s="23"/>
      <c r="BJ77"/>
      <c r="BK77" s="3">
        <v>5</v>
      </c>
      <c r="BL77" s="3">
        <f t="shared" si="63"/>
        <v>3.1415926535897934E-2</v>
      </c>
      <c r="BM77" s="3">
        <v>-0.77827987202225868</v>
      </c>
      <c r="BN77" s="3">
        <f t="shared" si="64"/>
        <v>0.20616701789183017</v>
      </c>
      <c r="BO77" s="3">
        <v>5.2831239281678814E-2</v>
      </c>
      <c r="BP77" s="3">
        <f t="shared" si="52"/>
        <v>0.11879147221386405</v>
      </c>
      <c r="BQ77" s="3">
        <v>-0.16465975804723693</v>
      </c>
      <c r="BR77" s="3">
        <f t="shared" si="53"/>
        <v>0.12815137542021962</v>
      </c>
      <c r="BS77" s="3">
        <f t="shared" si="54"/>
        <v>-8.699179077456912E-3</v>
      </c>
      <c r="BT77" s="3">
        <f t="shared" si="55"/>
        <v>0.17475109135593225</v>
      </c>
      <c r="BU77"/>
      <c r="BV77" s="3">
        <v>5</v>
      </c>
      <c r="BW77" s="3">
        <f t="shared" si="65"/>
        <v>3.1415926535897934E-2</v>
      </c>
      <c r="BX77" s="3">
        <v>-0.72786385385725083</v>
      </c>
      <c r="BY77" s="3">
        <f t="shared" si="66"/>
        <v>0.20616701789183017</v>
      </c>
      <c r="BZ77" s="3">
        <v>8.7833088236177859E-2</v>
      </c>
      <c r="CA77" s="3">
        <f t="shared" si="56"/>
        <v>0.11879147221386405</v>
      </c>
      <c r="CB77" s="3">
        <v>-0.11113146016492755</v>
      </c>
      <c r="CC77" s="3">
        <f t="shared" si="57"/>
        <v>8.0888572880427709E-2</v>
      </c>
      <c r="CD77" s="3">
        <f t="shared" si="58"/>
        <v>-9.7610193464813654E-3</v>
      </c>
      <c r="CE77" s="3">
        <f t="shared" si="59"/>
        <v>0.17475109135593225</v>
      </c>
    </row>
    <row r="78" spans="2:83" x14ac:dyDescent="0.2">
      <c r="AB78" s="3">
        <v>4</v>
      </c>
      <c r="AC78" s="3">
        <f t="shared" si="71"/>
        <v>0</v>
      </c>
      <c r="AD78" s="3">
        <f t="shared" si="60"/>
        <v>2.7167311056674623E-2</v>
      </c>
      <c r="AE78" s="3">
        <f t="shared" si="72"/>
        <v>6.25E-2</v>
      </c>
      <c r="AF78" s="3">
        <f t="shared" si="61"/>
        <v>-3.5779404723073172E-2</v>
      </c>
      <c r="AG78" s="3">
        <f t="shared" si="67"/>
        <v>3.125E-2</v>
      </c>
      <c r="AH78" s="3">
        <f t="shared" si="62"/>
        <v>-4.197060478752318E-3</v>
      </c>
      <c r="AI78" s="3">
        <f t="shared" si="68"/>
        <v>-1.1402284754993994E-4</v>
      </c>
      <c r="AJ78" s="3">
        <f t="shared" si="69"/>
        <v>1.5016832551649443E-4</v>
      </c>
      <c r="AK78" s="3">
        <f t="shared" si="70"/>
        <v>6.25E-2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3">
        <v>6</v>
      </c>
      <c r="BL78" s="3">
        <f t="shared" si="63"/>
        <v>0.11879147221386405</v>
      </c>
      <c r="BM78" s="3">
        <v>-0.16465975804723693</v>
      </c>
      <c r="BN78" s="3">
        <f t="shared" si="64"/>
        <v>0.20616701789183017</v>
      </c>
      <c r="BO78" s="3">
        <v>5.2831239281678814E-2</v>
      </c>
      <c r="BP78" s="3">
        <f t="shared" si="52"/>
        <v>0.16247924505284711</v>
      </c>
      <c r="BQ78" s="3">
        <v>-4.3736070381570846E-2</v>
      </c>
      <c r="BR78" s="3">
        <f t="shared" si="53"/>
        <v>7.2015707669663811E-3</v>
      </c>
      <c r="BS78" s="3">
        <f t="shared" si="54"/>
        <v>-2.3106307995691151E-3</v>
      </c>
      <c r="BT78" s="3">
        <f t="shared" si="55"/>
        <v>8.7375545677966127E-2</v>
      </c>
      <c r="BU78"/>
      <c r="BV78" s="3">
        <v>6</v>
      </c>
      <c r="BW78" s="3">
        <f t="shared" si="65"/>
        <v>0.11879147221386405</v>
      </c>
      <c r="BX78" s="3">
        <v>-0.11113146016492755</v>
      </c>
      <c r="BY78" s="3">
        <f t="shared" si="66"/>
        <v>0.20616701789183017</v>
      </c>
      <c r="BZ78" s="3">
        <v>8.7833088236177859E-2</v>
      </c>
      <c r="CA78" s="3">
        <f t="shared" si="56"/>
        <v>0.16247924505284711</v>
      </c>
      <c r="CB78" s="3">
        <v>-2.3147181571672726E-4</v>
      </c>
      <c r="CC78" s="3">
        <f t="shared" si="57"/>
        <v>2.5723800867626926E-5</v>
      </c>
      <c r="CD78" s="3">
        <f t="shared" si="58"/>
        <v>-2.0330884414035605E-5</v>
      </c>
      <c r="CE78" s="3">
        <f t="shared" si="59"/>
        <v>8.7375545677966127E-2</v>
      </c>
    </row>
    <row r="79" spans="2:83" x14ac:dyDescent="0.2">
      <c r="AB79" s="3">
        <v>5</v>
      </c>
      <c r="AC79" s="3">
        <f t="shared" si="71"/>
        <v>0</v>
      </c>
      <c r="AD79" s="3">
        <f t="shared" si="60"/>
        <v>2.7167311056674623E-2</v>
      </c>
      <c r="AE79" s="3">
        <f t="shared" si="72"/>
        <v>3.125E-2</v>
      </c>
      <c r="AF79" s="3">
        <f t="shared" si="61"/>
        <v>-4.197060478752318E-3</v>
      </c>
      <c r="AG79" s="3">
        <f t="shared" si="67"/>
        <v>1.5625E-2</v>
      </c>
      <c r="AH79" s="3">
        <f t="shared" si="62"/>
        <v>1.151354420569891E-2</v>
      </c>
      <c r="AI79" s="3">
        <f t="shared" si="68"/>
        <v>3.1279203680099606E-4</v>
      </c>
      <c r="AJ79" s="3">
        <f t="shared" si="69"/>
        <v>-4.8323041356106641E-5</v>
      </c>
      <c r="AK79" s="3">
        <f t="shared" si="70"/>
        <v>3.125E-2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s="3">
        <v>7</v>
      </c>
      <c r="BL79" s="3">
        <f t="shared" si="63"/>
        <v>0.16247924505284711</v>
      </c>
      <c r="BM79" s="3">
        <v>-4.3736070381570846E-2</v>
      </c>
      <c r="BN79" s="3">
        <f t="shared" si="64"/>
        <v>0.20616701789183017</v>
      </c>
      <c r="BO79" s="3">
        <v>5.2831239281678814E-2</v>
      </c>
      <c r="BP79" s="3">
        <f t="shared" si="52"/>
        <v>0.18432313147233864</v>
      </c>
      <c r="BQ79" s="3">
        <v>6.6860601461008022E-3</v>
      </c>
      <c r="BR79" s="3">
        <f t="shared" si="53"/>
        <v>-2.9242199712528052E-4</v>
      </c>
      <c r="BS79" s="3">
        <f t="shared" si="54"/>
        <v>3.532328434303479E-4</v>
      </c>
      <c r="BT79" s="3">
        <f t="shared" si="55"/>
        <v>4.3687772838983063E-2</v>
      </c>
      <c r="BU79"/>
      <c r="BV79" s="3">
        <v>7</v>
      </c>
      <c r="BW79" s="3">
        <f t="shared" si="65"/>
        <v>0.16247924505284711</v>
      </c>
      <c r="BX79" s="3">
        <v>-2.3147181571672726E-4</v>
      </c>
      <c r="BY79" s="3">
        <f t="shared" si="66"/>
        <v>0.20616701789183017</v>
      </c>
      <c r="BZ79" s="3">
        <v>8.7833088236177859E-2</v>
      </c>
      <c r="CA79" s="3">
        <f t="shared" si="56"/>
        <v>0.18432313147233864</v>
      </c>
      <c r="CB79" s="3">
        <v>4.578079752760908E-2</v>
      </c>
      <c r="CC79" s="3">
        <f t="shared" si="57"/>
        <v>-1.0596964328675531E-5</v>
      </c>
      <c r="CD79" s="3">
        <f t="shared" si="58"/>
        <v>4.0210688287650818E-3</v>
      </c>
      <c r="CE79" s="3">
        <f t="shared" si="59"/>
        <v>4.3687772838983063E-2</v>
      </c>
    </row>
    <row r="80" spans="2:83" x14ac:dyDescent="0.2">
      <c r="B80"/>
      <c r="C80"/>
      <c r="D80"/>
      <c r="AB80" s="3">
        <v>6</v>
      </c>
      <c r="AC80" s="3">
        <f t="shared" si="71"/>
        <v>1.5625E-2</v>
      </c>
      <c r="AD80" s="3">
        <f t="shared" si="60"/>
        <v>1.151354420569891E-2</v>
      </c>
      <c r="AE80" s="3">
        <f t="shared" si="72"/>
        <v>3.125E-2</v>
      </c>
      <c r="AF80" s="3">
        <f t="shared" si="61"/>
        <v>-4.197060478752318E-3</v>
      </c>
      <c r="AG80" s="3">
        <f t="shared" si="67"/>
        <v>2.34375E-2</v>
      </c>
      <c r="AH80" s="3">
        <f t="shared" si="62"/>
        <v>3.6652493775642114E-3</v>
      </c>
      <c r="AI80" s="3">
        <f t="shared" si="68"/>
        <v>4.2200010733495963E-5</v>
      </c>
      <c r="AJ80" s="3">
        <f t="shared" si="69"/>
        <v>-1.5383273307346286E-5</v>
      </c>
      <c r="AK80" s="3">
        <f t="shared" si="70"/>
        <v>1.5625E-2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s="3">
        <v>8</v>
      </c>
      <c r="BL80" s="3">
        <f t="shared" si="63"/>
        <v>0.16247924505284711</v>
      </c>
      <c r="BM80" s="3">
        <v>-4.3736070381570846E-2</v>
      </c>
      <c r="BN80" s="3">
        <f t="shared" si="64"/>
        <v>0.18432313147233864</v>
      </c>
      <c r="BO80" s="3">
        <v>6.6860601461008022E-3</v>
      </c>
      <c r="BP80" s="3">
        <f t="shared" si="52"/>
        <v>0.17340118826259288</v>
      </c>
      <c r="BQ80" s="3">
        <v>-1.7913068789105622E-2</v>
      </c>
      <c r="BR80" s="3">
        <f t="shared" si="53"/>
        <v>7.8344723731024355E-4</v>
      </c>
      <c r="BS80" s="3">
        <f t="shared" si="54"/>
        <v>-1.1976785532520126E-4</v>
      </c>
      <c r="BT80" s="3">
        <f t="shared" si="55"/>
        <v>2.1843886419491532E-2</v>
      </c>
      <c r="BU80"/>
      <c r="BV80" s="3">
        <v>8</v>
      </c>
      <c r="BW80" s="3">
        <f t="shared" si="65"/>
        <v>0.16247924505284711</v>
      </c>
      <c r="BX80" s="3">
        <v>-2.3147181571672726E-4</v>
      </c>
      <c r="BY80" s="3">
        <f t="shared" si="66"/>
        <v>0.18432313147233864</v>
      </c>
      <c r="BZ80" s="3">
        <v>4.578079752760908E-2</v>
      </c>
      <c r="CA80" s="3">
        <f t="shared" si="56"/>
        <v>0.17340118826259288</v>
      </c>
      <c r="CB80" s="3">
        <v>2.3345032139304923E-2</v>
      </c>
      <c r="CC80" s="3">
        <f t="shared" si="57"/>
        <v>-5.403716977250264E-6</v>
      </c>
      <c r="CD80" s="3">
        <f t="shared" si="58"/>
        <v>1.0687541896450454E-3</v>
      </c>
      <c r="CE80" s="3">
        <f t="shared" si="59"/>
        <v>2.1843886419491532E-2</v>
      </c>
    </row>
    <row r="81" spans="28:83" x14ac:dyDescent="0.2">
      <c r="AB81" s="3">
        <v>7</v>
      </c>
      <c r="AC81" s="3">
        <f t="shared" si="71"/>
        <v>2.34375E-2</v>
      </c>
      <c r="AD81" s="3">
        <f t="shared" si="60"/>
        <v>3.6652493775642114E-3</v>
      </c>
      <c r="AE81" s="3">
        <f t="shared" si="72"/>
        <v>3.125E-2</v>
      </c>
      <c r="AF81" s="3">
        <f t="shared" si="61"/>
        <v>-4.197060478752318E-3</v>
      </c>
      <c r="AG81" s="3">
        <f t="shared" si="67"/>
        <v>2.734375E-2</v>
      </c>
      <c r="AH81" s="3">
        <f t="shared" si="62"/>
        <v>-2.6417037188495446E-4</v>
      </c>
      <c r="AI81" s="3">
        <f t="shared" si="68"/>
        <v>-9.6825029112223564E-7</v>
      </c>
      <c r="AJ81" s="3">
        <f t="shared" si="69"/>
        <v>1.1087390274956448E-6</v>
      </c>
      <c r="AK81" s="3">
        <f t="shared" si="70"/>
        <v>7.8125E-3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s="3">
        <v>9</v>
      </c>
      <c r="BL81" s="3">
        <f t="shared" si="63"/>
        <v>0.17340118826259288</v>
      </c>
      <c r="BM81" s="3">
        <v>-1.7913068789105622E-2</v>
      </c>
      <c r="BN81" s="3">
        <f t="shared" si="64"/>
        <v>0.18432313147233864</v>
      </c>
      <c r="BO81" s="3">
        <v>6.6860601461008022E-3</v>
      </c>
      <c r="BP81" s="3">
        <f t="shared" si="52"/>
        <v>0.17886215986746576</v>
      </c>
      <c r="BQ81" s="3">
        <v>-5.4716722801249722E-3</v>
      </c>
      <c r="BR81" s="3">
        <f t="shared" si="53"/>
        <v>9.8014441945321038E-5</v>
      </c>
      <c r="BS81" s="3">
        <f t="shared" si="54"/>
        <v>-3.6583929964668083E-5</v>
      </c>
      <c r="BT81" s="3">
        <f t="shared" si="55"/>
        <v>1.0921943209745766E-2</v>
      </c>
      <c r="BU81"/>
      <c r="BV81" s="3">
        <v>9</v>
      </c>
      <c r="BW81" s="3">
        <f t="shared" si="65"/>
        <v>0.16247924505284711</v>
      </c>
      <c r="BX81" s="3">
        <v>-2.3147181571672726E-4</v>
      </c>
      <c r="BY81" s="3">
        <f t="shared" si="66"/>
        <v>0.17340118826259288</v>
      </c>
      <c r="BZ81" s="3">
        <v>2.3345032139304923E-2</v>
      </c>
      <c r="CA81" s="3">
        <f t="shared" si="56"/>
        <v>0.16794021665771999</v>
      </c>
      <c r="CB81" s="3">
        <v>1.1710898726763248E-2</v>
      </c>
      <c r="CC81" s="3">
        <f t="shared" si="57"/>
        <v>-2.7107429919585986E-6</v>
      </c>
      <c r="CD81" s="3">
        <f t="shared" si="58"/>
        <v>2.733913071564331E-4</v>
      </c>
      <c r="CE81" s="3">
        <f t="shared" si="59"/>
        <v>1.0921943209745766E-2</v>
      </c>
    </row>
    <row r="82" spans="28:83" x14ac:dyDescent="0.2">
      <c r="AB82" s="3">
        <v>8</v>
      </c>
      <c r="AC82" s="3">
        <f t="shared" si="71"/>
        <v>2.34375E-2</v>
      </c>
      <c r="AD82" s="3">
        <f t="shared" si="60"/>
        <v>3.6652493775642114E-3</v>
      </c>
      <c r="AE82" s="3">
        <f t="shared" si="72"/>
        <v>2.734375E-2</v>
      </c>
      <c r="AF82" s="3">
        <f t="shared" si="61"/>
        <v>-2.6417037188495446E-4</v>
      </c>
      <c r="AG82" s="3">
        <f t="shared" si="67"/>
        <v>2.5390625E-2</v>
      </c>
      <c r="AH82" s="3">
        <f t="shared" si="62"/>
        <v>1.7009755820690808E-3</v>
      </c>
      <c r="AI82" s="3">
        <f t="shared" si="68"/>
        <v>6.2344996934306204E-6</v>
      </c>
      <c r="AJ82" s="3">
        <f t="shared" si="69"/>
        <v>-4.4934735208241595E-7</v>
      </c>
      <c r="AK82" s="3">
        <f t="shared" si="70"/>
        <v>3.90625E-3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3">
        <v>10</v>
      </c>
      <c r="BL82" s="3">
        <f t="shared" si="63"/>
        <v>0.17886215986746576</v>
      </c>
      <c r="BM82" s="3">
        <v>-5.4716722801249722E-3</v>
      </c>
      <c r="BN82" s="3">
        <f t="shared" si="64"/>
        <v>0.18432313147233864</v>
      </c>
      <c r="BO82" s="3">
        <v>6.6860601461008022E-3</v>
      </c>
      <c r="BP82" s="3">
        <f t="shared" si="52"/>
        <v>0.18159264566990219</v>
      </c>
      <c r="BQ82" s="3">
        <v>6.4140586523592572E-4</v>
      </c>
      <c r="BR82" s="3">
        <f t="shared" si="53"/>
        <v>-3.5095626931209884E-6</v>
      </c>
      <c r="BS82" s="3">
        <f t="shared" si="54"/>
        <v>4.2884781930292248E-6</v>
      </c>
      <c r="BT82" s="3">
        <f t="shared" si="55"/>
        <v>5.4609716048728829E-3</v>
      </c>
      <c r="BU82"/>
      <c r="BV82" s="3">
        <v>10</v>
      </c>
      <c r="BW82" s="3">
        <f t="shared" si="65"/>
        <v>0.16247924505284711</v>
      </c>
      <c r="BX82" s="3">
        <v>-2.3147181571672726E-4</v>
      </c>
      <c r="BY82" s="3">
        <f t="shared" si="66"/>
        <v>0.16794021665771999</v>
      </c>
      <c r="BZ82" s="3">
        <v>1.1710898726763248E-2</v>
      </c>
      <c r="CA82" s="3">
        <f t="shared" si="56"/>
        <v>0.16520973085528357</v>
      </c>
      <c r="CB82" s="3">
        <v>5.779847637258511E-3</v>
      </c>
      <c r="CC82" s="3">
        <f t="shared" si="57"/>
        <v>-1.3378718271622635E-6</v>
      </c>
      <c r="CD82" s="3">
        <f t="shared" si="58"/>
        <v>6.7687210336056262E-5</v>
      </c>
      <c r="CE82" s="3">
        <f t="shared" si="59"/>
        <v>5.4609716048728829E-3</v>
      </c>
    </row>
    <row r="83" spans="28:83" x14ac:dyDescent="0.2">
      <c r="AB83" s="3">
        <v>9</v>
      </c>
      <c r="AC83" s="3">
        <f t="shared" si="71"/>
        <v>2.5390625E-2</v>
      </c>
      <c r="AD83" s="3">
        <f t="shared" si="60"/>
        <v>1.7009755820690808E-3</v>
      </c>
      <c r="AE83" s="3">
        <f t="shared" si="72"/>
        <v>2.734375E-2</v>
      </c>
      <c r="AF83" s="3">
        <f t="shared" si="61"/>
        <v>-2.6417037188495446E-4</v>
      </c>
      <c r="AG83" s="3">
        <f t="shared" si="67"/>
        <v>2.63671875E-2</v>
      </c>
      <c r="AH83" s="3">
        <f t="shared" si="62"/>
        <v>7.1851135145921396E-4</v>
      </c>
      <c r="AI83" s="3">
        <f t="shared" si="68"/>
        <v>1.2221702642715783E-6</v>
      </c>
      <c r="AJ83" s="3">
        <f t="shared" si="69"/>
        <v>-1.8980941091854178E-7</v>
      </c>
      <c r="AK83" s="3">
        <f t="shared" si="70"/>
        <v>1.953125E-3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3">
        <v>11</v>
      </c>
      <c r="BL83" s="3">
        <f t="shared" si="63"/>
        <v>0.17886215986746576</v>
      </c>
      <c r="BM83" s="3">
        <v>-5.4716722801249722E-3</v>
      </c>
      <c r="BN83" s="3">
        <f t="shared" si="64"/>
        <v>0.18159264566990219</v>
      </c>
      <c r="BO83" s="3">
        <v>6.4140586523592572E-4</v>
      </c>
      <c r="BP83" s="3">
        <f t="shared" si="52"/>
        <v>0.18022740276868399</v>
      </c>
      <c r="BQ83" s="3">
        <v>-2.4064304126186903E-3</v>
      </c>
      <c r="BR83" s="3">
        <f t="shared" si="53"/>
        <v>1.3167198582775386E-5</v>
      </c>
      <c r="BS83" s="3">
        <f t="shared" si="54"/>
        <v>-1.5434985809357368E-6</v>
      </c>
      <c r="BT83" s="3">
        <f t="shared" si="55"/>
        <v>2.7304858024364276E-3</v>
      </c>
      <c r="BU83"/>
      <c r="BV83" s="3">
        <v>11</v>
      </c>
      <c r="BW83" s="3">
        <f t="shared" si="65"/>
        <v>0.16247924505284711</v>
      </c>
      <c r="BX83" s="3">
        <v>-2.3147181571672726E-4</v>
      </c>
      <c r="BY83" s="3">
        <f t="shared" si="66"/>
        <v>0.16520973085528357</v>
      </c>
      <c r="BZ83" s="3">
        <v>5.779847637258511E-3</v>
      </c>
      <c r="CA83" s="3">
        <f t="shared" si="56"/>
        <v>0.16384448795406534</v>
      </c>
      <c r="CB83" s="3">
        <v>2.7844335286679352E-3</v>
      </c>
      <c r="CC83" s="3">
        <f t="shared" si="57"/>
        <v>-6.4451788462330084E-7</v>
      </c>
      <c r="CD83" s="3">
        <f t="shared" si="58"/>
        <v>1.6093601551774745E-5</v>
      </c>
      <c r="CE83" s="3">
        <f t="shared" si="59"/>
        <v>2.7304858024364553E-3</v>
      </c>
    </row>
    <row r="84" spans="28:83" x14ac:dyDescent="0.2">
      <c r="AB84" s="3">
        <v>10</v>
      </c>
      <c r="AC84" s="3">
        <f t="shared" si="71"/>
        <v>2.63671875E-2</v>
      </c>
      <c r="AD84" s="3">
        <f t="shared" si="60"/>
        <v>7.1851135145921396E-4</v>
      </c>
      <c r="AE84" s="3">
        <f t="shared" si="72"/>
        <v>2.734375E-2</v>
      </c>
      <c r="AF84" s="3">
        <f t="shared" si="61"/>
        <v>-2.6417037188495446E-4</v>
      </c>
      <c r="AG84" s="3">
        <f t="shared" si="67"/>
        <v>2.685546875E-2</v>
      </c>
      <c r="AH84" s="3">
        <f t="shared" si="62"/>
        <v>2.2719764113042495E-4</v>
      </c>
      <c r="AI84" s="3">
        <f t="shared" si="68"/>
        <v>1.6324408417696714E-7</v>
      </c>
      <c r="AJ84" s="3">
        <f t="shared" si="69"/>
        <v>-6.0018885348808786E-8</v>
      </c>
      <c r="AK84" s="3">
        <f t="shared" si="70"/>
        <v>9.765625E-4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s="3">
        <v>12</v>
      </c>
      <c r="BL84" s="3">
        <f t="shared" si="63"/>
        <v>0.18022740276868399</v>
      </c>
      <c r="BM84" s="3">
        <v>-2.4064304126186903E-3</v>
      </c>
      <c r="BN84" s="3">
        <f t="shared" si="64"/>
        <v>0.18159264566990219</v>
      </c>
      <c r="BO84" s="3">
        <v>6.4140586523592572E-4</v>
      </c>
      <c r="BP84" s="3">
        <f t="shared" si="52"/>
        <v>0.18091002421929309</v>
      </c>
      <c r="BQ84" s="3">
        <v>-8.8035565762831572E-4</v>
      </c>
      <c r="BR84" s="3">
        <f t="shared" si="53"/>
        <v>2.1185146284377062E-6</v>
      </c>
      <c r="BS84" s="3">
        <f t="shared" si="54"/>
        <v>-5.6466528229643223E-7</v>
      </c>
      <c r="BT84" s="3">
        <f t="shared" si="55"/>
        <v>1.3652429012181999E-3</v>
      </c>
      <c r="BU84"/>
      <c r="BV84" s="3">
        <v>12</v>
      </c>
      <c r="BW84" s="3">
        <f t="shared" si="65"/>
        <v>0.16247924505284711</v>
      </c>
      <c r="BX84" s="3">
        <v>-2.3147181571672726E-4</v>
      </c>
      <c r="BY84" s="3">
        <f t="shared" si="66"/>
        <v>0.16384448795406534</v>
      </c>
      <c r="BZ84" s="3">
        <v>2.7844335286679352E-3</v>
      </c>
      <c r="CA84" s="3">
        <f t="shared" si="56"/>
        <v>0.16316186650345621</v>
      </c>
      <c r="CB84" s="3">
        <v>1.2790695339644637E-3</v>
      </c>
      <c r="CC84" s="3">
        <f t="shared" si="57"/>
        <v>-2.9606854745470253E-7</v>
      </c>
      <c r="CD84" s="3">
        <f t="shared" si="58"/>
        <v>3.5614840958683228E-6</v>
      </c>
      <c r="CE84" s="3">
        <f t="shared" si="59"/>
        <v>1.3652429012182277E-3</v>
      </c>
    </row>
    <row r="85" spans="28:83" x14ac:dyDescent="0.2">
      <c r="AB85" s="3">
        <v>11</v>
      </c>
      <c r="AC85" s="3">
        <f t="shared" si="71"/>
        <v>2.685546875E-2</v>
      </c>
      <c r="AD85" s="3">
        <f t="shared" si="60"/>
        <v>2.2719764113042495E-4</v>
      </c>
      <c r="AE85" s="3">
        <f t="shared" si="72"/>
        <v>2.734375E-2</v>
      </c>
      <c r="AF85" s="3">
        <f t="shared" si="61"/>
        <v>-2.6417037188495446E-4</v>
      </c>
      <c r="AG85" s="3">
        <f t="shared" si="67"/>
        <v>2.7099609375E-2</v>
      </c>
      <c r="AH85" s="3">
        <f t="shared" si="62"/>
        <v>-1.8479582013911089E-5</v>
      </c>
      <c r="AI85" s="3">
        <f t="shared" si="68"/>
        <v>-4.1985174426368271E-9</v>
      </c>
      <c r="AJ85" s="3">
        <f t="shared" si="69"/>
        <v>4.8817580528934084E-9</v>
      </c>
      <c r="AK85" s="3">
        <f t="shared" si="70"/>
        <v>4.8828125E-4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s="3">
        <v>13</v>
      </c>
      <c r="BL85" s="3">
        <f t="shared" si="63"/>
        <v>0.18091002421929309</v>
      </c>
      <c r="BM85" s="3">
        <v>-8.8035565762831572E-4</v>
      </c>
      <c r="BN85" s="3">
        <f t="shared" si="64"/>
        <v>0.18159264566990219</v>
      </c>
      <c r="BO85" s="3">
        <v>6.4140586523592572E-4</v>
      </c>
      <c r="BP85" s="3">
        <f t="shared" si="52"/>
        <v>0.18125133494459764</v>
      </c>
      <c r="BQ85" s="3">
        <v>-1.1893809581228418E-4</v>
      </c>
      <c r="BR85" s="3">
        <f t="shared" si="53"/>
        <v>1.0470782555588307E-7</v>
      </c>
      <c r="BS85" s="3">
        <f t="shared" si="54"/>
        <v>-7.6287592253991568E-8</v>
      </c>
      <c r="BT85" s="3">
        <f t="shared" si="55"/>
        <v>6.8262145060909996E-4</v>
      </c>
      <c r="BU85"/>
      <c r="BV85" s="3">
        <v>13</v>
      </c>
      <c r="BW85" s="3">
        <f t="shared" si="65"/>
        <v>0.16247924505284711</v>
      </c>
      <c r="BX85" s="3">
        <v>-2.3147181571672726E-4</v>
      </c>
      <c r="BY85" s="3">
        <f t="shared" si="66"/>
        <v>0.16316186650345621</v>
      </c>
      <c r="BZ85" s="3">
        <v>1.2790695339644637E-3</v>
      </c>
      <c r="CA85" s="3">
        <f t="shared" si="56"/>
        <v>0.16282055577815166</v>
      </c>
      <c r="CB85" s="3">
        <v>5.2444948686574538E-4</v>
      </c>
      <c r="CC85" s="3">
        <f t="shared" si="57"/>
        <v>-1.2139527497651998E-7</v>
      </c>
      <c r="CD85" s="3">
        <f t="shared" si="58"/>
        <v>6.7080736075327107E-7</v>
      </c>
      <c r="CE85" s="3">
        <f t="shared" si="59"/>
        <v>6.8262145060909996E-4</v>
      </c>
    </row>
    <row r="86" spans="28:83" x14ac:dyDescent="0.2">
      <c r="AB86" s="3">
        <v>12</v>
      </c>
      <c r="AC86" s="3">
        <f t="shared" si="71"/>
        <v>2.685546875E-2</v>
      </c>
      <c r="AD86" s="3">
        <f t="shared" si="60"/>
        <v>2.2719764113042495E-4</v>
      </c>
      <c r="AE86" s="3">
        <f t="shared" si="72"/>
        <v>2.7099609375E-2</v>
      </c>
      <c r="AF86" s="3">
        <f t="shared" si="61"/>
        <v>-1.8479582013911089E-5</v>
      </c>
      <c r="AG86" s="3">
        <f t="shared" si="67"/>
        <v>2.69775390625E-2</v>
      </c>
      <c r="AH86" s="3">
        <f t="shared" si="62"/>
        <v>1.0436072596110846E-4</v>
      </c>
      <c r="AI86" s="3">
        <f t="shared" si="68"/>
        <v>2.3710510765022541E-8</v>
      </c>
      <c r="AJ86" s="3">
        <f t="shared" si="69"/>
        <v>-1.9285425944296041E-9</v>
      </c>
      <c r="AK86" s="3">
        <f t="shared" si="70"/>
        <v>2.44140625E-4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 s="3">
        <v>14</v>
      </c>
      <c r="BL86" s="3">
        <f t="shared" si="63"/>
        <v>0.18125133494459764</v>
      </c>
      <c r="BM86" s="3">
        <v>-1.1893809581228418E-4</v>
      </c>
      <c r="BN86" s="3">
        <f t="shared" si="64"/>
        <v>0.18159264566990219</v>
      </c>
      <c r="BO86" s="3">
        <v>6.4140586523592572E-4</v>
      </c>
      <c r="BP86" s="3">
        <f t="shared" si="52"/>
        <v>0.18142199030724993</v>
      </c>
      <c r="BQ86" s="3">
        <v>2.6136779255670275E-4</v>
      </c>
      <c r="BR86" s="3">
        <f t="shared" si="53"/>
        <v>-3.1086587553354326E-8</v>
      </c>
      <c r="BS86" s="3">
        <f t="shared" si="54"/>
        <v>1.6764283512963588E-7</v>
      </c>
      <c r="BT86" s="3">
        <f t="shared" si="55"/>
        <v>3.4131072530454998E-4</v>
      </c>
      <c r="BU86"/>
      <c r="BV86" s="3">
        <v>14</v>
      </c>
      <c r="BW86" s="3">
        <f t="shared" si="65"/>
        <v>0.16247924505284711</v>
      </c>
      <c r="BX86" s="3">
        <v>-2.3147181571672726E-4</v>
      </c>
      <c r="BY86" s="3">
        <f t="shared" si="66"/>
        <v>0.16282055577815166</v>
      </c>
      <c r="BZ86" s="3">
        <v>5.2444948686574538E-4</v>
      </c>
      <c r="CA86" s="3">
        <f t="shared" si="56"/>
        <v>0.16264990041549937</v>
      </c>
      <c r="CB86" s="3">
        <v>1.4665192793218013E-4</v>
      </c>
      <c r="CC86" s="3">
        <f t="shared" si="57"/>
        <v>-3.3945788036820367E-8</v>
      </c>
      <c r="CD86" s="3">
        <f t="shared" si="58"/>
        <v>7.6911528351904142E-8</v>
      </c>
      <c r="CE86" s="3">
        <f t="shared" si="59"/>
        <v>3.4131072530454998E-4</v>
      </c>
    </row>
    <row r="87" spans="28:83" x14ac:dyDescent="0.2">
      <c r="AB87" s="3">
        <v>13</v>
      </c>
      <c r="AC87" s="3">
        <f t="shared" si="71"/>
        <v>2.69775390625E-2</v>
      </c>
      <c r="AD87" s="3">
        <f t="shared" si="60"/>
        <v>1.0436072596110846E-4</v>
      </c>
      <c r="AE87" s="3">
        <f t="shared" si="72"/>
        <v>2.7099609375E-2</v>
      </c>
      <c r="AF87" s="3">
        <f t="shared" si="61"/>
        <v>-1.8479582013911089E-5</v>
      </c>
      <c r="AG87" s="3">
        <f t="shared" si="67"/>
        <v>2.703857421875E-2</v>
      </c>
      <c r="AH87" s="3">
        <f t="shared" si="62"/>
        <v>4.2940996004242615E-5</v>
      </c>
      <c r="AI87" s="3">
        <f t="shared" si="68"/>
        <v>4.4813535164958168E-9</v>
      </c>
      <c r="AJ87" s="3">
        <f t="shared" si="69"/>
        <v>-7.9353165741942975E-10</v>
      </c>
      <c r="AK87" s="3">
        <f t="shared" si="70"/>
        <v>1.220703125E-4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3">
        <v>15</v>
      </c>
      <c r="BL87" s="3">
        <f t="shared" si="63"/>
        <v>0.18125133494459764</v>
      </c>
      <c r="BM87" s="3">
        <v>-1.1893809581228418E-4</v>
      </c>
      <c r="BN87" s="3">
        <f t="shared" si="64"/>
        <v>0.18142199030724993</v>
      </c>
      <c r="BO87" s="3">
        <v>2.6136779255670275E-4</v>
      </c>
      <c r="BP87" s="3">
        <f t="shared" si="52"/>
        <v>0.18133666262592379</v>
      </c>
      <c r="BQ87" s="3">
        <v>7.1248361778204067E-5</v>
      </c>
      <c r="BR87" s="3">
        <f t="shared" si="53"/>
        <v>-8.474144479644321E-9</v>
      </c>
      <c r="BS87" s="3">
        <f t="shared" si="54"/>
        <v>1.8622027041250549E-8</v>
      </c>
      <c r="BT87" s="3">
        <f t="shared" si="55"/>
        <v>1.7065536265228887E-4</v>
      </c>
      <c r="BU87"/>
      <c r="BV87" s="3">
        <v>15</v>
      </c>
      <c r="BW87" s="3">
        <f t="shared" si="65"/>
        <v>0.16247924505284711</v>
      </c>
      <c r="BX87" s="3">
        <v>-2.3147181571672726E-4</v>
      </c>
      <c r="BY87" s="3">
        <f t="shared" si="66"/>
        <v>0.16264990041549937</v>
      </c>
      <c r="BZ87" s="3">
        <v>1.4665192793218013E-4</v>
      </c>
      <c r="CA87" s="3">
        <f t="shared" si="56"/>
        <v>0.16256457273417324</v>
      </c>
      <c r="CB87" s="3">
        <v>-4.2369116178164745E-5</v>
      </c>
      <c r="CC87" s="3">
        <f t="shared" si="57"/>
        <v>9.807256252072757E-9</v>
      </c>
      <c r="CD87" s="3">
        <f t="shared" si="58"/>
        <v>-6.2135125723103833E-9</v>
      </c>
      <c r="CE87" s="3">
        <f t="shared" si="59"/>
        <v>1.7065536265226111E-4</v>
      </c>
    </row>
    <row r="88" spans="28:83" x14ac:dyDescent="0.2">
      <c r="AB88" s="3">
        <v>14</v>
      </c>
      <c r="AC88" s="3">
        <f t="shared" si="71"/>
        <v>2.703857421875E-2</v>
      </c>
      <c r="AD88" s="3">
        <f t="shared" si="60"/>
        <v>4.2940996004242615E-5</v>
      </c>
      <c r="AE88" s="3">
        <f t="shared" si="72"/>
        <v>2.7099609375E-2</v>
      </c>
      <c r="AF88" s="3">
        <f t="shared" si="61"/>
        <v>-1.8479582013911089E-5</v>
      </c>
      <c r="AG88" s="3">
        <f t="shared" si="67"/>
        <v>2.7069091796875E-2</v>
      </c>
      <c r="AH88" s="3">
        <f t="shared" si="62"/>
        <v>1.2230812994049045E-5</v>
      </c>
      <c r="AI88" s="3">
        <f t="shared" si="68"/>
        <v>5.2520329190609873E-10</v>
      </c>
      <c r="AJ88" s="3">
        <f t="shared" si="69"/>
        <v>-2.2602031182033876E-10</v>
      </c>
      <c r="AK88" s="3">
        <f t="shared" si="70"/>
        <v>6.103515625E-5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3">
        <v>16</v>
      </c>
      <c r="BL88" s="3">
        <f t="shared" si="63"/>
        <v>0.18125133494459764</v>
      </c>
      <c r="BM88" s="3">
        <v>-1.1893809581228418E-4</v>
      </c>
      <c r="BN88" s="3">
        <f t="shared" si="64"/>
        <v>0.18133666262592379</v>
      </c>
      <c r="BO88" s="3">
        <v>7.1248361778204067E-5</v>
      </c>
      <c r="BP88" s="3">
        <f t="shared" si="52"/>
        <v>0.1812939987852607</v>
      </c>
      <c r="BQ88" s="3">
        <v>-2.383648410239636E-5</v>
      </c>
      <c r="BR88" s="3">
        <f t="shared" si="53"/>
        <v>2.8350660299988069E-9</v>
      </c>
      <c r="BS88" s="3">
        <f t="shared" si="54"/>
        <v>-1.6983104428479456E-9</v>
      </c>
      <c r="BT88" s="3">
        <f t="shared" si="55"/>
        <v>8.5327681326158311E-5</v>
      </c>
      <c r="BU88"/>
      <c r="BV88" s="3">
        <v>16</v>
      </c>
      <c r="BW88" s="3">
        <f t="shared" si="65"/>
        <v>0.16256457273417324</v>
      </c>
      <c r="BX88" s="3">
        <v>-4.2369116178164745E-5</v>
      </c>
      <c r="BY88" s="3">
        <f t="shared" si="66"/>
        <v>0.16264990041549937</v>
      </c>
      <c r="BZ88" s="3">
        <v>1.4665192793218013E-4</v>
      </c>
      <c r="CA88" s="3">
        <f t="shared" si="56"/>
        <v>0.16260723657483631</v>
      </c>
      <c r="CB88" s="3">
        <v>5.2151605968598497E-5</v>
      </c>
      <c r="CC88" s="3">
        <f t="shared" si="57"/>
        <v>-2.2096174521614197E-9</v>
      </c>
      <c r="CD88" s="3">
        <f t="shared" si="58"/>
        <v>7.6481335600543609E-9</v>
      </c>
      <c r="CE88" s="3">
        <f t="shared" si="59"/>
        <v>8.5327681326130556E-5</v>
      </c>
    </row>
    <row r="89" spans="28:83" x14ac:dyDescent="0.2">
      <c r="AB89" s="3">
        <v>15</v>
      </c>
      <c r="AC89" s="3">
        <f t="shared" si="71"/>
        <v>2.7069091796875E-2</v>
      </c>
      <c r="AD89" s="3">
        <f t="shared" si="60"/>
        <v>1.2230812994049045E-5</v>
      </c>
      <c r="AE89" s="3">
        <f t="shared" si="72"/>
        <v>2.7099609375E-2</v>
      </c>
      <c r="AF89" s="3">
        <f t="shared" si="61"/>
        <v>-1.8479582013911089E-5</v>
      </c>
      <c r="AG89" s="3">
        <f t="shared" si="67"/>
        <v>2.70843505859375E-2</v>
      </c>
      <c r="AH89" s="3">
        <f t="shared" si="62"/>
        <v>-3.1243580113082814E-6</v>
      </c>
      <c r="AI89" s="3">
        <f t="shared" si="68"/>
        <v>-3.8213438562770563E-11</v>
      </c>
      <c r="AJ89" s="3">
        <f t="shared" si="69"/>
        <v>5.7736830110791535E-11</v>
      </c>
      <c r="AK89" s="3">
        <f t="shared" si="70"/>
        <v>3.0517578125E-5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3">
        <v>17</v>
      </c>
      <c r="BL89" s="3">
        <f t="shared" si="63"/>
        <v>0.1812939987852607</v>
      </c>
      <c r="BM89" s="3">
        <v>-2.383648410239636E-5</v>
      </c>
      <c r="BN89" s="3">
        <f t="shared" si="64"/>
        <v>0.18133666262592379</v>
      </c>
      <c r="BO89" s="3">
        <v>7.1248361778204067E-5</v>
      </c>
      <c r="BP89" s="3">
        <f t="shared" si="52"/>
        <v>0.18131533070559225</v>
      </c>
      <c r="BQ89" s="3">
        <v>2.3708033995779171E-5</v>
      </c>
      <c r="BR89" s="3">
        <f t="shared" si="53"/>
        <v>-5.6511617543946269E-10</v>
      </c>
      <c r="BS89" s="3">
        <f t="shared" si="54"/>
        <v>1.6891585831812354E-9</v>
      </c>
      <c r="BT89" s="3">
        <f t="shared" si="55"/>
        <v>4.2663840663093033E-5</v>
      </c>
      <c r="BU89"/>
      <c r="BV89" s="3">
        <v>17</v>
      </c>
      <c r="BW89" s="3">
        <f t="shared" si="65"/>
        <v>0.16256457273417324</v>
      </c>
      <c r="BX89" s="3">
        <v>-4.2369116178164745E-5</v>
      </c>
      <c r="BY89" s="3">
        <f t="shared" si="66"/>
        <v>0.16260723657483631</v>
      </c>
      <c r="BZ89" s="3">
        <v>5.2151605968598497E-5</v>
      </c>
      <c r="CA89" s="3">
        <f t="shared" si="56"/>
        <v>0.16258590465450479</v>
      </c>
      <c r="CB89" s="3">
        <v>4.8937957722282321E-6</v>
      </c>
      <c r="CC89" s="3">
        <f t="shared" si="57"/>
        <v>-2.0734580162574943E-10</v>
      </c>
      <c r="CD89" s="3">
        <f t="shared" si="58"/>
        <v>2.5521930880403994E-10</v>
      </c>
      <c r="CE89" s="3">
        <f t="shared" si="59"/>
        <v>4.2663840663065278E-5</v>
      </c>
    </row>
    <row r="90" spans="28:83" x14ac:dyDescent="0.2">
      <c r="AB90" s="3">
        <v>16</v>
      </c>
      <c r="AC90" s="3">
        <f t="shared" si="71"/>
        <v>2.7069091796875E-2</v>
      </c>
      <c r="AD90" s="3">
        <f t="shared" si="60"/>
        <v>1.2230812994049045E-5</v>
      </c>
      <c r="AE90" s="3">
        <f t="shared" si="72"/>
        <v>2.70843505859375E-2</v>
      </c>
      <c r="AF90" s="3">
        <f t="shared" si="61"/>
        <v>-3.1243580113082814E-6</v>
      </c>
      <c r="AG90" s="3">
        <f t="shared" si="67"/>
        <v>2.707672119140625E-2</v>
      </c>
      <c r="AH90" s="3">
        <f t="shared" si="62"/>
        <v>4.5532341161683143E-6</v>
      </c>
      <c r="AI90" s="3">
        <f t="shared" si="68"/>
        <v>5.5689754992978837E-11</v>
      </c>
      <c r="AJ90" s="3">
        <f t="shared" si="69"/>
        <v>-1.4225933488212654E-11</v>
      </c>
      <c r="AK90" s="3">
        <f t="shared" si="70"/>
        <v>1.52587890625E-5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s="3">
        <v>18</v>
      </c>
      <c r="BL90" s="3">
        <f t="shared" si="63"/>
        <v>0.1812939987852607</v>
      </c>
      <c r="BM90" s="3">
        <v>-2.383648410239636E-5</v>
      </c>
      <c r="BN90" s="3">
        <f t="shared" si="64"/>
        <v>0.18131533070559225</v>
      </c>
      <c r="BO90" s="3">
        <v>2.3708033995779171E-5</v>
      </c>
      <c r="BP90" s="3">
        <f t="shared" si="52"/>
        <v>0.18130466474542647</v>
      </c>
      <c r="BQ90" s="3">
        <v>-6.3701192484083569E-8</v>
      </c>
      <c r="BR90" s="3">
        <f t="shared" si="53"/>
        <v>1.5184124619505485E-12</v>
      </c>
      <c r="BS90" s="3">
        <f t="shared" si="54"/>
        <v>-1.5102300369843259E-12</v>
      </c>
      <c r="BT90" s="3">
        <f t="shared" si="55"/>
        <v>2.1331920331546517E-5</v>
      </c>
      <c r="BU90"/>
      <c r="BV90" s="3">
        <v>18</v>
      </c>
      <c r="BW90" s="3">
        <f t="shared" si="65"/>
        <v>0.16256457273417324</v>
      </c>
      <c r="BX90" s="3">
        <v>-4.2369116178164745E-5</v>
      </c>
      <c r="BY90" s="3">
        <f t="shared" si="66"/>
        <v>0.16258590465450479</v>
      </c>
      <c r="BZ90" s="3">
        <v>4.8937957722282321E-6</v>
      </c>
      <c r="CA90" s="3">
        <f t="shared" si="56"/>
        <v>0.16257523869433901</v>
      </c>
      <c r="CB90" s="3">
        <v>-1.8737022376976581E-5</v>
      </c>
      <c r="CC90" s="3">
        <f t="shared" si="57"/>
        <v>7.9387107792299335E-10</v>
      </c>
      <c r="CD90" s="3">
        <f t="shared" si="58"/>
        <v>-9.1695160892593773E-11</v>
      </c>
      <c r="CE90" s="3">
        <f t="shared" si="59"/>
        <v>2.1331920331546517E-5</v>
      </c>
    </row>
    <row r="91" spans="28:83" x14ac:dyDescent="0.2">
      <c r="AB91" s="3">
        <v>17</v>
      </c>
      <c r="AC91" s="3">
        <f t="shared" si="71"/>
        <v>2.707672119140625E-2</v>
      </c>
      <c r="AD91" s="3">
        <f t="shared" si="60"/>
        <v>4.5532341161683143E-6</v>
      </c>
      <c r="AE91" s="3">
        <f t="shared" si="72"/>
        <v>2.70843505859375E-2</v>
      </c>
      <c r="AF91" s="3">
        <f t="shared" si="61"/>
        <v>-3.1243580113082814E-6</v>
      </c>
      <c r="AG91" s="3">
        <f t="shared" si="67"/>
        <v>2.7080535888671875E-2</v>
      </c>
      <c r="AH91" s="3">
        <f t="shared" si="62"/>
        <v>7.1443970860868289E-7</v>
      </c>
      <c r="AI91" s="3">
        <f t="shared" si="68"/>
        <v>3.2530112551824041E-12</v>
      </c>
      <c r="AJ91" s="3">
        <f t="shared" si="69"/>
        <v>-2.2321654271882925E-12</v>
      </c>
      <c r="AK91" s="3">
        <f t="shared" si="70"/>
        <v>7.62939453125E-6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3">
        <v>19</v>
      </c>
      <c r="BL91" s="3">
        <f t="shared" si="63"/>
        <v>0.18130466474542647</v>
      </c>
      <c r="BM91" s="3">
        <v>-6.3701192484083569E-8</v>
      </c>
      <c r="BN91" s="3">
        <f t="shared" si="64"/>
        <v>0.18131533070559225</v>
      </c>
      <c r="BO91" s="3">
        <v>2.3708033995779171E-5</v>
      </c>
      <c r="BP91" s="3">
        <f t="shared" si="52"/>
        <v>0.18130999772550938</v>
      </c>
      <c r="BQ91" s="3">
        <v>1.1822297357994005E-5</v>
      </c>
      <c r="BR91" s="3">
        <f t="shared" si="53"/>
        <v>-7.5309443960564874E-13</v>
      </c>
      <c r="BS91" s="3">
        <f t="shared" si="54"/>
        <v>2.8028342767153214E-10</v>
      </c>
      <c r="BT91" s="3">
        <f t="shared" si="55"/>
        <v>1.0665960165773258E-5</v>
      </c>
      <c r="BU91"/>
      <c r="BV91" s="3">
        <v>19</v>
      </c>
      <c r="BW91" s="3">
        <f t="shared" si="65"/>
        <v>0.16257523869433901</v>
      </c>
      <c r="BX91" s="3">
        <v>-1.8737022376976581E-5</v>
      </c>
      <c r="BY91" s="3">
        <f t="shared" si="66"/>
        <v>0.16258590465450479</v>
      </c>
      <c r="BZ91" s="3">
        <v>4.8937957722282321E-6</v>
      </c>
      <c r="CA91" s="3">
        <f t="shared" si="56"/>
        <v>0.16258057167442191</v>
      </c>
      <c r="CB91" s="3">
        <v>-6.921453859123905E-6</v>
      </c>
      <c r="CC91" s="3">
        <f t="shared" si="57"/>
        <v>1.2968743583961551E-10</v>
      </c>
      <c r="CD91" s="3">
        <f t="shared" si="58"/>
        <v>-3.387218163345335E-11</v>
      </c>
      <c r="CE91" s="3">
        <f t="shared" si="59"/>
        <v>1.0665960165773258E-5</v>
      </c>
    </row>
    <row r="92" spans="28:83" x14ac:dyDescent="0.2">
      <c r="AB92" s="3">
        <v>18</v>
      </c>
      <c r="AC92" s="3">
        <f t="shared" si="71"/>
        <v>2.7080535888671875E-2</v>
      </c>
      <c r="AD92" s="3">
        <f t="shared" si="60"/>
        <v>7.1443970860868289E-7</v>
      </c>
      <c r="AE92" s="3">
        <f t="shared" si="72"/>
        <v>2.70843505859375E-2</v>
      </c>
      <c r="AF92" s="3">
        <f t="shared" si="61"/>
        <v>-3.1243580113082814E-6</v>
      </c>
      <c r="AG92" s="3">
        <f t="shared" si="67"/>
        <v>2.7082443237304688E-2</v>
      </c>
      <c r="AH92" s="3">
        <f t="shared" si="62"/>
        <v>-1.2049587373025306E-6</v>
      </c>
      <c r="AI92" s="3">
        <f t="shared" si="68"/>
        <v>-8.6087036916390641E-13</v>
      </c>
      <c r="AJ92" s="3">
        <f t="shared" si="69"/>
        <v>3.7647224841870725E-12</v>
      </c>
      <c r="AK92" s="3">
        <f t="shared" si="70"/>
        <v>3.814697265625E-6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 s="3">
        <v>20</v>
      </c>
      <c r="BL92" s="3">
        <f t="shared" si="63"/>
        <v>0.18130466474542647</v>
      </c>
      <c r="BM92" s="3">
        <v>-6.3701192484083569E-8</v>
      </c>
      <c r="BN92" s="3">
        <f t="shared" si="64"/>
        <v>0.18130999772550938</v>
      </c>
      <c r="BO92" s="3">
        <v>1.1822297357994005E-5</v>
      </c>
      <c r="BP92" s="3">
        <f t="shared" si="52"/>
        <v>0.18130733123546794</v>
      </c>
      <c r="BQ92" s="3">
        <v>5.8793308229630747E-6</v>
      </c>
      <c r="BR92" s="3">
        <f t="shared" si="53"/>
        <v>-3.7452038443117626E-13</v>
      </c>
      <c r="BS92" s="3">
        <f t="shared" si="54"/>
        <v>6.9507197255089077E-11</v>
      </c>
      <c r="BT92" s="3">
        <f t="shared" si="55"/>
        <v>5.332980082900507E-6</v>
      </c>
      <c r="BU92"/>
      <c r="BV92" s="3">
        <v>20</v>
      </c>
      <c r="BW92" s="3">
        <f t="shared" si="65"/>
        <v>0.16258057167442191</v>
      </c>
      <c r="BX92" s="3">
        <v>-6.921453859123905E-6</v>
      </c>
      <c r="BY92" s="3">
        <f t="shared" si="66"/>
        <v>0.16258590465450479</v>
      </c>
      <c r="BZ92" s="3">
        <v>4.8937957722282321E-6</v>
      </c>
      <c r="CA92" s="3">
        <f t="shared" si="56"/>
        <v>0.16258323816446335</v>
      </c>
      <c r="CB92" s="3">
        <v>-1.0137891843127467E-6</v>
      </c>
      <c r="CC92" s="3">
        <f t="shared" si="57"/>
        <v>7.0168950620995364E-12</v>
      </c>
      <c r="CD92" s="3">
        <f t="shared" si="58"/>
        <v>-4.961277224120428E-12</v>
      </c>
      <c r="CE92" s="3">
        <f t="shared" si="59"/>
        <v>5.3329800828727514E-6</v>
      </c>
    </row>
    <row r="93" spans="28:83" x14ac:dyDescent="0.2">
      <c r="AB93" s="3">
        <v>19</v>
      </c>
      <c r="AC93" s="3">
        <f t="shared" si="71"/>
        <v>2.7080535888671875E-2</v>
      </c>
      <c r="AD93" s="3">
        <f t="shared" si="60"/>
        <v>7.1443970860868289E-7</v>
      </c>
      <c r="AE93" s="3">
        <f t="shared" si="72"/>
        <v>2.7082443237304688E-2</v>
      </c>
      <c r="AF93" s="3">
        <f t="shared" si="61"/>
        <v>-1.2049587373025306E-6</v>
      </c>
      <c r="AG93" s="3">
        <f t="shared" si="67"/>
        <v>2.7081489562988281E-2</v>
      </c>
      <c r="AH93" s="3">
        <f t="shared" si="62"/>
        <v>-2.4525941083597402E-7</v>
      </c>
      <c r="AI93" s="3">
        <f t="shared" si="68"/>
        <v>-1.7522306201119052E-13</v>
      </c>
      <c r="AJ93" s="3">
        <f t="shared" si="69"/>
        <v>2.9552746999247784E-13</v>
      </c>
      <c r="AK93" s="3">
        <f t="shared" si="70"/>
        <v>1.9073486328125E-6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s="3">
        <v>21</v>
      </c>
      <c r="BL93" s="3">
        <f t="shared" si="63"/>
        <v>0.18130466474542647</v>
      </c>
      <c r="BM93" s="3">
        <v>-6.3701192484083569E-8</v>
      </c>
      <c r="BN93" s="3">
        <f t="shared" si="64"/>
        <v>0.18130733123546794</v>
      </c>
      <c r="BO93" s="3">
        <v>5.8793308229630747E-6</v>
      </c>
      <c r="BP93" s="3">
        <f t="shared" si="52"/>
        <v>0.18130599799044722</v>
      </c>
      <c r="BQ93" s="3">
        <v>2.9078230003899697E-6</v>
      </c>
      <c r="BR93" s="3">
        <f t="shared" si="53"/>
        <v>-1.8523179265748688E-13</v>
      </c>
      <c r="BS93" s="3">
        <f t="shared" si="54"/>
        <v>1.7096053393913719E-11</v>
      </c>
      <c r="BT93" s="3">
        <f t="shared" si="55"/>
        <v>2.6664900414641313E-6</v>
      </c>
      <c r="BU93"/>
      <c r="BV93" s="3">
        <v>21</v>
      </c>
      <c r="BW93" s="3">
        <f t="shared" si="65"/>
        <v>0.16258323816446335</v>
      </c>
      <c r="BX93" s="3">
        <v>-1.0137891843127467E-6</v>
      </c>
      <c r="BY93" s="3">
        <f t="shared" si="66"/>
        <v>0.16258590465450479</v>
      </c>
      <c r="BZ93" s="3">
        <v>4.8937957722282321E-6</v>
      </c>
      <c r="CA93" s="3">
        <f t="shared" si="56"/>
        <v>0.16258457140948407</v>
      </c>
      <c r="CB93" s="3">
        <v>1.9400132584869445E-6</v>
      </c>
      <c r="CC93" s="3">
        <f t="shared" si="57"/>
        <v>-1.9667644588773933E-12</v>
      </c>
      <c r="CD93" s="3">
        <f t="shared" si="58"/>
        <v>9.4940286824501259E-12</v>
      </c>
      <c r="CE93" s="3">
        <f t="shared" si="59"/>
        <v>2.6664900414363757E-6</v>
      </c>
    </row>
    <row r="94" spans="28:83" x14ac:dyDescent="0.2">
      <c r="AB94" s="3">
        <v>20</v>
      </c>
      <c r="AC94" s="3">
        <f t="shared" si="71"/>
        <v>2.7080535888671875E-2</v>
      </c>
      <c r="AD94" s="3">
        <f t="shared" si="60"/>
        <v>7.1443970860868289E-7</v>
      </c>
      <c r="AE94" s="3">
        <f t="shared" si="72"/>
        <v>2.7081489562988281E-2</v>
      </c>
      <c r="AF94" s="3">
        <f t="shared" si="61"/>
        <v>-2.4525941083597402E-7</v>
      </c>
      <c r="AG94" s="3">
        <f t="shared" si="67"/>
        <v>2.7081012725830078E-2</v>
      </c>
      <c r="AH94" s="3">
        <f t="shared" si="62"/>
        <v>2.3459017476495925E-7</v>
      </c>
      <c r="AI94" s="3">
        <f t="shared" si="68"/>
        <v>1.6760053610153747E-13</v>
      </c>
      <c r="AJ94" s="3">
        <f t="shared" si="69"/>
        <v>-5.7535448050762088E-14</v>
      </c>
      <c r="AK94" s="3">
        <f t="shared" si="70"/>
        <v>9.5367431640625E-7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 s="3">
        <v>22</v>
      </c>
      <c r="BL94" s="3">
        <f t="shared" si="63"/>
        <v>0.18130466474542647</v>
      </c>
      <c r="BM94" s="3">
        <v>-6.3701192484083569E-8</v>
      </c>
      <c r="BN94" s="3">
        <f t="shared" si="64"/>
        <v>0.18130599799044722</v>
      </c>
      <c r="BO94" s="3">
        <v>2.9078230003899697E-6</v>
      </c>
      <c r="BP94" s="3">
        <f t="shared" si="52"/>
        <v>0.18130533136793686</v>
      </c>
      <c r="BQ94" s="3">
        <v>1.4220629503507165E-6</v>
      </c>
      <c r="BR94" s="3">
        <f t="shared" si="53"/>
        <v>-9.0587105724774772E-14</v>
      </c>
      <c r="BS94" s="3">
        <f t="shared" si="54"/>
        <v>4.1351073550322326E-12</v>
      </c>
      <c r="BT94" s="3">
        <f t="shared" si="55"/>
        <v>1.3332450207459434E-6</v>
      </c>
      <c r="BU94"/>
      <c r="BV94" s="3">
        <v>22</v>
      </c>
      <c r="BW94" s="3">
        <f t="shared" si="65"/>
        <v>0.16258323816446335</v>
      </c>
      <c r="BX94" s="3">
        <v>-1.0137891843127467E-6</v>
      </c>
      <c r="BY94" s="3">
        <f t="shared" si="66"/>
        <v>0.16258457140948407</v>
      </c>
      <c r="BZ94" s="3">
        <v>1.9400132584869445E-6</v>
      </c>
      <c r="CA94" s="3">
        <f t="shared" si="56"/>
        <v>0.16258390478697371</v>
      </c>
      <c r="CB94" s="3">
        <v>4.6311452825062438E-7</v>
      </c>
      <c r="CC94" s="3">
        <f t="shared" si="57"/>
        <v>-4.6950049983858301E-13</v>
      </c>
      <c r="CD94" s="3">
        <f t="shared" si="58"/>
        <v>8.9844832500413794E-13</v>
      </c>
      <c r="CE94" s="3">
        <f t="shared" si="59"/>
        <v>1.3332450207181878E-6</v>
      </c>
    </row>
    <row r="95" spans="28:83" x14ac:dyDescent="0.2">
      <c r="AB95" s="3">
        <v>21</v>
      </c>
      <c r="AC95" s="3">
        <f t="shared" si="71"/>
        <v>2.7081012725830078E-2</v>
      </c>
      <c r="AD95" s="3">
        <f t="shared" si="60"/>
        <v>2.3459017476495925E-7</v>
      </c>
      <c r="AE95" s="3">
        <f t="shared" si="72"/>
        <v>2.7081489562988281E-2</v>
      </c>
      <c r="AF95" s="3">
        <f t="shared" si="61"/>
        <v>-2.4525941083597402E-7</v>
      </c>
      <c r="AG95" s="3">
        <f t="shared" si="67"/>
        <v>2.708125114440918E-2</v>
      </c>
      <c r="AH95" s="3">
        <f t="shared" si="62"/>
        <v>-5.3346115649888226E-9</v>
      </c>
      <c r="AI95" s="3">
        <f t="shared" si="68"/>
        <v>-1.2514474593339006E-15</v>
      </c>
      <c r="AJ95" s="3">
        <f t="shared" si="69"/>
        <v>1.308363689467932E-15</v>
      </c>
      <c r="AK95" s="3">
        <f t="shared" si="70"/>
        <v>4.76837158203125E-7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 s="3">
        <v>23</v>
      </c>
      <c r="BL95" s="3">
        <f t="shared" si="63"/>
        <v>0.18130466474542647</v>
      </c>
      <c r="BM95" s="3">
        <v>-6.3701192484083569E-8</v>
      </c>
      <c r="BN95" s="3">
        <f t="shared" si="64"/>
        <v>0.18130533136793686</v>
      </c>
      <c r="BO95" s="3">
        <v>1.4220629503507165E-6</v>
      </c>
      <c r="BP95" s="3">
        <f t="shared" si="52"/>
        <v>0.18130499805668165</v>
      </c>
      <c r="BQ95" s="3">
        <v>6.7918139041653336E-7</v>
      </c>
      <c r="BR95" s="3">
        <f t="shared" si="53"/>
        <v>-4.3264664482531104E-14</v>
      </c>
      <c r="BS95" s="3">
        <f t="shared" si="54"/>
        <v>9.6583869187903732E-13</v>
      </c>
      <c r="BT95" s="3">
        <f t="shared" si="55"/>
        <v>6.666225103868495E-7</v>
      </c>
      <c r="BU95"/>
      <c r="BV95" s="3">
        <v>23</v>
      </c>
      <c r="BW95" s="3">
        <f t="shared" si="65"/>
        <v>0.16258323816446335</v>
      </c>
      <c r="BX95" s="3">
        <v>-1.0137891843127467E-6</v>
      </c>
      <c r="BY95" s="3">
        <f t="shared" si="66"/>
        <v>0.16258390478697371</v>
      </c>
      <c r="BZ95" s="3">
        <v>4.6311452825062438E-7</v>
      </c>
      <c r="CA95" s="3">
        <f t="shared" si="56"/>
        <v>0.16258357147571853</v>
      </c>
      <c r="CB95" s="3">
        <v>-2.7533670530002774E-7</v>
      </c>
      <c r="CC95" s="3">
        <f t="shared" si="57"/>
        <v>2.7913337387747423E-13</v>
      </c>
      <c r="CD95" s="3">
        <f t="shared" si="58"/>
        <v>-1.2751242838510354E-13</v>
      </c>
      <c r="CE95" s="3">
        <f t="shared" si="59"/>
        <v>6.6662251035909392E-7</v>
      </c>
    </row>
    <row r="96" spans="28:83" x14ac:dyDescent="0.2">
      <c r="AB96" s="3">
        <v>22</v>
      </c>
      <c r="AC96" s="3">
        <f t="shared" si="71"/>
        <v>2.7081012725830078E-2</v>
      </c>
      <c r="AD96" s="3">
        <f t="shared" si="60"/>
        <v>2.3459017476495925E-7</v>
      </c>
      <c r="AE96" s="3">
        <f t="shared" si="72"/>
        <v>2.708125114440918E-2</v>
      </c>
      <c r="AF96" s="3">
        <f t="shared" si="61"/>
        <v>-5.3346115649888226E-9</v>
      </c>
      <c r="AG96" s="3">
        <f t="shared" si="67"/>
        <v>2.7081131935119629E-2</v>
      </c>
      <c r="AH96" s="3">
        <f t="shared" si="62"/>
        <v>1.1462778321674749E-7</v>
      </c>
      <c r="AI96" s="3">
        <f t="shared" si="68"/>
        <v>2.6890551697736655E-14</v>
      </c>
      <c r="AJ96" s="3">
        <f t="shared" si="69"/>
        <v>-6.1149469801709285E-16</v>
      </c>
      <c r="AK96" s="3">
        <f t="shared" si="70"/>
        <v>2.384185791015625E-7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3">
        <v>24</v>
      </c>
      <c r="BL96" s="3">
        <f t="shared" si="63"/>
        <v>0.18130466474542647</v>
      </c>
      <c r="BM96" s="3">
        <v>-6.3701192484083569E-8</v>
      </c>
      <c r="BN96" s="3">
        <f t="shared" si="64"/>
        <v>0.18130499805668165</v>
      </c>
      <c r="BO96" s="3">
        <v>6.7918139041653336E-7</v>
      </c>
      <c r="BP96" s="3">
        <f t="shared" si="52"/>
        <v>0.18130483140105408</v>
      </c>
      <c r="BQ96" s="3">
        <v>3.077402268986118E-7</v>
      </c>
      <c r="BR96" s="3">
        <f t="shared" si="53"/>
        <v>-1.9603419428764023E-14</v>
      </c>
      <c r="BS96" s="3">
        <f t="shared" si="54"/>
        <v>2.0901143519209862E-13</v>
      </c>
      <c r="BT96" s="3">
        <f t="shared" si="55"/>
        <v>3.3331125517954696E-7</v>
      </c>
      <c r="BU96"/>
      <c r="BV96" s="3">
        <v>24</v>
      </c>
      <c r="BW96" s="3">
        <f t="shared" si="65"/>
        <v>0.16258357147571853</v>
      </c>
      <c r="BX96" s="3">
        <v>-2.7533670530002774E-7</v>
      </c>
      <c r="BY96" s="3">
        <f t="shared" si="66"/>
        <v>0.16258390478697371</v>
      </c>
      <c r="BZ96" s="3">
        <v>4.6311452825062438E-7</v>
      </c>
      <c r="CA96" s="3">
        <f t="shared" si="56"/>
        <v>0.16258373813134613</v>
      </c>
      <c r="CB96" s="3">
        <v>9.3889067204894205E-8</v>
      </c>
      <c r="CC96" s="3">
        <f t="shared" si="57"/>
        <v>-2.5851106427888456E-14</v>
      </c>
      <c r="CD96" s="3">
        <f t="shared" si="58"/>
        <v>4.3481391066485749E-14</v>
      </c>
      <c r="CE96" s="3">
        <f t="shared" si="59"/>
        <v>3.3331125517954696E-7</v>
      </c>
    </row>
    <row r="97" spans="28:83" x14ac:dyDescent="0.2">
      <c r="AB97" s="3">
        <v>23</v>
      </c>
      <c r="AC97" s="3">
        <f t="shared" si="71"/>
        <v>2.7081131935119629E-2</v>
      </c>
      <c r="AD97" s="3">
        <f t="shared" si="60"/>
        <v>1.1462778321674749E-7</v>
      </c>
      <c r="AE97" s="3">
        <f t="shared" si="72"/>
        <v>2.708125114440918E-2</v>
      </c>
      <c r="AF97" s="3">
        <f t="shared" si="61"/>
        <v>-5.3346115649888226E-9</v>
      </c>
      <c r="AG97" s="3">
        <f t="shared" si="67"/>
        <v>2.7081191539764404E-2</v>
      </c>
      <c r="AH97" s="3">
        <f t="shared" si="62"/>
        <v>5.4646586228335181E-8</v>
      </c>
      <c r="AI97" s="3">
        <f t="shared" si="68"/>
        <v>6.264017039716904E-15</v>
      </c>
      <c r="AJ97" s="3">
        <f t="shared" si="69"/>
        <v>-2.9151831088083579E-16</v>
      </c>
      <c r="AK97" s="3">
        <f t="shared" si="70"/>
        <v>1.1920928955078125E-7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s="3">
        <v>25</v>
      </c>
      <c r="BL97" s="3">
        <f t="shared" si="63"/>
        <v>0.18130466474542647</v>
      </c>
      <c r="BM97" s="3">
        <v>-6.3701192484083569E-8</v>
      </c>
      <c r="BN97" s="3">
        <f t="shared" si="64"/>
        <v>0.18130483140105408</v>
      </c>
      <c r="BO97" s="3">
        <v>3.077402268986118E-7</v>
      </c>
      <c r="BP97" s="3">
        <f t="shared" si="52"/>
        <v>0.18130474807324026</v>
      </c>
      <c r="BQ97" s="3">
        <v>1.220195491279108E-7</v>
      </c>
      <c r="BR97" s="3">
        <f t="shared" si="53"/>
        <v>-7.7727907858181368E-15</v>
      </c>
      <c r="BS97" s="3">
        <f t="shared" si="54"/>
        <v>3.7550323734689581E-14</v>
      </c>
      <c r="BT97" s="3">
        <f t="shared" si="55"/>
        <v>1.6665562760365127E-7</v>
      </c>
      <c r="BU97"/>
      <c r="BV97" s="3">
        <v>25</v>
      </c>
      <c r="BW97" s="3">
        <f t="shared" si="65"/>
        <v>0.16258357147571853</v>
      </c>
      <c r="BX97" s="3">
        <v>-2.7533670530002774E-7</v>
      </c>
      <c r="BY97" s="3">
        <f t="shared" si="66"/>
        <v>0.16258373813134613</v>
      </c>
      <c r="BZ97" s="3">
        <v>9.3889067204894205E-8</v>
      </c>
      <c r="CA97" s="3">
        <f t="shared" si="56"/>
        <v>0.16258365480353232</v>
      </c>
      <c r="CB97" s="3">
        <v>-9.0723780151596989E-8</v>
      </c>
      <c r="CC97" s="3">
        <f t="shared" si="57"/>
        <v>2.4979586719304767E-14</v>
      </c>
      <c r="CD97" s="3">
        <f t="shared" si="58"/>
        <v>-8.5179710917353367E-15</v>
      </c>
      <c r="CE97" s="3">
        <f t="shared" si="59"/>
        <v>1.6665562760365127E-7</v>
      </c>
    </row>
    <row r="98" spans="28:83" x14ac:dyDescent="0.2">
      <c r="AB98" s="3">
        <v>24</v>
      </c>
      <c r="AC98" s="3">
        <f t="shared" si="71"/>
        <v>2.7081191539764404E-2</v>
      </c>
      <c r="AD98" s="3">
        <f t="shared" si="60"/>
        <v>5.4646586228335181E-8</v>
      </c>
      <c r="AE98" s="3">
        <f t="shared" si="72"/>
        <v>2.708125114440918E-2</v>
      </c>
      <c r="AF98" s="3">
        <f t="shared" si="61"/>
        <v>-5.3346115649888226E-9</v>
      </c>
      <c r="AG98" s="3">
        <f t="shared" si="67"/>
        <v>2.7081221342086792E-2</v>
      </c>
      <c r="AH98" s="3">
        <f t="shared" si="62"/>
        <v>2.4655987432287141E-8</v>
      </c>
      <c r="AI98" s="3">
        <f t="shared" si="68"/>
        <v>1.3473655432632277E-15</v>
      </c>
      <c r="AJ98" s="3">
        <f t="shared" si="69"/>
        <v>-1.3153011570249806E-16</v>
      </c>
      <c r="AK98" s="3">
        <f t="shared" si="70"/>
        <v>5.9604644775390625E-8</v>
      </c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3">
        <v>26</v>
      </c>
      <c r="BL98" s="3">
        <f t="shared" si="63"/>
        <v>0.18130466474542647</v>
      </c>
      <c r="BM98" s="3">
        <v>-6.3701192484083569E-8</v>
      </c>
      <c r="BN98" s="3">
        <f t="shared" si="64"/>
        <v>0.18130474807324026</v>
      </c>
      <c r="BO98" s="3">
        <v>1.220195491279108E-7</v>
      </c>
      <c r="BP98" s="3">
        <f t="shared" si="52"/>
        <v>0.18130470640933338</v>
      </c>
      <c r="BQ98" s="3">
        <v>2.9159186353683308E-8</v>
      </c>
      <c r="BR98" s="3">
        <f t="shared" si="53"/>
        <v>-1.8574749425952432E-15</v>
      </c>
      <c r="BS98" s="3">
        <f t="shared" si="54"/>
        <v>3.5579907718131667E-15</v>
      </c>
      <c r="BT98" s="3">
        <f t="shared" si="55"/>
        <v>8.3327813787947846E-8</v>
      </c>
      <c r="BU98"/>
      <c r="BV98" s="3">
        <v>26</v>
      </c>
      <c r="BW98" s="3">
        <f t="shared" si="65"/>
        <v>0.16258365480353232</v>
      </c>
      <c r="BX98" s="3">
        <v>-9.0723780151596989E-8</v>
      </c>
      <c r="BY98" s="3">
        <f t="shared" si="66"/>
        <v>0.16258373813134613</v>
      </c>
      <c r="BZ98" s="3">
        <v>9.3889067204894205E-8</v>
      </c>
      <c r="CA98" s="3">
        <f t="shared" si="56"/>
        <v>0.16258369646743923</v>
      </c>
      <c r="CB98" s="3">
        <v>1.5826532827334372E-9</v>
      </c>
      <c r="CC98" s="3">
        <f t="shared" si="57"/>
        <v>-1.4358428847891162E-16</v>
      </c>
      <c r="CD98" s="3">
        <f t="shared" si="58"/>
        <v>1.4859384042460612E-16</v>
      </c>
      <c r="CE98" s="3">
        <f t="shared" si="59"/>
        <v>8.3327813815703422E-8</v>
      </c>
    </row>
    <row r="99" spans="28:83" x14ac:dyDescent="0.2">
      <c r="AB99" s="3">
        <v>25</v>
      </c>
      <c r="AC99" s="3">
        <f t="shared" si="71"/>
        <v>2.7081221342086792E-2</v>
      </c>
      <c r="AD99" s="3">
        <f t="shared" si="60"/>
        <v>2.4655987432287141E-8</v>
      </c>
      <c r="AE99" s="3">
        <f t="shared" si="72"/>
        <v>2.708125114440918E-2</v>
      </c>
      <c r="AF99" s="3">
        <f t="shared" si="61"/>
        <v>-5.3346115649888226E-9</v>
      </c>
      <c r="AG99" s="3">
        <f t="shared" si="67"/>
        <v>2.7081236243247986E-2</v>
      </c>
      <c r="AH99" s="3">
        <f t="shared" si="62"/>
        <v>9.6606879579352878E-9</v>
      </c>
      <c r="AI99" s="3">
        <f t="shared" si="68"/>
        <v>2.3819380087810019E-16</v>
      </c>
      <c r="AJ99" s="3">
        <f t="shared" si="69"/>
        <v>-5.1536017706149838E-17</v>
      </c>
      <c r="AK99" s="3">
        <f t="shared" si="70"/>
        <v>2.9802322387695312E-8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 s="3">
        <v>27</v>
      </c>
      <c r="BL99" s="3">
        <f t="shared" si="63"/>
        <v>0.18130466474542647</v>
      </c>
      <c r="BM99" s="3">
        <v>-6.3701192484083569E-8</v>
      </c>
      <c r="BN99" s="3">
        <f t="shared" si="64"/>
        <v>0.18130470640933338</v>
      </c>
      <c r="BO99" s="3">
        <v>2.9159186353683308E-8</v>
      </c>
      <c r="BP99" s="3">
        <f t="shared" si="52"/>
        <v>0.18130468557737994</v>
      </c>
      <c r="BQ99" s="3">
        <v>-1.727100103904311E-8</v>
      </c>
      <c r="BR99" s="3">
        <f t="shared" si="53"/>
        <v>1.1001833615808925E-15</v>
      </c>
      <c r="BS99" s="3">
        <f t="shared" si="54"/>
        <v>-5.0360833781211609E-16</v>
      </c>
      <c r="BT99" s="3">
        <f t="shared" si="55"/>
        <v>4.1663906907851711E-8</v>
      </c>
      <c r="BU99"/>
      <c r="BV99" s="3">
        <v>27</v>
      </c>
      <c r="BW99" s="3">
        <f t="shared" si="65"/>
        <v>0.16258365480353232</v>
      </c>
      <c r="BX99" s="3">
        <v>-9.0723780151596989E-8</v>
      </c>
      <c r="BY99" s="3">
        <f t="shared" si="66"/>
        <v>0.16258369646743923</v>
      </c>
      <c r="BZ99" s="3">
        <v>1.5826532827334372E-9</v>
      </c>
      <c r="CA99" s="3">
        <f t="shared" si="56"/>
        <v>0.16258367563548576</v>
      </c>
      <c r="CB99" s="3">
        <v>-4.4570561037043932E-8</v>
      </c>
      <c r="CC99" s="3">
        <f t="shared" si="57"/>
        <v>4.0436097807581082E-15</v>
      </c>
      <c r="CD99" s="3">
        <f t="shared" si="58"/>
        <v>-7.0539744738548612E-17</v>
      </c>
      <c r="CE99" s="3">
        <f t="shared" si="59"/>
        <v>4.1663906907851711E-8</v>
      </c>
    </row>
    <row r="100" spans="28:83" x14ac:dyDescent="0.2">
      <c r="AB100" s="3">
        <v>26</v>
      </c>
      <c r="AC100" s="3">
        <f t="shared" si="71"/>
        <v>2.7081236243247986E-2</v>
      </c>
      <c r="AD100" s="3">
        <f t="shared" si="60"/>
        <v>9.6606879579352878E-9</v>
      </c>
      <c r="AE100" s="3">
        <f t="shared" si="72"/>
        <v>2.708125114440918E-2</v>
      </c>
      <c r="AF100" s="3">
        <f t="shared" si="61"/>
        <v>-5.3346115649888226E-9</v>
      </c>
      <c r="AG100" s="3">
        <f t="shared" si="67"/>
        <v>2.7081243693828583E-2</v>
      </c>
      <c r="AH100" s="3">
        <f t="shared" si="62"/>
        <v>2.1630381999426795E-9</v>
      </c>
      <c r="AI100" s="3">
        <f t="shared" si="68"/>
        <v>2.0896437090740264E-17</v>
      </c>
      <c r="AJ100" s="3">
        <f t="shared" si="69"/>
        <v>-1.1538968596926824E-17</v>
      </c>
      <c r="AK100" s="3">
        <f t="shared" si="70"/>
        <v>1.4901161193847656E-8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3">
        <v>28</v>
      </c>
      <c r="BL100" s="3">
        <f t="shared" si="63"/>
        <v>0.18130468557737994</v>
      </c>
      <c r="BM100" s="3">
        <v>-1.727100103904311E-8</v>
      </c>
      <c r="BN100" s="3">
        <f t="shared" si="64"/>
        <v>0.18130470640933338</v>
      </c>
      <c r="BO100" s="3">
        <v>2.9159186353683308E-8</v>
      </c>
      <c r="BP100" s="3">
        <f t="shared" si="52"/>
        <v>0.18130469599335666</v>
      </c>
      <c r="BQ100" s="3">
        <v>5.9440931725329715E-9</v>
      </c>
      <c r="BR100" s="3">
        <f t="shared" si="53"/>
        <v>-1.0266043935898601E-16</v>
      </c>
      <c r="BS100" s="3">
        <f t="shared" si="54"/>
        <v>1.7332492052154555E-16</v>
      </c>
      <c r="BT100" s="3">
        <f t="shared" si="55"/>
        <v>2.0831953440048068E-8</v>
      </c>
      <c r="BU100"/>
      <c r="BV100" s="3">
        <v>28</v>
      </c>
      <c r="BW100" s="3">
        <f t="shared" si="65"/>
        <v>0.16258367563548576</v>
      </c>
      <c r="BX100" s="3">
        <v>-4.4570561037043932E-8</v>
      </c>
      <c r="BY100" s="3">
        <f t="shared" si="66"/>
        <v>0.16258369646743923</v>
      </c>
      <c r="BZ100" s="3">
        <v>1.5826532827334372E-9</v>
      </c>
      <c r="CA100" s="3">
        <f t="shared" si="56"/>
        <v>0.16258368605146251</v>
      </c>
      <c r="CB100" s="3">
        <v>-2.1493953252654796E-8</v>
      </c>
      <c r="CC100" s="3">
        <f t="shared" si="57"/>
        <v>9.579975553748196E-16</v>
      </c>
      <c r="CD100" s="3">
        <f t="shared" si="58"/>
        <v>-3.4017475674233155E-17</v>
      </c>
      <c r="CE100" s="3">
        <f t="shared" si="59"/>
        <v>2.0831953467803643E-8</v>
      </c>
    </row>
    <row r="101" spans="28:83" x14ac:dyDescent="0.2">
      <c r="AB101" s="3">
        <v>27</v>
      </c>
      <c r="AC101" s="3">
        <f t="shared" si="71"/>
        <v>2.7081243693828583E-2</v>
      </c>
      <c r="AD101" s="3">
        <f t="shared" si="60"/>
        <v>2.1630381999426795E-9</v>
      </c>
      <c r="AE101" s="3">
        <f t="shared" si="72"/>
        <v>2.708125114440918E-2</v>
      </c>
      <c r="AF101" s="3">
        <f t="shared" si="61"/>
        <v>-5.3346115649888226E-9</v>
      </c>
      <c r="AG101" s="3">
        <f t="shared" si="67"/>
        <v>2.7081247419118881E-2</v>
      </c>
      <c r="AH101" s="3">
        <f t="shared" si="62"/>
        <v>-1.5857866825230715E-9</v>
      </c>
      <c r="AI101" s="3">
        <f t="shared" si="68"/>
        <v>-3.430117171257778E-18</v>
      </c>
      <c r="AJ101" s="3">
        <f t="shared" si="69"/>
        <v>8.4595559761928365E-18</v>
      </c>
      <c r="AK101" s="3">
        <f t="shared" si="70"/>
        <v>7.4505805969238281E-9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 s="3">
        <v>29</v>
      </c>
      <c r="BL101" s="3">
        <f t="shared" si="63"/>
        <v>0.18130468557737994</v>
      </c>
      <c r="BM101" s="3">
        <v>-1.727100103904311E-8</v>
      </c>
      <c r="BN101" s="3">
        <f t="shared" si="64"/>
        <v>0.18130469599335666</v>
      </c>
      <c r="BO101" s="3">
        <v>5.9440931725329715E-9</v>
      </c>
      <c r="BP101" s="3">
        <f t="shared" si="52"/>
        <v>0.18130469078536832</v>
      </c>
      <c r="BQ101" s="3">
        <v>-5.6634538100897025E-9</v>
      </c>
      <c r="BR101" s="3">
        <f t="shared" si="53"/>
        <v>9.7813516638631907E-17</v>
      </c>
      <c r="BS101" s="3">
        <f t="shared" si="54"/>
        <v>-3.3664097125510044E-17</v>
      </c>
      <c r="BT101" s="3">
        <f t="shared" si="55"/>
        <v>1.0415976720024034E-8</v>
      </c>
      <c r="BU101"/>
      <c r="BV101" s="3">
        <v>29</v>
      </c>
      <c r="BW101" s="3">
        <f t="shared" si="65"/>
        <v>0.16258368605146251</v>
      </c>
      <c r="BX101" s="3">
        <v>-2.1493953252654796E-8</v>
      </c>
      <c r="BY101" s="3">
        <f t="shared" si="66"/>
        <v>0.16258369646743923</v>
      </c>
      <c r="BZ101" s="3">
        <v>1.5826532827334372E-9</v>
      </c>
      <c r="CA101" s="3">
        <f t="shared" si="56"/>
        <v>0.16258369125945088</v>
      </c>
      <c r="CB101" s="3">
        <v>-9.9556497490382867E-9</v>
      </c>
      <c r="CC101" s="3">
        <f t="shared" si="57"/>
        <v>2.1398627030563339E-16</v>
      </c>
      <c r="CD101" s="3">
        <f t="shared" si="58"/>
        <v>-1.5756341757059765E-17</v>
      </c>
      <c r="CE101" s="3">
        <f t="shared" si="59"/>
        <v>1.0415976720024034E-8</v>
      </c>
    </row>
    <row r="102" spans="28:83" x14ac:dyDescent="0.2">
      <c r="AB102" s="3">
        <v>28</v>
      </c>
      <c r="AC102" s="3">
        <f t="shared" si="71"/>
        <v>2.7081243693828583E-2</v>
      </c>
      <c r="AD102" s="3">
        <f t="shared" si="60"/>
        <v>2.1630381999426795E-9</v>
      </c>
      <c r="AE102" s="3">
        <f t="shared" si="72"/>
        <v>2.7081247419118881E-2</v>
      </c>
      <c r="AF102" s="3">
        <f t="shared" si="61"/>
        <v>-1.5857866825230715E-9</v>
      </c>
      <c r="AG102" s="3">
        <f t="shared" si="67"/>
        <v>2.7081245556473732E-2</v>
      </c>
      <c r="AH102" s="3">
        <f t="shared" si="62"/>
        <v>2.8862576217925096E-10</v>
      </c>
      <c r="AI102" s="3">
        <f t="shared" si="68"/>
        <v>6.243085490812909E-19</v>
      </c>
      <c r="AJ102" s="3">
        <f t="shared" si="69"/>
        <v>-4.5769888989692738E-19</v>
      </c>
      <c r="AK102" s="3">
        <f t="shared" si="70"/>
        <v>3.7252902984619141E-9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 s="3">
        <v>30</v>
      </c>
      <c r="BL102" s="3">
        <f t="shared" si="63"/>
        <v>0.18130469078536832</v>
      </c>
      <c r="BM102" s="3">
        <v>-5.6634538100897025E-9</v>
      </c>
      <c r="BN102" s="3">
        <f t="shared" si="64"/>
        <v>0.18130469599335666</v>
      </c>
      <c r="BO102" s="3">
        <v>5.9440931725329715E-9</v>
      </c>
      <c r="BP102" s="13">
        <f t="shared" si="52"/>
        <v>0.1813046933893625</v>
      </c>
      <c r="BQ102" s="3">
        <v>1.4031971071193361E-10</v>
      </c>
      <c r="BR102" s="3">
        <f t="shared" si="53"/>
        <v>-7.9469420026218522E-19</v>
      </c>
      <c r="BS102" s="3">
        <f t="shared" si="54"/>
        <v>8.3407343441460623E-19</v>
      </c>
      <c r="BT102" s="3">
        <f t="shared" si="55"/>
        <v>5.2079883461342291E-9</v>
      </c>
      <c r="BU102"/>
      <c r="BV102" s="3">
        <v>30</v>
      </c>
      <c r="BW102" s="3">
        <f t="shared" si="65"/>
        <v>0.16258369125945088</v>
      </c>
      <c r="BX102" s="3">
        <v>-9.9556497490382867E-9</v>
      </c>
      <c r="BY102" s="3">
        <f t="shared" si="66"/>
        <v>0.16258369646743923</v>
      </c>
      <c r="BZ102" s="3">
        <v>1.5826532827334372E-9</v>
      </c>
      <c r="CA102" s="13">
        <f t="shared" si="56"/>
        <v>0.16258369386344507</v>
      </c>
      <c r="CB102" s="3">
        <v>-4.1864982175399135E-9</v>
      </c>
      <c r="CC102" s="3">
        <f t="shared" si="57"/>
        <v>4.1679309928800473E-17</v>
      </c>
      <c r="CD102" s="3">
        <f t="shared" si="58"/>
        <v>-6.6257751471472274E-18</v>
      </c>
      <c r="CE102" s="3">
        <f t="shared" si="59"/>
        <v>5.2079883461342291E-9</v>
      </c>
    </row>
    <row r="103" spans="28:83" x14ac:dyDescent="0.2">
      <c r="AB103" s="3">
        <v>29</v>
      </c>
      <c r="AC103" s="3">
        <f t="shared" si="71"/>
        <v>2.7081245556473732E-2</v>
      </c>
      <c r="AD103" s="3">
        <f t="shared" si="60"/>
        <v>2.8862576217925096E-10</v>
      </c>
      <c r="AE103" s="3">
        <f t="shared" si="72"/>
        <v>2.7081247419118881E-2</v>
      </c>
      <c r="AF103" s="3">
        <f t="shared" si="61"/>
        <v>-1.5857866825230715E-9</v>
      </c>
      <c r="AG103" s="3">
        <f t="shared" si="67"/>
        <v>2.7081246487796307E-2</v>
      </c>
      <c r="AH103" s="3">
        <f t="shared" si="62"/>
        <v>-6.4858046017191029E-10</v>
      </c>
      <c r="AI103" s="3">
        <f t="shared" si="68"/>
        <v>-1.8719702965168693E-19</v>
      </c>
      <c r="AJ103" s="3">
        <f t="shared" si="69"/>
        <v>1.0285102562853008E-18</v>
      </c>
      <c r="AK103" s="3">
        <f t="shared" si="70"/>
        <v>1.862645149230957E-9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</row>
    <row r="104" spans="28:83" x14ac:dyDescent="0.2">
      <c r="AB104" s="3">
        <v>30</v>
      </c>
      <c r="AC104" s="3">
        <f t="shared" si="71"/>
        <v>2.7081245556473732E-2</v>
      </c>
      <c r="AD104" s="3">
        <f t="shared" si="60"/>
        <v>2.8862576217925096E-10</v>
      </c>
      <c r="AE104" s="3">
        <f t="shared" si="72"/>
        <v>2.7081246487796307E-2</v>
      </c>
      <c r="AF104" s="3">
        <f t="shared" si="61"/>
        <v>-6.4858046017191029E-10</v>
      </c>
      <c r="AG104" s="3">
        <f t="shared" si="67"/>
        <v>2.7081246022135019E-2</v>
      </c>
      <c r="AH104" s="3">
        <f t="shared" si="62"/>
        <v>-1.7997735246577662E-10</v>
      </c>
      <c r="AI104" s="3">
        <f t="shared" si="68"/>
        <v>-5.1946100530438468E-20</v>
      </c>
      <c r="AJ104" s="3">
        <f t="shared" si="69"/>
        <v>1.1672979408277549E-19</v>
      </c>
      <c r="AK104" s="3">
        <f t="shared" si="70"/>
        <v>9.3132257461547852E-10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s="41" t="s">
        <v>235</v>
      </c>
      <c r="BL104" s="41"/>
      <c r="BM104" s="41"/>
      <c r="BN104" s="41"/>
      <c r="BO104" s="41"/>
      <c r="BP104" s="41"/>
      <c r="BQ104" s="41"/>
      <c r="BR104" s="41"/>
      <c r="BS104" s="41"/>
      <c r="BT104" s="41"/>
      <c r="BU104"/>
      <c r="BV104" s="41" t="s">
        <v>236</v>
      </c>
      <c r="BW104" s="41"/>
      <c r="BX104" s="41"/>
      <c r="BY104" s="41"/>
      <c r="BZ104" s="41"/>
      <c r="CA104" s="41"/>
      <c r="CB104" s="41"/>
      <c r="CC104" s="41"/>
      <c r="CD104" s="41"/>
      <c r="CE104" s="41"/>
    </row>
    <row r="105" spans="28:83" x14ac:dyDescent="0.2"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s="7" t="s">
        <v>54</v>
      </c>
      <c r="BL105" s="7" t="s">
        <v>55</v>
      </c>
      <c r="BM105" s="7" t="s">
        <v>56</v>
      </c>
      <c r="BN105" s="7" t="s">
        <v>57</v>
      </c>
      <c r="BO105" s="7" t="s">
        <v>58</v>
      </c>
      <c r="BP105" s="7" t="s">
        <v>59</v>
      </c>
      <c r="BQ105" s="7" t="s">
        <v>60</v>
      </c>
      <c r="BR105" s="7" t="s">
        <v>61</v>
      </c>
      <c r="BS105" s="7" t="s">
        <v>62</v>
      </c>
      <c r="BT105" s="7" t="s">
        <v>63</v>
      </c>
      <c r="BU105"/>
      <c r="BV105" s="7" t="s">
        <v>54</v>
      </c>
      <c r="BW105" s="7" t="s">
        <v>55</v>
      </c>
      <c r="BX105" s="7" t="s">
        <v>56</v>
      </c>
      <c r="BY105" s="7" t="s">
        <v>57</v>
      </c>
      <c r="BZ105" s="7" t="s">
        <v>58</v>
      </c>
      <c r="CA105" s="7" t="s">
        <v>59</v>
      </c>
      <c r="CB105" s="7" t="s">
        <v>60</v>
      </c>
      <c r="CC105" s="7" t="s">
        <v>61</v>
      </c>
      <c r="CD105" s="7" t="s">
        <v>62</v>
      </c>
      <c r="CE105" s="7" t="s">
        <v>63</v>
      </c>
    </row>
    <row r="106" spans="28:83" x14ac:dyDescent="0.2"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 s="17">
        <v>0</v>
      </c>
      <c r="BL106" s="17"/>
      <c r="BM106" s="17">
        <f>$BD$77</f>
        <v>-3.7152929413530877E-9</v>
      </c>
      <c r="BN106" s="17"/>
      <c r="BO106" s="17">
        <f>$BD$77</f>
        <v>-3.7152929413530877E-9</v>
      </c>
      <c r="BP106" s="17"/>
      <c r="BQ106" s="17">
        <f>$BD$77</f>
        <v>-3.7152929413530877E-9</v>
      </c>
      <c r="BR106" s="17"/>
      <c r="BS106" s="17"/>
      <c r="BT106" s="17"/>
      <c r="BU106"/>
      <c r="BV106" s="17">
        <v>0</v>
      </c>
      <c r="BW106" s="17"/>
      <c r="BX106" s="17">
        <f>$BH$77</f>
        <v>2.4320979327696612E-9</v>
      </c>
      <c r="BY106" s="17"/>
      <c r="BZ106" s="17">
        <f>$BH$77</f>
        <v>2.4320979327696612E-9</v>
      </c>
      <c r="CA106" s="17"/>
      <c r="CB106" s="17">
        <f>$BH$77</f>
        <v>2.4320979327696612E-9</v>
      </c>
      <c r="CC106" s="17"/>
      <c r="CD106" s="17"/>
      <c r="CE106" s="17"/>
    </row>
    <row r="107" spans="28:83" x14ac:dyDescent="0.2"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 s="3">
        <v>1</v>
      </c>
      <c r="BL107" s="4">
        <f>0.01*PI()</f>
        <v>3.1415926535897934E-2</v>
      </c>
      <c r="BM107" s="3">
        <f t="dataTable" ref="BM107:BM136" dt2D="0" dtr="0" r1="BD61" ca="1"/>
        <v>-0.63690177228306755</v>
      </c>
      <c r="BN107" s="4">
        <f>0.9*PI()</f>
        <v>2.8274333882308138</v>
      </c>
      <c r="BO107" s="3">
        <f t="dataTable" ref="BO107:BO136" dt2D="0" dtr="0" r1="BD61"/>
        <v>0.33210137180527338</v>
      </c>
      <c r="BP107" s="3">
        <f t="shared" ref="BP107:BP136" si="73">(BL107+BN107)/2</f>
        <v>1.4294246573833558</v>
      </c>
      <c r="BQ107" s="3">
        <f t="dataTable" ref="BQ107:BQ136" dt2D="0" dtr="0" r1="BD61" ca="1"/>
        <v>1.0142563521253145</v>
      </c>
      <c r="BR107" s="3">
        <f t="shared" ref="BR107:BR136" si="74">BM107*BQ107</f>
        <v>-0.64598166821797187</v>
      </c>
      <c r="BS107" s="3">
        <f t="shared" ref="BS107:BS136" si="75">BO107*BQ107</f>
        <v>0.33683592590302935</v>
      </c>
      <c r="BT107" s="3">
        <f t="shared" ref="BT107:BT136" si="76">BN107-BL107</f>
        <v>2.7960174616949161</v>
      </c>
      <c r="BU107"/>
      <c r="BV107" s="3">
        <v>1</v>
      </c>
      <c r="BW107" s="4">
        <f>0.01*PI()</f>
        <v>3.1415926535897934E-2</v>
      </c>
      <c r="BX107" s="3">
        <f t="dataTable" ref="BX107:BX136" dt2D="0" dtr="0" r1="BH61" ca="1"/>
        <v>-0.55487565134938388</v>
      </c>
      <c r="BY107" s="4">
        <f>0.9*PI()</f>
        <v>2.8274333882308138</v>
      </c>
      <c r="BZ107" s="3">
        <f t="dataTable" ref="BZ107:BZ136" dt2D="0" dtr="0" r1="BH61" ca="1"/>
        <v>0.32906312200277255</v>
      </c>
      <c r="CA107" s="3">
        <f t="shared" ref="CA107:CA136" si="77">(BW107+BY107)/2</f>
        <v>1.4294246573833558</v>
      </c>
      <c r="CB107" s="3">
        <f t="dataTable" ref="CB107:CB136" dt2D="0" dtr="0" r1="BH61" ca="1"/>
        <v>1.0281181417583813</v>
      </c>
      <c r="CC107" s="3">
        <f t="shared" ref="CC107:CC136" si="78">BX107*CB107</f>
        <v>-0.57047772357230009</v>
      </c>
      <c r="CD107" s="3">
        <f t="shared" ref="CD107:CD136" si="79">BZ107*CB107</f>
        <v>0.33831576551470205</v>
      </c>
      <c r="CE107" s="3">
        <f t="shared" ref="CE107:CE136" si="80">BY107-BW107</f>
        <v>2.7960174616949161</v>
      </c>
    </row>
    <row r="108" spans="28:83" x14ac:dyDescent="0.2"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 s="3">
        <v>2</v>
      </c>
      <c r="BL108" s="3">
        <f t="shared" ref="BL108:BL136" si="81">IF(BR107&gt;0,BP107,BL107)</f>
        <v>3.1415926535897934E-2</v>
      </c>
      <c r="BM108" s="3">
        <v>-0.63690177228306755</v>
      </c>
      <c r="BN108" s="3">
        <f t="shared" ref="BN108:BN136" si="82">IF(BS107&gt;0,BP107,BN107)</f>
        <v>1.4294246573833558</v>
      </c>
      <c r="BO108" s="3">
        <v>1.0142563521253145</v>
      </c>
      <c r="BP108" s="3">
        <f t="shared" si="73"/>
        <v>0.73042029195962688</v>
      </c>
      <c r="BQ108" s="3">
        <v>0.66837116636166616</v>
      </c>
      <c r="BR108" s="3">
        <f t="shared" si="74"/>
        <v>-0.42568678039864616</v>
      </c>
      <c r="BS108" s="3">
        <f t="shared" si="75"/>
        <v>0.67789970105972519</v>
      </c>
      <c r="BT108" s="3">
        <f t="shared" si="76"/>
        <v>1.3980087308474578</v>
      </c>
      <c r="BU108"/>
      <c r="BV108" s="3">
        <v>2</v>
      </c>
      <c r="BW108" s="3">
        <f t="shared" ref="BW108:BW136" si="83">IF(CC107&gt;0,CA107,BW107)</f>
        <v>3.1415926535897934E-2</v>
      </c>
      <c r="BX108" s="3">
        <v>-0.55487565134938388</v>
      </c>
      <c r="BY108" s="3">
        <f t="shared" ref="BY108:BY136" si="84">IF(CD107&gt;0,CA107,BY107)</f>
        <v>1.4294246573833558</v>
      </c>
      <c r="BZ108" s="3">
        <v>1.0281181417583813</v>
      </c>
      <c r="CA108" s="3">
        <f t="shared" si="77"/>
        <v>0.73042029195962688</v>
      </c>
      <c r="CB108" s="3">
        <v>0.67871795190352291</v>
      </c>
      <c r="CC108" s="3">
        <f t="shared" si="78"/>
        <v>-0.37660406564498705</v>
      </c>
      <c r="CD108" s="3">
        <f t="shared" si="79"/>
        <v>0.69780223948910447</v>
      </c>
      <c r="CE108" s="3">
        <f t="shared" si="80"/>
        <v>1.3980087308474578</v>
      </c>
    </row>
    <row r="109" spans="28:83" x14ac:dyDescent="0.2"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s="3">
        <v>3</v>
      </c>
      <c r="BL109" s="3">
        <f t="shared" si="81"/>
        <v>3.1415926535897934E-2</v>
      </c>
      <c r="BM109" s="3">
        <v>-0.63690177228306755</v>
      </c>
      <c r="BN109" s="3">
        <f t="shared" si="82"/>
        <v>0.73042029195962688</v>
      </c>
      <c r="BO109" s="3">
        <v>0.66837116636166616</v>
      </c>
      <c r="BP109" s="3">
        <f t="shared" si="73"/>
        <v>0.38091810924776243</v>
      </c>
      <c r="BQ109" s="3">
        <v>0.35698463960413057</v>
      </c>
      <c r="BR109" s="3">
        <f t="shared" si="74"/>
        <v>-0.2273641496417029</v>
      </c>
      <c r="BS109" s="3">
        <f t="shared" si="75"/>
        <v>0.23859823994541179</v>
      </c>
      <c r="BT109" s="3">
        <f t="shared" si="76"/>
        <v>0.6990043654237289</v>
      </c>
      <c r="BU109"/>
      <c r="BV109" s="3">
        <v>3</v>
      </c>
      <c r="BW109" s="3">
        <f t="shared" si="83"/>
        <v>3.1415926535897934E-2</v>
      </c>
      <c r="BX109" s="3">
        <v>-0.55487565134938388</v>
      </c>
      <c r="BY109" s="3">
        <f t="shared" si="84"/>
        <v>0.73042029195962688</v>
      </c>
      <c r="BZ109" s="3">
        <v>0.67871795190352291</v>
      </c>
      <c r="CA109" s="3">
        <f t="shared" si="77"/>
        <v>0.38091810924776243</v>
      </c>
      <c r="CB109" s="3">
        <v>0.36904606163837572</v>
      </c>
      <c r="CC109" s="3">
        <f t="shared" si="78"/>
        <v>-0.20477467382951861</v>
      </c>
      <c r="CD109" s="3">
        <f t="shared" si="79"/>
        <v>0.25047818711325964</v>
      </c>
      <c r="CE109" s="3">
        <f t="shared" si="80"/>
        <v>0.6990043654237289</v>
      </c>
    </row>
    <row r="110" spans="28:83" x14ac:dyDescent="0.2"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s="3">
        <v>4</v>
      </c>
      <c r="BL110" s="3">
        <f t="shared" si="81"/>
        <v>3.1415926535897934E-2</v>
      </c>
      <c r="BM110" s="3">
        <v>-0.63690177228306755</v>
      </c>
      <c r="BN110" s="3">
        <f t="shared" si="82"/>
        <v>0.38091810924776243</v>
      </c>
      <c r="BO110" s="3">
        <v>0.35698463960413057</v>
      </c>
      <c r="BP110" s="3">
        <f t="shared" si="73"/>
        <v>0.20616701789183017</v>
      </c>
      <c r="BQ110" s="3">
        <v>0.11096335169421856</v>
      </c>
      <c r="BR110" s="3">
        <f t="shared" si="74"/>
        <v>-7.067275535251713E-2</v>
      </c>
      <c r="BS110" s="3">
        <f t="shared" si="75"/>
        <v>3.9612212113827004E-2</v>
      </c>
      <c r="BT110" s="3">
        <f t="shared" si="76"/>
        <v>0.34950218271186451</v>
      </c>
      <c r="BU110"/>
      <c r="BV110" s="3">
        <v>4</v>
      </c>
      <c r="BW110" s="3">
        <f t="shared" si="83"/>
        <v>3.1415926535897934E-2</v>
      </c>
      <c r="BX110" s="3">
        <v>-0.55487565134938388</v>
      </c>
      <c r="BY110" s="3">
        <f t="shared" si="84"/>
        <v>0.38091810924776243</v>
      </c>
      <c r="BZ110" s="3">
        <v>0.36904606163837572</v>
      </c>
      <c r="CA110" s="3">
        <f t="shared" si="77"/>
        <v>0.20616701789183017</v>
      </c>
      <c r="CB110" s="3">
        <v>0.11161821305266477</v>
      </c>
      <c r="CC110" s="3">
        <f t="shared" si="78"/>
        <v>-6.1934228670051668E-2</v>
      </c>
      <c r="CD110" s="3">
        <f t="shared" si="79"/>
        <v>4.1192261934199073E-2</v>
      </c>
      <c r="CE110" s="3">
        <f t="shared" si="80"/>
        <v>0.34950218271186451</v>
      </c>
    </row>
    <row r="111" spans="28:83" x14ac:dyDescent="0.2"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s="3">
        <v>5</v>
      </c>
      <c r="BL111" s="3">
        <f t="shared" si="81"/>
        <v>3.1415926535897934E-2</v>
      </c>
      <c r="BM111" s="3">
        <v>-0.63690177228306755</v>
      </c>
      <c r="BN111" s="3">
        <f t="shared" si="82"/>
        <v>0.20616701789183017</v>
      </c>
      <c r="BO111" s="3">
        <v>0.11096335169421856</v>
      </c>
      <c r="BP111" s="3">
        <f t="shared" si="73"/>
        <v>0.11879147221386405</v>
      </c>
      <c r="BQ111" s="3">
        <v>-7.0263571877073619E-2</v>
      </c>
      <c r="BR111" s="3">
        <f t="shared" si="74"/>
        <v>4.4750993455446891E-2</v>
      </c>
      <c r="BS111" s="3">
        <f t="shared" si="75"/>
        <v>-7.7966814374877246E-3</v>
      </c>
      <c r="BT111" s="3">
        <f t="shared" si="76"/>
        <v>0.17475109135593225</v>
      </c>
      <c r="BU111"/>
      <c r="BV111" s="3">
        <v>5</v>
      </c>
      <c r="BW111" s="3">
        <f t="shared" si="83"/>
        <v>3.1415926535897934E-2</v>
      </c>
      <c r="BX111" s="3">
        <v>-0.55487565134938388</v>
      </c>
      <c r="BY111" s="3">
        <f t="shared" si="84"/>
        <v>0.20616701789183017</v>
      </c>
      <c r="BZ111" s="3">
        <v>0.11161821305266477</v>
      </c>
      <c r="CA111" s="3">
        <f t="shared" si="77"/>
        <v>0.11879147221386405</v>
      </c>
      <c r="CB111" s="3">
        <v>-6.4969228822327613E-2</v>
      </c>
      <c r="CC111" s="3">
        <f t="shared" si="78"/>
        <v>3.6049843160456202E-2</v>
      </c>
      <c r="CD111" s="3">
        <f t="shared" si="79"/>
        <v>-7.2517492245578923E-3</v>
      </c>
      <c r="CE111" s="3">
        <f t="shared" si="80"/>
        <v>0.17475109135593225</v>
      </c>
    </row>
    <row r="112" spans="28:83" x14ac:dyDescent="0.2"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 s="3">
        <v>6</v>
      </c>
      <c r="BL112" s="3">
        <f t="shared" si="81"/>
        <v>0.11879147221386405</v>
      </c>
      <c r="BM112" s="3">
        <v>-7.0263571877073619E-2</v>
      </c>
      <c r="BN112" s="3">
        <f t="shared" si="82"/>
        <v>0.20616701789183017</v>
      </c>
      <c r="BO112" s="3">
        <v>0.11096335169421856</v>
      </c>
      <c r="BP112" s="3">
        <f t="shared" si="73"/>
        <v>0.16247924505284711</v>
      </c>
      <c r="BQ112" s="3">
        <v>3.0323049282959352E-2</v>
      </c>
      <c r="BR112" s="3">
        <f t="shared" si="74"/>
        <v>-2.1306057528252599E-3</v>
      </c>
      <c r="BS112" s="3">
        <f t="shared" si="75"/>
        <v>3.3647471820261407E-3</v>
      </c>
      <c r="BT112" s="3">
        <f t="shared" si="76"/>
        <v>8.7375545677966127E-2</v>
      </c>
      <c r="BU112"/>
      <c r="BV112" s="3">
        <v>6</v>
      </c>
      <c r="BW112" s="3">
        <f t="shared" si="83"/>
        <v>0.11879147221386405</v>
      </c>
      <c r="BX112" s="3">
        <v>-6.4969228822327613E-2</v>
      </c>
      <c r="BY112" s="3">
        <f t="shared" si="84"/>
        <v>0.20616701789183017</v>
      </c>
      <c r="BZ112" s="3">
        <v>0.11161821305266477</v>
      </c>
      <c r="CA112" s="3">
        <f t="shared" si="77"/>
        <v>0.16247924505284711</v>
      </c>
      <c r="CB112" s="3">
        <v>3.0416628302439793E-2</v>
      </c>
      <c r="CC112" s="3">
        <f t="shared" si="78"/>
        <v>-1.9761448841848972E-3</v>
      </c>
      <c r="CD112" s="3">
        <f t="shared" si="79"/>
        <v>3.3950496982054382E-3</v>
      </c>
      <c r="CE112" s="3">
        <f t="shared" si="80"/>
        <v>8.7375545677966127E-2</v>
      </c>
    </row>
    <row r="113" spans="39:83" x14ac:dyDescent="0.2"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s="3">
        <v>7</v>
      </c>
      <c r="BL113" s="3">
        <f t="shared" si="81"/>
        <v>0.11879147221386405</v>
      </c>
      <c r="BM113" s="3">
        <v>-7.0263571877073619E-2</v>
      </c>
      <c r="BN113" s="3">
        <f t="shared" si="82"/>
        <v>0.16247924505284711</v>
      </c>
      <c r="BO113" s="3">
        <v>3.0323049282959352E-2</v>
      </c>
      <c r="BP113" s="3">
        <f t="shared" si="73"/>
        <v>0.14063535863335558</v>
      </c>
      <c r="BQ113" s="3">
        <v>-1.6384931725758209E-2</v>
      </c>
      <c r="BR113" s="3">
        <f t="shared" si="74"/>
        <v>1.1512638280137559E-3</v>
      </c>
      <c r="BS113" s="3">
        <f t="shared" si="75"/>
        <v>-4.968410922180904E-4</v>
      </c>
      <c r="BT113" s="3">
        <f t="shared" si="76"/>
        <v>4.3687772838983063E-2</v>
      </c>
      <c r="BU113"/>
      <c r="BV113" s="3">
        <v>7</v>
      </c>
      <c r="BW113" s="3">
        <f t="shared" si="83"/>
        <v>0.11879147221386405</v>
      </c>
      <c r="BX113" s="3">
        <v>-6.4969228822327613E-2</v>
      </c>
      <c r="BY113" s="3">
        <f t="shared" si="84"/>
        <v>0.16247924505284711</v>
      </c>
      <c r="BZ113" s="3">
        <v>3.0416628302439793E-2</v>
      </c>
      <c r="CA113" s="3">
        <f t="shared" si="77"/>
        <v>0.14063535863335558</v>
      </c>
      <c r="CB113" s="3">
        <v>-1.4763971619391142E-2</v>
      </c>
      <c r="CC113" s="3">
        <f t="shared" si="78"/>
        <v>9.5920385046657384E-4</v>
      </c>
      <c r="CD113" s="3">
        <f t="shared" si="79"/>
        <v>-4.4907023701479048E-4</v>
      </c>
      <c r="CE113" s="3">
        <f t="shared" si="80"/>
        <v>4.3687772838983063E-2</v>
      </c>
    </row>
    <row r="114" spans="39:83" x14ac:dyDescent="0.2"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s="3">
        <v>8</v>
      </c>
      <c r="BL114" s="3">
        <f t="shared" si="81"/>
        <v>0.14063535863335558</v>
      </c>
      <c r="BM114" s="3">
        <v>-1.6384931725758209E-2</v>
      </c>
      <c r="BN114" s="3">
        <f t="shared" si="82"/>
        <v>0.16247924505284711</v>
      </c>
      <c r="BO114" s="3">
        <v>3.0323049282959352E-2</v>
      </c>
      <c r="BP114" s="3">
        <f t="shared" si="73"/>
        <v>0.15155730184310134</v>
      </c>
      <c r="BQ114" s="3">
        <v>7.6790051833308982E-3</v>
      </c>
      <c r="BR114" s="3">
        <f t="shared" si="74"/>
        <v>-1.2581997565062016E-4</v>
      </c>
      <c r="BS114" s="3">
        <f t="shared" si="75"/>
        <v>2.3285085261824315E-4</v>
      </c>
      <c r="BT114" s="3">
        <f t="shared" si="76"/>
        <v>2.1843886419491532E-2</v>
      </c>
      <c r="BU114"/>
      <c r="BV114" s="3">
        <v>8</v>
      </c>
      <c r="BW114" s="3">
        <f t="shared" si="83"/>
        <v>0.14063535863335558</v>
      </c>
      <c r="BX114" s="3">
        <v>-1.4763971619391142E-2</v>
      </c>
      <c r="BY114" s="3">
        <f t="shared" si="84"/>
        <v>0.16247924505284711</v>
      </c>
      <c r="BZ114" s="3">
        <v>3.0416628302439793E-2</v>
      </c>
      <c r="CA114" s="3">
        <f t="shared" si="77"/>
        <v>0.15155730184310134</v>
      </c>
      <c r="CB114" s="3">
        <v>8.3241677458609185E-3</v>
      </c>
      <c r="CC114" s="3">
        <f t="shared" si="78"/>
        <v>-1.2289777635494175E-4</v>
      </c>
      <c r="CD114" s="3">
        <f t="shared" si="79"/>
        <v>2.5319311625300969E-4</v>
      </c>
      <c r="CE114" s="3">
        <f t="shared" si="80"/>
        <v>2.1843886419491532E-2</v>
      </c>
    </row>
    <row r="115" spans="39:83" x14ac:dyDescent="0.2"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 s="3">
        <v>9</v>
      </c>
      <c r="BL115" s="3">
        <f t="shared" si="81"/>
        <v>0.14063535863335558</v>
      </c>
      <c r="BM115" s="3">
        <v>-1.6384931725758209E-2</v>
      </c>
      <c r="BN115" s="3">
        <f t="shared" si="82"/>
        <v>0.15155730184310134</v>
      </c>
      <c r="BO115" s="3">
        <v>7.6790051833308982E-3</v>
      </c>
      <c r="BP115" s="3">
        <f t="shared" si="73"/>
        <v>0.14609633023822846</v>
      </c>
      <c r="BQ115" s="3">
        <v>-4.1565360509933161E-3</v>
      </c>
      <c r="BR115" s="3">
        <f t="shared" si="74"/>
        <v>6.8104559411178131E-5</v>
      </c>
      <c r="BS115" s="3">
        <f t="shared" si="75"/>
        <v>-3.1918061880279419E-5</v>
      </c>
      <c r="BT115" s="3">
        <f t="shared" si="76"/>
        <v>1.0921943209745766E-2</v>
      </c>
      <c r="BU115"/>
      <c r="BV115" s="3">
        <v>9</v>
      </c>
      <c r="BW115" s="3">
        <f t="shared" si="83"/>
        <v>0.14063535863335558</v>
      </c>
      <c r="BX115" s="3">
        <v>-1.4763971619391142E-2</v>
      </c>
      <c r="BY115" s="3">
        <f t="shared" si="84"/>
        <v>0.15155730184310134</v>
      </c>
      <c r="BZ115" s="3">
        <v>8.3241677458609185E-3</v>
      </c>
      <c r="CA115" s="3">
        <f t="shared" si="77"/>
        <v>0.14609633023822846</v>
      </c>
      <c r="CB115" s="3">
        <v>-3.0825577167817135E-3</v>
      </c>
      <c r="CC115" s="3">
        <f t="shared" si="78"/>
        <v>4.5510794645700373E-5</v>
      </c>
      <c r="CD115" s="3">
        <f t="shared" si="79"/>
        <v>-2.5659727520789017E-5</v>
      </c>
      <c r="CE115" s="3">
        <f t="shared" si="80"/>
        <v>1.0921943209745766E-2</v>
      </c>
    </row>
    <row r="116" spans="39:83" x14ac:dyDescent="0.2"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s="3">
        <v>10</v>
      </c>
      <c r="BL116" s="3">
        <f t="shared" si="81"/>
        <v>0.14609633023822846</v>
      </c>
      <c r="BM116" s="3">
        <v>-4.1565360509933161E-3</v>
      </c>
      <c r="BN116" s="3">
        <f t="shared" si="82"/>
        <v>0.15155730184310134</v>
      </c>
      <c r="BO116" s="3">
        <v>7.6790051833308982E-3</v>
      </c>
      <c r="BP116" s="3">
        <f t="shared" si="73"/>
        <v>0.14882681604066489</v>
      </c>
      <c r="BQ116" s="3">
        <v>1.8077546341313949E-3</v>
      </c>
      <c r="BR116" s="3">
        <f t="shared" si="74"/>
        <v>-7.5139973081173754E-6</v>
      </c>
      <c r="BS116" s="3">
        <f t="shared" si="75"/>
        <v>1.3881757205685433E-5</v>
      </c>
      <c r="BT116" s="3">
        <f t="shared" si="76"/>
        <v>5.4609716048728829E-3</v>
      </c>
      <c r="BU116"/>
      <c r="BV116" s="3">
        <v>10</v>
      </c>
      <c r="BW116" s="3">
        <f t="shared" si="83"/>
        <v>0.14609633023822846</v>
      </c>
      <c r="BX116" s="3">
        <v>-3.0825577167817135E-3</v>
      </c>
      <c r="BY116" s="3">
        <f t="shared" si="84"/>
        <v>0.15155730184310134</v>
      </c>
      <c r="BZ116" s="3">
        <v>8.3241677458609185E-3</v>
      </c>
      <c r="CA116" s="3">
        <f t="shared" si="77"/>
        <v>0.14882681604066489</v>
      </c>
      <c r="CB116" s="3">
        <v>2.6533634877212928E-3</v>
      </c>
      <c r="CC116" s="3">
        <f t="shared" si="78"/>
        <v>-8.1791460945021125E-6</v>
      </c>
      <c r="CD116" s="3">
        <f t="shared" si="79"/>
        <v>2.208704276253462E-5</v>
      </c>
      <c r="CE116" s="3">
        <f t="shared" si="80"/>
        <v>5.4609716048728829E-3</v>
      </c>
    </row>
    <row r="117" spans="39:83" x14ac:dyDescent="0.2"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 s="3">
        <v>11</v>
      </c>
      <c r="BL117" s="3">
        <f t="shared" si="81"/>
        <v>0.14609633023822846</v>
      </c>
      <c r="BM117" s="3">
        <v>-4.1565360509933161E-3</v>
      </c>
      <c r="BN117" s="3">
        <f t="shared" si="82"/>
        <v>0.14882681604066489</v>
      </c>
      <c r="BO117" s="3">
        <v>1.8077546341313949E-3</v>
      </c>
      <c r="BP117" s="3">
        <f t="shared" si="73"/>
        <v>0.14746157313944669</v>
      </c>
      <c r="BQ117" s="3">
        <v>-1.162452395274495E-3</v>
      </c>
      <c r="BR117" s="3">
        <f t="shared" si="74"/>
        <v>4.8317752885219707E-6</v>
      </c>
      <c r="BS117" s="3">
        <f t="shared" si="75"/>
        <v>-2.1014287045146084E-6</v>
      </c>
      <c r="BT117" s="3">
        <f t="shared" si="76"/>
        <v>2.7304858024364276E-3</v>
      </c>
      <c r="BU117"/>
      <c r="BV117" s="3">
        <v>11</v>
      </c>
      <c r="BW117" s="3">
        <f t="shared" si="83"/>
        <v>0.14609633023822846</v>
      </c>
      <c r="BX117" s="3">
        <v>-3.0825577167817135E-3</v>
      </c>
      <c r="BY117" s="3">
        <f t="shared" si="84"/>
        <v>0.14882681604066489</v>
      </c>
      <c r="BZ117" s="3">
        <v>2.6533634877212928E-3</v>
      </c>
      <c r="CA117" s="3">
        <f t="shared" si="77"/>
        <v>0.14746157313944669</v>
      </c>
      <c r="CB117" s="3">
        <v>-2.0624686461083452E-4</v>
      </c>
      <c r="CC117" s="3">
        <f t="shared" si="78"/>
        <v>6.3576786406816129E-7</v>
      </c>
      <c r="CD117" s="3">
        <f t="shared" si="79"/>
        <v>-5.4724790001538512E-7</v>
      </c>
      <c r="CE117" s="3">
        <f t="shared" si="80"/>
        <v>2.7304858024364276E-3</v>
      </c>
    </row>
    <row r="118" spans="39:83" x14ac:dyDescent="0.2"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 s="3">
        <v>12</v>
      </c>
      <c r="BL118" s="3">
        <f t="shared" si="81"/>
        <v>0.14746157313944669</v>
      </c>
      <c r="BM118" s="3">
        <v>-1.162452395274495E-3</v>
      </c>
      <c r="BN118" s="3">
        <f t="shared" si="82"/>
        <v>0.14882681604066489</v>
      </c>
      <c r="BO118" s="3">
        <v>1.8077546341313949E-3</v>
      </c>
      <c r="BP118" s="3">
        <f t="shared" si="73"/>
        <v>0.14814419459005579</v>
      </c>
      <c r="BQ118" s="3">
        <v>3.2559626640858014E-4</v>
      </c>
      <c r="BR118" s="3">
        <f t="shared" si="74"/>
        <v>-3.784901597790866E-7</v>
      </c>
      <c r="BS118" s="3">
        <f t="shared" si="75"/>
        <v>5.8859815945599093E-7</v>
      </c>
      <c r="BT118" s="3">
        <f t="shared" si="76"/>
        <v>1.3652429012181999E-3</v>
      </c>
      <c r="BU118"/>
      <c r="BV118" s="3">
        <v>12</v>
      </c>
      <c r="BW118" s="3">
        <f t="shared" si="83"/>
        <v>0.14746157313944669</v>
      </c>
      <c r="BX118" s="3">
        <v>-2.0624686461083452E-4</v>
      </c>
      <c r="BY118" s="3">
        <f t="shared" si="84"/>
        <v>0.14882681604066489</v>
      </c>
      <c r="BZ118" s="3">
        <v>2.6533634877212928E-3</v>
      </c>
      <c r="CA118" s="3">
        <f t="shared" si="77"/>
        <v>0.14814419459005579</v>
      </c>
      <c r="CB118" s="3">
        <v>1.2256188609584273E-3</v>
      </c>
      <c r="CC118" s="3">
        <f t="shared" si="78"/>
        <v>-2.52780047280578E-7</v>
      </c>
      <c r="CD118" s="3">
        <f t="shared" si="79"/>
        <v>3.2520123355296509E-6</v>
      </c>
      <c r="CE118" s="3">
        <f t="shared" si="80"/>
        <v>1.3652429012181999E-3</v>
      </c>
    </row>
    <row r="119" spans="39:83" x14ac:dyDescent="0.2"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 s="3">
        <v>13</v>
      </c>
      <c r="BL119" s="3">
        <f t="shared" si="81"/>
        <v>0.14746157313944669</v>
      </c>
      <c r="BM119" s="3">
        <v>-1.162452395274495E-3</v>
      </c>
      <c r="BN119" s="3">
        <f t="shared" si="82"/>
        <v>0.14814419459005579</v>
      </c>
      <c r="BO119" s="3">
        <v>3.2559626640858014E-4</v>
      </c>
      <c r="BP119" s="3">
        <f t="shared" si="73"/>
        <v>0.14780288386475124</v>
      </c>
      <c r="BQ119" s="3">
        <v>-4.1768690603980613E-4</v>
      </c>
      <c r="BR119" s="3">
        <f t="shared" si="74"/>
        <v>4.855411444007656E-7</v>
      </c>
      <c r="BS119" s="3">
        <f t="shared" si="75"/>
        <v>-1.3599729713431228E-7</v>
      </c>
      <c r="BT119" s="3">
        <f t="shared" si="76"/>
        <v>6.8262145060909996E-4</v>
      </c>
      <c r="BU119"/>
      <c r="BV119" s="3">
        <v>13</v>
      </c>
      <c r="BW119" s="3">
        <f t="shared" si="83"/>
        <v>0.14746157313944669</v>
      </c>
      <c r="BX119" s="3">
        <v>-2.0624686461083452E-4</v>
      </c>
      <c r="BY119" s="3">
        <f t="shared" si="84"/>
        <v>0.14814419459005579</v>
      </c>
      <c r="BZ119" s="3">
        <v>1.2256188609584273E-3</v>
      </c>
      <c r="CA119" s="3">
        <f t="shared" si="77"/>
        <v>0.14780288386475124</v>
      </c>
      <c r="CB119" s="3">
        <v>5.1020446825162866E-4</v>
      </c>
      <c r="CC119" s="3">
        <f t="shared" si="78"/>
        <v>-1.0522807188733648E-7</v>
      </c>
      <c r="CD119" s="3">
        <f t="shared" si="79"/>
        <v>6.2531621923446119E-7</v>
      </c>
      <c r="CE119" s="3">
        <f t="shared" si="80"/>
        <v>6.8262145060909996E-4</v>
      </c>
    </row>
    <row r="120" spans="39:83" x14ac:dyDescent="0.2"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 s="3">
        <v>14</v>
      </c>
      <c r="BL120" s="3">
        <f t="shared" si="81"/>
        <v>0.14780288386475124</v>
      </c>
      <c r="BM120" s="3">
        <v>-4.1768690603980613E-4</v>
      </c>
      <c r="BN120" s="3">
        <f t="shared" si="82"/>
        <v>0.14814419459005579</v>
      </c>
      <c r="BO120" s="3">
        <v>3.2559626640858014E-4</v>
      </c>
      <c r="BP120" s="3">
        <f t="shared" si="73"/>
        <v>0.14797353922740353</v>
      </c>
      <c r="BQ120" s="3">
        <v>-4.5860642708516614E-5</v>
      </c>
      <c r="BR120" s="3">
        <f t="shared" si="74"/>
        <v>1.91553899619173E-8</v>
      </c>
      <c r="BS120" s="3">
        <f t="shared" si="75"/>
        <v>-1.4932054040990884E-8</v>
      </c>
      <c r="BT120" s="3">
        <f t="shared" si="76"/>
        <v>3.4131072530454998E-4</v>
      </c>
      <c r="BU120"/>
      <c r="BV120" s="3">
        <v>14</v>
      </c>
      <c r="BW120" s="3">
        <f t="shared" si="83"/>
        <v>0.14746157313944669</v>
      </c>
      <c r="BX120" s="3">
        <v>-2.0624686461083452E-4</v>
      </c>
      <c r="BY120" s="3">
        <f t="shared" si="84"/>
        <v>0.14780288386475124</v>
      </c>
      <c r="BZ120" s="3">
        <v>5.1020446825162866E-4</v>
      </c>
      <c r="CA120" s="3">
        <f t="shared" si="77"/>
        <v>0.14763222850209895</v>
      </c>
      <c r="CB120" s="3">
        <v>1.5210883973031455E-4</v>
      </c>
      <c r="CC120" s="3">
        <f t="shared" si="78"/>
        <v>-3.1371971273969311E-8</v>
      </c>
      <c r="CD120" s="3">
        <f t="shared" si="79"/>
        <v>7.7606609690977343E-8</v>
      </c>
      <c r="CE120" s="3">
        <f t="shared" si="80"/>
        <v>3.4131072530454998E-4</v>
      </c>
    </row>
    <row r="121" spans="39:83" x14ac:dyDescent="0.2"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 s="3">
        <v>15</v>
      </c>
      <c r="BL121" s="3">
        <f t="shared" si="81"/>
        <v>0.14797353922740353</v>
      </c>
      <c r="BM121" s="3">
        <v>-4.5860642708516614E-5</v>
      </c>
      <c r="BN121" s="3">
        <f t="shared" si="82"/>
        <v>0.14814419459005579</v>
      </c>
      <c r="BO121" s="3">
        <v>3.2559626640858014E-4</v>
      </c>
      <c r="BP121" s="3">
        <f t="shared" si="73"/>
        <v>0.14805886690872966</v>
      </c>
      <c r="BQ121" s="3">
        <v>1.3991390487626612E-4</v>
      </c>
      <c r="BR121" s="3">
        <f t="shared" si="74"/>
        <v>-6.4165416014838213E-9</v>
      </c>
      <c r="BS121" s="3">
        <f t="shared" si="75"/>
        <v>4.5555445046357484E-8</v>
      </c>
      <c r="BT121" s="3">
        <f t="shared" si="76"/>
        <v>1.7065536265226111E-4</v>
      </c>
      <c r="BU121"/>
      <c r="BV121" s="3">
        <v>15</v>
      </c>
      <c r="BW121" s="3">
        <f t="shared" si="83"/>
        <v>0.14746157313944669</v>
      </c>
      <c r="BX121" s="3">
        <v>-2.0624686461083452E-4</v>
      </c>
      <c r="BY121" s="3">
        <f t="shared" si="84"/>
        <v>0.14763222850209895</v>
      </c>
      <c r="BZ121" s="3">
        <v>1.5210883973031455E-4</v>
      </c>
      <c r="CA121" s="3">
        <f t="shared" si="77"/>
        <v>0.14754690082077282</v>
      </c>
      <c r="CB121" s="3">
        <v>-2.703645017429826E-5</v>
      </c>
      <c r="CC121" s="3">
        <f t="shared" si="78"/>
        <v>5.576183078656067E-9</v>
      </c>
      <c r="CD121" s="3">
        <f t="shared" si="79"/>
        <v>-4.1124830664389689E-9</v>
      </c>
      <c r="CE121" s="3">
        <f t="shared" si="80"/>
        <v>1.7065536265226111E-4</v>
      </c>
    </row>
    <row r="122" spans="39:83" x14ac:dyDescent="0.2"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 s="3">
        <v>16</v>
      </c>
      <c r="BL122" s="3">
        <f t="shared" si="81"/>
        <v>0.14797353922740353</v>
      </c>
      <c r="BM122" s="3">
        <v>-4.5860642708516614E-5</v>
      </c>
      <c r="BN122" s="3">
        <f t="shared" si="82"/>
        <v>0.14805886690872966</v>
      </c>
      <c r="BO122" s="3">
        <v>1.3991390487626612E-4</v>
      </c>
      <c r="BP122" s="3">
        <f t="shared" si="73"/>
        <v>0.14801620306806659</v>
      </c>
      <c r="BQ122" s="3">
        <v>4.7038163857902188E-5</v>
      </c>
      <c r="BR122" s="3">
        <f t="shared" si="74"/>
        <v>-2.1572004263519118E-9</v>
      </c>
      <c r="BS122" s="3">
        <f t="shared" si="75"/>
        <v>6.5812931835687457E-9</v>
      </c>
      <c r="BT122" s="3">
        <f t="shared" si="76"/>
        <v>8.5327681326130556E-5</v>
      </c>
      <c r="BU122"/>
      <c r="BV122" s="3">
        <v>16</v>
      </c>
      <c r="BW122" s="3">
        <f t="shared" si="83"/>
        <v>0.14754690082077282</v>
      </c>
      <c r="BX122" s="3">
        <v>-2.703645017429826E-5</v>
      </c>
      <c r="BY122" s="3">
        <f t="shared" si="84"/>
        <v>0.14763222850209895</v>
      </c>
      <c r="BZ122" s="3">
        <v>1.5210883973031455E-4</v>
      </c>
      <c r="CA122" s="3">
        <f t="shared" si="77"/>
        <v>0.14758956466143588</v>
      </c>
      <c r="CB122" s="3">
        <v>6.2544328735182619E-5</v>
      </c>
      <c r="CC122" s="3">
        <f t="shared" si="78"/>
        <v>-1.6909766275336958E-9</v>
      </c>
      <c r="CD122" s="3">
        <f t="shared" si="79"/>
        <v>9.5135452756200002E-9</v>
      </c>
      <c r="CE122" s="3">
        <f t="shared" si="80"/>
        <v>8.5327681326130556E-5</v>
      </c>
    </row>
    <row r="123" spans="39:83" x14ac:dyDescent="0.2"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 s="3">
        <v>17</v>
      </c>
      <c r="BL123" s="3">
        <f t="shared" si="81"/>
        <v>0.14797353922740353</v>
      </c>
      <c r="BM123" s="3">
        <v>-4.5860642708516614E-5</v>
      </c>
      <c r="BN123" s="3">
        <f t="shared" si="82"/>
        <v>0.14801620306806659</v>
      </c>
      <c r="BO123" s="3">
        <v>4.7038163857902188E-5</v>
      </c>
      <c r="BP123" s="3">
        <f t="shared" si="73"/>
        <v>0.14799487114773507</v>
      </c>
      <c r="BQ123" s="3">
        <v>5.9164495913588411E-7</v>
      </c>
      <c r="BR123" s="3">
        <f t="shared" si="74"/>
        <v>-2.7133218081225692E-11</v>
      </c>
      <c r="BS123" s="3">
        <f t="shared" si="75"/>
        <v>2.7829892533535561E-11</v>
      </c>
      <c r="BT123" s="3">
        <f t="shared" si="76"/>
        <v>4.2663840663065278E-5</v>
      </c>
      <c r="BU123"/>
      <c r="BV123" s="3">
        <v>17</v>
      </c>
      <c r="BW123" s="3">
        <f t="shared" si="83"/>
        <v>0.14754690082077282</v>
      </c>
      <c r="BX123" s="3">
        <v>-2.703645017429826E-5</v>
      </c>
      <c r="BY123" s="3">
        <f t="shared" si="84"/>
        <v>0.14758956466143588</v>
      </c>
      <c r="BZ123" s="3">
        <v>6.2544328735182619E-5</v>
      </c>
      <c r="CA123" s="3">
        <f t="shared" si="77"/>
        <v>0.14756823274110437</v>
      </c>
      <c r="CB123" s="3">
        <v>1.7755973595202229E-5</v>
      </c>
      <c r="CC123" s="3">
        <f t="shared" si="78"/>
        <v>-4.8005849540284059E-10</v>
      </c>
      <c r="CD123" s="3">
        <f t="shared" si="79"/>
        <v>1.1105354495515506E-9</v>
      </c>
      <c r="CE123" s="3">
        <f t="shared" si="80"/>
        <v>4.2663840663065278E-5</v>
      </c>
    </row>
    <row r="124" spans="39:83" x14ac:dyDescent="0.2"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 s="3">
        <v>18</v>
      </c>
      <c r="BL124" s="3">
        <f t="shared" si="81"/>
        <v>0.14797353922740353</v>
      </c>
      <c r="BM124" s="3">
        <v>-4.5860642708516614E-5</v>
      </c>
      <c r="BN124" s="3">
        <f t="shared" si="82"/>
        <v>0.14799487114773507</v>
      </c>
      <c r="BO124" s="3">
        <v>5.9164495913588411E-7</v>
      </c>
      <c r="BP124" s="3">
        <f t="shared" si="73"/>
        <v>0.1479842051875693</v>
      </c>
      <c r="BQ124" s="3">
        <v>-2.263377762960761E-5</v>
      </c>
      <c r="BR124" s="3">
        <f t="shared" si="74"/>
        <v>1.0379995890154507E-9</v>
      </c>
      <c r="BS124" s="3">
        <f t="shared" si="75"/>
        <v>-1.3391160440759882E-11</v>
      </c>
      <c r="BT124" s="3">
        <f t="shared" si="76"/>
        <v>2.1331920331546517E-5</v>
      </c>
      <c r="BU124"/>
      <c r="BV124" s="3">
        <v>18</v>
      </c>
      <c r="BW124" s="3">
        <f t="shared" si="83"/>
        <v>0.14754690082077282</v>
      </c>
      <c r="BX124" s="3">
        <v>-2.703645017429826E-5</v>
      </c>
      <c r="BY124" s="3">
        <f t="shared" si="84"/>
        <v>0.14756823274110437</v>
      </c>
      <c r="BZ124" s="3">
        <v>1.7755973595202229E-5</v>
      </c>
      <c r="CA124" s="3">
        <f t="shared" si="77"/>
        <v>0.14755756678093859</v>
      </c>
      <c r="CB124" s="3">
        <v>-4.6397296075487149E-6</v>
      </c>
      <c r="CC124" s="3">
        <f t="shared" si="78"/>
        <v>1.2544181835670725E-10</v>
      </c>
      <c r="CD124" s="3">
        <f t="shared" si="79"/>
        <v>-8.2382916400512989E-11</v>
      </c>
      <c r="CE124" s="3">
        <f t="shared" si="80"/>
        <v>2.1331920331546517E-5</v>
      </c>
    </row>
    <row r="125" spans="39:83" x14ac:dyDescent="0.2"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 s="3">
        <v>19</v>
      </c>
      <c r="BL125" s="3">
        <f t="shared" si="81"/>
        <v>0.1479842051875693</v>
      </c>
      <c r="BM125" s="3">
        <v>-2.263377762960761E-5</v>
      </c>
      <c r="BN125" s="3">
        <f t="shared" si="82"/>
        <v>0.14799487114773507</v>
      </c>
      <c r="BO125" s="3">
        <v>5.9164495913588411E-7</v>
      </c>
      <c r="BP125" s="3">
        <f t="shared" si="73"/>
        <v>0.1479895381676522</v>
      </c>
      <c r="BQ125" s="3">
        <v>-1.102088604256618E-5</v>
      </c>
      <c r="BR125" s="3">
        <f t="shared" si="74"/>
        <v>2.4944428396868913E-10</v>
      </c>
      <c r="BS125" s="3">
        <f t="shared" si="75"/>
        <v>-6.5204516722953031E-12</v>
      </c>
      <c r="BT125" s="3">
        <f t="shared" si="76"/>
        <v>1.0665960165773258E-5</v>
      </c>
      <c r="BU125"/>
      <c r="BV125" s="3">
        <v>19</v>
      </c>
      <c r="BW125" s="3">
        <f t="shared" si="83"/>
        <v>0.14755756678093859</v>
      </c>
      <c r="BX125" s="3">
        <v>-4.6397296075487149E-6</v>
      </c>
      <c r="BY125" s="3">
        <f t="shared" si="84"/>
        <v>0.14756823274110437</v>
      </c>
      <c r="BZ125" s="3">
        <v>1.7755973595202229E-5</v>
      </c>
      <c r="CA125" s="3">
        <f t="shared" si="77"/>
        <v>0.14756289976102149</v>
      </c>
      <c r="CB125" s="3">
        <v>6.5582491514670771E-6</v>
      </c>
      <c r="CC125" s="3">
        <f t="shared" si="78"/>
        <v>-3.0428502761743033E-11</v>
      </c>
      <c r="CD125" s="3">
        <f t="shared" si="79"/>
        <v>1.1644809876420686E-10</v>
      </c>
      <c r="CE125" s="3">
        <f t="shared" si="80"/>
        <v>1.0665960165773258E-5</v>
      </c>
    </row>
    <row r="126" spans="39:83" x14ac:dyDescent="0.2"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 s="3">
        <v>20</v>
      </c>
      <c r="BL126" s="3">
        <f t="shared" si="81"/>
        <v>0.1479895381676522</v>
      </c>
      <c r="BM126" s="3">
        <v>-1.102088604256618E-5</v>
      </c>
      <c r="BN126" s="3">
        <f t="shared" si="82"/>
        <v>0.14799487114773507</v>
      </c>
      <c r="BO126" s="3">
        <v>5.9164495913588411E-7</v>
      </c>
      <c r="BP126" s="3">
        <f t="shared" si="73"/>
        <v>0.14799220465769364</v>
      </c>
      <c r="BQ126" s="3">
        <v>-5.2145754709277681E-6</v>
      </c>
      <c r="BR126" s="3">
        <f t="shared" si="74"/>
        <v>5.7469242025455803E-11</v>
      </c>
      <c r="BS126" s="3">
        <f t="shared" si="75"/>
        <v>-3.0851772914080431E-12</v>
      </c>
      <c r="BT126" s="3">
        <f t="shared" si="76"/>
        <v>5.3329800828727514E-6</v>
      </c>
      <c r="BU126"/>
      <c r="BV126" s="3">
        <v>20</v>
      </c>
      <c r="BW126" s="3">
        <f t="shared" si="83"/>
        <v>0.14755756678093859</v>
      </c>
      <c r="BX126" s="3">
        <v>-4.6397296075487149E-6</v>
      </c>
      <c r="BY126" s="3">
        <f t="shared" si="84"/>
        <v>0.14756289976102149</v>
      </c>
      <c r="BZ126" s="3">
        <v>6.5582491514670771E-6</v>
      </c>
      <c r="CA126" s="3">
        <f t="shared" si="77"/>
        <v>0.14756023327098006</v>
      </c>
      <c r="CB126" s="3">
        <v>9.5929156292140494E-7</v>
      </c>
      <c r="CC126" s="3">
        <f t="shared" si="78"/>
        <v>-4.4508534667581232E-12</v>
      </c>
      <c r="CD126" s="3">
        <f t="shared" si="79"/>
        <v>6.2912730785388304E-12</v>
      </c>
      <c r="CE126" s="3">
        <f t="shared" si="80"/>
        <v>5.332980082900507E-6</v>
      </c>
    </row>
    <row r="127" spans="39:83" x14ac:dyDescent="0.2"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 s="3">
        <v>21</v>
      </c>
      <c r="BL127" s="3">
        <f t="shared" si="81"/>
        <v>0.14799220465769364</v>
      </c>
      <c r="BM127" s="3">
        <v>-5.2145754709277681E-6</v>
      </c>
      <c r="BN127" s="3">
        <f t="shared" si="82"/>
        <v>0.14799487114773507</v>
      </c>
      <c r="BO127" s="3">
        <v>5.9164495913588411E-7</v>
      </c>
      <c r="BP127" s="3">
        <f t="shared" si="73"/>
        <v>0.14799353790271436</v>
      </c>
      <c r="BQ127" s="3">
        <v>-2.3114539884558361E-6</v>
      </c>
      <c r="BR127" s="3">
        <f t="shared" si="74"/>
        <v>1.2053251270379959E-11</v>
      </c>
      <c r="BS127" s="3">
        <f t="shared" si="75"/>
        <v>-1.3675601005444294E-12</v>
      </c>
      <c r="BT127" s="3">
        <f t="shared" si="76"/>
        <v>2.6664900414363757E-6</v>
      </c>
      <c r="BU127"/>
      <c r="BV127" s="3">
        <v>21</v>
      </c>
      <c r="BW127" s="3">
        <f t="shared" si="83"/>
        <v>0.14755756678093859</v>
      </c>
      <c r="BX127" s="3">
        <v>-4.6397296075487149E-6</v>
      </c>
      <c r="BY127" s="3">
        <f t="shared" si="84"/>
        <v>0.14756023327098006</v>
      </c>
      <c r="BZ127" s="3">
        <v>9.5929156292140494E-7</v>
      </c>
      <c r="CA127" s="3">
        <f t="shared" si="77"/>
        <v>0.14755890002595934</v>
      </c>
      <c r="CB127" s="3">
        <v>-1.8402110743484523E-6</v>
      </c>
      <c r="CC127" s="3">
        <f t="shared" si="78"/>
        <v>8.5380818057935437E-12</v>
      </c>
      <c r="CD127" s="3">
        <f t="shared" si="79"/>
        <v>-1.7652989576170046E-12</v>
      </c>
      <c r="CE127" s="3">
        <f t="shared" si="80"/>
        <v>2.6664900414641313E-6</v>
      </c>
    </row>
    <row r="128" spans="39:83" x14ac:dyDescent="0.2"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 s="3">
        <v>22</v>
      </c>
      <c r="BL128" s="3">
        <f t="shared" si="81"/>
        <v>0.14799353790271436</v>
      </c>
      <c r="BM128" s="3">
        <v>-2.3114539884558361E-6</v>
      </c>
      <c r="BN128" s="3">
        <f t="shared" si="82"/>
        <v>0.14799487114773507</v>
      </c>
      <c r="BO128" s="3">
        <v>5.9164495913588411E-7</v>
      </c>
      <c r="BP128" s="3">
        <f t="shared" si="73"/>
        <v>0.14799420452522472</v>
      </c>
      <c r="BQ128" s="3">
        <v>-8.5990169777089287E-7</v>
      </c>
      <c r="BR128" s="3">
        <f t="shared" si="74"/>
        <v>1.9876232089924753E-12</v>
      </c>
      <c r="BS128" s="3">
        <f t="shared" si="75"/>
        <v>-5.087565048385373E-13</v>
      </c>
      <c r="BT128" s="3">
        <f t="shared" si="76"/>
        <v>1.3332450207181878E-6</v>
      </c>
      <c r="BU128"/>
      <c r="BV128" s="3">
        <v>22</v>
      </c>
      <c r="BW128" s="3">
        <f t="shared" si="83"/>
        <v>0.14755890002595934</v>
      </c>
      <c r="BX128" s="3">
        <v>-1.8402110743484523E-6</v>
      </c>
      <c r="BY128" s="3">
        <f t="shared" si="84"/>
        <v>0.14756023327098006</v>
      </c>
      <c r="BZ128" s="3">
        <v>9.5929156292140494E-7</v>
      </c>
      <c r="CA128" s="3">
        <f t="shared" si="77"/>
        <v>0.1475595666484697</v>
      </c>
      <c r="CB128" s="3">
        <v>-4.4045776870227371E-7</v>
      </c>
      <c r="CC128" s="3">
        <f t="shared" si="78"/>
        <v>8.1053526374873323E-13</v>
      </c>
      <c r="CD128" s="3">
        <f t="shared" si="79"/>
        <v>-4.2252742133927882E-13</v>
      </c>
      <c r="CE128" s="3">
        <f t="shared" si="80"/>
        <v>1.3332450207181878E-6</v>
      </c>
    </row>
    <row r="129" spans="39:83" x14ac:dyDescent="0.2"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 s="3">
        <v>23</v>
      </c>
      <c r="BL129" s="3">
        <f t="shared" si="81"/>
        <v>0.14799420452522472</v>
      </c>
      <c r="BM129" s="3">
        <v>-8.5990169777089287E-7</v>
      </c>
      <c r="BN129" s="3">
        <f t="shared" si="82"/>
        <v>0.14799487114773507</v>
      </c>
      <c r="BO129" s="3">
        <v>5.9164495913588411E-7</v>
      </c>
      <c r="BP129" s="3">
        <f t="shared" si="73"/>
        <v>0.14799453783647989</v>
      </c>
      <c r="BQ129" s="3">
        <v>-1.3412766510997876E-7</v>
      </c>
      <c r="BR129" s="3">
        <f t="shared" si="74"/>
        <v>1.1533660694611649E-13</v>
      </c>
      <c r="BS129" s="3">
        <f t="shared" si="75"/>
        <v>-7.9355956942984925E-14</v>
      </c>
      <c r="BT129" s="3">
        <f t="shared" si="76"/>
        <v>6.6662251035909392E-7</v>
      </c>
      <c r="BU129"/>
      <c r="BV129" s="3">
        <v>23</v>
      </c>
      <c r="BW129" s="3">
        <f t="shared" si="83"/>
        <v>0.1475595666484697</v>
      </c>
      <c r="BX129" s="3">
        <v>-4.4045776870227371E-7</v>
      </c>
      <c r="BY129" s="3">
        <f t="shared" si="84"/>
        <v>0.14756023327098006</v>
      </c>
      <c r="BZ129" s="3">
        <v>9.5929156292140494E-7</v>
      </c>
      <c r="CA129" s="3">
        <f t="shared" si="77"/>
        <v>0.14755989995972488</v>
      </c>
      <c r="CB129" s="3">
        <v>2.5941739380946904E-7</v>
      </c>
      <c r="CC129" s="3">
        <f t="shared" si="78"/>
        <v>-1.1426240643987777E-13</v>
      </c>
      <c r="CD129" s="3">
        <f t="shared" si="79"/>
        <v>2.4885691715648315E-13</v>
      </c>
      <c r="CE129" s="3">
        <f t="shared" si="80"/>
        <v>6.6662251035909392E-7</v>
      </c>
    </row>
    <row r="130" spans="39:83" x14ac:dyDescent="0.2"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 s="3">
        <v>24</v>
      </c>
      <c r="BL130" s="3">
        <f t="shared" si="81"/>
        <v>0.14799453783647989</v>
      </c>
      <c r="BM130" s="3">
        <v>-1.3412766510997876E-7</v>
      </c>
      <c r="BN130" s="3">
        <f t="shared" si="82"/>
        <v>0.14799487114773507</v>
      </c>
      <c r="BO130" s="3">
        <v>5.9164495913588411E-7</v>
      </c>
      <c r="BP130" s="3">
        <f t="shared" si="73"/>
        <v>0.1479947044921075</v>
      </c>
      <c r="BQ130" s="3">
        <v>2.2875882310993689E-7</v>
      </c>
      <c r="BR130" s="3">
        <f t="shared" si="74"/>
        <v>-3.0682886817042487E-14</v>
      </c>
      <c r="BS130" s="3">
        <f t="shared" si="75"/>
        <v>1.3534400455085157E-13</v>
      </c>
      <c r="BT130" s="3">
        <f t="shared" si="76"/>
        <v>3.3331125517954696E-7</v>
      </c>
      <c r="BU130"/>
      <c r="BV130" s="3">
        <v>24</v>
      </c>
      <c r="BW130" s="3">
        <f t="shared" si="83"/>
        <v>0.1475595666484697</v>
      </c>
      <c r="BX130" s="3">
        <v>-4.4045776870227371E-7</v>
      </c>
      <c r="BY130" s="3">
        <f t="shared" si="84"/>
        <v>0.14755989995972488</v>
      </c>
      <c r="BZ130" s="3">
        <v>2.5941739380946904E-7</v>
      </c>
      <c r="CA130" s="3">
        <f t="shared" si="77"/>
        <v>0.14755973330409727</v>
      </c>
      <c r="CB130" s="3">
        <v>-9.0520063285304264E-8</v>
      </c>
      <c r="CC130" s="3">
        <f t="shared" si="78"/>
        <v>3.9870265097433726E-14</v>
      </c>
      <c r="CD130" s="3">
        <f t="shared" si="79"/>
        <v>-2.3482478904941838E-14</v>
      </c>
      <c r="CE130" s="3">
        <f t="shared" si="80"/>
        <v>3.3331125517954696E-7</v>
      </c>
    </row>
    <row r="131" spans="39:83" x14ac:dyDescent="0.2"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 s="3">
        <v>25</v>
      </c>
      <c r="BL131" s="3">
        <f t="shared" si="81"/>
        <v>0.14799453783647989</v>
      </c>
      <c r="BM131" s="3">
        <v>-1.3412766510997876E-7</v>
      </c>
      <c r="BN131" s="3">
        <f t="shared" si="82"/>
        <v>0.1479947044921075</v>
      </c>
      <c r="BO131" s="3">
        <v>2.2875882310993689E-7</v>
      </c>
      <c r="BP131" s="3">
        <f t="shared" si="73"/>
        <v>0.14799462116429368</v>
      </c>
      <c r="BQ131" s="3">
        <v>4.7315622971749738E-8</v>
      </c>
      <c r="BR131" s="3">
        <f t="shared" si="74"/>
        <v>-6.3463340324248669E-15</v>
      </c>
      <c r="BS131" s="3">
        <f t="shared" si="75"/>
        <v>1.0823866225730965E-14</v>
      </c>
      <c r="BT131" s="3">
        <f t="shared" si="76"/>
        <v>1.6665562760365127E-7</v>
      </c>
      <c r="BU131"/>
      <c r="BV131" s="3">
        <v>25</v>
      </c>
      <c r="BW131" s="3">
        <f t="shared" si="83"/>
        <v>0.14755973330409727</v>
      </c>
      <c r="BX131" s="3">
        <v>-9.0520063285304264E-8</v>
      </c>
      <c r="BY131" s="3">
        <f t="shared" si="84"/>
        <v>0.14755989995972488</v>
      </c>
      <c r="BZ131" s="3">
        <v>2.5941739380946904E-7</v>
      </c>
      <c r="CA131" s="3">
        <f t="shared" si="77"/>
        <v>0.14755981663191109</v>
      </c>
      <c r="CB131" s="3">
        <v>8.4448696383021549E-8</v>
      </c>
      <c r="CC131" s="3">
        <f t="shared" si="78"/>
        <v>-7.6443013409525556E-15</v>
      </c>
      <c r="CD131" s="3">
        <f t="shared" si="79"/>
        <v>2.1907460726290586E-14</v>
      </c>
      <c r="CE131" s="3">
        <f t="shared" si="80"/>
        <v>1.6665562760365127E-7</v>
      </c>
    </row>
    <row r="132" spans="39:83" x14ac:dyDescent="0.2">
      <c r="AM132"/>
      <c r="AN132"/>
      <c r="AO132"/>
      <c r="AP132"/>
      <c r="BB132"/>
      <c r="BC132"/>
      <c r="BD132"/>
      <c r="BE132"/>
      <c r="BF132"/>
      <c r="BG132"/>
      <c r="BH132"/>
      <c r="BI132"/>
      <c r="BJ132"/>
      <c r="BK132" s="3">
        <v>26</v>
      </c>
      <c r="BL132" s="3">
        <f t="shared" si="81"/>
        <v>0.14799453783647989</v>
      </c>
      <c r="BM132" s="3">
        <v>-1.3412766510997876E-7</v>
      </c>
      <c r="BN132" s="3">
        <f t="shared" si="82"/>
        <v>0.14799462116429368</v>
      </c>
      <c r="BO132" s="3">
        <v>4.7315622971749738E-8</v>
      </c>
      <c r="BP132" s="3">
        <f t="shared" si="73"/>
        <v>0.1479945795003868</v>
      </c>
      <c r="BQ132" s="3">
        <v>-4.3406010029334308E-8</v>
      </c>
      <c r="BR132" s="3">
        <f t="shared" si="74"/>
        <v>5.8219467769749311E-15</v>
      </c>
      <c r="BS132" s="3">
        <f t="shared" si="75"/>
        <v>-2.05378240525597E-15</v>
      </c>
      <c r="BT132" s="3">
        <f t="shared" si="76"/>
        <v>8.3327813787947846E-8</v>
      </c>
      <c r="BU132"/>
      <c r="BV132" s="3">
        <v>26</v>
      </c>
      <c r="BW132" s="3">
        <f t="shared" si="83"/>
        <v>0.14755973330409727</v>
      </c>
      <c r="BX132" s="3">
        <v>-9.0520063285304264E-8</v>
      </c>
      <c r="BY132" s="3">
        <f t="shared" si="84"/>
        <v>0.14755981663191109</v>
      </c>
      <c r="BZ132" s="3">
        <v>8.4448696383021549E-8</v>
      </c>
      <c r="CA132" s="3">
        <f t="shared" si="77"/>
        <v>0.14755977496800418</v>
      </c>
      <c r="CB132" s="3">
        <v>-3.0356757246829957E-9</v>
      </c>
      <c r="CC132" s="3">
        <f t="shared" si="78"/>
        <v>2.7478955871196665E-16</v>
      </c>
      <c r="CD132" s="3">
        <f t="shared" si="79"/>
        <v>-2.5635885759106324E-16</v>
      </c>
      <c r="CE132" s="3">
        <f t="shared" si="80"/>
        <v>8.3327813815703422E-8</v>
      </c>
    </row>
    <row r="133" spans="39:83" x14ac:dyDescent="0.2">
      <c r="AM133"/>
      <c r="AN133"/>
      <c r="AO133"/>
      <c r="AP133"/>
      <c r="BB133"/>
      <c r="BC133"/>
      <c r="BD133"/>
      <c r="BE133"/>
      <c r="BF133"/>
      <c r="BG133"/>
      <c r="BH133"/>
      <c r="BI133"/>
      <c r="BJ133"/>
      <c r="BK133" s="3">
        <v>27</v>
      </c>
      <c r="BL133" s="3">
        <f t="shared" si="81"/>
        <v>0.1479945795003868</v>
      </c>
      <c r="BM133" s="3">
        <v>-4.3406010029334308E-8</v>
      </c>
      <c r="BN133" s="3">
        <f t="shared" si="82"/>
        <v>0.14799462116429368</v>
      </c>
      <c r="BO133" s="3">
        <v>4.7315622971749738E-8</v>
      </c>
      <c r="BP133" s="3">
        <f t="shared" si="73"/>
        <v>0.14799460033234024</v>
      </c>
      <c r="BQ133" s="3">
        <v>1.9548091825805081E-9</v>
      </c>
      <c r="BR133" s="3">
        <f t="shared" si="74"/>
        <v>-8.4850466984524329E-17</v>
      </c>
      <c r="BS133" s="3">
        <f t="shared" si="75"/>
        <v>9.2493014264693616E-17</v>
      </c>
      <c r="BT133" s="3">
        <f t="shared" si="76"/>
        <v>4.1663906880096135E-8</v>
      </c>
      <c r="BU133"/>
      <c r="BV133" s="3">
        <v>27</v>
      </c>
      <c r="BW133" s="3">
        <f t="shared" si="83"/>
        <v>0.14755977496800418</v>
      </c>
      <c r="BX133" s="3">
        <v>-3.0356757246829957E-9</v>
      </c>
      <c r="BY133" s="3">
        <f t="shared" si="84"/>
        <v>0.14755981663191109</v>
      </c>
      <c r="BZ133" s="3">
        <v>8.4448696383021549E-8</v>
      </c>
      <c r="CA133" s="3">
        <f t="shared" si="77"/>
        <v>0.14755979579995765</v>
      </c>
      <c r="CB133" s="3">
        <v>4.0706512306754039E-8</v>
      </c>
      <c r="CC133" s="3">
        <f t="shared" si="78"/>
        <v>-1.2357177124612285E-16</v>
      </c>
      <c r="CD133" s="3">
        <f t="shared" si="79"/>
        <v>3.437611898604802E-15</v>
      </c>
      <c r="CE133" s="3">
        <f t="shared" si="80"/>
        <v>4.1663906907851711E-8</v>
      </c>
    </row>
    <row r="134" spans="39:83" x14ac:dyDescent="0.2">
      <c r="AM134"/>
      <c r="AN134"/>
      <c r="AO134"/>
      <c r="AP134"/>
      <c r="BB134"/>
      <c r="BC134"/>
      <c r="BD134"/>
      <c r="BE134"/>
      <c r="BF134"/>
      <c r="BG134"/>
      <c r="BH134"/>
      <c r="BI134"/>
      <c r="BJ134"/>
      <c r="BK134" s="3">
        <v>28</v>
      </c>
      <c r="BL134" s="3">
        <f t="shared" si="81"/>
        <v>0.1479945795003868</v>
      </c>
      <c r="BM134" s="3">
        <v>-4.3406010029334308E-8</v>
      </c>
      <c r="BN134" s="3">
        <f t="shared" si="82"/>
        <v>0.14799460033234024</v>
      </c>
      <c r="BO134" s="3">
        <v>1.9548091825805081E-9</v>
      </c>
      <c r="BP134" s="3">
        <f t="shared" si="73"/>
        <v>0.14799458991636352</v>
      </c>
      <c r="BQ134" s="3">
        <v>-2.072559977459032E-8</v>
      </c>
      <c r="BR134" s="3">
        <f t="shared" si="74"/>
        <v>8.9961559167983632E-16</v>
      </c>
      <c r="BS134" s="3">
        <f t="shared" si="75"/>
        <v>-4.0514592753857667E-17</v>
      </c>
      <c r="BT134" s="3">
        <f t="shared" si="76"/>
        <v>2.0831953440048068E-8</v>
      </c>
      <c r="BU134"/>
      <c r="BV134" s="3">
        <v>28</v>
      </c>
      <c r="BW134" s="3">
        <f t="shared" si="83"/>
        <v>0.14755977496800418</v>
      </c>
      <c r="BX134" s="3">
        <v>-3.0356757246829957E-9</v>
      </c>
      <c r="BY134" s="3">
        <f t="shared" si="84"/>
        <v>0.14755979579995765</v>
      </c>
      <c r="BZ134" s="3">
        <v>4.0706512306754039E-8</v>
      </c>
      <c r="CA134" s="3">
        <f t="shared" si="77"/>
        <v>0.1475597853839809</v>
      </c>
      <c r="CB134" s="3">
        <v>1.8835418749002519E-8</v>
      </c>
      <c r="CC134" s="3">
        <f t="shared" si="78"/>
        <v>-5.7178223460585902E-17</v>
      </c>
      <c r="CD134" s="3">
        <f t="shared" si="79"/>
        <v>7.6672420510913683E-16</v>
      </c>
      <c r="CE134" s="3">
        <f t="shared" si="80"/>
        <v>2.0831953467803643E-8</v>
      </c>
    </row>
    <row r="135" spans="39:83" x14ac:dyDescent="0.2">
      <c r="AM135"/>
      <c r="AN135"/>
      <c r="AO135"/>
      <c r="AP135"/>
      <c r="BB135"/>
      <c r="BC135"/>
      <c r="BD135"/>
      <c r="BE135"/>
      <c r="BF135"/>
      <c r="BG135"/>
      <c r="BH135"/>
      <c r="BI135"/>
      <c r="BJ135"/>
      <c r="BK135" s="3">
        <v>29</v>
      </c>
      <c r="BL135" s="3">
        <f t="shared" si="81"/>
        <v>0.14799458991636352</v>
      </c>
      <c r="BM135" s="3">
        <v>-2.072559977459032E-8</v>
      </c>
      <c r="BN135" s="3">
        <f t="shared" si="82"/>
        <v>0.14799460033234024</v>
      </c>
      <c r="BO135" s="3">
        <v>1.9548091825805081E-9</v>
      </c>
      <c r="BP135" s="3">
        <f t="shared" si="73"/>
        <v>0.14799459512435187</v>
      </c>
      <c r="BQ135" s="3">
        <v>-9.3853951312061756E-9</v>
      </c>
      <c r="BR135" s="3">
        <f t="shared" si="74"/>
        <v>1.9451794321576779E-16</v>
      </c>
      <c r="BS135" s="3">
        <f t="shared" si="75"/>
        <v>-1.8346656584628223E-17</v>
      </c>
      <c r="BT135" s="3">
        <f t="shared" si="76"/>
        <v>1.0415976720024034E-8</v>
      </c>
      <c r="BU135"/>
      <c r="BV135" s="3">
        <v>29</v>
      </c>
      <c r="BW135" s="3">
        <f t="shared" si="83"/>
        <v>0.14755977496800418</v>
      </c>
      <c r="BX135" s="3">
        <v>-3.0356757246829957E-9</v>
      </c>
      <c r="BY135" s="3">
        <f t="shared" si="84"/>
        <v>0.1475597853839809</v>
      </c>
      <c r="BZ135" s="3">
        <v>1.8835418749002519E-8</v>
      </c>
      <c r="CA135" s="3">
        <f t="shared" si="77"/>
        <v>0.14755978017599253</v>
      </c>
      <c r="CB135" s="3">
        <v>7.8998716734890451E-9</v>
      </c>
      <c r="CC135" s="3">
        <f t="shared" si="78"/>
        <v>-2.3981448667321527E-17</v>
      </c>
      <c r="CD135" s="3">
        <f t="shared" si="79"/>
        <v>1.4879739103354946E-16</v>
      </c>
      <c r="CE135" s="3">
        <f t="shared" si="80"/>
        <v>1.0415976720024034E-8</v>
      </c>
    </row>
    <row r="136" spans="39:83" x14ac:dyDescent="0.2">
      <c r="AM136"/>
      <c r="AN136"/>
      <c r="AO136"/>
      <c r="AP136"/>
      <c r="BB136"/>
      <c r="BC136"/>
      <c r="BD136"/>
      <c r="BE136"/>
      <c r="BF136"/>
      <c r="BG136"/>
      <c r="BH136"/>
      <c r="BI136"/>
      <c r="BJ136"/>
      <c r="BK136" s="3">
        <v>30</v>
      </c>
      <c r="BL136" s="3">
        <f t="shared" si="81"/>
        <v>0.14799459512435187</v>
      </c>
      <c r="BM136" s="3">
        <v>-9.3853951312061756E-9</v>
      </c>
      <c r="BN136" s="3">
        <f t="shared" si="82"/>
        <v>0.14799460033234024</v>
      </c>
      <c r="BO136" s="3">
        <v>1.9548091825805081E-9</v>
      </c>
      <c r="BP136" s="13">
        <f t="shared" si="73"/>
        <v>0.14799459772834606</v>
      </c>
      <c r="BQ136" s="3">
        <v>-3.7152929413530877E-9</v>
      </c>
      <c r="BR136" s="3">
        <f t="shared" si="74"/>
        <v>3.4869492282779938E-17</v>
      </c>
      <c r="BS136" s="3">
        <f t="shared" si="75"/>
        <v>-7.2626887577335605E-18</v>
      </c>
      <c r="BT136" s="3">
        <f t="shared" si="76"/>
        <v>5.2079883738898047E-9</v>
      </c>
      <c r="BU136"/>
      <c r="BV136" s="3">
        <v>30</v>
      </c>
      <c r="BW136" s="3">
        <f t="shared" si="83"/>
        <v>0.14755977496800418</v>
      </c>
      <c r="BX136" s="3">
        <v>-3.0356757246829957E-9</v>
      </c>
      <c r="BY136" s="3">
        <f t="shared" si="84"/>
        <v>0.14755978017599253</v>
      </c>
      <c r="BZ136" s="3">
        <v>7.8998716734890451E-9</v>
      </c>
      <c r="CA136" s="13">
        <f t="shared" si="77"/>
        <v>0.14755977757199834</v>
      </c>
      <c r="CB136" s="3">
        <v>2.4320979327696612E-9</v>
      </c>
      <c r="CC136" s="3">
        <f t="shared" si="78"/>
        <v>-7.3830606545605577E-18</v>
      </c>
      <c r="CD136" s="3">
        <f t="shared" si="79"/>
        <v>1.921326156623831E-17</v>
      </c>
      <c r="CE136" s="3">
        <f t="shared" si="80"/>
        <v>5.2079883461342291E-9</v>
      </c>
    </row>
  </sheetData>
  <mergeCells count="77">
    <mergeCell ref="F48:H48"/>
    <mergeCell ref="F28:H28"/>
    <mergeCell ref="B37:D37"/>
    <mergeCell ref="F35:H35"/>
    <mergeCell ref="B44:D44"/>
    <mergeCell ref="N3:P3"/>
    <mergeCell ref="V3:X3"/>
    <mergeCell ref="J8:L8"/>
    <mergeCell ref="B32:D32"/>
    <mergeCell ref="F15:H15"/>
    <mergeCell ref="N14:P14"/>
    <mergeCell ref="R14:T14"/>
    <mergeCell ref="V14:X14"/>
    <mergeCell ref="R3:T3"/>
    <mergeCell ref="N19:P19"/>
    <mergeCell ref="R19:T19"/>
    <mergeCell ref="V19:X19"/>
    <mergeCell ref="B12:D12"/>
    <mergeCell ref="B16:D16"/>
    <mergeCell ref="B28:D28"/>
    <mergeCell ref="B1:D1"/>
    <mergeCell ref="B3:D3"/>
    <mergeCell ref="F3:H3"/>
    <mergeCell ref="J3:L3"/>
    <mergeCell ref="B23:D23"/>
    <mergeCell ref="AM2:AO2"/>
    <mergeCell ref="AQ2:AS2"/>
    <mergeCell ref="AU2:BA2"/>
    <mergeCell ref="BC2:BI2"/>
    <mergeCell ref="BK2:BT2"/>
    <mergeCell ref="BV2:CE2"/>
    <mergeCell ref="AU3:AW3"/>
    <mergeCell ref="AY3:BA3"/>
    <mergeCell ref="BC3:BE3"/>
    <mergeCell ref="BG3:BI3"/>
    <mergeCell ref="AM7:AO7"/>
    <mergeCell ref="AQ9:AS9"/>
    <mergeCell ref="AM11:AM18"/>
    <mergeCell ref="AU12:AW12"/>
    <mergeCell ref="AY12:BA12"/>
    <mergeCell ref="AQ14:AS14"/>
    <mergeCell ref="AM19:AM26"/>
    <mergeCell ref="AU21:AW21"/>
    <mergeCell ref="AY21:BA21"/>
    <mergeCell ref="AQ22:AS22"/>
    <mergeCell ref="BC22:BE22"/>
    <mergeCell ref="BG22:BI22"/>
    <mergeCell ref="AQ23:AQ29"/>
    <mergeCell ref="AR23:AS23"/>
    <mergeCell ref="AR24:AS24"/>
    <mergeCell ref="AR25:AS25"/>
    <mergeCell ref="AR26:AS26"/>
    <mergeCell ref="AU30:AW30"/>
    <mergeCell ref="AY30:BA30"/>
    <mergeCell ref="AM35:AM42"/>
    <mergeCell ref="BK36:BT36"/>
    <mergeCell ref="BV36:CE36"/>
    <mergeCell ref="AR41:AS41"/>
    <mergeCell ref="BC41:BE41"/>
    <mergeCell ref="BG41:BI41"/>
    <mergeCell ref="AR42:AT42"/>
    <mergeCell ref="AU42:AX42"/>
    <mergeCell ref="AY42:BA42"/>
    <mergeCell ref="AM27:AM34"/>
    <mergeCell ref="AR27:AS27"/>
    <mergeCell ref="AR28:AS28"/>
    <mergeCell ref="AR29:AS29"/>
    <mergeCell ref="AR30:AS30"/>
    <mergeCell ref="BV70:CE70"/>
    <mergeCell ref="BK104:BT104"/>
    <mergeCell ref="BV104:CE104"/>
    <mergeCell ref="N33:Q33"/>
    <mergeCell ref="AU43:AV43"/>
    <mergeCell ref="AM44:AO44"/>
    <mergeCell ref="BC60:BE60"/>
    <mergeCell ref="BG60:BI60"/>
    <mergeCell ref="BK70:BT70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5578-14AF-3F4A-BFB8-C0A1650A5046}">
  <dimension ref="B1:CE136"/>
  <sheetViews>
    <sheetView tabSelected="1" topLeftCell="B4" workbookViewId="0">
      <selection activeCell="P35" sqref="P35"/>
    </sheetView>
  </sheetViews>
  <sheetFormatPr baseColWidth="10" defaultRowHeight="16" x14ac:dyDescent="0.2"/>
  <cols>
    <col min="1" max="1" width="4.1640625" style="5" customWidth="1"/>
    <col min="2" max="2" width="20.5" style="5" customWidth="1"/>
    <col min="3" max="3" width="12.1640625" style="5" bestFit="1" customWidth="1"/>
    <col min="4" max="4" width="7.1640625" style="5" customWidth="1"/>
    <col min="5" max="5" width="5.6640625" style="5" customWidth="1"/>
    <col min="6" max="6" width="20.33203125" style="5" customWidth="1"/>
    <col min="7" max="7" width="13.1640625" style="5" customWidth="1"/>
    <col min="8" max="8" width="4.1640625" style="5" customWidth="1"/>
    <col min="9" max="9" width="6" style="5" customWidth="1"/>
    <col min="10" max="10" width="18.1640625" style="5" customWidth="1"/>
    <col min="11" max="11" width="14.33203125" style="5" customWidth="1"/>
    <col min="12" max="12" width="5" style="5" customWidth="1"/>
    <col min="13" max="13" width="6" style="5" customWidth="1"/>
    <col min="14" max="14" width="13.5" style="5" customWidth="1"/>
    <col min="15" max="15" width="11" style="5" customWidth="1"/>
    <col min="16" max="16" width="6.6640625" style="5" customWidth="1"/>
    <col min="17" max="17" width="8.5" style="5" customWidth="1"/>
    <col min="18" max="18" width="13.83203125" style="5" customWidth="1"/>
    <col min="19" max="19" width="10.83203125" style="5"/>
    <col min="20" max="20" width="6.33203125" style="5" customWidth="1"/>
    <col min="21" max="21" width="8.33203125" style="5" customWidth="1"/>
    <col min="22" max="22" width="13.83203125" style="5" customWidth="1"/>
    <col min="23" max="23" width="11.5" style="5" customWidth="1"/>
    <col min="24" max="24" width="6.33203125" style="5" customWidth="1"/>
    <col min="25" max="25" width="4" style="5" customWidth="1"/>
    <col min="26" max="27" width="3.83203125" style="5" customWidth="1"/>
    <col min="28" max="28" width="5.5" style="5" customWidth="1"/>
    <col min="29" max="30" width="6.1640625" style="5" customWidth="1"/>
    <col min="31" max="31" width="6.6640625" style="5" customWidth="1"/>
    <col min="32" max="32" width="7" style="5" customWidth="1"/>
    <col min="33" max="33" width="14.6640625" style="5" customWidth="1"/>
    <col min="34" max="34" width="7.83203125" style="5" customWidth="1"/>
    <col min="35" max="35" width="10" style="5" customWidth="1"/>
    <col min="36" max="36" width="9.5" style="5" customWidth="1"/>
    <col min="37" max="37" width="13.6640625" style="5" customWidth="1"/>
    <col min="38" max="41" width="10.83203125" style="5"/>
    <col min="42" max="42" width="10.83203125" style="5" customWidth="1"/>
    <col min="43" max="43" width="12.83203125" style="5" customWidth="1"/>
    <col min="44" max="16384" width="10.83203125" style="5"/>
  </cols>
  <sheetData>
    <row r="1" spans="2:83" x14ac:dyDescent="0.2">
      <c r="B1" s="48" t="s">
        <v>0</v>
      </c>
      <c r="C1" s="48"/>
      <c r="D1" s="48"/>
    </row>
    <row r="2" spans="2:83" x14ac:dyDescent="0.2">
      <c r="AB2" s="6" t="s">
        <v>70</v>
      </c>
      <c r="AM2" s="41" t="s">
        <v>156</v>
      </c>
      <c r="AN2" s="41"/>
      <c r="AO2" s="41"/>
      <c r="AP2"/>
      <c r="AQ2" s="41" t="s">
        <v>157</v>
      </c>
      <c r="AR2" s="41"/>
      <c r="AS2" s="41"/>
      <c r="AT2"/>
      <c r="AU2" s="41" t="s">
        <v>158</v>
      </c>
      <c r="AV2" s="41"/>
      <c r="AW2" s="41"/>
      <c r="AX2" s="41"/>
      <c r="AY2" s="41"/>
      <c r="AZ2" s="41"/>
      <c r="BA2" s="41"/>
      <c r="BB2"/>
      <c r="BC2" s="41" t="s">
        <v>159</v>
      </c>
      <c r="BD2" s="41"/>
      <c r="BE2" s="41"/>
      <c r="BF2" s="41"/>
      <c r="BG2" s="41"/>
      <c r="BH2" s="41"/>
      <c r="BI2" s="41"/>
      <c r="BJ2"/>
      <c r="BK2" s="41" t="s">
        <v>160</v>
      </c>
      <c r="BL2" s="41"/>
      <c r="BM2" s="41"/>
      <c r="BN2" s="41"/>
      <c r="BO2" s="41"/>
      <c r="BP2" s="41"/>
      <c r="BQ2" s="41"/>
      <c r="BR2" s="41"/>
      <c r="BS2" s="41"/>
      <c r="BT2" s="41"/>
      <c r="BU2"/>
      <c r="BV2" s="41" t="s">
        <v>161</v>
      </c>
      <c r="BW2" s="41"/>
      <c r="BX2" s="41"/>
      <c r="BY2" s="41"/>
      <c r="BZ2" s="41"/>
      <c r="CA2" s="41"/>
      <c r="CB2" s="41"/>
      <c r="CC2" s="41"/>
      <c r="CD2" s="41"/>
      <c r="CE2" s="41"/>
    </row>
    <row r="3" spans="2:83" x14ac:dyDescent="0.2">
      <c r="B3" s="51" t="s">
        <v>147</v>
      </c>
      <c r="C3" s="56"/>
      <c r="D3" s="56"/>
      <c r="F3" s="49" t="s">
        <v>71</v>
      </c>
      <c r="G3" s="50"/>
      <c r="H3" s="50"/>
      <c r="J3" s="51" t="s">
        <v>72</v>
      </c>
      <c r="K3" s="51"/>
      <c r="L3" s="51"/>
      <c r="N3" s="51" t="s">
        <v>73</v>
      </c>
      <c r="O3" s="51"/>
      <c r="P3" s="51"/>
      <c r="R3" s="51" t="s">
        <v>74</v>
      </c>
      <c r="S3" s="51"/>
      <c r="T3" s="51"/>
      <c r="V3" s="51" t="s">
        <v>75</v>
      </c>
      <c r="W3" s="51"/>
      <c r="X3" s="51"/>
      <c r="AB3" s="7" t="s">
        <v>54</v>
      </c>
      <c r="AC3" s="7" t="s">
        <v>55</v>
      </c>
      <c r="AD3" s="7" t="s">
        <v>56</v>
      </c>
      <c r="AE3" s="7" t="s">
        <v>57</v>
      </c>
      <c r="AF3" s="7" t="s">
        <v>58</v>
      </c>
      <c r="AG3" s="7" t="s">
        <v>59</v>
      </c>
      <c r="AH3" s="7" t="s">
        <v>60</v>
      </c>
      <c r="AI3" s="7" t="s">
        <v>61</v>
      </c>
      <c r="AJ3" s="7" t="s">
        <v>62</v>
      </c>
      <c r="AK3" s="7" t="s">
        <v>63</v>
      </c>
      <c r="AM3" s="3" t="s">
        <v>162</v>
      </c>
      <c r="AN3" s="3">
        <f>$G$4</f>
        <v>2.54</v>
      </c>
      <c r="AO3" s="14" t="s">
        <v>13</v>
      </c>
      <c r="AP3"/>
      <c r="AQ3" s="3" t="s">
        <v>163</v>
      </c>
      <c r="AR3" s="3">
        <f>0.5*AN9</f>
        <v>1</v>
      </c>
      <c r="AS3" s="14" t="s">
        <v>11</v>
      </c>
      <c r="AT3"/>
      <c r="AU3" s="44" t="s">
        <v>164</v>
      </c>
      <c r="AV3" s="44"/>
      <c r="AW3" s="44"/>
      <c r="AX3"/>
      <c r="AY3" s="44" t="s">
        <v>165</v>
      </c>
      <c r="AZ3" s="44"/>
      <c r="BA3" s="44"/>
      <c r="BB3"/>
      <c r="BC3" s="44" t="s">
        <v>164</v>
      </c>
      <c r="BD3" s="44"/>
      <c r="BE3" s="44"/>
      <c r="BF3" s="3"/>
      <c r="BG3" s="44" t="s">
        <v>165</v>
      </c>
      <c r="BH3" s="44"/>
      <c r="BI3" s="44"/>
      <c r="BJ3"/>
      <c r="BK3" s="7" t="s">
        <v>54</v>
      </c>
      <c r="BL3" s="7" t="s">
        <v>55</v>
      </c>
      <c r="BM3" s="7" t="s">
        <v>56</v>
      </c>
      <c r="BN3" s="7" t="s">
        <v>57</v>
      </c>
      <c r="BO3" s="7" t="s">
        <v>58</v>
      </c>
      <c r="BP3" s="7" t="s">
        <v>59</v>
      </c>
      <c r="BQ3" s="7" t="s">
        <v>60</v>
      </c>
      <c r="BR3" s="7" t="s">
        <v>61</v>
      </c>
      <c r="BS3" s="7" t="s">
        <v>62</v>
      </c>
      <c r="BT3" s="7" t="s">
        <v>63</v>
      </c>
      <c r="BU3"/>
      <c r="BV3" s="7" t="s">
        <v>54</v>
      </c>
      <c r="BW3" s="7" t="s">
        <v>55</v>
      </c>
      <c r="BX3" s="7" t="s">
        <v>56</v>
      </c>
      <c r="BY3" s="7" t="s">
        <v>57</v>
      </c>
      <c r="BZ3" s="7" t="s">
        <v>58</v>
      </c>
      <c r="CA3" s="7" t="s">
        <v>59</v>
      </c>
      <c r="CB3" s="7" t="s">
        <v>60</v>
      </c>
      <c r="CC3" s="7" t="s">
        <v>61</v>
      </c>
      <c r="CD3" s="7" t="s">
        <v>62</v>
      </c>
      <c r="CE3" s="7" t="s">
        <v>63</v>
      </c>
    </row>
    <row r="4" spans="2:83" x14ac:dyDescent="0.2">
      <c r="B4" s="5" t="s">
        <v>47</v>
      </c>
      <c r="C4" s="4" t="s">
        <v>1</v>
      </c>
      <c r="F4" s="5" t="s">
        <v>76</v>
      </c>
      <c r="G4" s="8">
        <v>2.54</v>
      </c>
      <c r="H4" s="5" t="s">
        <v>13</v>
      </c>
      <c r="J4" s="5" t="s">
        <v>77</v>
      </c>
      <c r="K4" s="5">
        <f>MAX(G13,G53)</f>
        <v>246.04158449716974</v>
      </c>
      <c r="L4" s="5" t="s">
        <v>81</v>
      </c>
      <c r="N4" s="5" t="s">
        <v>32</v>
      </c>
      <c r="O4" s="5">
        <f>$C$5*$C$68*COS(G24/180*PI())</f>
        <v>11884.542150629686</v>
      </c>
      <c r="P4" s="5" t="s">
        <v>27</v>
      </c>
      <c r="R4" s="5" t="s">
        <v>32</v>
      </c>
      <c r="S4" s="5">
        <f xml:space="preserve"> $C$5 * $C$68</f>
        <v>11899.90675735</v>
      </c>
      <c r="T4" s="5" t="s">
        <v>27</v>
      </c>
      <c r="V4" s="5" t="s">
        <v>32</v>
      </c>
      <c r="W4" s="5">
        <f>$C$5*$C$68*COS(G44/180*PI())</f>
        <v>11894.377785338467</v>
      </c>
      <c r="X4" s="5" t="s">
        <v>27</v>
      </c>
      <c r="AB4" s="3">
        <v>0</v>
      </c>
      <c r="AC4" s="4">
        <v>0</v>
      </c>
      <c r="AD4" s="3">
        <f t="shared" ref="AD4:AD34" si="0" xml:space="preserve"> $S$22 * TAN($S$19/180*PI()) + $S$23 / (2 * SQRT($S$22^2 + AC4^2)) - AC4</f>
        <v>0.51128949618404906</v>
      </c>
      <c r="AE4" s="4">
        <v>1</v>
      </c>
      <c r="AF4" s="3">
        <f t="shared" ref="AF4:AF34" si="1" xml:space="preserve"> $S$22 * TAN($S$19/180*PI()) + $S$23 / (2 * SQRT($S$22^2 + AE4^2)) - AE4</f>
        <v>-0.6775161039527744</v>
      </c>
      <c r="AG4" s="3">
        <f xml:space="preserve"> (AC4 + AE4)/2</f>
        <v>0.5</v>
      </c>
      <c r="AH4" s="3">
        <f t="shared" ref="AH4:AH34" si="2" xml:space="preserve"> $S$22 * TAN($S$19/180*PI()) + $S$23 / (2 * SQRT($S$22^2 + AG4^2)) - AG4</f>
        <v>-0.17214323215331873</v>
      </c>
      <c r="AI4" s="3">
        <f>AD4*AH4</f>
        <v>-8.8015026439164132E-2</v>
      </c>
      <c r="AJ4" s="3">
        <f>AF4*AH4</f>
        <v>0.11662981197035446</v>
      </c>
      <c r="AK4" s="3">
        <f>AE4-AC4</f>
        <v>1</v>
      </c>
      <c r="AM4" s="3" t="s">
        <v>166</v>
      </c>
      <c r="AN4" s="3">
        <f>$C$6</f>
        <v>1019.2328593693674</v>
      </c>
      <c r="AO4" s="14" t="s">
        <v>149</v>
      </c>
      <c r="AP4"/>
      <c r="AQ4" s="3" t="s">
        <v>167</v>
      </c>
      <c r="AR4" s="3">
        <f>PI()*AR3^2</f>
        <v>3.1415926535897931</v>
      </c>
      <c r="AS4" s="14" t="s">
        <v>15</v>
      </c>
      <c r="AT4"/>
      <c r="AU4" s="3" t="s">
        <v>168</v>
      </c>
      <c r="AV4" s="3">
        <f>2*($AN$19 - $AN$10)</f>
        <v>9.875000000000006E-2</v>
      </c>
      <c r="AW4" s="14" t="s">
        <v>11</v>
      </c>
      <c r="AX4"/>
      <c r="AY4" s="3" t="s">
        <v>168</v>
      </c>
      <c r="AZ4" s="3">
        <f>$AN$20-$AN$19</f>
        <v>9.8750000000000004E-2</v>
      </c>
      <c r="BA4" s="14" t="s">
        <v>11</v>
      </c>
      <c r="BB4"/>
      <c r="BC4" s="15" t="s">
        <v>169</v>
      </c>
      <c r="BD4" s="16">
        <f>BP34</f>
        <v>0.43044409693262786</v>
      </c>
      <c r="BE4" s="13" t="s">
        <v>170</v>
      </c>
      <c r="BF4" s="3"/>
      <c r="BG4" s="15" t="s">
        <v>169</v>
      </c>
      <c r="BH4" s="16">
        <f>CA34</f>
        <v>0.36678201175238939</v>
      </c>
      <c r="BI4" s="13" t="s">
        <v>170</v>
      </c>
      <c r="BJ4"/>
      <c r="BK4" s="17">
        <v>0</v>
      </c>
      <c r="BL4" s="17"/>
      <c r="BM4" s="17">
        <f>$BD$20</f>
        <v>-8.6473674054676763E-9</v>
      </c>
      <c r="BN4" s="17"/>
      <c r="BO4" s="17">
        <f>$BD$20</f>
        <v>-8.6473674054676763E-9</v>
      </c>
      <c r="BP4" s="17"/>
      <c r="BQ4" s="17">
        <f>$BD$20</f>
        <v>-8.6473674054676763E-9</v>
      </c>
      <c r="BR4" s="17"/>
      <c r="BS4" s="17"/>
      <c r="BT4" s="17"/>
      <c r="BU4"/>
      <c r="BV4" s="17">
        <v>0</v>
      </c>
      <c r="BW4" s="17"/>
      <c r="BX4" s="17">
        <f>$BH$20</f>
        <v>9.6150325201715958E-9</v>
      </c>
      <c r="BY4" s="17"/>
      <c r="BZ4" s="17">
        <f>$BH$20</f>
        <v>9.6150325201715958E-9</v>
      </c>
      <c r="CA4" s="17"/>
      <c r="CB4" s="17">
        <f>$BH$20</f>
        <v>9.6150325201715958E-9</v>
      </c>
      <c r="CC4" s="17"/>
      <c r="CD4" s="17"/>
      <c r="CE4" s="17"/>
    </row>
    <row r="5" spans="2:83" x14ac:dyDescent="0.2">
      <c r="B5" s="10" t="s">
        <v>48</v>
      </c>
      <c r="C5" s="13">
        <v>1213.45278533954</v>
      </c>
      <c r="D5" s="10" t="s">
        <v>10</v>
      </c>
      <c r="F5" s="5" t="s">
        <v>78</v>
      </c>
      <c r="G5" s="8">
        <v>152.4</v>
      </c>
      <c r="H5" s="5" t="s">
        <v>11</v>
      </c>
      <c r="J5" s="5" t="s">
        <v>79</v>
      </c>
      <c r="K5" s="5">
        <f>K4/$C$21</f>
        <v>30.755198062146217</v>
      </c>
      <c r="L5" s="5" t="s">
        <v>81</v>
      </c>
      <c r="N5" s="5" t="s">
        <v>33</v>
      </c>
      <c r="O5" s="5">
        <f>0.5*$C$65*$G$16^2</f>
        <v>1531.25</v>
      </c>
      <c r="P5" s="5" t="s">
        <v>34</v>
      </c>
      <c r="R5" s="5" t="s">
        <v>33</v>
      </c>
      <c r="S5" s="5">
        <f xml:space="preserve"> 0.5 * $C$65 * $C$13^2</f>
        <v>1531.25</v>
      </c>
      <c r="T5" s="5" t="s">
        <v>34</v>
      </c>
      <c r="V5" s="5" t="s">
        <v>33</v>
      </c>
      <c r="W5" s="5">
        <f>0.5*$C$65*$G$36^2</f>
        <v>1531.25</v>
      </c>
      <c r="X5" s="5" t="s">
        <v>34</v>
      </c>
      <c r="AB5" s="3">
        <v>1</v>
      </c>
      <c r="AC5" s="3">
        <f>IF(AI4&gt;0, AG4, AC4)</f>
        <v>0</v>
      </c>
      <c r="AD5" s="3">
        <f t="shared" si="0"/>
        <v>0.51128949618404906</v>
      </c>
      <c r="AE5" s="3">
        <f>IF(AJ4&gt;0, AG4, AE4)</f>
        <v>0.5</v>
      </c>
      <c r="AF5" s="3">
        <f t="shared" si="1"/>
        <v>-0.17214323215331873</v>
      </c>
      <c r="AG5" s="3">
        <f t="shared" ref="AG5:AG34" si="3" xml:space="preserve"> (AC5 + AE5)/2</f>
        <v>0.25</v>
      </c>
      <c r="AH5" s="3">
        <f t="shared" si="2"/>
        <v>8.8516538637578634E-2</v>
      </c>
      <c r="AI5" s="3">
        <f t="shared" ref="AI5:AI34" si="4">AD5*AH5</f>
        <v>4.5257576443963492E-2</v>
      </c>
      <c r="AJ5" s="3">
        <f t="shared" ref="AJ5:AJ34" si="5">AF5*AH5</f>
        <v>-1.5237523060096906E-2</v>
      </c>
      <c r="AK5" s="3">
        <f t="shared" ref="AK5:AK34" si="6">AE5-AC5</f>
        <v>0.5</v>
      </c>
      <c r="AM5" s="3" t="s">
        <v>171</v>
      </c>
      <c r="AN5" s="4">
        <v>20</v>
      </c>
      <c r="AO5" s="14" t="s">
        <v>53</v>
      </c>
      <c r="AP5"/>
      <c r="AQ5" s="3" t="s">
        <v>37</v>
      </c>
      <c r="AR5" s="3">
        <f>AN4*2*PI()/60</f>
        <v>106.73381544307078</v>
      </c>
      <c r="AS5" s="14" t="s">
        <v>38</v>
      </c>
      <c r="AT5"/>
      <c r="AU5" s="3" t="s">
        <v>172</v>
      </c>
      <c r="AV5" s="3">
        <f>(1+$BD$18)*$AN$3</f>
        <v>10.917719843364583</v>
      </c>
      <c r="AW5" s="14" t="s">
        <v>13</v>
      </c>
      <c r="AX5"/>
      <c r="AY5" s="3" t="s">
        <v>172</v>
      </c>
      <c r="AZ5" s="3">
        <f>(1+$BH$18)*$AN$3</f>
        <v>13.101723393983224</v>
      </c>
      <c r="BA5" s="14" t="s">
        <v>13</v>
      </c>
      <c r="BB5"/>
      <c r="BC5" s="3" t="s">
        <v>173</v>
      </c>
      <c r="BD5" s="3">
        <f>($AN$35+$AN$5)/180*PI()</f>
        <v>0.47751117503782359</v>
      </c>
      <c r="BE5" s="3" t="s">
        <v>170</v>
      </c>
      <c r="BF5" s="3"/>
      <c r="BG5" s="3" t="s">
        <v>173</v>
      </c>
      <c r="BH5" s="3">
        <f>($AN$36+$AN$5)/180*PI()</f>
        <v>0.45165848549265758</v>
      </c>
      <c r="BI5" s="3" t="s">
        <v>170</v>
      </c>
      <c r="BJ5"/>
      <c r="BK5" s="3">
        <v>1</v>
      </c>
      <c r="BL5" s="4">
        <f>0.01*PI()</f>
        <v>3.1415926535897934E-2</v>
      </c>
      <c r="BM5" s="3">
        <f t="dataTable" ref="BM5:BM34" dt2D="0" dtr="0" r1="BD4" ca="1"/>
        <v>-3.3234944958300332</v>
      </c>
      <c r="BN5" s="4">
        <f>0.9*PI()</f>
        <v>2.8274333882308138</v>
      </c>
      <c r="BO5" s="3">
        <f t="dataTable" ref="BO5:BO34" dt2D="0" dtr="0" r1="BD4"/>
        <v>0.53913977275682923</v>
      </c>
      <c r="BP5" s="3">
        <f t="shared" ref="BP5:BP34" si="7">(BL5+BN5)/2</f>
        <v>1.4294246573833558</v>
      </c>
      <c r="BQ5" s="3">
        <f t="dataTable" ref="BQ5:BQ34" dt2D="0" dtr="0" r1="BD4" ca="1"/>
        <v>1.4221427793825585</v>
      </c>
      <c r="BR5" s="3">
        <f t="shared" ref="BR5:BR34" si="8">BM5*BQ5</f>
        <v>-4.7264836995623583</v>
      </c>
      <c r="BS5" s="3">
        <f t="shared" ref="BS5:BS34" si="9">BO5*BQ5</f>
        <v>0.76673373490407815</v>
      </c>
      <c r="BT5" s="3">
        <f t="shared" ref="BT5:BT34" si="10">BN5-BL5</f>
        <v>2.7960174616949161</v>
      </c>
      <c r="BU5"/>
      <c r="BV5" s="3">
        <v>1</v>
      </c>
      <c r="BW5" s="4">
        <f>0.01*PI()</f>
        <v>3.1415926535897934E-2</v>
      </c>
      <c r="BX5" s="3">
        <f t="dataTable" ref="BX5:BX34" dt2D="0" dtr="0" r1="BH4" ca="1"/>
        <v>-2.854550538697104</v>
      </c>
      <c r="BY5" s="4">
        <f>0.9*PI()</f>
        <v>2.8274333882308138</v>
      </c>
      <c r="BZ5" s="3">
        <f t="dataTable" ref="BZ5:BZ34" dt2D="0" dtr="0" r1="BH4" ca="1"/>
        <v>0.43229308202950073</v>
      </c>
      <c r="CA5" s="3">
        <f t="shared" ref="CA5:CA34" si="11">(BW5+BY5)/2</f>
        <v>1.4294246573833558</v>
      </c>
      <c r="CB5" s="3">
        <f t="dataTable" ref="CB5:CB34" dt2D="0" dtr="0" r1="BH4"/>
        <v>1.2209035617893882</v>
      </c>
      <c r="CC5" s="3">
        <f t="shared" ref="CC5:CC34" si="12">BX5*CB5</f>
        <v>-3.4851309200031109</v>
      </c>
      <c r="CD5" s="3">
        <f t="shared" ref="CD5:CD34" si="13">BZ5*CB5</f>
        <v>0.52778816358672964</v>
      </c>
      <c r="CE5" s="3">
        <f t="shared" ref="CE5:CE34" si="14">BY5-BW5</f>
        <v>2.7960174616949161</v>
      </c>
    </row>
    <row r="6" spans="2:83" x14ac:dyDescent="0.2">
      <c r="B6" s="10" t="s">
        <v>148</v>
      </c>
      <c r="C6" s="13">
        <f>S65</f>
        <v>1019.2328593693674</v>
      </c>
      <c r="D6" s="10" t="s">
        <v>149</v>
      </c>
      <c r="F6" s="5" t="s">
        <v>82</v>
      </c>
      <c r="G6" s="5">
        <f xml:space="preserve"> $G$5/$G$4</f>
        <v>60</v>
      </c>
      <c r="H6" s="5" t="s">
        <v>18</v>
      </c>
      <c r="J6" s="5" t="s">
        <v>114</v>
      </c>
      <c r="K6" s="5">
        <f>MAX(G26,G33,G46)</f>
        <v>101.09336354729498</v>
      </c>
      <c r="L6" s="5" t="s">
        <v>81</v>
      </c>
      <c r="N6" s="5" t="s">
        <v>247</v>
      </c>
      <c r="O6" s="5">
        <f xml:space="preserve"> 0.4 * ($C$5 *2.20462/1000)^(2/3) * 0.3048^2</f>
        <v>7.1613406695793219E-2</v>
      </c>
      <c r="P6" s="5" t="s">
        <v>248</v>
      </c>
      <c r="R6" s="5" t="s">
        <v>247</v>
      </c>
      <c r="S6" s="5">
        <f xml:space="preserve"> 0.4 * ($C$5 *2.20462/1000)^(2/3) * 0.3048^2</f>
        <v>7.1613406695793219E-2</v>
      </c>
      <c r="T6" s="39" t="s">
        <v>248</v>
      </c>
      <c r="V6" s="5" t="s">
        <v>247</v>
      </c>
      <c r="W6" s="5">
        <f xml:space="preserve"> 0.4 * ($C$5 *2.20462/1000)^(2/3) * 0.3048^2</f>
        <v>7.1613406695793219E-2</v>
      </c>
      <c r="X6" s="5" t="s">
        <v>248</v>
      </c>
      <c r="AB6" s="3">
        <v>2</v>
      </c>
      <c r="AC6" s="3">
        <f t="shared" ref="AC6:AC34" si="15">IF(AI5&gt;0, AG5, AC5)</f>
        <v>0.25</v>
      </c>
      <c r="AD6" s="3">
        <f t="shared" si="0"/>
        <v>8.8516538637578634E-2</v>
      </c>
      <c r="AE6" s="3">
        <f t="shared" ref="AE6:AE34" si="16">IF(AJ5&gt;0, AG5, AE5)</f>
        <v>0.5</v>
      </c>
      <c r="AF6" s="3">
        <f t="shared" si="1"/>
        <v>-0.17214323215331873</v>
      </c>
      <c r="AG6" s="3">
        <f t="shared" si="3"/>
        <v>0.375</v>
      </c>
      <c r="AH6" s="3">
        <f t="shared" si="2"/>
        <v>-4.3574273204894709E-2</v>
      </c>
      <c r="AI6" s="3">
        <f t="shared" si="4"/>
        <v>-3.8570438377454699E-3</v>
      </c>
      <c r="AJ6" s="3">
        <f t="shared" si="5"/>
        <v>7.5010162282223257E-3</v>
      </c>
      <c r="AK6" s="3">
        <f t="shared" si="6"/>
        <v>0.25</v>
      </c>
      <c r="AM6" s="3"/>
      <c r="AN6" s="3"/>
      <c r="AO6" s="14"/>
      <c r="AP6"/>
      <c r="AQ6" s="3" t="s">
        <v>174</v>
      </c>
      <c r="AR6" s="18">
        <f>$AN$4/60</f>
        <v>16.987214322822791</v>
      </c>
      <c r="AS6" s="14" t="s">
        <v>175</v>
      </c>
      <c r="AT6"/>
      <c r="AU6" s="3" t="s">
        <v>176</v>
      </c>
      <c r="AV6" s="3">
        <f>(1-$BD$19)*$AR$5*$AN$19</f>
        <v>23.777661923792248</v>
      </c>
      <c r="AW6" s="14" t="s">
        <v>13</v>
      </c>
      <c r="AX6"/>
      <c r="AY6" s="3" t="s">
        <v>176</v>
      </c>
      <c r="AZ6" s="3">
        <f>(1-$BH$19)*$AR$5*$AN$20</f>
        <v>34.104362471086063</v>
      </c>
      <c r="BA6" s="14" t="s">
        <v>13</v>
      </c>
      <c r="BB6"/>
      <c r="BC6" s="3" t="s">
        <v>36</v>
      </c>
      <c r="BD6" s="3">
        <f>BD5-BD4</f>
        <v>4.7067078105195725E-2</v>
      </c>
      <c r="BE6" s="3" t="s">
        <v>170</v>
      </c>
      <c r="BF6" s="3"/>
      <c r="BG6" s="3" t="s">
        <v>36</v>
      </c>
      <c r="BH6" s="3">
        <f>BH5-BH4</f>
        <v>8.4876473740268188E-2</v>
      </c>
      <c r="BI6" s="3" t="s">
        <v>170</v>
      </c>
      <c r="BJ6"/>
      <c r="BK6" s="3">
        <v>2</v>
      </c>
      <c r="BL6" s="3">
        <f t="shared" ref="BL6:BL34" si="17">IF(BR5&gt;0,BP5,BL5)</f>
        <v>3.1415926535897934E-2</v>
      </c>
      <c r="BM6" s="3">
        <v>-3.3234944958300332</v>
      </c>
      <c r="BN6" s="3">
        <f t="shared" ref="BN6:BN34" si="18">IF(BS5&gt;0,BP5,BN5)</f>
        <v>1.4294246573833558</v>
      </c>
      <c r="BO6" s="3">
        <v>1.4221427793825585</v>
      </c>
      <c r="BP6" s="3">
        <f t="shared" si="7"/>
        <v>0.73042029195962688</v>
      </c>
      <c r="BQ6" s="3">
        <v>0.87843846633479028</v>
      </c>
      <c r="BR6" s="3">
        <f t="shared" si="8"/>
        <v>-2.9194854077890513</v>
      </c>
      <c r="BS6" s="3">
        <f t="shared" si="9"/>
        <v>1.2492649220299108</v>
      </c>
      <c r="BT6" s="3">
        <f t="shared" si="10"/>
        <v>1.3980087308474578</v>
      </c>
      <c r="BU6"/>
      <c r="BV6" s="3">
        <v>2</v>
      </c>
      <c r="BW6" s="3">
        <f t="shared" ref="BW6:BW34" si="19">IF(CC5&gt;0,CA5,BW5)</f>
        <v>3.1415926535897934E-2</v>
      </c>
      <c r="BX6" s="3">
        <v>-2.854550538697104</v>
      </c>
      <c r="BY6" s="3">
        <f t="shared" ref="BY6:BY34" si="20">IF(CD5&gt;0,CA5,BY5)</f>
        <v>1.4294246573833558</v>
      </c>
      <c r="BZ6" s="3">
        <v>1.2209035617893882</v>
      </c>
      <c r="CA6" s="3">
        <f t="shared" si="11"/>
        <v>0.73042029195962688</v>
      </c>
      <c r="CB6" s="3">
        <v>0.76607631350345873</v>
      </c>
      <c r="CC6" s="3">
        <f t="shared" si="12"/>
        <v>-2.1868035533943897</v>
      </c>
      <c r="CD6" s="3">
        <f t="shared" si="13"/>
        <v>0.93530529975885679</v>
      </c>
      <c r="CE6" s="3">
        <f t="shared" si="14"/>
        <v>1.3980087308474578</v>
      </c>
    </row>
    <row r="7" spans="2:83" x14ac:dyDescent="0.2">
      <c r="B7" s="5" t="s">
        <v>123</v>
      </c>
      <c r="C7" s="8">
        <v>1</v>
      </c>
      <c r="D7" s="5" t="s">
        <v>11</v>
      </c>
      <c r="F7" s="5" t="s">
        <v>237</v>
      </c>
      <c r="G7" s="9">
        <f>$C$6*2*PI()*$C$7/60</f>
        <v>106.73381544307078</v>
      </c>
      <c r="H7" s="5" t="s">
        <v>13</v>
      </c>
      <c r="J7" s="5" t="s">
        <v>115</v>
      </c>
      <c r="K7" s="5">
        <f>K6/$C$28</f>
        <v>101.09336354729498</v>
      </c>
      <c r="L7" s="5" t="s">
        <v>81</v>
      </c>
      <c r="N7" t="s">
        <v>249</v>
      </c>
      <c r="O7">
        <f xml:space="preserve"> O6 / $C$11</f>
        <v>4.4205806602341498E-3</v>
      </c>
      <c r="R7" t="s">
        <v>249</v>
      </c>
      <c r="S7">
        <f xml:space="preserve"> S6 / $C$11</f>
        <v>4.4205806602341498E-3</v>
      </c>
      <c r="T7" s="37"/>
      <c r="V7" t="s">
        <v>249</v>
      </c>
      <c r="W7">
        <f xml:space="preserve"> W6 / $C$11</f>
        <v>4.4205806602341498E-3</v>
      </c>
      <c r="X7"/>
      <c r="AB7" s="3">
        <v>3</v>
      </c>
      <c r="AC7" s="3">
        <f t="shared" si="15"/>
        <v>0.25</v>
      </c>
      <c r="AD7" s="3">
        <f t="shared" si="0"/>
        <v>8.8516538637578634E-2</v>
      </c>
      <c r="AE7" s="3">
        <f t="shared" si="16"/>
        <v>0.375</v>
      </c>
      <c r="AF7" s="3">
        <f t="shared" si="1"/>
        <v>-4.3574273204894709E-2</v>
      </c>
      <c r="AG7" s="3">
        <f t="shared" si="3"/>
        <v>0.3125</v>
      </c>
      <c r="AH7" s="3">
        <f t="shared" si="2"/>
        <v>2.1770596512323659E-2</v>
      </c>
      <c r="AI7" s="3">
        <f t="shared" si="4"/>
        <v>1.9270578473462318E-3</v>
      </c>
      <c r="AJ7" s="3">
        <f t="shared" si="5"/>
        <v>-9.4863792026151901E-4</v>
      </c>
      <c r="AK7" s="3">
        <f t="shared" si="6"/>
        <v>0.125</v>
      </c>
      <c r="AM7" s="41" t="s">
        <v>177</v>
      </c>
      <c r="AN7" s="41"/>
      <c r="AO7" s="41"/>
      <c r="AP7"/>
      <c r="AQ7" s="3" t="s">
        <v>178</v>
      </c>
      <c r="AR7" s="18">
        <f>$AN$3/(AR6*AN9)</f>
        <v>7.4762110836131615E-2</v>
      </c>
      <c r="AS7"/>
      <c r="AT7"/>
      <c r="AU7" s="3" t="s">
        <v>179</v>
      </c>
      <c r="AV7" s="3">
        <f>SQRT(AV5^2 + AV6^2)</f>
        <v>26.164361508363939</v>
      </c>
      <c r="AW7" s="14" t="s">
        <v>13</v>
      </c>
      <c r="AX7"/>
      <c r="AY7" s="3" t="s">
        <v>179</v>
      </c>
      <c r="AZ7" s="3">
        <f>SQRT(AZ5^2 + AZ6^2)</f>
        <v>36.534404271202654</v>
      </c>
      <c r="BA7" s="14" t="s">
        <v>13</v>
      </c>
      <c r="BB7"/>
      <c r="BC7" s="3" t="s">
        <v>180</v>
      </c>
      <c r="BD7" s="3">
        <f>BD6/PI()*180</f>
        <v>2.6967449294403192</v>
      </c>
      <c r="BE7" s="3" t="s">
        <v>53</v>
      </c>
      <c r="BF7" s="3"/>
      <c r="BG7" s="3" t="s">
        <v>180</v>
      </c>
      <c r="BH7" s="3">
        <f>BH6/PI()*180</f>
        <v>4.8630637252703277</v>
      </c>
      <c r="BI7" s="3" t="s">
        <v>53</v>
      </c>
      <c r="BJ7"/>
      <c r="BK7" s="3">
        <v>3</v>
      </c>
      <c r="BL7" s="3">
        <f t="shared" si="17"/>
        <v>3.1415926535897934E-2</v>
      </c>
      <c r="BM7" s="3">
        <v>-3.3234944958300332</v>
      </c>
      <c r="BN7" s="3">
        <f t="shared" si="18"/>
        <v>0.73042029195962688</v>
      </c>
      <c r="BO7" s="3">
        <v>0.87843846633479028</v>
      </c>
      <c r="BP7" s="3">
        <f t="shared" si="7"/>
        <v>0.38091810924776243</v>
      </c>
      <c r="BQ7" s="3">
        <v>-0.31917661084603349</v>
      </c>
      <c r="BR7" s="3">
        <f t="shared" si="8"/>
        <v>1.0607817093444767</v>
      </c>
      <c r="BS7" s="3">
        <f t="shared" si="9"/>
        <v>-0.28037701252152586</v>
      </c>
      <c r="BT7" s="3">
        <f t="shared" si="10"/>
        <v>0.6990043654237289</v>
      </c>
      <c r="BU7"/>
      <c r="BV7" s="3">
        <v>3</v>
      </c>
      <c r="BW7" s="3">
        <f t="shared" si="19"/>
        <v>3.1415926535897934E-2</v>
      </c>
      <c r="BX7" s="3">
        <v>-2.854550538697104</v>
      </c>
      <c r="BY7" s="3">
        <f t="shared" si="20"/>
        <v>0.73042029195962688</v>
      </c>
      <c r="BZ7" s="3">
        <v>0.76607631350345873</v>
      </c>
      <c r="CA7" s="3">
        <f t="shared" si="11"/>
        <v>0.38091810924776243</v>
      </c>
      <c r="CB7" s="3">
        <v>5.7986469366416729E-2</v>
      </c>
      <c r="CC7" s="3">
        <f t="shared" si="12"/>
        <v>-0.16552530736704799</v>
      </c>
      <c r="CD7" s="3">
        <f t="shared" si="13"/>
        <v>4.442206068530577E-2</v>
      </c>
      <c r="CE7" s="3">
        <f t="shared" si="14"/>
        <v>0.6990043654237289</v>
      </c>
    </row>
    <row r="8" spans="2:83" x14ac:dyDescent="0.2">
      <c r="B8" s="5" t="s">
        <v>150</v>
      </c>
      <c r="C8" s="8">
        <f>(0.548288+0.530863+0.513438+0.496013+0.478588+0.461163+0.443738+0.426313)/8</f>
        <v>0.48730050000000003</v>
      </c>
      <c r="F8" s="5" t="s">
        <v>238</v>
      </c>
      <c r="G8" s="5">
        <f>G7/$C$67</f>
        <v>0.31353936196615545</v>
      </c>
      <c r="H8" s="5" t="s">
        <v>242</v>
      </c>
      <c r="N8" t="s">
        <v>250</v>
      </c>
      <c r="O8" s="8">
        <v>2.476619E-2</v>
      </c>
      <c r="R8" t="s">
        <v>250</v>
      </c>
      <c r="S8" s="8">
        <v>2.476619E-2</v>
      </c>
      <c r="T8" s="37"/>
      <c r="V8" t="s">
        <v>250</v>
      </c>
      <c r="W8" s="8">
        <v>2.476619E-2</v>
      </c>
      <c r="X8"/>
      <c r="AB8" s="3">
        <v>4</v>
      </c>
      <c r="AC8" s="3">
        <f t="shared" si="15"/>
        <v>0.3125</v>
      </c>
      <c r="AD8" s="3">
        <f t="shared" si="0"/>
        <v>2.1770596512323659E-2</v>
      </c>
      <c r="AE8" s="3">
        <f t="shared" si="16"/>
        <v>0.375</v>
      </c>
      <c r="AF8" s="3">
        <f t="shared" si="1"/>
        <v>-4.3574273204894709E-2</v>
      </c>
      <c r="AG8" s="3">
        <f t="shared" si="3"/>
        <v>0.34375</v>
      </c>
      <c r="AH8" s="3">
        <f t="shared" si="2"/>
        <v>-1.1029888491406292E-2</v>
      </c>
      <c r="AI8" s="3">
        <f t="shared" si="4"/>
        <v>-2.401272519223287E-4</v>
      </c>
      <c r="AJ8" s="3">
        <f t="shared" si="5"/>
        <v>4.8061937454406173E-4</v>
      </c>
      <c r="AK8" s="3">
        <f t="shared" si="6"/>
        <v>6.25E-2</v>
      </c>
      <c r="AM8" s="3" t="s">
        <v>181</v>
      </c>
      <c r="AN8" s="3">
        <f>$C$22</f>
        <v>2</v>
      </c>
      <c r="AO8" s="14"/>
      <c r="AP8"/>
      <c r="AQ8"/>
      <c r="AR8"/>
      <c r="AS8"/>
      <c r="AT8"/>
      <c r="AU8" s="3" t="s">
        <v>182</v>
      </c>
      <c r="AV8" s="19">
        <f>$AN$45*AV7*$AN$27/$AN$46</f>
        <v>982092.34127609828</v>
      </c>
      <c r="AW8" s="14"/>
      <c r="AX8"/>
      <c r="AY8" s="3" t="s">
        <v>182</v>
      </c>
      <c r="AZ8" s="19">
        <f>$AN$45*AZ7*$AN$27/$AN$46</f>
        <v>1371337.0615355212</v>
      </c>
      <c r="BA8" s="14"/>
      <c r="BB8"/>
      <c r="BC8" s="3" t="s">
        <v>183</v>
      </c>
      <c r="BD8" s="3">
        <f xml:space="preserve"> $AN$8*$AN$27 / (2*PI()*$AN$19)</f>
        <v>0.67286936241325579</v>
      </c>
      <c r="BE8" s="3"/>
      <c r="BF8" s="3"/>
      <c r="BG8" s="3" t="s">
        <v>183</v>
      </c>
      <c r="BH8" s="3">
        <f xml:space="preserve"> $AN$8*$AN$28 / (2*PI()*$AN$20)</f>
        <v>0.47184346557538748</v>
      </c>
      <c r="BI8" s="3"/>
      <c r="BJ8"/>
      <c r="BK8" s="3">
        <v>4</v>
      </c>
      <c r="BL8" s="3">
        <f t="shared" si="17"/>
        <v>0.38091810924776243</v>
      </c>
      <c r="BM8" s="3">
        <v>-0.31917661084603349</v>
      </c>
      <c r="BN8" s="3">
        <f t="shared" si="18"/>
        <v>0.73042029195962688</v>
      </c>
      <c r="BO8" s="3">
        <v>0.87843846633479028</v>
      </c>
      <c r="BP8" s="3">
        <f t="shared" si="7"/>
        <v>0.55566920060369462</v>
      </c>
      <c r="BQ8" s="3">
        <v>0.62296799436356631</v>
      </c>
      <c r="BR8" s="3">
        <f t="shared" si="8"/>
        <v>-0.19883681310651399</v>
      </c>
      <c r="BS8" s="3">
        <f t="shared" si="9"/>
        <v>0.54723904954439151</v>
      </c>
      <c r="BT8" s="3">
        <f t="shared" si="10"/>
        <v>0.34950218271186445</v>
      </c>
      <c r="BU8"/>
      <c r="BV8" s="3">
        <v>4</v>
      </c>
      <c r="BW8" s="3">
        <f t="shared" si="19"/>
        <v>3.1415926535897934E-2</v>
      </c>
      <c r="BX8" s="3">
        <v>-2.854550538697104</v>
      </c>
      <c r="BY8" s="3">
        <f t="shared" si="20"/>
        <v>0.38091810924776243</v>
      </c>
      <c r="BZ8" s="3">
        <v>5.7986469366416729E-2</v>
      </c>
      <c r="CA8" s="3">
        <f t="shared" si="11"/>
        <v>0.20616701789183017</v>
      </c>
      <c r="CB8" s="3">
        <v>-0.76963678149273373</v>
      </c>
      <c r="CC8" s="3">
        <f t="shared" si="12"/>
        <v>2.1969670892111886</v>
      </c>
      <c r="CD8" s="3">
        <f t="shared" si="13"/>
        <v>-4.4628519653295971E-2</v>
      </c>
      <c r="CE8" s="3">
        <f t="shared" si="14"/>
        <v>0.34950218271186451</v>
      </c>
    </row>
    <row r="9" spans="2:83" x14ac:dyDescent="0.2">
      <c r="B9" s="5" t="s">
        <v>124</v>
      </c>
      <c r="C9" s="8">
        <v>1</v>
      </c>
      <c r="D9" s="5" t="s">
        <v>11</v>
      </c>
      <c r="F9" s="5" t="s">
        <v>26</v>
      </c>
      <c r="G9" s="5">
        <f xml:space="preserve"> $C$5 * $C$68 / $C$21</f>
        <v>1487.48834466875</v>
      </c>
      <c r="H9" s="5" t="s">
        <v>27</v>
      </c>
      <c r="N9" t="s">
        <v>251</v>
      </c>
      <c r="O9">
        <f>$O$8 + O7</f>
        <v>2.9186770660234149E-2</v>
      </c>
      <c r="R9" t="s">
        <v>251</v>
      </c>
      <c r="S9">
        <f>$O$8 + S7</f>
        <v>2.9186770660234149E-2</v>
      </c>
      <c r="T9" s="37"/>
      <c r="V9" t="s">
        <v>251</v>
      </c>
      <c r="W9">
        <f>$O$8 + W7</f>
        <v>2.9186770660234149E-2</v>
      </c>
      <c r="X9"/>
      <c r="AB9" s="3">
        <v>5</v>
      </c>
      <c r="AC9" s="3">
        <f t="shared" si="15"/>
        <v>0.3125</v>
      </c>
      <c r="AD9" s="3">
        <f t="shared" si="0"/>
        <v>2.1770596512323659E-2</v>
      </c>
      <c r="AE9" s="3">
        <f t="shared" si="16"/>
        <v>0.34375</v>
      </c>
      <c r="AF9" s="3">
        <f t="shared" si="1"/>
        <v>-1.1029888491406292E-2</v>
      </c>
      <c r="AG9" s="3">
        <f t="shared" si="3"/>
        <v>0.328125</v>
      </c>
      <c r="AH9" s="3">
        <f t="shared" si="2"/>
        <v>5.3338313230674173E-3</v>
      </c>
      <c r="AI9" s="3">
        <f t="shared" si="4"/>
        <v>1.1612068959929421E-4</v>
      </c>
      <c r="AJ9" s="3">
        <f t="shared" si="5"/>
        <v>-5.8831564725403701E-5</v>
      </c>
      <c r="AK9" s="3">
        <f t="shared" si="6"/>
        <v>3.125E-2</v>
      </c>
      <c r="AM9" s="3" t="s">
        <v>184</v>
      </c>
      <c r="AN9" s="3">
        <f>2*$C$7</f>
        <v>2</v>
      </c>
      <c r="AO9" s="14" t="s">
        <v>11</v>
      </c>
      <c r="AP9"/>
      <c r="AQ9" s="41" t="s">
        <v>185</v>
      </c>
      <c r="AR9" s="41"/>
      <c r="AS9" s="41"/>
      <c r="AT9"/>
      <c r="AU9" s="3" t="s">
        <v>186</v>
      </c>
      <c r="AV9" s="18">
        <f xml:space="preserve"> $BD$8 * PI() * $AN$45 * AV7^2 *$BD$14 * $AN$19 * AV4</f>
        <v>20.292978849291202</v>
      </c>
      <c r="AW9" s="14" t="s">
        <v>27</v>
      </c>
      <c r="AX9"/>
      <c r="AY9" s="3" t="s">
        <v>186</v>
      </c>
      <c r="AZ9" s="18">
        <f xml:space="preserve"> $BH$8 * PI() * $AN$45 * AZ7^2 * $BH$14 * $AN$20 * AZ4</f>
        <v>59.677233049548185</v>
      </c>
      <c r="BA9" s="14" t="s">
        <v>27</v>
      </c>
      <c r="BB9"/>
      <c r="BC9" s="3" t="s">
        <v>187</v>
      </c>
      <c r="BD9" s="3">
        <f>IF(-$AN$8*($AR$3-$AN$19)/(2*$AN$19*SIN(BD4))&gt;500, 1, 2*ACOS(MIN(1, EXP(-$AN$8*($AR$3-$AN$19)/(2*$AN$19*SIN(BD4)))))/PI() )</f>
        <v>0.99932081234366621</v>
      </c>
      <c r="BE9" s="3"/>
      <c r="BF9" s="3"/>
      <c r="BG9" s="3" t="s">
        <v>187</v>
      </c>
      <c r="BH9" s="3">
        <f>IF(-$AN$8*($AR$3-$AN$20)/(2*$AN$20*SIN(BH4))&gt;500, 1, 2*ACOS(MIN(1, EXP(-$AN$8*($AR$3-$AN$20)/(2*$AN$20*SIN(BH4)))))/PI() )</f>
        <v>0.99570152919394184</v>
      </c>
      <c r="BI9" s="3"/>
      <c r="BJ9"/>
      <c r="BK9" s="3">
        <v>5</v>
      </c>
      <c r="BL9" s="3">
        <f t="shared" si="17"/>
        <v>0.38091810924776243</v>
      </c>
      <c r="BM9" s="3">
        <v>-0.31917661084603349</v>
      </c>
      <c r="BN9" s="3">
        <f t="shared" si="18"/>
        <v>0.55566920060369462</v>
      </c>
      <c r="BO9" s="3">
        <v>0.62296799436356631</v>
      </c>
      <c r="BP9" s="3">
        <f t="shared" si="7"/>
        <v>0.4682936549257285</v>
      </c>
      <c r="BQ9" s="3">
        <v>0.22029328566649675</v>
      </c>
      <c r="BR9" s="3">
        <f t="shared" si="8"/>
        <v>-7.0312464311169526E-2</v>
      </c>
      <c r="BS9" s="3">
        <f t="shared" si="9"/>
        <v>0.13723566634341766</v>
      </c>
      <c r="BT9" s="3">
        <f t="shared" si="10"/>
        <v>0.1747510913559322</v>
      </c>
      <c r="BU9"/>
      <c r="BV9" s="3">
        <v>5</v>
      </c>
      <c r="BW9" s="3">
        <f t="shared" si="19"/>
        <v>0.20616701789183017</v>
      </c>
      <c r="BX9" s="3">
        <v>-0.76963678149273373</v>
      </c>
      <c r="BY9" s="3">
        <f t="shared" si="20"/>
        <v>0.38091810924776243</v>
      </c>
      <c r="BZ9" s="3">
        <v>5.7986469366416729E-2</v>
      </c>
      <c r="CA9" s="3">
        <f t="shared" si="11"/>
        <v>0.2935425635697963</v>
      </c>
      <c r="CB9" s="3">
        <v>-0.32733093552143183</v>
      </c>
      <c r="CC9" s="3">
        <f t="shared" si="12"/>
        <v>0.25192592769772032</v>
      </c>
      <c r="CD9" s="3">
        <f t="shared" si="13"/>
        <v>-1.8980765265294037E-2</v>
      </c>
      <c r="CE9" s="3">
        <f t="shared" si="14"/>
        <v>0.17475109135593225</v>
      </c>
    </row>
    <row r="10" spans="2:83" x14ac:dyDescent="0.2">
      <c r="B10" s="5" t="s">
        <v>253</v>
      </c>
      <c r="C10" s="8">
        <f>(0.500656+0.484769+0.468881+0.452994+0.437106+0.421219+0.405331+0.389444)/8</f>
        <v>0.44505</v>
      </c>
      <c r="F10" s="39" t="s">
        <v>239</v>
      </c>
      <c r="G10" s="39">
        <f>AR10</f>
        <v>1487.488346894286</v>
      </c>
      <c r="H10" s="39" t="s">
        <v>27</v>
      </c>
      <c r="J10" s="51" t="s">
        <v>30</v>
      </c>
      <c r="K10" s="51"/>
      <c r="L10" s="51"/>
      <c r="N10" t="s">
        <v>49</v>
      </c>
      <c r="O10" s="5">
        <f xml:space="preserve"> O5 * $C$11 * O9</f>
        <v>724.01432969043333</v>
      </c>
      <c r="P10" s="5" t="s">
        <v>27</v>
      </c>
      <c r="R10" t="s">
        <v>49</v>
      </c>
      <c r="S10" s="5">
        <f xml:space="preserve"> S5 * $C$11 * S9</f>
        <v>724.01432969043333</v>
      </c>
      <c r="T10" s="37" t="s">
        <v>27</v>
      </c>
      <c r="V10" t="s">
        <v>49</v>
      </c>
      <c r="W10" s="5">
        <f xml:space="preserve"> W5 *$C$11 * W9</f>
        <v>724.01432969043333</v>
      </c>
      <c r="X10" t="s">
        <v>27</v>
      </c>
      <c r="AB10" s="3">
        <v>6</v>
      </c>
      <c r="AC10" s="3">
        <f t="shared" si="15"/>
        <v>0.328125</v>
      </c>
      <c r="AD10" s="3">
        <f t="shared" si="0"/>
        <v>5.3338313230674173E-3</v>
      </c>
      <c r="AE10" s="3">
        <f t="shared" si="16"/>
        <v>0.34375</v>
      </c>
      <c r="AF10" s="3">
        <f t="shared" si="1"/>
        <v>-1.1029888491406292E-2</v>
      </c>
      <c r="AG10" s="3">
        <f t="shared" si="3"/>
        <v>0.3359375</v>
      </c>
      <c r="AH10" s="3">
        <f t="shared" si="2"/>
        <v>-2.8565310420640144E-3</v>
      </c>
      <c r="AI10" s="3">
        <f t="shared" si="4"/>
        <v>-1.523625474747545E-5</v>
      </c>
      <c r="AJ10" s="3">
        <f t="shared" si="5"/>
        <v>3.1507218866206695E-5</v>
      </c>
      <c r="AK10" s="3">
        <f t="shared" si="6"/>
        <v>1.5625E-2</v>
      </c>
      <c r="AM10" s="3" t="s">
        <v>188</v>
      </c>
      <c r="AN10" s="4">
        <f>0.21*($AN$9/2)</f>
        <v>0.21</v>
      </c>
      <c r="AO10" s="14" t="s">
        <v>11</v>
      </c>
      <c r="AP10"/>
      <c r="AQ10" s="20" t="s">
        <v>189</v>
      </c>
      <c r="AR10" s="21">
        <f>AV9+AZ9+AV18+AZ18+AV27+AZ27+AV36+AZ36</f>
        <v>1487.488346894286</v>
      </c>
      <c r="AS10" s="14" t="s">
        <v>27</v>
      </c>
      <c r="AT10"/>
      <c r="AU10" s="3" t="s">
        <v>190</v>
      </c>
      <c r="AV10" s="18">
        <f xml:space="preserve"> $BD$8 * PI() * $AN$45 * AV7^2 * $BD$15 * $AN$19^2 * AV4</f>
        <v>2.454297579236866</v>
      </c>
      <c r="AW10" s="14" t="s">
        <v>191</v>
      </c>
      <c r="AX10"/>
      <c r="AY10" s="3" t="s">
        <v>190</v>
      </c>
      <c r="AZ10" s="18">
        <f xml:space="preserve"> $BH$8 * PI() * $AN$45 * AZ7^2 * $BH$15 * $AN$20^2 * AZ4</f>
        <v>8.336283934334908</v>
      </c>
      <c r="BA10" s="14" t="s">
        <v>191</v>
      </c>
      <c r="BB10"/>
      <c r="BC10" s="3" t="s">
        <v>192</v>
      </c>
      <c r="BD10" s="3">
        <f>IF(-$AN$8*($AN$19-$AN$10)/(2*$AN$19*SIN(BD4))&gt;500, 1, 2*ACOS(MIN(1, EXP(-$AN$8*($AN$19-$AN$10)/(2*$AN$19*SIN(BD4)))))/PI() )</f>
        <v>0.5630824404824244</v>
      </c>
      <c r="BE10" s="3"/>
      <c r="BF10" s="3"/>
      <c r="BG10" s="3" t="s">
        <v>192</v>
      </c>
      <c r="BH10" s="3">
        <f>IF(-$AN$8*($AN$20-$AN$10)/(2*$AN$20*SIN(BH4))&gt;500, 1, 2*ACOS(MIN(1, EXP(-$AN$8*($AN$20-$AN$10)/(2*$AN$20*SIN(BH4)))))/PI() )</f>
        <v>0.79560680298833553</v>
      </c>
      <c r="BI10" s="3"/>
      <c r="BJ10"/>
      <c r="BK10" s="3">
        <v>6</v>
      </c>
      <c r="BL10" s="3">
        <f t="shared" si="17"/>
        <v>0.38091810924776243</v>
      </c>
      <c r="BM10" s="3">
        <v>-0.31917661084603349</v>
      </c>
      <c r="BN10" s="3">
        <f t="shared" si="18"/>
        <v>0.4682936549257285</v>
      </c>
      <c r="BO10" s="3">
        <v>0.22029328566649675</v>
      </c>
      <c r="BP10" s="3">
        <f t="shared" si="7"/>
        <v>0.42460588208674543</v>
      </c>
      <c r="BQ10" s="3">
        <v>-3.5988306668844484E-2</v>
      </c>
      <c r="BR10" s="3">
        <f t="shared" si="8"/>
        <v>1.1486625752649488E-2</v>
      </c>
      <c r="BS10" s="3">
        <f t="shared" si="9"/>
        <v>-7.9279823216532475E-3</v>
      </c>
      <c r="BT10" s="3">
        <f t="shared" si="10"/>
        <v>8.7375545677966071E-2</v>
      </c>
      <c r="BU10"/>
      <c r="BV10" s="3">
        <v>6</v>
      </c>
      <c r="BW10" s="3">
        <f t="shared" si="19"/>
        <v>0.2935425635697963</v>
      </c>
      <c r="BX10" s="3">
        <v>-0.32733093552143183</v>
      </c>
      <c r="BY10" s="3">
        <f t="shared" si="20"/>
        <v>0.38091810924776243</v>
      </c>
      <c r="BZ10" s="3">
        <v>5.7986469366416729E-2</v>
      </c>
      <c r="CA10" s="3">
        <f t="shared" si="11"/>
        <v>0.33723033640877936</v>
      </c>
      <c r="CB10" s="3">
        <v>-0.12689252093543663</v>
      </c>
      <c r="CC10" s="3">
        <f t="shared" si="12"/>
        <v>4.1535847588469343E-2</v>
      </c>
      <c r="CD10" s="3">
        <f t="shared" si="13"/>
        <v>-7.3580492780500892E-3</v>
      </c>
      <c r="CE10" s="3">
        <f t="shared" si="14"/>
        <v>8.7375545677966127E-2</v>
      </c>
    </row>
    <row r="11" spans="2:83" x14ac:dyDescent="0.2">
      <c r="B11" s="5" t="s">
        <v>14</v>
      </c>
      <c r="C11" s="8">
        <v>16.2</v>
      </c>
      <c r="D11" s="5" t="s">
        <v>15</v>
      </c>
      <c r="F11" s="39" t="s">
        <v>240</v>
      </c>
      <c r="G11" s="5">
        <f>G9-G10</f>
        <v>-2.2255360363487853E-6</v>
      </c>
      <c r="H11" s="39" t="s">
        <v>27</v>
      </c>
      <c r="J11" s="5" t="s">
        <v>83</v>
      </c>
      <c r="K11" s="5">
        <f xml:space="preserve"> (G13*G6 + G26*G19 + G33*G29 + G46*G39 + G53*G51)/3600</f>
        <v>45.833801536533215</v>
      </c>
      <c r="L11" s="5" t="s">
        <v>84</v>
      </c>
      <c r="N11" t="s">
        <v>50</v>
      </c>
      <c r="O11" s="5">
        <f xml:space="preserve"> 1.78 * (1 - 0.045 * $C$12^0.68) - 0.64</f>
        <v>0.82990122458567595</v>
      </c>
      <c r="R11" t="s">
        <v>50</v>
      </c>
      <c r="S11" s="5">
        <f xml:space="preserve"> 1.78 * (1 - 0.045 * $C$12^0.68) - 0.64</f>
        <v>0.82990122458567595</v>
      </c>
      <c r="T11" s="37"/>
      <c r="V11" t="s">
        <v>50</v>
      </c>
      <c r="W11" s="5">
        <f xml:space="preserve"> 1.78 * (1 - 0.045 * $C$12^0.68) - 0.64</f>
        <v>0.82990122458567595</v>
      </c>
      <c r="X11"/>
      <c r="AB11" s="3">
        <v>7</v>
      </c>
      <c r="AC11" s="3">
        <f t="shared" si="15"/>
        <v>0.328125</v>
      </c>
      <c r="AD11" s="3">
        <f t="shared" si="0"/>
        <v>5.3338313230674173E-3</v>
      </c>
      <c r="AE11" s="3">
        <f t="shared" si="16"/>
        <v>0.3359375</v>
      </c>
      <c r="AF11" s="3">
        <f t="shared" si="1"/>
        <v>-2.8565310420640144E-3</v>
      </c>
      <c r="AG11" s="3">
        <f t="shared" si="3"/>
        <v>0.33203125</v>
      </c>
      <c r="AH11" s="3">
        <f t="shared" si="2"/>
        <v>1.2364505375518364E-3</v>
      </c>
      <c r="AI11" s="3">
        <f t="shared" si="4"/>
        <v>6.5950186066175305E-6</v>
      </c>
      <c r="AJ11" s="3">
        <f t="shared" si="5"/>
        <v>-3.531959342493558E-6</v>
      </c>
      <c r="AK11" s="3">
        <f t="shared" si="6"/>
        <v>7.8125E-3</v>
      </c>
      <c r="AM11" s="45" t="s">
        <v>193</v>
      </c>
      <c r="AN11" s="4" t="s">
        <v>194</v>
      </c>
      <c r="AO11" s="14"/>
      <c r="AP11"/>
      <c r="AQ11" s="20" t="s">
        <v>195</v>
      </c>
      <c r="AR11" s="21">
        <f>AV10+AZ10+AV19+AZ19+AV28+AZ28+AV37+AZ37</f>
        <v>288.14858659812728</v>
      </c>
      <c r="AS11" s="14" t="s">
        <v>191</v>
      </c>
      <c r="AT11"/>
      <c r="AU11"/>
      <c r="AV11" s="18"/>
      <c r="AW11"/>
      <c r="AX11"/>
      <c r="AY11"/>
      <c r="AZ11"/>
      <c r="BA11"/>
      <c r="BB11"/>
      <c r="BC11" s="3" t="s">
        <v>196</v>
      </c>
      <c r="BD11" s="3">
        <f>IF(BD4=0,1,BD9*BD10)</f>
        <v>0.56270000183935043</v>
      </c>
      <c r="BE11" s="3"/>
      <c r="BF11" s="3"/>
      <c r="BG11" s="3" t="s">
        <v>196</v>
      </c>
      <c r="BH11" s="3">
        <f>IF(BH4=0,1,BH9*BH10)</f>
        <v>0.79218691037258893</v>
      </c>
      <c r="BI11" s="3"/>
      <c r="BJ11"/>
      <c r="BK11" s="3">
        <v>7</v>
      </c>
      <c r="BL11" s="3">
        <f t="shared" si="17"/>
        <v>0.42460588208674543</v>
      </c>
      <c r="BM11" s="3">
        <v>-3.5988306668844484E-2</v>
      </c>
      <c r="BN11" s="3">
        <f t="shared" si="18"/>
        <v>0.4682936549257285</v>
      </c>
      <c r="BO11" s="3">
        <v>0.22029328566649675</v>
      </c>
      <c r="BP11" s="3">
        <f t="shared" si="7"/>
        <v>0.44644976850623697</v>
      </c>
      <c r="BQ11" s="3">
        <v>9.6028506516643936E-2</v>
      </c>
      <c r="BR11" s="3">
        <f t="shared" si="8"/>
        <v>-3.4559033414721129E-3</v>
      </c>
      <c r="BS11" s="3">
        <f t="shared" si="9"/>
        <v>2.1154435218198087E-2</v>
      </c>
      <c r="BT11" s="3">
        <f t="shared" si="10"/>
        <v>4.3687772838983063E-2</v>
      </c>
      <c r="BU11"/>
      <c r="BV11" s="3">
        <v>7</v>
      </c>
      <c r="BW11" s="3">
        <f t="shared" si="19"/>
        <v>0.33723033640877936</v>
      </c>
      <c r="BX11" s="3">
        <v>-0.12689252093543663</v>
      </c>
      <c r="BY11" s="3">
        <f t="shared" si="20"/>
        <v>0.38091810924776243</v>
      </c>
      <c r="BZ11" s="3">
        <v>5.7986469366416729E-2</v>
      </c>
      <c r="CA11" s="3">
        <f t="shared" si="11"/>
        <v>0.35907422282827089</v>
      </c>
      <c r="CB11" s="3">
        <v>-3.237391178314003E-2</v>
      </c>
      <c r="CC11" s="3">
        <f t="shared" si="12"/>
        <v>4.1080072787040749E-3</v>
      </c>
      <c r="CD11" s="3">
        <f t="shared" si="13"/>
        <v>-1.8772488438841271E-3</v>
      </c>
      <c r="CE11" s="3">
        <f t="shared" si="14"/>
        <v>4.3687772838983063E-2</v>
      </c>
    </row>
    <row r="12" spans="2:83" x14ac:dyDescent="0.2">
      <c r="B12" s="5" t="s">
        <v>4</v>
      </c>
      <c r="C12" s="8">
        <v>7.32</v>
      </c>
      <c r="F12" s="39" t="s">
        <v>241</v>
      </c>
      <c r="G12" s="20" t="str">
        <f>IF(ABS(G11)&lt;0.001, "TRUE", "FALSE")</f>
        <v>TRUE</v>
      </c>
      <c r="H12" s="39"/>
      <c r="J12" s="5" t="s">
        <v>31</v>
      </c>
      <c r="K12" s="5">
        <f xml:space="preserve"> (G6 + G19 + G29 + G39 +G51)/60</f>
        <v>34.67079771753523</v>
      </c>
      <c r="L12" s="5" t="s">
        <v>86</v>
      </c>
      <c r="N12" t="s">
        <v>117</v>
      </c>
      <c r="O12" s="5">
        <f>O4/(O5*$C$11)</f>
        <v>0.47909466971548242</v>
      </c>
      <c r="R12" t="s">
        <v>117</v>
      </c>
      <c r="S12" s="5">
        <f xml:space="preserve"> S4 / (S5 * $C$11)</f>
        <v>0.47971405421415975</v>
      </c>
      <c r="T12" s="37"/>
      <c r="V12" t="s">
        <v>117</v>
      </c>
      <c r="W12" s="5">
        <f>W4 / ( W5 * $C$11)</f>
        <v>0.47949116796526953</v>
      </c>
      <c r="X12"/>
      <c r="AB12" s="3">
        <v>8</v>
      </c>
      <c r="AC12" s="3">
        <f t="shared" si="15"/>
        <v>0.33203125</v>
      </c>
      <c r="AD12" s="3">
        <f t="shared" si="0"/>
        <v>1.2364505375518364E-3</v>
      </c>
      <c r="AE12" s="3">
        <f t="shared" si="16"/>
        <v>0.3359375</v>
      </c>
      <c r="AF12" s="3">
        <f t="shared" si="1"/>
        <v>-2.8565310420640144E-3</v>
      </c>
      <c r="AG12" s="3">
        <f t="shared" si="3"/>
        <v>0.333984375</v>
      </c>
      <c r="AH12" s="3">
        <f t="shared" si="2"/>
        <v>-8.1058063865541152E-4</v>
      </c>
      <c r="AI12" s="3">
        <f t="shared" si="4"/>
        <v>-1.0022428663945945E-6</v>
      </c>
      <c r="AJ12" s="3">
        <f t="shared" si="5"/>
        <v>2.3154487564152572E-6</v>
      </c>
      <c r="AK12" s="3">
        <f t="shared" si="6"/>
        <v>3.90625E-3</v>
      </c>
      <c r="AM12" s="45"/>
      <c r="AN12" s="4" t="s">
        <v>194</v>
      </c>
      <c r="AO12" s="14"/>
      <c r="AP12"/>
      <c r="AQ12" s="20" t="s">
        <v>197</v>
      </c>
      <c r="AR12" s="21">
        <f>AR11*AR5/1000</f>
        <v>30.755198062146217</v>
      </c>
      <c r="AS12" s="14" t="s">
        <v>81</v>
      </c>
      <c r="AT12"/>
      <c r="AU12" s="44" t="s">
        <v>198</v>
      </c>
      <c r="AV12" s="44"/>
      <c r="AW12" s="44"/>
      <c r="AX12"/>
      <c r="AY12" s="44" t="s">
        <v>199</v>
      </c>
      <c r="AZ12" s="44"/>
      <c r="BA12" s="44"/>
      <c r="BB12"/>
      <c r="BC12" s="3" t="s">
        <v>200</v>
      </c>
      <c r="BD12" s="3">
        <f>IF(BD7&lt;$AW$43, $AR$44*BD7^2 + $AS$44*BD7 + $AT$44, IF(BD7&gt;$AX$43, $AY$44*BD7^2 + $AZ$44*BD7 + $BA$44, $AU$44*BD7^3 + $AV$44*BD7^2 + $AW$44*BD7 + $AX$44))</f>
        <v>0.4931249227301398</v>
      </c>
      <c r="BE12" s="3"/>
      <c r="BF12" s="3"/>
      <c r="BG12" s="3" t="s">
        <v>200</v>
      </c>
      <c r="BH12" s="3">
        <f>IF(BH7&lt;$AW$43, $AR$44*BH7^2 + $AS$44*BH7 + $AT$44, IF(BH7&gt;$AX$43, $AY$44*BH7^2 + $AZ$44*BH7 + $BA$44, $AU$44*BH7^3 + $AV$44*BH7^2 + $AW$44*BH7 + $AX$44))</f>
        <v>0.74730326655091495</v>
      </c>
      <c r="BI12" s="3"/>
      <c r="BJ12"/>
      <c r="BK12" s="3">
        <v>8</v>
      </c>
      <c r="BL12" s="3">
        <f t="shared" si="17"/>
        <v>0.42460588208674543</v>
      </c>
      <c r="BM12" s="3">
        <v>-3.5988306668844484E-2</v>
      </c>
      <c r="BN12" s="3">
        <f t="shared" si="18"/>
        <v>0.44644976850623697</v>
      </c>
      <c r="BO12" s="3">
        <v>9.6028506516643936E-2</v>
      </c>
      <c r="BP12" s="3">
        <f t="shared" si="7"/>
        <v>0.4355278252964912</v>
      </c>
      <c r="BQ12" s="3">
        <v>3.0928776177689285E-2</v>
      </c>
      <c r="BR12" s="3">
        <f t="shared" si="8"/>
        <v>-1.1130742819747336E-3</v>
      </c>
      <c r="BS12" s="3">
        <f t="shared" si="9"/>
        <v>2.9700441847310571E-3</v>
      </c>
      <c r="BT12" s="3">
        <f t="shared" si="10"/>
        <v>2.1843886419491532E-2</v>
      </c>
      <c r="BU12"/>
      <c r="BV12" s="3">
        <v>8</v>
      </c>
      <c r="BW12" s="3">
        <f t="shared" si="19"/>
        <v>0.35907422282827089</v>
      </c>
      <c r="BX12" s="3">
        <v>-3.237391178314003E-2</v>
      </c>
      <c r="BY12" s="3">
        <f t="shared" si="20"/>
        <v>0.38091810924776243</v>
      </c>
      <c r="BZ12" s="3">
        <v>5.7986469366416729E-2</v>
      </c>
      <c r="CA12" s="3">
        <f t="shared" si="11"/>
        <v>0.36999616603801666</v>
      </c>
      <c r="CB12" s="3">
        <v>1.3344026431207773E-2</v>
      </c>
      <c r="CC12" s="3">
        <f t="shared" si="12"/>
        <v>-4.3199833451580932E-4</v>
      </c>
      <c r="CD12" s="3">
        <f t="shared" si="13"/>
        <v>7.7377297987788472E-4</v>
      </c>
      <c r="CE12" s="3">
        <f t="shared" si="14"/>
        <v>2.1843886419491532E-2</v>
      </c>
    </row>
    <row r="13" spans="2:83" x14ac:dyDescent="0.2">
      <c r="B13" s="5" t="s">
        <v>12</v>
      </c>
      <c r="C13" s="8">
        <v>50</v>
      </c>
      <c r="D13" s="5" t="s">
        <v>13</v>
      </c>
      <c r="F13" s="34" t="s">
        <v>80</v>
      </c>
      <c r="G13" s="34">
        <f xml:space="preserve"> $C$21 * AR12</f>
        <v>246.04158449716974</v>
      </c>
      <c r="H13" s="34" t="s">
        <v>81</v>
      </c>
      <c r="N13" t="s">
        <v>118</v>
      </c>
      <c r="O13" s="5">
        <f>O9+O12^2/(PI()*O11*$C$12)</f>
        <v>4.1213715493447989E-2</v>
      </c>
      <c r="R13" t="s">
        <v>118</v>
      </c>
      <c r="S13" s="5">
        <f xml:space="preserve"> S9 + S12^2 / ( PI() * S11 * $C$12 )</f>
        <v>4.1244833011474094E-2</v>
      </c>
      <c r="T13" s="37"/>
      <c r="V13" t="s">
        <v>118</v>
      </c>
      <c r="W13" s="5">
        <f xml:space="preserve"> W9 + W12^2 / (PI() * W11 * $C$12)</f>
        <v>4.1233630704984696E-2</v>
      </c>
      <c r="X13"/>
      <c r="AB13" s="3">
        <v>9</v>
      </c>
      <c r="AC13" s="3">
        <f t="shared" si="15"/>
        <v>0.33203125</v>
      </c>
      <c r="AD13" s="3">
        <f t="shared" si="0"/>
        <v>1.2364505375518364E-3</v>
      </c>
      <c r="AE13" s="3">
        <f t="shared" si="16"/>
        <v>0.333984375</v>
      </c>
      <c r="AF13" s="3">
        <f t="shared" si="1"/>
        <v>-8.1058063865541152E-4</v>
      </c>
      <c r="AG13" s="3">
        <f t="shared" si="3"/>
        <v>0.3330078125</v>
      </c>
      <c r="AH13" s="3">
        <f t="shared" si="2"/>
        <v>2.1279868069196128E-4</v>
      </c>
      <c r="AI13" s="3">
        <f t="shared" si="4"/>
        <v>2.6311504313189712E-7</v>
      </c>
      <c r="AJ13" s="3">
        <f t="shared" si="5"/>
        <v>-1.7249049050031897E-7</v>
      </c>
      <c r="AK13" s="3">
        <f t="shared" si="6"/>
        <v>1.953125E-3</v>
      </c>
      <c r="AM13" s="45"/>
      <c r="AN13" s="4" t="s">
        <v>194</v>
      </c>
      <c r="AO13" s="14"/>
      <c r="AP13"/>
      <c r="AQ13"/>
      <c r="AR13"/>
      <c r="AS13"/>
      <c r="AT13"/>
      <c r="AU13" s="3" t="s">
        <v>168</v>
      </c>
      <c r="AV13" s="3">
        <f>$AN$21-$AN$20</f>
        <v>9.8749999999999949E-2</v>
      </c>
      <c r="AW13" s="14" t="s">
        <v>11</v>
      </c>
      <c r="AX13"/>
      <c r="AY13" s="3" t="s">
        <v>168</v>
      </c>
      <c r="AZ13" s="3">
        <f>$AN$22-$AN$21</f>
        <v>9.875000000000006E-2</v>
      </c>
      <c r="BA13" s="14" t="s">
        <v>11</v>
      </c>
      <c r="BB13"/>
      <c r="BC13" s="3" t="s">
        <v>201</v>
      </c>
      <c r="BD13" s="3">
        <f>IF(BD7&lt;$AW$43, $AR$45*BD7^2 + $AS$45*BD7 + $AT$45, IF(BD7&gt;$AX$43, $AY$45*BD7^2 + $AZ$45*BD7 + $BA$45, $AU$45*BD7^3 + $AV$45*BD7^2 + $AW$45*BD7 + $AX$45))</f>
        <v>2.8952893990835979E-3</v>
      </c>
      <c r="BE13" s="3"/>
      <c r="BF13" s="3"/>
      <c r="BG13" s="3" t="s">
        <v>201</v>
      </c>
      <c r="BH13" s="3">
        <f>IF(BH7&lt;$AW$43, $AR$45*BH7^2 + $AS$45*BH7 + $AT$45, IF(BH7&gt;$AX$43, $AY$45*BH7^2 + $AZ$45*BH7 + $BA$45, $AU$45*BH7^3 + $AV$45*BH7^2 + $AW$45*BH7 + $AX$45))</f>
        <v>3.8295118794871592E-3</v>
      </c>
      <c r="BI13" s="3"/>
      <c r="BJ13"/>
      <c r="BK13" s="3">
        <v>9</v>
      </c>
      <c r="BL13" s="3">
        <f t="shared" si="17"/>
        <v>0.42460588208674543</v>
      </c>
      <c r="BM13" s="3">
        <v>-3.5988306668844484E-2</v>
      </c>
      <c r="BN13" s="3">
        <f t="shared" si="18"/>
        <v>0.4355278252964912</v>
      </c>
      <c r="BO13" s="3">
        <v>3.0928776177689285E-2</v>
      </c>
      <c r="BP13" s="3">
        <f t="shared" si="7"/>
        <v>0.43006685369161834</v>
      </c>
      <c r="BQ13" s="3">
        <v>-2.3104572750522745E-3</v>
      </c>
      <c r="BR13" s="3">
        <f t="shared" si="8"/>
        <v>8.3149444959844022E-5</v>
      </c>
      <c r="BS13" s="3">
        <f t="shared" si="9"/>
        <v>-7.145961592820569E-5</v>
      </c>
      <c r="BT13" s="3">
        <f t="shared" si="10"/>
        <v>1.0921943209745766E-2</v>
      </c>
      <c r="BU13"/>
      <c r="BV13" s="3">
        <v>9</v>
      </c>
      <c r="BW13" s="3">
        <f t="shared" si="19"/>
        <v>0.35907422282827089</v>
      </c>
      <c r="BX13" s="3">
        <v>-3.237391178314003E-2</v>
      </c>
      <c r="BY13" s="3">
        <f t="shared" si="20"/>
        <v>0.36999616603801666</v>
      </c>
      <c r="BZ13" s="3">
        <v>1.3344026431207773E-2</v>
      </c>
      <c r="CA13" s="3">
        <f t="shared" si="11"/>
        <v>0.36453519443314375</v>
      </c>
      <c r="CB13" s="3">
        <v>-9.3827836432997594E-3</v>
      </c>
      <c r="CC13" s="3">
        <f t="shared" si="12"/>
        <v>3.037574099484756E-4</v>
      </c>
      <c r="CD13" s="3">
        <f t="shared" si="13"/>
        <v>-1.2520411293449595E-4</v>
      </c>
      <c r="CE13" s="3">
        <f t="shared" si="14"/>
        <v>1.0921943209745766E-2</v>
      </c>
    </row>
    <row r="14" spans="2:83" x14ac:dyDescent="0.2">
      <c r="B14" s="5" t="s">
        <v>254</v>
      </c>
      <c r="C14" s="8">
        <v>1</v>
      </c>
      <c r="N14" t="s">
        <v>119</v>
      </c>
      <c r="O14" s="5">
        <f>O5*O13*$C$11</f>
        <v>1022.3577299593442</v>
      </c>
      <c r="P14" s="5" t="s">
        <v>27</v>
      </c>
      <c r="R14" t="s">
        <v>51</v>
      </c>
      <c r="S14" s="5">
        <f xml:space="preserve"> S5 * S13 * $C$11</f>
        <v>1023.1296388908793</v>
      </c>
      <c r="T14" s="37" t="s">
        <v>27</v>
      </c>
      <c r="V14" t="s">
        <v>119</v>
      </c>
      <c r="W14" s="5">
        <f xml:space="preserve"> W5 * $C$11 * W13</f>
        <v>1022.8517516755267</v>
      </c>
      <c r="X14" t="s">
        <v>27</v>
      </c>
      <c r="AB14" s="3">
        <v>10</v>
      </c>
      <c r="AC14" s="3">
        <f t="shared" si="15"/>
        <v>0.3330078125</v>
      </c>
      <c r="AD14" s="3">
        <f t="shared" si="0"/>
        <v>2.1279868069196128E-4</v>
      </c>
      <c r="AE14" s="3">
        <f t="shared" si="16"/>
        <v>0.333984375</v>
      </c>
      <c r="AF14" s="3">
        <f t="shared" si="1"/>
        <v>-8.1058063865541152E-4</v>
      </c>
      <c r="AG14" s="3">
        <f t="shared" si="3"/>
        <v>0.33349609375</v>
      </c>
      <c r="AH14" s="3">
        <f t="shared" si="2"/>
        <v>-2.9892489859711935E-4</v>
      </c>
      <c r="AI14" s="3">
        <f t="shared" si="4"/>
        <v>-6.3610824047445303E-8</v>
      </c>
      <c r="AJ14" s="3">
        <f t="shared" si="5"/>
        <v>2.4230273521485712E-7</v>
      </c>
      <c r="AK14" s="3">
        <f t="shared" si="6"/>
        <v>9.765625E-4</v>
      </c>
      <c r="AM14" s="45"/>
      <c r="AN14" s="4" t="s">
        <v>194</v>
      </c>
      <c r="AO14" s="14"/>
      <c r="AP14"/>
      <c r="AQ14" s="41" t="s">
        <v>202</v>
      </c>
      <c r="AR14" s="41"/>
      <c r="AS14" s="41"/>
      <c r="AT14"/>
      <c r="AU14" s="3" t="s">
        <v>172</v>
      </c>
      <c r="AV14" s="3">
        <f>(1+$BD$37)*$AN$3</f>
        <v>14.919769854952058</v>
      </c>
      <c r="AW14" s="14" t="s">
        <v>13</v>
      </c>
      <c r="AX14"/>
      <c r="AY14" s="3" t="s">
        <v>172</v>
      </c>
      <c r="AZ14" s="3">
        <f>(1+$BH$37)*$AN$3</f>
        <v>16.429545593231154</v>
      </c>
      <c r="BA14" s="14" t="s">
        <v>13</v>
      </c>
      <c r="BB14"/>
      <c r="BC14" s="3" t="s">
        <v>203</v>
      </c>
      <c r="BD14" s="3">
        <f xml:space="preserve"> BD12*COS(BD4) - BD13*SIN(BD4)</f>
        <v>0.44693419790859712</v>
      </c>
      <c r="BE14" s="3"/>
      <c r="BF14" s="3"/>
      <c r="BG14" s="3" t="s">
        <v>203</v>
      </c>
      <c r="BH14" s="3">
        <f xml:space="preserve"> BH12*COS(BH4) - BH13*SIN(BH4)</f>
        <v>0.69622396535449249</v>
      </c>
      <c r="BI14" s="3"/>
      <c r="BJ14"/>
      <c r="BK14" s="3">
        <v>10</v>
      </c>
      <c r="BL14" s="3">
        <f t="shared" si="17"/>
        <v>0.43006685369161834</v>
      </c>
      <c r="BM14" s="3">
        <v>-2.3104572750522745E-3</v>
      </c>
      <c r="BN14" s="3">
        <f t="shared" si="18"/>
        <v>0.4355278252964912</v>
      </c>
      <c r="BO14" s="3">
        <v>3.0928776177689285E-2</v>
      </c>
      <c r="BP14" s="3">
        <f t="shared" si="7"/>
        <v>0.43279733949405474</v>
      </c>
      <c r="BQ14" s="3">
        <v>1.4364983626286854E-2</v>
      </c>
      <c r="BR14" s="3">
        <f t="shared" si="8"/>
        <v>-3.3189680925361266E-5</v>
      </c>
      <c r="BS14" s="3">
        <f t="shared" si="9"/>
        <v>4.4429136337359747E-4</v>
      </c>
      <c r="BT14" s="3">
        <f t="shared" si="10"/>
        <v>5.4609716048728552E-3</v>
      </c>
      <c r="BU14"/>
      <c r="BV14" s="3">
        <v>10</v>
      </c>
      <c r="BW14" s="3">
        <f t="shared" si="19"/>
        <v>0.36453519443314375</v>
      </c>
      <c r="BX14" s="3">
        <v>-9.3827836432997594E-3</v>
      </c>
      <c r="BY14" s="3">
        <f t="shared" si="20"/>
        <v>0.36999616603801666</v>
      </c>
      <c r="BZ14" s="3">
        <v>1.3344026431207773E-2</v>
      </c>
      <c r="CA14" s="3">
        <f t="shared" si="11"/>
        <v>0.36726568023558021</v>
      </c>
      <c r="CB14" s="3">
        <v>2.0139443537775387E-3</v>
      </c>
      <c r="CC14" s="3">
        <f t="shared" si="12"/>
        <v>-1.8896404141139794E-5</v>
      </c>
      <c r="CD14" s="3">
        <f t="shared" si="13"/>
        <v>2.6874126687789132E-5</v>
      </c>
      <c r="CE14" s="3">
        <f t="shared" si="14"/>
        <v>5.4609716048729107E-3</v>
      </c>
    </row>
    <row r="15" spans="2:83" x14ac:dyDescent="0.2">
      <c r="F15" s="49" t="s">
        <v>85</v>
      </c>
      <c r="G15" s="50"/>
      <c r="H15" s="50"/>
      <c r="N15" t="s">
        <v>66</v>
      </c>
      <c r="O15" s="5">
        <f>O4/O14</f>
        <v>11.624641553893563</v>
      </c>
      <c r="R15" t="s">
        <v>66</v>
      </c>
      <c r="S15" s="5">
        <f>S12/S13</f>
        <v>11.63088850622103</v>
      </c>
      <c r="T15" s="37"/>
      <c r="V15" t="s">
        <v>66</v>
      </c>
      <c r="W15" s="5">
        <f>W4/W14</f>
        <v>11.628642924895388</v>
      </c>
      <c r="X15"/>
      <c r="AB15" s="3">
        <v>11</v>
      </c>
      <c r="AC15" s="3">
        <f t="shared" si="15"/>
        <v>0.3330078125</v>
      </c>
      <c r="AD15" s="3">
        <f t="shared" si="0"/>
        <v>2.1279868069196128E-4</v>
      </c>
      <c r="AE15" s="3">
        <f t="shared" si="16"/>
        <v>0.33349609375</v>
      </c>
      <c r="AF15" s="3">
        <f t="shared" si="1"/>
        <v>-2.9892489859711935E-4</v>
      </c>
      <c r="AG15" s="3">
        <f t="shared" si="3"/>
        <v>0.333251953125</v>
      </c>
      <c r="AH15" s="3">
        <f t="shared" si="2"/>
        <v>-4.3071607236710996E-5</v>
      </c>
      <c r="AI15" s="3">
        <f t="shared" si="4"/>
        <v>-9.1655811952544314E-9</v>
      </c>
      <c r="AJ15" s="3">
        <f t="shared" si="5"/>
        <v>1.2875175825648786E-8</v>
      </c>
      <c r="AK15" s="3">
        <f t="shared" si="6"/>
        <v>4.8828125E-4</v>
      </c>
      <c r="AM15" s="45"/>
      <c r="AN15" s="4" t="s">
        <v>194</v>
      </c>
      <c r="AO15" s="14"/>
      <c r="AP15"/>
      <c r="AQ15" s="3" t="s">
        <v>204</v>
      </c>
      <c r="AR15" s="3">
        <f>AR10*(AN3/2 + SQRT( (AN3/2)^2 + AR10/(2*AN45*PI()*AR3^2) ) )/1000</f>
        <v>22.65388063722013</v>
      </c>
      <c r="AS15" s="14" t="s">
        <v>81</v>
      </c>
      <c r="AT15"/>
      <c r="AU15" s="3" t="s">
        <v>176</v>
      </c>
      <c r="AV15" s="3">
        <f>(1-$BD$38)*$AR$5*$AN$21</f>
        <v>44.53137965690577</v>
      </c>
      <c r="AW15" s="14" t="s">
        <v>13</v>
      </c>
      <c r="AX15"/>
      <c r="AY15" s="3" t="s">
        <v>176</v>
      </c>
      <c r="AZ15" s="3">
        <f>(1-$BH$38)*$AR$5*$AN$22</f>
        <v>55.057235341330404</v>
      </c>
      <c r="BA15" s="14" t="s">
        <v>13</v>
      </c>
      <c r="BB15"/>
      <c r="BC15" s="3" t="s">
        <v>205</v>
      </c>
      <c r="BD15" s="3">
        <f xml:space="preserve"> BD12*SIN(BD4) + BD13*COS(BD4)</f>
        <v>0.20839960378587516</v>
      </c>
      <c r="BE15" s="3"/>
      <c r="BF15" s="3"/>
      <c r="BG15" s="3" t="s">
        <v>205</v>
      </c>
      <c r="BH15" s="3">
        <f xml:space="preserve"> BH12*SIN(BH4) + BH13*COS(BH4)</f>
        <v>0.2715677216183276</v>
      </c>
      <c r="BI15" s="3"/>
      <c r="BJ15"/>
      <c r="BK15" s="3">
        <v>11</v>
      </c>
      <c r="BL15" s="3">
        <f t="shared" si="17"/>
        <v>0.43006685369161834</v>
      </c>
      <c r="BM15" s="3">
        <v>-2.3104572750522745E-3</v>
      </c>
      <c r="BN15" s="3">
        <f t="shared" si="18"/>
        <v>0.43279733949405474</v>
      </c>
      <c r="BO15" s="3">
        <v>1.4364983626286854E-2</v>
      </c>
      <c r="BP15" s="3">
        <f t="shared" si="7"/>
        <v>0.43143209659283654</v>
      </c>
      <c r="BQ15" s="3">
        <v>6.0410954878357404E-3</v>
      </c>
      <c r="BR15" s="3">
        <f t="shared" si="8"/>
        <v>-1.3957693019155556E-5</v>
      </c>
      <c r="BS15" s="3">
        <f t="shared" si="9"/>
        <v>8.6780237767595806E-5</v>
      </c>
      <c r="BT15" s="3">
        <f t="shared" si="10"/>
        <v>2.7304858024363998E-3</v>
      </c>
      <c r="BU15"/>
      <c r="BV15" s="3">
        <v>11</v>
      </c>
      <c r="BW15" s="3">
        <f t="shared" si="19"/>
        <v>0.36453519443314375</v>
      </c>
      <c r="BX15" s="3">
        <v>-9.3827836432997594E-3</v>
      </c>
      <c r="BY15" s="3">
        <f t="shared" si="20"/>
        <v>0.36726568023558021</v>
      </c>
      <c r="BZ15" s="3">
        <v>2.0139443537775387E-3</v>
      </c>
      <c r="CA15" s="3">
        <f t="shared" si="11"/>
        <v>0.36590043733436195</v>
      </c>
      <c r="CB15" s="3">
        <v>-3.676124413749926E-3</v>
      </c>
      <c r="CC15" s="3">
        <f t="shared" si="12"/>
        <v>3.4492280020067722E-5</v>
      </c>
      <c r="CD15" s="3">
        <f t="shared" si="13"/>
        <v>-7.4035100068554283E-6</v>
      </c>
      <c r="CE15" s="3">
        <f t="shared" si="14"/>
        <v>2.7304858024364553E-3</v>
      </c>
    </row>
    <row r="16" spans="2:83" x14ac:dyDescent="0.2">
      <c r="B16" s="51" t="s">
        <v>16</v>
      </c>
      <c r="C16" s="51"/>
      <c r="D16" s="51"/>
      <c r="F16" s="11" t="s">
        <v>87</v>
      </c>
      <c r="G16" s="8">
        <f>$C$13</f>
        <v>50</v>
      </c>
      <c r="H16" s="5" t="s">
        <v>13</v>
      </c>
      <c r="N16" s="5" t="s">
        <v>252</v>
      </c>
      <c r="O16" s="5">
        <f>(O13*$C$11)/(0.3048^2)/($C$5*2.20462/1000)^(2/3)</f>
        <v>3.7292580917426332</v>
      </c>
      <c r="R16" s="5" t="s">
        <v>252</v>
      </c>
      <c r="S16" s="5">
        <f>(S13*$C$11)/(0.3048^2)/($C$5*2.20462/1000)^(2/3)</f>
        <v>3.7320737868214295</v>
      </c>
      <c r="T16" s="37"/>
      <c r="V16" s="5" t="s">
        <v>252</v>
      </c>
      <c r="W16" s="5">
        <f>(W13*$C$11)/(0.3048^2)/($C$5*2.20462/1000)^(2/3)</f>
        <v>3.7310601365930625</v>
      </c>
      <c r="X16"/>
      <c r="AB16" s="3">
        <v>12</v>
      </c>
      <c r="AC16" s="3">
        <f t="shared" si="15"/>
        <v>0.3330078125</v>
      </c>
      <c r="AD16" s="3">
        <f t="shared" si="0"/>
        <v>2.1279868069196128E-4</v>
      </c>
      <c r="AE16" s="3">
        <f t="shared" si="16"/>
        <v>0.333251953125</v>
      </c>
      <c r="AF16" s="3">
        <f t="shared" si="1"/>
        <v>-4.3071607236710996E-5</v>
      </c>
      <c r="AG16" s="3">
        <f t="shared" si="3"/>
        <v>0.3331298828125</v>
      </c>
      <c r="AH16" s="3">
        <f t="shared" si="2"/>
        <v>8.4861409853254077E-5</v>
      </c>
      <c r="AI16" s="3">
        <f t="shared" si="4"/>
        <v>1.8058396058432273E-8</v>
      </c>
      <c r="AJ16" s="3">
        <f t="shared" si="5"/>
        <v>-3.655117314752916E-9</v>
      </c>
      <c r="AK16" s="3">
        <f t="shared" si="6"/>
        <v>2.44140625E-4</v>
      </c>
      <c r="AM16" s="45"/>
      <c r="AN16" s="4" t="s">
        <v>194</v>
      </c>
      <c r="AO16" s="14"/>
      <c r="AP16"/>
      <c r="AQ16" s="3" t="s">
        <v>206</v>
      </c>
      <c r="AR16" s="3">
        <f>AR15/AR12</f>
        <v>0.736587050795252</v>
      </c>
      <c r="AS16" s="14"/>
      <c r="AT16"/>
      <c r="AU16" s="3" t="s">
        <v>179</v>
      </c>
      <c r="AV16" s="3">
        <f>SQRT(AV14^2 + AV15^2)</f>
        <v>46.964276920572487</v>
      </c>
      <c r="AW16" s="14" t="s">
        <v>13</v>
      </c>
      <c r="AX16"/>
      <c r="AY16" s="3" t="s">
        <v>179</v>
      </c>
      <c r="AZ16" s="3">
        <f>SQRT(AZ14^2 + AZ15^2)</f>
        <v>57.456323688787322</v>
      </c>
      <c r="BA16" s="14" t="s">
        <v>13</v>
      </c>
      <c r="BB16"/>
      <c r="BC16" s="3" t="s">
        <v>46</v>
      </c>
      <c r="BD16" s="3">
        <f xml:space="preserve"> 4*BD11*SIN(BD4)*SIN(BD4) / (BD8*BD14)</f>
        <v>1.3031851204730556</v>
      </c>
      <c r="BE16" s="3"/>
      <c r="BF16" s="3"/>
      <c r="BG16" s="3" t="s">
        <v>46</v>
      </c>
      <c r="BH16" s="3">
        <f xml:space="preserve"> 4*BH11*SIN(BH4)*SIN(BH4) / (BH8*BH14)</f>
        <v>1.2404910548449868</v>
      </c>
      <c r="BI16" s="3"/>
      <c r="BJ16"/>
      <c r="BK16" s="3">
        <v>12</v>
      </c>
      <c r="BL16" s="3">
        <f t="shared" si="17"/>
        <v>0.43006685369161834</v>
      </c>
      <c r="BM16" s="3">
        <v>-2.3104572750522745E-3</v>
      </c>
      <c r="BN16" s="3">
        <f t="shared" si="18"/>
        <v>0.43143209659283654</v>
      </c>
      <c r="BO16" s="3">
        <v>6.0410954878357404E-3</v>
      </c>
      <c r="BP16" s="3">
        <f t="shared" si="7"/>
        <v>0.43074947514222744</v>
      </c>
      <c r="BQ16" s="3">
        <v>1.8687616380949068E-3</v>
      </c>
      <c r="BR16" s="3">
        <f t="shared" si="8"/>
        <v>-4.3176939220749835E-6</v>
      </c>
      <c r="BS16" s="3">
        <f t="shared" si="9"/>
        <v>1.1289367499735668E-5</v>
      </c>
      <c r="BT16" s="3">
        <f t="shared" si="10"/>
        <v>1.3652429012181999E-3</v>
      </c>
      <c r="BU16"/>
      <c r="BV16" s="3">
        <v>12</v>
      </c>
      <c r="BW16" s="3">
        <f t="shared" si="19"/>
        <v>0.36590043733436195</v>
      </c>
      <c r="BX16" s="3">
        <v>-3.676124413749926E-3</v>
      </c>
      <c r="BY16" s="3">
        <f t="shared" si="20"/>
        <v>0.36726568023558021</v>
      </c>
      <c r="BZ16" s="3">
        <v>2.0139443537775387E-3</v>
      </c>
      <c r="CA16" s="3">
        <f t="shared" si="11"/>
        <v>0.36658305878497111</v>
      </c>
      <c r="CB16" s="3">
        <v>-8.2901178999109093E-4</v>
      </c>
      <c r="CC16" s="3">
        <f t="shared" si="12"/>
        <v>3.0475504804727759E-6</v>
      </c>
      <c r="CD16" s="3">
        <f t="shared" si="13"/>
        <v>-1.6695836136675683E-6</v>
      </c>
      <c r="CE16" s="3">
        <f t="shared" si="14"/>
        <v>1.3652429012182554E-3</v>
      </c>
    </row>
    <row r="17" spans="2:83" x14ac:dyDescent="0.2">
      <c r="B17" s="5" t="s">
        <v>97</v>
      </c>
      <c r="C17" s="8">
        <v>400</v>
      </c>
      <c r="D17" s="5" t="s">
        <v>10</v>
      </c>
      <c r="F17" s="5" t="s">
        <v>88</v>
      </c>
      <c r="G17" s="8">
        <v>2.54</v>
      </c>
      <c r="H17" s="5" t="s">
        <v>13</v>
      </c>
      <c r="AB17" s="3">
        <v>13</v>
      </c>
      <c r="AC17" s="3">
        <f t="shared" si="15"/>
        <v>0.3331298828125</v>
      </c>
      <c r="AD17" s="3">
        <f t="shared" si="0"/>
        <v>8.4861409853254077E-5</v>
      </c>
      <c r="AE17" s="3">
        <f t="shared" si="16"/>
        <v>0.333251953125</v>
      </c>
      <c r="AF17" s="3">
        <f t="shared" si="1"/>
        <v>-4.3071607236710996E-5</v>
      </c>
      <c r="AG17" s="3">
        <f t="shared" si="3"/>
        <v>0.33319091796875</v>
      </c>
      <c r="AH17" s="3">
        <f t="shared" si="2"/>
        <v>2.0894369877844099E-5</v>
      </c>
      <c r="AI17" s="3">
        <f t="shared" si="4"/>
        <v>1.7731256858292144E-9</v>
      </c>
      <c r="AJ17" s="3">
        <f t="shared" si="5"/>
        <v>-8.9995409283706613E-10</v>
      </c>
      <c r="AK17" s="3">
        <f t="shared" si="6"/>
        <v>1.220703125E-4</v>
      </c>
      <c r="AM17" s="45"/>
      <c r="AN17" s="4" t="s">
        <v>194</v>
      </c>
      <c r="AO17" s="14"/>
      <c r="AP17"/>
      <c r="AQ17" s="3" t="s">
        <v>203</v>
      </c>
      <c r="AR17" s="3">
        <f>AR10/($AN$45*AR6^2*AN9^4)</f>
        <v>0.26299843754138025</v>
      </c>
      <c r="AS17" s="3"/>
      <c r="AT17"/>
      <c r="AU17" s="3" t="s">
        <v>182</v>
      </c>
      <c r="AV17" s="19">
        <f>$AN$45*AV16*$AN$27/$AN$46</f>
        <v>1762827.5263862212</v>
      </c>
      <c r="AW17" s="14"/>
      <c r="AX17"/>
      <c r="AY17" s="3" t="s">
        <v>182</v>
      </c>
      <c r="AZ17" s="19">
        <f>$AN$45*AZ16*$AN$27/$AN$46</f>
        <v>2156651.7277557258</v>
      </c>
      <c r="BA17" s="14"/>
      <c r="BB17"/>
      <c r="BC17" s="3" t="s">
        <v>207</v>
      </c>
      <c r="BD17" s="3">
        <f xml:space="preserve"> 4*BD11*SIN(BD4)*COS(BD4) / (BD8*BD15)</f>
        <v>6.0868142843830784</v>
      </c>
      <c r="BE17" s="3"/>
      <c r="BF17" s="3"/>
      <c r="BG17" s="3" t="s">
        <v>207</v>
      </c>
      <c r="BH17" s="3">
        <f xml:space="preserve"> 4*BH11*SIN(BH4)*COS(BH4) / (BH8*BH15)</f>
        <v>8.2783904458772568</v>
      </c>
      <c r="BI17" s="3"/>
      <c r="BJ17"/>
      <c r="BK17" s="3">
        <v>13</v>
      </c>
      <c r="BL17" s="3">
        <f t="shared" si="17"/>
        <v>0.43006685369161834</v>
      </c>
      <c r="BM17" s="3">
        <v>-2.3104572750522745E-3</v>
      </c>
      <c r="BN17" s="3">
        <f t="shared" si="18"/>
        <v>0.43074947514222744</v>
      </c>
      <c r="BO17" s="3">
        <v>1.8687616380949068E-3</v>
      </c>
      <c r="BP17" s="3">
        <f t="shared" si="7"/>
        <v>0.43040816441692287</v>
      </c>
      <c r="BQ17" s="3">
        <v>-2.1998913385509744E-4</v>
      </c>
      <c r="BR17" s="3">
        <f t="shared" si="8"/>
        <v>5.0827549474795848E-7</v>
      </c>
      <c r="BS17" s="3">
        <f t="shared" si="9"/>
        <v>-4.1110725414613163E-7</v>
      </c>
      <c r="BT17" s="3">
        <f t="shared" si="10"/>
        <v>6.8262145060909996E-4</v>
      </c>
      <c r="BU17"/>
      <c r="BV17" s="3">
        <v>13</v>
      </c>
      <c r="BW17" s="3">
        <f t="shared" si="19"/>
        <v>0.36658305878497111</v>
      </c>
      <c r="BX17" s="3">
        <v>-8.2901178999109093E-4</v>
      </c>
      <c r="BY17" s="3">
        <f t="shared" si="20"/>
        <v>0.36726568023558021</v>
      </c>
      <c r="BZ17" s="3">
        <v>2.0139443537775387E-3</v>
      </c>
      <c r="CA17" s="3">
        <f t="shared" si="11"/>
        <v>0.36692436951027563</v>
      </c>
      <c r="CB17" s="3">
        <v>5.9298639649478513E-4</v>
      </c>
      <c r="CC17" s="3">
        <f t="shared" si="12"/>
        <v>-4.9159271399850861E-7</v>
      </c>
      <c r="CD17" s="3">
        <f t="shared" si="13"/>
        <v>1.1942416050875614E-6</v>
      </c>
      <c r="CE17" s="3">
        <f t="shared" si="14"/>
        <v>6.8262145060909996E-4</v>
      </c>
    </row>
    <row r="18" spans="2:83" x14ac:dyDescent="0.2">
      <c r="B18" s="5" t="s">
        <v>17</v>
      </c>
      <c r="C18" s="8">
        <v>96000</v>
      </c>
      <c r="D18" s="5" t="s">
        <v>11</v>
      </c>
      <c r="F18" s="5" t="s">
        <v>89</v>
      </c>
      <c r="G18" s="8">
        <v>304.8</v>
      </c>
      <c r="H18" s="5" t="s">
        <v>11</v>
      </c>
      <c r="N18" s="49" t="s">
        <v>120</v>
      </c>
      <c r="O18" s="55"/>
      <c r="P18" s="55"/>
      <c r="R18" s="49" t="s">
        <v>121</v>
      </c>
      <c r="S18" s="55"/>
      <c r="T18" s="55"/>
      <c r="V18" s="49" t="s">
        <v>122</v>
      </c>
      <c r="W18" s="55"/>
      <c r="X18" s="55"/>
      <c r="AB18" s="3">
        <v>14</v>
      </c>
      <c r="AC18" s="3">
        <f t="shared" si="15"/>
        <v>0.33319091796875</v>
      </c>
      <c r="AD18" s="3">
        <f t="shared" si="0"/>
        <v>2.0894369877844099E-5</v>
      </c>
      <c r="AE18" s="3">
        <f t="shared" si="16"/>
        <v>0.333251953125</v>
      </c>
      <c r="AF18" s="3">
        <f t="shared" si="1"/>
        <v>-4.3071607236710996E-5</v>
      </c>
      <c r="AG18" s="3">
        <f t="shared" si="3"/>
        <v>0.333221435546875</v>
      </c>
      <c r="AH18" s="3">
        <f t="shared" si="2"/>
        <v>-1.1088751501020511E-5</v>
      </c>
      <c r="AI18" s="3">
        <f t="shared" si="4"/>
        <v>-2.3169247534582148E-10</v>
      </c>
      <c r="AJ18" s="3">
        <f t="shared" si="5"/>
        <v>4.7761034939744491E-10</v>
      </c>
      <c r="AK18" s="3">
        <f t="shared" si="6"/>
        <v>6.103515625E-5</v>
      </c>
      <c r="AM18" s="45"/>
      <c r="AN18" s="4" t="s">
        <v>194</v>
      </c>
      <c r="AP18"/>
      <c r="AQ18" s="3" t="s">
        <v>205</v>
      </c>
      <c r="AR18" s="3">
        <f>AR11/($AN$45*AR6^2*AN9^5)</f>
        <v>2.5473351846181005E-2</v>
      </c>
      <c r="AS18" s="14"/>
      <c r="AT18"/>
      <c r="AU18" s="3" t="s">
        <v>186</v>
      </c>
      <c r="AV18" s="18">
        <f xml:space="preserve"> $BD$27 * PI() * $AN$45 * AV16^2 *$BD$33 * $AN$21 * AV13</f>
        <v>111.57995837607035</v>
      </c>
      <c r="AW18" s="14" t="s">
        <v>27</v>
      </c>
      <c r="AX18"/>
      <c r="AY18" s="3" t="s">
        <v>186</v>
      </c>
      <c r="AZ18" s="18">
        <f xml:space="preserve"> $BH$27 * PI() * $AN$45 * AZ16^2 * $BH$33 * $AN$22 * AZ13</f>
        <v>171.83123095675919</v>
      </c>
      <c r="BA18" s="14" t="s">
        <v>27</v>
      </c>
      <c r="BB18"/>
      <c r="BC18" s="3" t="s">
        <v>55</v>
      </c>
      <c r="BD18" s="3">
        <f>1/(BD16-1)</f>
        <v>3.2983148989624351</v>
      </c>
      <c r="BE18" s="3"/>
      <c r="BF18" s="3"/>
      <c r="BG18" s="3" t="s">
        <v>55</v>
      </c>
      <c r="BH18" s="3">
        <f>1/(BH16-1)</f>
        <v>4.1581588165288288</v>
      </c>
      <c r="BI18" s="3"/>
      <c r="BJ18"/>
      <c r="BK18" s="3">
        <v>14</v>
      </c>
      <c r="BL18" s="3">
        <f t="shared" si="17"/>
        <v>0.43040816441692287</v>
      </c>
      <c r="BM18" s="3">
        <v>-2.1998913385509744E-4</v>
      </c>
      <c r="BN18" s="3">
        <f t="shared" si="18"/>
        <v>0.43074947514222744</v>
      </c>
      <c r="BO18" s="3">
        <v>1.8687616380949068E-3</v>
      </c>
      <c r="BP18" s="3">
        <f t="shared" si="7"/>
        <v>0.43057881977957513</v>
      </c>
      <c r="BQ18" s="3">
        <v>8.2460116703741981E-4</v>
      </c>
      <c r="BR18" s="3">
        <f t="shared" si="8"/>
        <v>-1.814032965124645E-7</v>
      </c>
      <c r="BS18" s="3">
        <f t="shared" si="9"/>
        <v>1.5409830276878205E-6</v>
      </c>
      <c r="BT18" s="3">
        <f t="shared" si="10"/>
        <v>3.4131072530457773E-4</v>
      </c>
      <c r="BU18"/>
      <c r="BV18" s="3">
        <v>14</v>
      </c>
      <c r="BW18" s="3">
        <f t="shared" si="19"/>
        <v>0.36658305878497111</v>
      </c>
      <c r="BX18" s="3">
        <v>-8.2901178999109093E-4</v>
      </c>
      <c r="BY18" s="3">
        <f t="shared" si="20"/>
        <v>0.36692436951027563</v>
      </c>
      <c r="BZ18" s="3">
        <v>5.9298639649478513E-4</v>
      </c>
      <c r="CA18" s="3">
        <f t="shared" si="11"/>
        <v>0.36675371414762337</v>
      </c>
      <c r="CB18" s="3">
        <v>-1.1788273744821332E-4</v>
      </c>
      <c r="CC18" s="3">
        <f t="shared" si="12"/>
        <v>9.7726179180993125E-8</v>
      </c>
      <c r="CD18" s="3">
        <f t="shared" si="13"/>
        <v>-6.9902859688356881E-8</v>
      </c>
      <c r="CE18" s="3">
        <f t="shared" si="14"/>
        <v>3.4131072530452222E-4</v>
      </c>
    </row>
    <row r="19" spans="2:83" x14ac:dyDescent="0.2">
      <c r="F19" s="5" t="s">
        <v>96</v>
      </c>
      <c r="G19" s="5">
        <f>$G$18/$G$17</f>
        <v>120</v>
      </c>
      <c r="H19" s="5" t="s">
        <v>18</v>
      </c>
      <c r="N19" s="5" t="s">
        <v>36</v>
      </c>
      <c r="O19" s="5">
        <f xml:space="preserve"> 90 - $C$69</f>
        <v>85</v>
      </c>
      <c r="P19" s="5" t="s">
        <v>53</v>
      </c>
      <c r="R19" s="5" t="s">
        <v>36</v>
      </c>
      <c r="S19" s="5">
        <f xml:space="preserve"> 90 - $C$69</f>
        <v>85</v>
      </c>
      <c r="T19" s="5" t="s">
        <v>53</v>
      </c>
      <c r="V19" s="5" t="s">
        <v>36</v>
      </c>
      <c r="W19" s="5">
        <f xml:space="preserve"> 90 - $C$69</f>
        <v>85</v>
      </c>
      <c r="X19" s="5" t="s">
        <v>53</v>
      </c>
      <c r="AB19" s="3">
        <v>15</v>
      </c>
      <c r="AC19" s="3">
        <f t="shared" si="15"/>
        <v>0.33319091796875</v>
      </c>
      <c r="AD19" s="3">
        <f t="shared" si="0"/>
        <v>2.0894369877844099E-5</v>
      </c>
      <c r="AE19" s="3">
        <f t="shared" si="16"/>
        <v>0.333221435546875</v>
      </c>
      <c r="AF19" s="3">
        <f t="shared" si="1"/>
        <v>-1.1088751501020511E-5</v>
      </c>
      <c r="AG19" s="3">
        <f t="shared" si="3"/>
        <v>0.3332061767578125</v>
      </c>
      <c r="AH19" s="3">
        <f t="shared" si="2"/>
        <v>4.9027759785325031E-6</v>
      </c>
      <c r="AI19" s="3">
        <f t="shared" si="4"/>
        <v>1.0244041472366716E-10</v>
      </c>
      <c r="AJ19" s="3">
        <f t="shared" si="5"/>
        <v>-5.4365664491119599E-11</v>
      </c>
      <c r="AK19" s="3">
        <f t="shared" si="6"/>
        <v>3.0517578125E-5</v>
      </c>
      <c r="AM19" s="45" t="s">
        <v>208</v>
      </c>
      <c r="AN19" s="4">
        <f>0.259375*($AN$9/2)</f>
        <v>0.25937500000000002</v>
      </c>
      <c r="AO19" s="14" t="s">
        <v>11</v>
      </c>
      <c r="AP19"/>
      <c r="AQ19" s="3" t="s">
        <v>209</v>
      </c>
      <c r="AR19" s="3">
        <f>2*PI()*AR18</f>
        <v>0.16005379004454048</v>
      </c>
      <c r="AS19" s="14"/>
      <c r="AT19"/>
      <c r="AU19" s="3" t="s">
        <v>190</v>
      </c>
      <c r="AV19" s="18">
        <f xml:space="preserve"> $BD$27 * PI() * $AN$45 * AV16^2 * $BD$34 * $AN$21^2 * AV13</f>
        <v>17.42936362489705</v>
      </c>
      <c r="AW19" s="14" t="s">
        <v>191</v>
      </c>
      <c r="AX19"/>
      <c r="AY19" s="3" t="s">
        <v>190</v>
      </c>
      <c r="AZ19" s="18">
        <f xml:space="preserve"> $BH$27 * PI() * $AN$45 * AZ16^2 * $BH$34 * $AN$22^2 * AZ13</f>
        <v>29.191182290323233</v>
      </c>
      <c r="BA19" s="14" t="s">
        <v>191</v>
      </c>
      <c r="BB19"/>
      <c r="BC19" s="3" t="s">
        <v>210</v>
      </c>
      <c r="BD19" s="3">
        <f>1/(BD17+1)</f>
        <v>0.14110712654113977</v>
      </c>
      <c r="BE19" s="3"/>
      <c r="BF19" s="3"/>
      <c r="BG19" s="3" t="s">
        <v>210</v>
      </c>
      <c r="BH19" s="3">
        <f>1/(BH17+1)</f>
        <v>0.10777731394612071</v>
      </c>
      <c r="BI19" s="3"/>
      <c r="BJ19"/>
      <c r="BK19" s="3">
        <v>15</v>
      </c>
      <c r="BL19" s="3">
        <f t="shared" si="17"/>
        <v>0.43040816441692287</v>
      </c>
      <c r="BM19" s="3">
        <v>-2.1998913385509744E-4</v>
      </c>
      <c r="BN19" s="3">
        <f t="shared" si="18"/>
        <v>0.43057881977957513</v>
      </c>
      <c r="BO19" s="3">
        <v>8.2460116703741981E-4</v>
      </c>
      <c r="BP19" s="3">
        <f t="shared" si="7"/>
        <v>0.430493492098249</v>
      </c>
      <c r="BQ19" s="3">
        <v>3.023597148642948E-4</v>
      </c>
      <c r="BR19" s="3">
        <f t="shared" si="8"/>
        <v>-6.651585178567044E-8</v>
      </c>
      <c r="BS19" s="3">
        <f t="shared" si="9"/>
        <v>2.4932617374219897E-7</v>
      </c>
      <c r="BT19" s="3">
        <f t="shared" si="10"/>
        <v>1.7065536265226111E-4</v>
      </c>
      <c r="BU19"/>
      <c r="BV19" s="3">
        <v>15</v>
      </c>
      <c r="BW19" s="3">
        <f t="shared" si="19"/>
        <v>0.36675371414762337</v>
      </c>
      <c r="BX19" s="3">
        <v>-1.1788273744821332E-4</v>
      </c>
      <c r="BY19" s="3">
        <f t="shared" si="20"/>
        <v>0.36692436951027563</v>
      </c>
      <c r="BZ19" s="3">
        <v>5.9298639649478513E-4</v>
      </c>
      <c r="CA19" s="3">
        <f t="shared" si="11"/>
        <v>0.3668390418289495</v>
      </c>
      <c r="CB19" s="3">
        <v>2.3758432801540552E-4</v>
      </c>
      <c r="CC19" s="3">
        <f t="shared" si="12"/>
        <v>-2.8007090961250241E-8</v>
      </c>
      <c r="CD19" s="3">
        <f t="shared" si="13"/>
        <v>1.4088427453349036E-7</v>
      </c>
      <c r="CE19" s="3">
        <f t="shared" si="14"/>
        <v>1.7065536265226111E-4</v>
      </c>
    </row>
    <row r="20" spans="2:83" x14ac:dyDescent="0.2">
      <c r="B20" s="51" t="s">
        <v>126</v>
      </c>
      <c r="C20" s="51"/>
      <c r="D20" s="51"/>
      <c r="F20" t="s">
        <v>261</v>
      </c>
      <c r="G20" s="9">
        <f>O21*$C$7</f>
        <v>157.07963267948966</v>
      </c>
      <c r="H20" s="5" t="s">
        <v>13</v>
      </c>
      <c r="N20" s="5" t="s">
        <v>26</v>
      </c>
      <c r="O20" s="5">
        <f>(O14+$C$5*$C$68*SIN(G24/180*PI()))/$C$28</f>
        <v>1626.8729932327242</v>
      </c>
      <c r="P20" s="5" t="s">
        <v>27</v>
      </c>
      <c r="R20" s="5" t="s">
        <v>26</v>
      </c>
      <c r="S20" s="5">
        <f xml:space="preserve"> S14 / $C$28</f>
        <v>1023.1296388908793</v>
      </c>
      <c r="T20" s="5" t="s">
        <v>27</v>
      </c>
      <c r="V20" s="5" t="s">
        <v>26</v>
      </c>
      <c r="W20" s="5">
        <f>(W14-$C$5*$C$68*SIN(G44/180*PI()))/$C$28</f>
        <v>660.14259371149865</v>
      </c>
      <c r="X20" s="5" t="s">
        <v>27</v>
      </c>
      <c r="AB20" s="3">
        <v>16</v>
      </c>
      <c r="AC20" s="3">
        <f t="shared" si="15"/>
        <v>0.3332061767578125</v>
      </c>
      <c r="AD20" s="3">
        <f t="shared" si="0"/>
        <v>4.9027759785325031E-6</v>
      </c>
      <c r="AE20" s="3">
        <f t="shared" si="16"/>
        <v>0.333221435546875</v>
      </c>
      <c r="AF20" s="3">
        <f t="shared" si="1"/>
        <v>-1.1088751501020511E-5</v>
      </c>
      <c r="AG20" s="3">
        <f t="shared" si="3"/>
        <v>0.33321380615234375</v>
      </c>
      <c r="AH20" s="3">
        <f t="shared" si="2"/>
        <v>-3.092996063158715E-6</v>
      </c>
      <c r="AI20" s="3">
        <f t="shared" si="4"/>
        <v>-1.516426680015015E-11</v>
      </c>
      <c r="AJ20" s="3">
        <f t="shared" si="5"/>
        <v>3.4297464738001731E-11</v>
      </c>
      <c r="AK20" s="3">
        <f t="shared" si="6"/>
        <v>1.52587890625E-5</v>
      </c>
      <c r="AM20" s="45"/>
      <c r="AN20" s="4">
        <f>0.358125*($AN$9/2)</f>
        <v>0.35812500000000003</v>
      </c>
      <c r="AO20" s="14" t="s">
        <v>11</v>
      </c>
      <c r="AP20"/>
      <c r="AQ20" s="3" t="s">
        <v>211</v>
      </c>
      <c r="AR20" s="3">
        <f>AR17/AR19*AR7</f>
        <v>0.12284818954756642</v>
      </c>
      <c r="AS20" s="22"/>
      <c r="AT20"/>
      <c r="AU20"/>
      <c r="AV20"/>
      <c r="AW20"/>
      <c r="AX20"/>
      <c r="AY20"/>
      <c r="AZ20"/>
      <c r="BA20"/>
      <c r="BB20"/>
      <c r="BC20" s="7" t="s">
        <v>212</v>
      </c>
      <c r="BD20" s="23">
        <f>SIN(BD4)/(1+BD18) - $AN$3*COS(BD4)/($AR$5*$AN$19*(1-BD19))</f>
        <v>-8.6473674054676763E-9</v>
      </c>
      <c r="BE20" s="23"/>
      <c r="BF20" s="3"/>
      <c r="BG20" s="7" t="s">
        <v>212</v>
      </c>
      <c r="BH20" s="23">
        <f>SIN(BH4)/(1+BH18) - $AN$3*COS(BH4)/($AR$5*$AN$20*(1-BH19))</f>
        <v>9.6150325201715958E-9</v>
      </c>
      <c r="BI20" s="23"/>
      <c r="BJ20"/>
      <c r="BK20" s="3">
        <v>16</v>
      </c>
      <c r="BL20" s="3">
        <f t="shared" si="17"/>
        <v>0.43040816441692287</v>
      </c>
      <c r="BM20" s="3">
        <v>-2.1998913385509744E-4</v>
      </c>
      <c r="BN20" s="3">
        <f t="shared" si="18"/>
        <v>0.430493492098249</v>
      </c>
      <c r="BO20" s="3">
        <v>3.023597148642948E-4</v>
      </c>
      <c r="BP20" s="3">
        <f t="shared" si="7"/>
        <v>0.43045082825758596</v>
      </c>
      <c r="BQ20" s="3">
        <v>4.1198711264983645E-5</v>
      </c>
      <c r="BR20" s="3">
        <f t="shared" si="8"/>
        <v>-9.0632688071299986E-9</v>
      </c>
      <c r="BS20" s="3">
        <f t="shared" si="9"/>
        <v>1.2456830590856866E-8</v>
      </c>
      <c r="BT20" s="3">
        <f t="shared" si="10"/>
        <v>8.5327681326130556E-5</v>
      </c>
      <c r="BU20"/>
      <c r="BV20" s="3">
        <v>16</v>
      </c>
      <c r="BW20" s="3">
        <f t="shared" si="19"/>
        <v>0.36675371414762337</v>
      </c>
      <c r="BX20" s="3">
        <v>-1.1788273744821332E-4</v>
      </c>
      <c r="BY20" s="3">
        <f t="shared" si="20"/>
        <v>0.3668390418289495</v>
      </c>
      <c r="BZ20" s="3">
        <v>2.3758432801540552E-4</v>
      </c>
      <c r="CA20" s="3">
        <f t="shared" si="11"/>
        <v>0.36679637798828646</v>
      </c>
      <c r="CB20" s="3">
        <v>5.9858918823249563E-5</v>
      </c>
      <c r="CC20" s="3">
        <f t="shared" si="12"/>
        <v>-7.0563332115750418E-9</v>
      </c>
      <c r="CD20" s="3">
        <f t="shared" si="13"/>
        <v>1.4221541004350456E-8</v>
      </c>
      <c r="CE20" s="3">
        <f t="shared" si="14"/>
        <v>8.5327681326130556E-5</v>
      </c>
    </row>
    <row r="21" spans="2:83" x14ac:dyDescent="0.2">
      <c r="B21" s="5" t="s">
        <v>112</v>
      </c>
      <c r="C21" s="8">
        <v>8</v>
      </c>
      <c r="F21" s="5" t="s">
        <v>262</v>
      </c>
      <c r="G21" s="5">
        <f>G20/$C$67</f>
        <v>0.46143434115755327</v>
      </c>
      <c r="H21" s="5" t="s">
        <v>242</v>
      </c>
      <c r="N21" s="5" t="s">
        <v>37</v>
      </c>
      <c r="O21" s="5">
        <f xml:space="preserve"> PI() * $G$16 / ($C$9 * $C$14)</f>
        <v>157.07963267948966</v>
      </c>
      <c r="P21" s="5" t="s">
        <v>38</v>
      </c>
      <c r="R21" s="5" t="s">
        <v>37</v>
      </c>
      <c r="S21" s="5">
        <f xml:space="preserve"> PI() * $C$13 / ($C$9 * $C$14)</f>
        <v>157.07963267948966</v>
      </c>
      <c r="T21" s="5" t="s">
        <v>38</v>
      </c>
      <c r="V21" s="5" t="s">
        <v>37</v>
      </c>
      <c r="W21" s="5">
        <f xml:space="preserve"> PI() * $G$36 / ($C$9 * $C$14)</f>
        <v>157.07963267948966</v>
      </c>
      <c r="X21" s="5" t="s">
        <v>38</v>
      </c>
      <c r="AB21" s="3">
        <v>17</v>
      </c>
      <c r="AC21" s="3">
        <f t="shared" si="15"/>
        <v>0.3332061767578125</v>
      </c>
      <c r="AD21" s="3">
        <f t="shared" si="0"/>
        <v>4.9027759785325031E-6</v>
      </c>
      <c r="AE21" s="3">
        <f t="shared" si="16"/>
        <v>0.33321380615234375</v>
      </c>
      <c r="AF21" s="3">
        <f t="shared" si="1"/>
        <v>-3.092996063158715E-6</v>
      </c>
      <c r="AG21" s="3">
        <f t="shared" si="3"/>
        <v>0.33320999145507812</v>
      </c>
      <c r="AH21" s="3">
        <f t="shared" si="2"/>
        <v>9.0488788212494953E-7</v>
      </c>
      <c r="AI21" s="3">
        <f t="shared" si="4"/>
        <v>4.4364625717473535E-12</v>
      </c>
      <c r="AJ21" s="3">
        <f t="shared" si="5"/>
        <v>-2.7988146570124961E-12</v>
      </c>
      <c r="AK21" s="3">
        <f t="shared" si="6"/>
        <v>7.62939453125E-6</v>
      </c>
      <c r="AM21" s="45"/>
      <c r="AN21" s="4">
        <f>0.456875*($AN$9/2)</f>
        <v>0.45687499999999998</v>
      </c>
      <c r="AO21" s="14" t="s">
        <v>11</v>
      </c>
      <c r="AP21"/>
      <c r="AQ21"/>
      <c r="AR21"/>
      <c r="AS21" s="22"/>
      <c r="AT21"/>
      <c r="AU21" s="44" t="s">
        <v>213</v>
      </c>
      <c r="AV21" s="44"/>
      <c r="AW21" s="44"/>
      <c r="AX21"/>
      <c r="AY21" s="44" t="s">
        <v>214</v>
      </c>
      <c r="AZ21" s="44"/>
      <c r="BA21" s="44"/>
      <c r="BB21"/>
      <c r="BC21" s="3"/>
      <c r="BD21" s="3"/>
      <c r="BE21" s="3"/>
      <c r="BF21" s="3"/>
      <c r="BG21" s="3"/>
      <c r="BH21" s="3"/>
      <c r="BI21" s="3"/>
      <c r="BJ21"/>
      <c r="BK21" s="3">
        <v>17</v>
      </c>
      <c r="BL21" s="3">
        <f t="shared" si="17"/>
        <v>0.43040816441692287</v>
      </c>
      <c r="BM21" s="3">
        <v>-2.1998913385509744E-4</v>
      </c>
      <c r="BN21" s="3">
        <f t="shared" si="18"/>
        <v>0.43045082825758596</v>
      </c>
      <c r="BO21" s="3">
        <v>4.1198711264983645E-5</v>
      </c>
      <c r="BP21" s="3">
        <f t="shared" si="7"/>
        <v>0.43042949633725441</v>
      </c>
      <c r="BQ21" s="3">
        <v>-8.9391856581133577E-5</v>
      </c>
      <c r="BR21" s="3">
        <f t="shared" si="8"/>
        <v>1.9665237102982667E-8</v>
      </c>
      <c r="BS21" s="3">
        <f t="shared" si="9"/>
        <v>-3.6828292887269501E-9</v>
      </c>
      <c r="BT21" s="3">
        <f t="shared" si="10"/>
        <v>4.2663840663093033E-5</v>
      </c>
      <c r="BU21"/>
      <c r="BV21" s="3">
        <v>17</v>
      </c>
      <c r="BW21" s="3">
        <f t="shared" si="19"/>
        <v>0.36675371414762337</v>
      </c>
      <c r="BX21" s="3">
        <v>-1.1788273744821332E-4</v>
      </c>
      <c r="BY21" s="3">
        <f t="shared" si="20"/>
        <v>0.36679637798828646</v>
      </c>
      <c r="BZ21" s="3">
        <v>5.9858918823249563E-5</v>
      </c>
      <c r="CA21" s="3">
        <f t="shared" si="11"/>
        <v>0.36677504606795491</v>
      </c>
      <c r="CB21" s="3">
        <v>-2.9009878563093783E-5</v>
      </c>
      <c r="CC21" s="3">
        <f t="shared" si="12"/>
        <v>3.4197638980577363E-9</v>
      </c>
      <c r="CD21" s="3">
        <f t="shared" si="13"/>
        <v>-1.7364999659805584E-9</v>
      </c>
      <c r="CE21" s="3">
        <f t="shared" si="14"/>
        <v>4.2663840663093033E-5</v>
      </c>
    </row>
    <row r="22" spans="2:83" x14ac:dyDescent="0.2">
      <c r="B22" s="5" t="s">
        <v>127</v>
      </c>
      <c r="C22" s="8">
        <v>2</v>
      </c>
      <c r="F22" s="5" t="s">
        <v>91</v>
      </c>
      <c r="G22" s="5">
        <f>SQRT($G$16^2-$G$17^2)</f>
        <v>49.935442323063484</v>
      </c>
      <c r="H22" s="5" t="s">
        <v>13</v>
      </c>
      <c r="N22" s="5" t="s">
        <v>39</v>
      </c>
      <c r="O22" s="5">
        <f xml:space="preserve"> $G$16 * COS(O19/180*PI()) / (O21 * $C$9)</f>
        <v>2.7742534554270868E-2</v>
      </c>
      <c r="R22" s="5" t="s">
        <v>39</v>
      </c>
      <c r="S22" s="5">
        <f xml:space="preserve"> $C$13 * COS(S19/180*PI()) / (S21 * $C$9)</f>
        <v>2.7742534554270868E-2</v>
      </c>
      <c r="V22" s="5" t="s">
        <v>39</v>
      </c>
      <c r="W22" s="5">
        <f xml:space="preserve"> $G$36 * COS(W19/180*PI()) / (W21 * $C$9)</f>
        <v>2.7742534554270868E-2</v>
      </c>
      <c r="AB22" s="3">
        <v>18</v>
      </c>
      <c r="AC22" s="3">
        <f t="shared" si="15"/>
        <v>0.33320999145507812</v>
      </c>
      <c r="AD22" s="3">
        <f t="shared" si="0"/>
        <v>9.0488788212494953E-7</v>
      </c>
      <c r="AE22" s="3">
        <f t="shared" si="16"/>
        <v>0.33321380615234375</v>
      </c>
      <c r="AF22" s="3">
        <f t="shared" si="1"/>
        <v>-3.092996063158715E-6</v>
      </c>
      <c r="AG22" s="3">
        <f t="shared" si="3"/>
        <v>0.33321189880371094</v>
      </c>
      <c r="AH22" s="3">
        <f t="shared" si="2"/>
        <v>-1.0940546094073689E-6</v>
      </c>
      <c r="AI22" s="3">
        <f t="shared" si="4"/>
        <v>-9.8999675843567287E-13</v>
      </c>
      <c r="AJ22" s="3">
        <f t="shared" si="5"/>
        <v>3.3839065997776374E-12</v>
      </c>
      <c r="AK22" s="3">
        <f t="shared" si="6"/>
        <v>3.814697265625E-6</v>
      </c>
      <c r="AM22" s="45"/>
      <c r="AN22" s="4">
        <f>0.555625*($AN$9/2)</f>
        <v>0.55562500000000004</v>
      </c>
      <c r="AO22" s="14" t="s">
        <v>11</v>
      </c>
      <c r="AP22"/>
      <c r="AQ22" s="41" t="s">
        <v>215</v>
      </c>
      <c r="AR22" s="41"/>
      <c r="AS22" s="41"/>
      <c r="AT22"/>
      <c r="AU22" s="3" t="s">
        <v>168</v>
      </c>
      <c r="AV22" s="3">
        <f>$AN$23-$AN$22</f>
        <v>9.8750000000000004E-2</v>
      </c>
      <c r="AW22" s="14" t="s">
        <v>11</v>
      </c>
      <c r="AX22"/>
      <c r="AY22" s="3" t="s">
        <v>168</v>
      </c>
      <c r="AZ22" s="3">
        <f>$AN$24-$AN$23</f>
        <v>9.8750000000000004E-2</v>
      </c>
      <c r="BA22" s="14" t="s">
        <v>11</v>
      </c>
      <c r="BB22"/>
      <c r="BC22" s="44" t="s">
        <v>198</v>
      </c>
      <c r="BD22" s="44"/>
      <c r="BE22" s="44"/>
      <c r="BF22" s="3"/>
      <c r="BG22" s="44" t="s">
        <v>199</v>
      </c>
      <c r="BH22" s="44"/>
      <c r="BI22" s="44"/>
      <c r="BJ22"/>
      <c r="BK22" s="3">
        <v>18</v>
      </c>
      <c r="BL22" s="3">
        <f t="shared" si="17"/>
        <v>0.43042949633725441</v>
      </c>
      <c r="BM22" s="3">
        <v>-8.9391856581133577E-5</v>
      </c>
      <c r="BN22" s="3">
        <f t="shared" si="18"/>
        <v>0.43045082825758596</v>
      </c>
      <c r="BO22" s="3">
        <v>4.1198711264983645E-5</v>
      </c>
      <c r="BP22" s="3">
        <f t="shared" si="7"/>
        <v>0.43044016229742021</v>
      </c>
      <c r="BQ22" s="3">
        <v>-2.409573392003761E-5</v>
      </c>
      <c r="BR22" s="3">
        <f t="shared" si="8"/>
        <v>2.1539623907971576E-9</v>
      </c>
      <c r="BS22" s="3">
        <f t="shared" si="9"/>
        <v>-9.9271318448950197E-10</v>
      </c>
      <c r="BT22" s="3">
        <f t="shared" si="10"/>
        <v>2.1331920331546517E-5</v>
      </c>
      <c r="BU22"/>
      <c r="BV22" s="3">
        <v>18</v>
      </c>
      <c r="BW22" s="3">
        <f t="shared" si="19"/>
        <v>0.36677504606795491</v>
      </c>
      <c r="BX22" s="3">
        <v>-2.9009878563093783E-5</v>
      </c>
      <c r="BY22" s="3">
        <f t="shared" si="20"/>
        <v>0.36679637798828646</v>
      </c>
      <c r="BZ22" s="3">
        <v>5.9858918823249563E-5</v>
      </c>
      <c r="CA22" s="3">
        <f t="shared" si="11"/>
        <v>0.36678571202812071</v>
      </c>
      <c r="CB22" s="3">
        <v>1.5425027834553573E-5</v>
      </c>
      <c r="CC22" s="3">
        <f t="shared" si="12"/>
        <v>-4.4747818431274063E-10</v>
      </c>
      <c r="CD22" s="3">
        <f t="shared" si="13"/>
        <v>9.2332548899490734E-10</v>
      </c>
      <c r="CE22" s="3">
        <f t="shared" si="14"/>
        <v>2.1331920331546517E-5</v>
      </c>
    </row>
    <row r="23" spans="2:83" x14ac:dyDescent="0.2">
      <c r="B23" s="5" t="s">
        <v>2</v>
      </c>
      <c r="C23" s="5">
        <f>C22*C8/PI()</f>
        <v>0.31022513338460861</v>
      </c>
      <c r="F23" s="5" t="s">
        <v>92</v>
      </c>
      <c r="G23" s="5">
        <f>$G$22 * ($G$18/$G$17)</f>
        <v>5992.2530787676178</v>
      </c>
      <c r="H23" s="5" t="s">
        <v>11</v>
      </c>
      <c r="N23" s="5" t="s">
        <v>40</v>
      </c>
      <c r="O23" s="5">
        <f xml:space="preserve"> O20 / ( $C$65 * PI() * $C$9^2 * O21^2 * $C$9^2)</f>
        <v>1.7132783790918375E-2</v>
      </c>
      <c r="R23" s="5" t="s">
        <v>40</v>
      </c>
      <c r="S23" s="5">
        <f xml:space="preserve"> S20 / ( $C$65 * PI() * $C$9^2 * S21^2 * $C$9^2)</f>
        <v>1.0774694131695069E-2</v>
      </c>
      <c r="V23" s="5" t="s">
        <v>40</v>
      </c>
      <c r="W23" s="5">
        <f xml:space="preserve"> W20 / ( $C$65 * PI() * $C$9^2 * W21^2 * $C$9^2)</f>
        <v>6.9520364381740465E-3</v>
      </c>
      <c r="AB23" s="3">
        <v>19</v>
      </c>
      <c r="AC23" s="3">
        <f t="shared" si="15"/>
        <v>0.33320999145507812</v>
      </c>
      <c r="AD23" s="3">
        <f t="shared" si="0"/>
        <v>9.0488788212494953E-7</v>
      </c>
      <c r="AE23" s="3">
        <f t="shared" si="16"/>
        <v>0.33321189880371094</v>
      </c>
      <c r="AF23" s="3">
        <f t="shared" si="1"/>
        <v>-1.0940546094073689E-6</v>
      </c>
      <c r="AG23" s="3">
        <f t="shared" si="3"/>
        <v>0.33321094512939453</v>
      </c>
      <c r="AH23" s="3">
        <f t="shared" si="2"/>
        <v>-9.45834933707701E-8</v>
      </c>
      <c r="AI23" s="3">
        <f t="shared" si="4"/>
        <v>-8.5587457000255365E-14</v>
      </c>
      <c r="AJ23" s="3">
        <f t="shared" si="5"/>
        <v>1.0347950689614235E-13</v>
      </c>
      <c r="AK23" s="3">
        <f t="shared" si="6"/>
        <v>1.9073486328125E-6</v>
      </c>
      <c r="AM23" s="45"/>
      <c r="AN23" s="4">
        <f>0.654375*($AN$9/2)</f>
        <v>0.65437500000000004</v>
      </c>
      <c r="AO23" s="14" t="s">
        <v>11</v>
      </c>
      <c r="AP23"/>
      <c r="AQ23" s="43" t="s">
        <v>216</v>
      </c>
      <c r="AR23" s="45">
        <f>BD20</f>
        <v>-8.6473674054676763E-9</v>
      </c>
      <c r="AS23" s="45"/>
      <c r="AT23"/>
      <c r="AU23" s="3" t="s">
        <v>172</v>
      </c>
      <c r="AV23" s="3">
        <f>(1+$BD$56)*$AN$3</f>
        <v>17.741120566719786</v>
      </c>
      <c r="AW23" s="14" t="s">
        <v>13</v>
      </c>
      <c r="AX23"/>
      <c r="AY23" s="3" t="s">
        <v>172</v>
      </c>
      <c r="AZ23" s="3">
        <f>(1+$BH$56)*$AN$3</f>
        <v>19.007941819774533</v>
      </c>
      <c r="BA23" s="14" t="s">
        <v>13</v>
      </c>
      <c r="BB23"/>
      <c r="BC23" s="15" t="s">
        <v>169</v>
      </c>
      <c r="BD23" s="16">
        <f>BP68</f>
        <v>0.32328530959043839</v>
      </c>
      <c r="BE23" s="13" t="s">
        <v>170</v>
      </c>
      <c r="BF23" s="3"/>
      <c r="BG23" s="15" t="s">
        <v>169</v>
      </c>
      <c r="BH23" s="16">
        <f>CA68</f>
        <v>0.2899959885949987</v>
      </c>
      <c r="BI23" s="13" t="s">
        <v>170</v>
      </c>
      <c r="BJ23"/>
      <c r="BK23" s="3">
        <v>19</v>
      </c>
      <c r="BL23" s="3">
        <f t="shared" si="17"/>
        <v>0.43044016229742021</v>
      </c>
      <c r="BM23" s="3">
        <v>-2.409573392003761E-5</v>
      </c>
      <c r="BN23" s="3">
        <f t="shared" si="18"/>
        <v>0.43045082825758596</v>
      </c>
      <c r="BO23" s="3">
        <v>4.1198711264983645E-5</v>
      </c>
      <c r="BP23" s="3">
        <f t="shared" si="7"/>
        <v>0.43044549527750309</v>
      </c>
      <c r="BQ23" s="3">
        <v>8.5516983643618705E-6</v>
      </c>
      <c r="BR23" s="3">
        <f t="shared" si="8"/>
        <v>-2.0605944835208447E-10</v>
      </c>
      <c r="BS23" s="3">
        <f t="shared" si="9"/>
        <v>3.5231895173857763E-10</v>
      </c>
      <c r="BT23" s="3">
        <f t="shared" si="10"/>
        <v>1.0665960165745503E-5</v>
      </c>
      <c r="BU23"/>
      <c r="BV23" s="3">
        <v>19</v>
      </c>
      <c r="BW23" s="3">
        <f t="shared" si="19"/>
        <v>0.36677504606795491</v>
      </c>
      <c r="BX23" s="3">
        <v>-2.9009878563093783E-5</v>
      </c>
      <c r="BY23" s="3">
        <f t="shared" si="20"/>
        <v>0.36678571202812071</v>
      </c>
      <c r="BZ23" s="3">
        <v>1.5425027834553573E-5</v>
      </c>
      <c r="CA23" s="3">
        <f t="shared" si="11"/>
        <v>0.36678037904803784</v>
      </c>
      <c r="CB23" s="3">
        <v>-6.7922984401946884E-6</v>
      </c>
      <c r="CC23" s="3">
        <f t="shared" si="12"/>
        <v>1.9704375291433923E-10</v>
      </c>
      <c r="CD23" s="3">
        <f t="shared" si="13"/>
        <v>-1.0477139250059789E-10</v>
      </c>
      <c r="CE23" s="3">
        <f t="shared" si="14"/>
        <v>1.0665960165801014E-5</v>
      </c>
    </row>
    <row r="24" spans="2:83" x14ac:dyDescent="0.2">
      <c r="B24" s="5" t="s">
        <v>257</v>
      </c>
      <c r="C24" s="8">
        <v>0.75</v>
      </c>
      <c r="F24" s="5" t="s">
        <v>93</v>
      </c>
      <c r="G24" s="5">
        <f>ATAN(G17/G22)/PI()*180</f>
        <v>2.9118789347687013</v>
      </c>
      <c r="H24" s="5" t="s">
        <v>53</v>
      </c>
      <c r="N24" s="5" t="s">
        <v>3</v>
      </c>
      <c r="O24" s="8">
        <v>1.2E-2</v>
      </c>
      <c r="R24" s="5" t="s">
        <v>3</v>
      </c>
      <c r="S24" s="8">
        <v>1.2E-2</v>
      </c>
      <c r="V24" s="5" t="s">
        <v>3</v>
      </c>
      <c r="W24" s="8">
        <v>1.2E-2</v>
      </c>
      <c r="AB24" s="3">
        <v>20</v>
      </c>
      <c r="AC24" s="3">
        <f t="shared" si="15"/>
        <v>0.33320999145507812</v>
      </c>
      <c r="AD24" s="3">
        <f t="shared" si="0"/>
        <v>9.0488788212494953E-7</v>
      </c>
      <c r="AE24" s="3">
        <f t="shared" si="16"/>
        <v>0.33321094512939453</v>
      </c>
      <c r="AF24" s="3">
        <f t="shared" si="1"/>
        <v>-9.45834933707701E-8</v>
      </c>
      <c r="AG24" s="3">
        <f t="shared" si="3"/>
        <v>0.33321046829223633</v>
      </c>
      <c r="AH24" s="3">
        <f t="shared" si="2"/>
        <v>4.0515216193082182E-7</v>
      </c>
      <c r="AI24" s="3">
        <f t="shared" si="4"/>
        <v>3.6661728174792598E-13</v>
      </c>
      <c r="AJ24" s="3">
        <f t="shared" si="5"/>
        <v>-3.8320706822137059E-14</v>
      </c>
      <c r="AK24" s="3">
        <f t="shared" si="6"/>
        <v>9.5367431640625E-7</v>
      </c>
      <c r="AM24" s="45"/>
      <c r="AN24" s="4">
        <f>0.753125*($AN$9/2)</f>
        <v>0.75312500000000004</v>
      </c>
      <c r="AO24" s="14" t="s">
        <v>11</v>
      </c>
      <c r="AP24"/>
      <c r="AQ24" s="43"/>
      <c r="AR24" s="45">
        <f>BH20</f>
        <v>9.6150325201715958E-9</v>
      </c>
      <c r="AS24" s="45"/>
      <c r="AT24"/>
      <c r="AU24" s="3" t="s">
        <v>176</v>
      </c>
      <c r="AV24" s="3">
        <f>(1-$BD$57)*$AR$5*$AN$23</f>
        <v>65.624305413091335</v>
      </c>
      <c r="AW24" s="14" t="s">
        <v>13</v>
      </c>
      <c r="AX24"/>
      <c r="AY24" s="3" t="s">
        <v>176</v>
      </c>
      <c r="AZ24" s="3">
        <f>(1-$BH$57)*$AR$5*$AN$24</f>
        <v>76.164790344805169</v>
      </c>
      <c r="BA24" s="14" t="s">
        <v>13</v>
      </c>
      <c r="BB24"/>
      <c r="BC24" s="3" t="s">
        <v>173</v>
      </c>
      <c r="BD24" s="3">
        <f>($AN$37+$AN$5)/180*PI()</f>
        <v>0.42580579594749163</v>
      </c>
      <c r="BE24" s="3" t="s">
        <v>170</v>
      </c>
      <c r="BF24" s="3"/>
      <c r="BG24" s="3" t="s">
        <v>173</v>
      </c>
      <c r="BH24" s="3">
        <f>($AN$38+$AN$5)/180*PI()</f>
        <v>0.39995310640232556</v>
      </c>
      <c r="BI24" s="3" t="s">
        <v>170</v>
      </c>
      <c r="BJ24"/>
      <c r="BK24" s="3">
        <v>20</v>
      </c>
      <c r="BL24" s="3">
        <f t="shared" si="17"/>
        <v>0.43044016229742021</v>
      </c>
      <c r="BM24" s="3">
        <v>-2.409573392003761E-5</v>
      </c>
      <c r="BN24" s="3">
        <f t="shared" si="18"/>
        <v>0.43044549527750309</v>
      </c>
      <c r="BO24" s="3">
        <v>8.5516983643618705E-6</v>
      </c>
      <c r="BP24" s="3">
        <f t="shared" si="7"/>
        <v>0.43044282878746165</v>
      </c>
      <c r="BQ24" s="3">
        <v>-7.7719653558683266E-6</v>
      </c>
      <c r="BR24" s="3">
        <f t="shared" si="8"/>
        <v>1.8727120925075361E-10</v>
      </c>
      <c r="BS24" s="3">
        <f t="shared" si="9"/>
        <v>-6.6463503421656295E-11</v>
      </c>
      <c r="BT24" s="3">
        <f t="shared" si="10"/>
        <v>5.3329800828727514E-6</v>
      </c>
      <c r="BU24"/>
      <c r="BV24" s="3">
        <v>20</v>
      </c>
      <c r="BW24" s="3">
        <f t="shared" si="19"/>
        <v>0.36678037904803784</v>
      </c>
      <c r="BX24" s="3">
        <v>-6.7922984401946884E-6</v>
      </c>
      <c r="BY24" s="3">
        <f t="shared" si="20"/>
        <v>0.36678571202812071</v>
      </c>
      <c r="BZ24" s="3">
        <v>1.5425027834553573E-5</v>
      </c>
      <c r="CA24" s="3">
        <f t="shared" si="11"/>
        <v>0.36678304553807928</v>
      </c>
      <c r="CB24" s="3">
        <v>4.3163964284220757E-6</v>
      </c>
      <c r="CC24" s="3">
        <f t="shared" si="12"/>
        <v>-2.9318252728033188E-11</v>
      </c>
      <c r="CD24" s="3">
        <f t="shared" si="13"/>
        <v>6.6580535053378142E-11</v>
      </c>
      <c r="CE24" s="3">
        <f t="shared" si="14"/>
        <v>5.3329800828727514E-6</v>
      </c>
    </row>
    <row r="25" spans="2:83" x14ac:dyDescent="0.2">
      <c r="B25" s="5" t="s">
        <v>128</v>
      </c>
      <c r="C25" s="8">
        <v>0.14399999999999999</v>
      </c>
      <c r="F25" s="5" t="s">
        <v>94</v>
      </c>
      <c r="G25" s="5">
        <f xml:space="preserve"> 1/1000 * (O25 + O20 * (O30 * O27 + $G$16 * SIN(O19/180*PI())))</f>
        <v>101.09336354729498</v>
      </c>
      <c r="H25" s="5" t="s">
        <v>81</v>
      </c>
      <c r="N25" s="5" t="s">
        <v>41</v>
      </c>
      <c r="O25" s="5">
        <f xml:space="preserve"> ($C$30 * $O$24 / 8) * (1 + 4.65 * O22^2) * ( PI() * $C$65 * O21^3 * $C$9^ 5)</f>
        <v>12723.520148485653</v>
      </c>
      <c r="P25" s="5" t="s">
        <v>25</v>
      </c>
      <c r="R25" s="5" t="s">
        <v>41</v>
      </c>
      <c r="S25" s="5">
        <f xml:space="preserve"> ($C$30 * $S$24 / 8) * (1 + 4.65 * S22^2) * ( PI() * $C$65 * S21^3 * $C$9^5)</f>
        <v>12723.520148485653</v>
      </c>
      <c r="T25" s="5" t="s">
        <v>25</v>
      </c>
      <c r="V25" s="5" t="s">
        <v>41</v>
      </c>
      <c r="W25" s="5">
        <f xml:space="preserve"> ($C$30 * $W$24 / 8) * (1 + 4.65 * W22^2) * ( PI() * $C$65 * W21^3 * $C$9^ 5)</f>
        <v>12723.520148485653</v>
      </c>
      <c r="X25" s="5" t="s">
        <v>25</v>
      </c>
      <c r="AB25" s="3">
        <v>21</v>
      </c>
      <c r="AC25" s="3">
        <f t="shared" si="15"/>
        <v>0.33321046829223633</v>
      </c>
      <c r="AD25" s="3">
        <f t="shared" si="0"/>
        <v>4.0515216193082182E-7</v>
      </c>
      <c r="AE25" s="3">
        <f t="shared" si="16"/>
        <v>0.33321094512939453</v>
      </c>
      <c r="AF25" s="3">
        <f t="shared" si="1"/>
        <v>-9.45834933707701E-8</v>
      </c>
      <c r="AG25" s="3">
        <f t="shared" si="3"/>
        <v>0.33321070671081543</v>
      </c>
      <c r="AH25" s="3">
        <f t="shared" si="2"/>
        <v>1.5528432617539778E-7</v>
      </c>
      <c r="AI25" s="3">
        <f t="shared" si="4"/>
        <v>6.2913780463933309E-14</v>
      </c>
      <c r="AJ25" s="3">
        <f t="shared" si="5"/>
        <v>-1.4687334035395238E-14</v>
      </c>
      <c r="AK25" s="3">
        <f t="shared" si="6"/>
        <v>4.76837158203125E-7</v>
      </c>
      <c r="AM25" s="45"/>
      <c r="AN25" s="4">
        <f>0.851875*($AN$9/2)</f>
        <v>0.85187500000000005</v>
      </c>
      <c r="AO25" s="14" t="s">
        <v>11</v>
      </c>
      <c r="AP25"/>
      <c r="AQ25" s="43"/>
      <c r="AR25" s="45">
        <f>BD39</f>
        <v>3.3414316938373823E-9</v>
      </c>
      <c r="AS25" s="45"/>
      <c r="AT25"/>
      <c r="AU25" s="3" t="s">
        <v>179</v>
      </c>
      <c r="AV25" s="3">
        <f>SQRT(AV23^2 + AV24^2)</f>
        <v>67.98012077007202</v>
      </c>
      <c r="AW25" s="14" t="s">
        <v>13</v>
      </c>
      <c r="AX25"/>
      <c r="AY25" s="3" t="s">
        <v>179</v>
      </c>
      <c r="AZ25" s="3">
        <f>SQRT(AZ23^2 + AZ24^2)</f>
        <v>78.500809807874333</v>
      </c>
      <c r="BA25" s="14" t="s">
        <v>13</v>
      </c>
      <c r="BB25"/>
      <c r="BC25" s="3" t="s">
        <v>36</v>
      </c>
      <c r="BD25" s="3">
        <f>BD24-BD23</f>
        <v>0.10252048635705324</v>
      </c>
      <c r="BE25" s="3" t="s">
        <v>170</v>
      </c>
      <c r="BF25" s="3"/>
      <c r="BG25" s="3" t="s">
        <v>36</v>
      </c>
      <c r="BH25" s="3">
        <f>BH24-BH23</f>
        <v>0.10995711780732687</v>
      </c>
      <c r="BI25" s="3" t="s">
        <v>170</v>
      </c>
      <c r="BJ25"/>
      <c r="BK25" s="3">
        <v>21</v>
      </c>
      <c r="BL25" s="3">
        <f t="shared" si="17"/>
        <v>0.43044282878746165</v>
      </c>
      <c r="BM25" s="3">
        <v>-7.7719653558683266E-6</v>
      </c>
      <c r="BN25" s="3">
        <f t="shared" si="18"/>
        <v>0.43044549527750309</v>
      </c>
      <c r="BO25" s="3">
        <v>8.5516983643618705E-6</v>
      </c>
      <c r="BP25" s="3">
        <f t="shared" si="7"/>
        <v>0.43044416203248237</v>
      </c>
      <c r="BQ25" s="3">
        <v>3.8987960992997728E-7</v>
      </c>
      <c r="BR25" s="3">
        <f t="shared" si="8"/>
        <v>-3.0301308213352403E-12</v>
      </c>
      <c r="BS25" s="3">
        <f t="shared" si="9"/>
        <v>3.3341328225362309E-12</v>
      </c>
      <c r="BT25" s="3">
        <f t="shared" si="10"/>
        <v>2.6664900414363757E-6</v>
      </c>
      <c r="BU25"/>
      <c r="BV25" s="3">
        <v>21</v>
      </c>
      <c r="BW25" s="3">
        <f t="shared" si="19"/>
        <v>0.36678037904803784</v>
      </c>
      <c r="BX25" s="3">
        <v>-6.7922984401946884E-6</v>
      </c>
      <c r="BY25" s="3">
        <f t="shared" si="20"/>
        <v>0.36678304553807928</v>
      </c>
      <c r="BZ25" s="3">
        <v>4.3163964284220757E-6</v>
      </c>
      <c r="CA25" s="3">
        <f t="shared" si="11"/>
        <v>0.36678171229305856</v>
      </c>
      <c r="CB25" s="3">
        <v>-1.2379430729958507E-6</v>
      </c>
      <c r="CC25" s="3">
        <f t="shared" si="12"/>
        <v>8.4084788037595365E-12</v>
      </c>
      <c r="CD25" s="3">
        <f t="shared" si="13"/>
        <v>-5.3434530588691387E-12</v>
      </c>
      <c r="CE25" s="3">
        <f t="shared" si="14"/>
        <v>2.6664900414363757E-6</v>
      </c>
    </row>
    <row r="26" spans="2:83" x14ac:dyDescent="0.2">
      <c r="F26" s="34" t="s">
        <v>95</v>
      </c>
      <c r="G26" s="34">
        <f>$C$28*G25</f>
        <v>101.09336354729498</v>
      </c>
      <c r="H26" s="34" t="s">
        <v>81</v>
      </c>
      <c r="N26" s="5" t="s">
        <v>42</v>
      </c>
      <c r="O26" s="12">
        <f>AG69</f>
        <v>0.34206018084660172</v>
      </c>
      <c r="R26" s="5" t="s">
        <v>42</v>
      </c>
      <c r="S26" s="12">
        <f>AG34</f>
        <v>0.33321085525676608</v>
      </c>
      <c r="V26" s="5" t="s">
        <v>42</v>
      </c>
      <c r="W26" s="12">
        <f>AG104</f>
        <v>0.32766911992803216</v>
      </c>
      <c r="AB26" s="3">
        <v>22</v>
      </c>
      <c r="AC26" s="3">
        <f t="shared" si="15"/>
        <v>0.33321070671081543</v>
      </c>
      <c r="AD26" s="3">
        <f t="shared" si="0"/>
        <v>1.5528432617539778E-7</v>
      </c>
      <c r="AE26" s="3">
        <f t="shared" si="16"/>
        <v>0.33321094512939453</v>
      </c>
      <c r="AF26" s="3">
        <f t="shared" si="1"/>
        <v>-9.45834933707701E-8</v>
      </c>
      <c r="AG26" s="3">
        <f t="shared" si="3"/>
        <v>0.33321082592010498</v>
      </c>
      <c r="AH26" s="3">
        <f t="shared" si="2"/>
        <v>3.0350414403912396E-8</v>
      </c>
      <c r="AI26" s="3">
        <f t="shared" si="4"/>
        <v>4.7129436498556232E-15</v>
      </c>
      <c r="AJ26" s="3">
        <f t="shared" si="5"/>
        <v>-2.8706482195725736E-15</v>
      </c>
      <c r="AK26" s="3">
        <f t="shared" si="6"/>
        <v>2.384185791015625E-7</v>
      </c>
      <c r="AM26" s="45"/>
      <c r="AN26" s="4">
        <f>0.950625*($AN$9/2)</f>
        <v>0.95062500000000005</v>
      </c>
      <c r="AO26" s="5" t="s">
        <v>11</v>
      </c>
      <c r="AP26"/>
      <c r="AQ26" s="43"/>
      <c r="AR26" s="45">
        <f>BH39</f>
        <v>-8.3362717284707344E-9</v>
      </c>
      <c r="AS26" s="45"/>
      <c r="AT26"/>
      <c r="AU26" s="3" t="s">
        <v>182</v>
      </c>
      <c r="AV26" s="19">
        <f>$AN$45*AV25*$AN$27/$AN$46</f>
        <v>2551667.6929406421</v>
      </c>
      <c r="AW26" s="14"/>
      <c r="AX26"/>
      <c r="AY26" s="3" t="s">
        <v>182</v>
      </c>
      <c r="AZ26" s="19">
        <f>$AN$45*AZ25*$AN$27/$AN$46</f>
        <v>2946566.9961653794</v>
      </c>
      <c r="BA26" s="14"/>
      <c r="BB26"/>
      <c r="BC26" s="3" t="s">
        <v>180</v>
      </c>
      <c r="BD26" s="3">
        <f>BD25/PI()*180</f>
        <v>5.8739911818876873</v>
      </c>
      <c r="BE26" s="3" t="s">
        <v>53</v>
      </c>
      <c r="BF26" s="3"/>
      <c r="BG26" s="3" t="s">
        <v>180</v>
      </c>
      <c r="BH26" s="3">
        <f>BH25/PI()*180</f>
        <v>6.3000787777826179</v>
      </c>
      <c r="BI26" s="3" t="s">
        <v>53</v>
      </c>
      <c r="BJ26"/>
      <c r="BK26" s="3">
        <v>22</v>
      </c>
      <c r="BL26" s="3">
        <f t="shared" si="17"/>
        <v>0.43044282878746165</v>
      </c>
      <c r="BM26" s="3">
        <v>-7.7719653558683266E-6</v>
      </c>
      <c r="BN26" s="3">
        <f t="shared" si="18"/>
        <v>0.43044416203248237</v>
      </c>
      <c r="BO26" s="3">
        <v>3.8987960992997728E-7</v>
      </c>
      <c r="BP26" s="3">
        <f t="shared" si="7"/>
        <v>0.43044349540997201</v>
      </c>
      <c r="BQ26" s="3">
        <v>-3.6910395964928622E-6</v>
      </c>
      <c r="BR26" s="3">
        <f t="shared" si="8"/>
        <v>2.8686631871080733E-11</v>
      </c>
      <c r="BS26" s="3">
        <f t="shared" si="9"/>
        <v>-1.4390610781167377E-12</v>
      </c>
      <c r="BT26" s="3">
        <f t="shared" si="10"/>
        <v>1.3332450207181878E-6</v>
      </c>
      <c r="BU26"/>
      <c r="BV26" s="3">
        <v>22</v>
      </c>
      <c r="BW26" s="3">
        <f t="shared" si="19"/>
        <v>0.36678171229305856</v>
      </c>
      <c r="BX26" s="3">
        <v>-1.2379430729958507E-6</v>
      </c>
      <c r="BY26" s="3">
        <f t="shared" si="20"/>
        <v>0.36678304553807928</v>
      </c>
      <c r="BZ26" s="3">
        <v>4.3163964284220757E-6</v>
      </c>
      <c r="CA26" s="3">
        <f t="shared" si="11"/>
        <v>0.36678237891556892</v>
      </c>
      <c r="CB26" s="3">
        <v>1.5392286609738903E-6</v>
      </c>
      <c r="CC26" s="3">
        <f t="shared" si="12"/>
        <v>-1.9054774586093061E-12</v>
      </c>
      <c r="CD26" s="3">
        <f t="shared" si="13"/>
        <v>6.643921094752594E-12</v>
      </c>
      <c r="CE26" s="3">
        <f t="shared" si="14"/>
        <v>1.3332450207181878E-6</v>
      </c>
    </row>
    <row r="27" spans="2:83" x14ac:dyDescent="0.2">
      <c r="B27" s="51" t="s">
        <v>255</v>
      </c>
      <c r="C27" s="51"/>
      <c r="D27" s="51"/>
      <c r="N27" s="5" t="s">
        <v>43</v>
      </c>
      <c r="O27" s="5">
        <f xml:space="preserve"> O21 * $C$9 * O26 - $G$16 * SIN(O19/180*PI())</f>
        <v>3.9209526570767252</v>
      </c>
      <c r="P27" s="5" t="s">
        <v>13</v>
      </c>
      <c r="R27" s="5" t="s">
        <v>43</v>
      </c>
      <c r="S27" s="5">
        <f xml:space="preserve"> S21 * $C$9 * S26 - $C$13 * SIN(S19/180*PI())</f>
        <v>2.5309038439641327</v>
      </c>
      <c r="T27" s="5" t="s">
        <v>13</v>
      </c>
      <c r="V27" s="5" t="s">
        <v>43</v>
      </c>
      <c r="W27" s="5">
        <f xml:space="preserve"> W21 * $C$9 * W26 - $G$36 * SIN(W19/180*PI())</f>
        <v>1.6604100941196549</v>
      </c>
      <c r="X27" s="5" t="s">
        <v>13</v>
      </c>
      <c r="AB27" s="3">
        <v>23</v>
      </c>
      <c r="AC27" s="3">
        <f t="shared" si="15"/>
        <v>0.33321082592010498</v>
      </c>
      <c r="AD27" s="3">
        <f t="shared" si="0"/>
        <v>3.0350414403912396E-8</v>
      </c>
      <c r="AE27" s="3">
        <f t="shared" si="16"/>
        <v>0.33321094512939453</v>
      </c>
      <c r="AF27" s="3">
        <f t="shared" si="1"/>
        <v>-9.45834933707701E-8</v>
      </c>
      <c r="AG27" s="3">
        <f t="shared" si="3"/>
        <v>0.33321088552474976</v>
      </c>
      <c r="AH27" s="3">
        <f t="shared" si="2"/>
        <v>-3.2116539983029213E-8</v>
      </c>
      <c r="AI27" s="3">
        <f t="shared" si="4"/>
        <v>-9.7475029770475817E-16</v>
      </c>
      <c r="AJ27" s="3">
        <f t="shared" si="5"/>
        <v>3.0376945465769166E-15</v>
      </c>
      <c r="AK27" s="3">
        <f t="shared" si="6"/>
        <v>1.1920928955078125E-7</v>
      </c>
      <c r="AM27" s="45" t="s">
        <v>217</v>
      </c>
      <c r="AN27" s="4">
        <f>0.548288*($AN$9/2)</f>
        <v>0.548288</v>
      </c>
      <c r="AO27" s="14" t="s">
        <v>11</v>
      </c>
      <c r="AP27"/>
      <c r="AQ27" s="43"/>
      <c r="AR27" s="45">
        <f>BD58</f>
        <v>1.7632449597626554E-9</v>
      </c>
      <c r="AS27" s="45"/>
      <c r="AT27"/>
      <c r="AU27" s="3" t="s">
        <v>186</v>
      </c>
      <c r="AV27" s="18">
        <f xml:space="preserve"> $BD$46 * PI() * $AN$45 * AV25^2 * $BD$52 * $AN$23 * AV22</f>
        <v>234.03129830846561</v>
      </c>
      <c r="AW27" s="14" t="s">
        <v>27</v>
      </c>
      <c r="AX27"/>
      <c r="AY27" s="3" t="s">
        <v>186</v>
      </c>
      <c r="AZ27" s="18">
        <f xml:space="preserve"> $BH$46 * PI() * $AN$45 * AZ25^2 * $BH$52 * $AN$24 * AZ22</f>
        <v>289.08718128195255</v>
      </c>
      <c r="BA27" s="14" t="s">
        <v>27</v>
      </c>
      <c r="BB27"/>
      <c r="BC27" s="3" t="s">
        <v>183</v>
      </c>
      <c r="BD27" s="3">
        <f xml:space="preserve"> $AN$8*$AN$29 / (2*PI()*$AN$21)</f>
        <v>0.35771795642666615</v>
      </c>
      <c r="BE27" s="3"/>
      <c r="BF27" s="3"/>
      <c r="BG27" s="3" t="s">
        <v>183</v>
      </c>
      <c r="BH27" s="3">
        <f xml:space="preserve"> $AN$8*$AN$30 / (2*PI()*$AN$22)</f>
        <v>0.28415899496185476</v>
      </c>
      <c r="BI27" s="3"/>
      <c r="BJ27"/>
      <c r="BK27" s="3">
        <v>23</v>
      </c>
      <c r="BL27" s="3">
        <f t="shared" si="17"/>
        <v>0.43044349540997201</v>
      </c>
      <c r="BM27" s="3">
        <v>-3.6910395964928622E-6</v>
      </c>
      <c r="BN27" s="3">
        <f t="shared" si="18"/>
        <v>0.43044416203248237</v>
      </c>
      <c r="BO27" s="3">
        <v>3.8987960992997728E-7</v>
      </c>
      <c r="BP27" s="3">
        <f t="shared" si="7"/>
        <v>0.43044382872122722</v>
      </c>
      <c r="BQ27" s="3">
        <v>-1.6505791739229725E-6</v>
      </c>
      <c r="BR27" s="3">
        <f t="shared" si="8"/>
        <v>6.0923530880961704E-12</v>
      </c>
      <c r="BS27" s="3">
        <f t="shared" si="9"/>
        <v>-6.4352716448763268E-13</v>
      </c>
      <c r="BT27" s="3">
        <f t="shared" si="10"/>
        <v>6.6662251035909392E-7</v>
      </c>
      <c r="BU27"/>
      <c r="BV27" s="3">
        <v>23</v>
      </c>
      <c r="BW27" s="3">
        <f t="shared" si="19"/>
        <v>0.36678171229305856</v>
      </c>
      <c r="BX27" s="3">
        <v>-1.2379430729958507E-6</v>
      </c>
      <c r="BY27" s="3">
        <f t="shared" si="20"/>
        <v>0.36678237891556892</v>
      </c>
      <c r="BZ27" s="3">
        <v>1.5392286609738903E-6</v>
      </c>
      <c r="CA27" s="3">
        <f t="shared" si="11"/>
        <v>0.36678204560431371</v>
      </c>
      <c r="CB27" s="3">
        <v>1.5064328967584473E-7</v>
      </c>
      <c r="CC27" s="3">
        <f t="shared" si="12"/>
        <v>-1.8648781694751932E-13</v>
      </c>
      <c r="CD27" s="3">
        <f t="shared" si="13"/>
        <v>2.3187446905245236E-13</v>
      </c>
      <c r="CE27" s="3">
        <f t="shared" si="14"/>
        <v>6.6662251035909392E-7</v>
      </c>
    </row>
    <row r="28" spans="2:83" x14ac:dyDescent="0.2">
      <c r="B28" s="5" t="s">
        <v>113</v>
      </c>
      <c r="C28" s="8">
        <v>1</v>
      </c>
      <c r="F28" s="49" t="s">
        <v>98</v>
      </c>
      <c r="G28" s="50"/>
      <c r="H28" s="50"/>
      <c r="N28" s="5" t="s">
        <v>44</v>
      </c>
      <c r="O28" s="5">
        <f xml:space="preserve"> 1/$C$24 - O25 * SQRT( (2*$C$65*PI()*$C$9^2) / O20^3 )</f>
        <v>0.79539216014342651</v>
      </c>
      <c r="R28" s="5" t="s">
        <v>44</v>
      </c>
      <c r="S28" s="5">
        <f xml:space="preserve"> 1/$C$24 - S25 * SQRT( (2*$C$65*PI()*$C$9^2) / S20^3 )</f>
        <v>0.25471136430447094</v>
      </c>
      <c r="V28" s="5" t="s">
        <v>44</v>
      </c>
      <c r="W28" s="5">
        <f xml:space="preserve"> 1/$C$24 - W25 * SQRT( (2*$C$65*PI()*$C$9^2) / W20^3 )</f>
        <v>-0.74784179744558776</v>
      </c>
      <c r="AB28" s="3">
        <v>24</v>
      </c>
      <c r="AC28" s="3">
        <f t="shared" si="15"/>
        <v>0.33321082592010498</v>
      </c>
      <c r="AD28" s="3">
        <f t="shared" si="0"/>
        <v>3.0350414403912396E-8</v>
      </c>
      <c r="AE28" s="3">
        <f t="shared" si="16"/>
        <v>0.33321088552474976</v>
      </c>
      <c r="AF28" s="3">
        <f t="shared" si="1"/>
        <v>-3.2116539983029213E-8</v>
      </c>
      <c r="AG28" s="3">
        <f t="shared" si="3"/>
        <v>0.33321085572242737</v>
      </c>
      <c r="AH28" s="3">
        <f t="shared" si="2"/>
        <v>-8.8306295609186236E-10</v>
      </c>
      <c r="AI28" s="3">
        <f t="shared" si="4"/>
        <v>-2.6801326662131919E-17</v>
      </c>
      <c r="AJ28" s="3">
        <f t="shared" si="5"/>
        <v>2.8360926736856268E-17</v>
      </c>
      <c r="AK28" s="3">
        <f t="shared" si="6"/>
        <v>5.9604644775390625E-8</v>
      </c>
      <c r="AM28" s="45"/>
      <c r="AN28" s="4">
        <f>0.530863*($AN$9/2)</f>
        <v>0.53086299999999997</v>
      </c>
      <c r="AO28" s="14" t="s">
        <v>11</v>
      </c>
      <c r="AP28"/>
      <c r="AQ28" s="43"/>
      <c r="AR28" s="45">
        <f>BH58</f>
        <v>-8.635800269329863E-10</v>
      </c>
      <c r="AS28" s="45"/>
      <c r="AT28"/>
      <c r="AU28" s="3" t="s">
        <v>190</v>
      </c>
      <c r="AV28" s="18">
        <f xml:space="preserve"> $BD$46 * PI() * $AN$45 * AV25^2 * $BD$53 * $AN$23^2 * AV22</f>
        <v>42.510861844781743</v>
      </c>
      <c r="AW28" s="14" t="s">
        <v>191</v>
      </c>
      <c r="AX28"/>
      <c r="AY28" s="3" t="s">
        <v>190</v>
      </c>
      <c r="AZ28" s="18">
        <f xml:space="preserve"> $BH$46 * PI() * $AN$45 * AZ25^2 * $BH$53 * $AN$24^2 * AZ22</f>
        <v>55.779920230325509</v>
      </c>
      <c r="BA28" s="14" t="s">
        <v>191</v>
      </c>
      <c r="BB28"/>
      <c r="BC28" s="3" t="s">
        <v>187</v>
      </c>
      <c r="BD28" s="3">
        <f>IF(-$AN$8*($AR$3-$AN$21)/(2*$AN$21*SIN(BD23))&gt;500, 1, 2*ACOS(MIN(1, EXP(-$AN$8*($AR$3-$AN$21)/(2*$AN$21*SIN(BD23)))))/PI() )</f>
        <v>0.98490700310214729</v>
      </c>
      <c r="BE28" s="3"/>
      <c r="BF28" s="3"/>
      <c r="BG28" s="3" t="s">
        <v>187</v>
      </c>
      <c r="BH28" s="3">
        <f>IF(-$AN$8*($AR$3-$AN$22)/(2*$AN$22*SIN(BH23))&gt;500, 1, 2*ACOS(MIN(1, EXP(-$AN$8*($AR$3-$AN$22)/(2*$AN$22*SIN(BH23)))))/PI() )</f>
        <v>0.96114360955146028</v>
      </c>
      <c r="BI28" s="3"/>
      <c r="BJ28"/>
      <c r="BK28" s="3">
        <v>24</v>
      </c>
      <c r="BL28" s="3">
        <f t="shared" si="17"/>
        <v>0.43044382872122722</v>
      </c>
      <c r="BM28" s="3">
        <v>-1.6505791739229725E-6</v>
      </c>
      <c r="BN28" s="3">
        <f t="shared" si="18"/>
        <v>0.43044416203248237</v>
      </c>
      <c r="BO28" s="3">
        <v>3.8987960992997728E-7</v>
      </c>
      <c r="BP28" s="3">
        <f t="shared" si="7"/>
        <v>0.43044399537685479</v>
      </c>
      <c r="BQ28" s="3">
        <v>-6.3034957703544947E-7</v>
      </c>
      <c r="BR28" s="3">
        <f t="shared" si="8"/>
        <v>1.0404418841458673E-12</v>
      </c>
      <c r="BS28" s="3">
        <f t="shared" si="9"/>
        <v>-2.4576044721410721E-13</v>
      </c>
      <c r="BT28" s="3">
        <f t="shared" si="10"/>
        <v>3.3331125515179139E-7</v>
      </c>
      <c r="BU28"/>
      <c r="BV28" s="3">
        <v>24</v>
      </c>
      <c r="BW28" s="3">
        <f t="shared" si="19"/>
        <v>0.36678171229305856</v>
      </c>
      <c r="BX28" s="3">
        <v>-1.2379430729958507E-6</v>
      </c>
      <c r="BY28" s="3">
        <f t="shared" si="20"/>
        <v>0.36678204560431371</v>
      </c>
      <c r="BZ28" s="3">
        <v>1.5064328967584473E-7</v>
      </c>
      <c r="CA28" s="3">
        <f t="shared" si="11"/>
        <v>0.36678187894868614</v>
      </c>
      <c r="CB28" s="3">
        <v>-5.4364976787013575E-7</v>
      </c>
      <c r="CC28" s="3">
        <f t="shared" si="12"/>
        <v>6.7300746427063677E-13</v>
      </c>
      <c r="CD28" s="3">
        <f t="shared" si="13"/>
        <v>-8.1897189463466603E-14</v>
      </c>
      <c r="CE28" s="3">
        <f t="shared" si="14"/>
        <v>3.3331125515179139E-7</v>
      </c>
    </row>
    <row r="29" spans="2:83" x14ac:dyDescent="0.2">
      <c r="B29" s="5" t="s">
        <v>136</v>
      </c>
      <c r="C29" s="8">
        <v>4</v>
      </c>
      <c r="F29" s="11" t="s">
        <v>100</v>
      </c>
      <c r="G29" s="5">
        <f xml:space="preserve"> ($C$18-G23-G43)/$C$13</f>
        <v>1600.2478630521136</v>
      </c>
      <c r="H29" s="5" t="s">
        <v>18</v>
      </c>
      <c r="N29" s="5" t="s">
        <v>45</v>
      </c>
      <c r="O29" s="8">
        <v>1.1499999999999999</v>
      </c>
      <c r="R29" s="5" t="s">
        <v>45</v>
      </c>
      <c r="S29" s="8">
        <v>1.1499999999999999</v>
      </c>
      <c r="V29" s="5" t="s">
        <v>45</v>
      </c>
      <c r="W29" s="8">
        <v>1.1499999999999999</v>
      </c>
      <c r="AB29" s="3">
        <v>25</v>
      </c>
      <c r="AC29" s="3">
        <f t="shared" si="15"/>
        <v>0.33321082592010498</v>
      </c>
      <c r="AD29" s="3">
        <f t="shared" si="0"/>
        <v>3.0350414403912396E-8</v>
      </c>
      <c r="AE29" s="3">
        <f t="shared" si="16"/>
        <v>0.33321085572242737</v>
      </c>
      <c r="AF29" s="3">
        <f t="shared" si="1"/>
        <v>-8.8306295609186236E-10</v>
      </c>
      <c r="AG29" s="3">
        <f t="shared" si="3"/>
        <v>0.33321084082126617</v>
      </c>
      <c r="AH29" s="3">
        <f t="shared" si="2"/>
        <v>1.4733675668399115E-8</v>
      </c>
      <c r="AI29" s="3">
        <f t="shared" si="4"/>
        <v>4.4717316222875407E-16</v>
      </c>
      <c r="AJ29" s="3">
        <f t="shared" si="5"/>
        <v>-1.3010763189835269E-17</v>
      </c>
      <c r="AK29" s="3">
        <f t="shared" si="6"/>
        <v>2.9802322387695312E-8</v>
      </c>
      <c r="AM29" s="45"/>
      <c r="AN29" s="4">
        <f>0.513438*($AN$9/2)</f>
        <v>0.51343799999999995</v>
      </c>
      <c r="AO29" s="14" t="s">
        <v>11</v>
      </c>
      <c r="AP29"/>
      <c r="AQ29" s="43"/>
      <c r="AR29" s="45">
        <f>BD77</f>
        <v>6.0313151035995549E-9</v>
      </c>
      <c r="AS29" s="45"/>
      <c r="AT29"/>
      <c r="AU29"/>
      <c r="AV29"/>
      <c r="AW29"/>
      <c r="AX29"/>
      <c r="AY29"/>
      <c r="AZ29"/>
      <c r="BA29"/>
      <c r="BB29"/>
      <c r="BC29" s="3" t="s">
        <v>192</v>
      </c>
      <c r="BD29" s="3">
        <f>IF(-$AN$8*($AN$21-$AN$10)/(2*$AN$21*SIN(BD23))&gt;500, 1, 2*ACOS(MIN(1, EXP(-$AN$8*($AN$21-$AN$10)/(2*$AN$21*SIN(BD23)))))/PI() )</f>
        <v>0.88315264710139452</v>
      </c>
      <c r="BE29" s="3"/>
      <c r="BF29" s="3"/>
      <c r="BG29" s="3" t="s">
        <v>192</v>
      </c>
      <c r="BH29" s="3">
        <f>IF(-$AN$8*($AN$22-$AN$10)/(2*$AN$22*SIN(BH23))&gt;500, 1, 2*ACOS(MIN(1, EXP(-$AN$8*($AN$22-$AN$10)/(2*$AN$22*SIN(BH23)))))/PI() )</f>
        <v>0.92754618597658245</v>
      </c>
      <c r="BI29" s="3"/>
      <c r="BJ29"/>
      <c r="BK29" s="3">
        <v>25</v>
      </c>
      <c r="BL29" s="3">
        <f t="shared" si="17"/>
        <v>0.43044399537685479</v>
      </c>
      <c r="BM29" s="3">
        <v>-6.3034957703544947E-7</v>
      </c>
      <c r="BN29" s="3">
        <f t="shared" si="18"/>
        <v>0.43044416203248237</v>
      </c>
      <c r="BO29" s="3">
        <v>3.8987960992997728E-7</v>
      </c>
      <c r="BP29" s="3">
        <f t="shared" si="7"/>
        <v>0.43044407870466861</v>
      </c>
      <c r="BQ29" s="3">
        <v>-1.2023493213553227E-7</v>
      </c>
      <c r="BR29" s="3">
        <f t="shared" si="8"/>
        <v>7.5790038616518732E-14</v>
      </c>
      <c r="BS29" s="3">
        <f t="shared" si="9"/>
        <v>-4.6877148440958612E-14</v>
      </c>
      <c r="BT29" s="3">
        <f t="shared" si="10"/>
        <v>1.6665562757589569E-7</v>
      </c>
      <c r="BU29"/>
      <c r="BV29" s="3">
        <v>25</v>
      </c>
      <c r="BW29" s="3">
        <f t="shared" si="19"/>
        <v>0.36678187894868614</v>
      </c>
      <c r="BX29" s="3">
        <v>-5.4364976787013575E-7</v>
      </c>
      <c r="BY29" s="3">
        <f t="shared" si="20"/>
        <v>0.36678204560431371</v>
      </c>
      <c r="BZ29" s="3">
        <v>1.5064328967584473E-7</v>
      </c>
      <c r="CA29" s="3">
        <f t="shared" si="11"/>
        <v>0.36678196227649995</v>
      </c>
      <c r="CB29" s="3">
        <v>-1.9650320791375631E-7</v>
      </c>
      <c r="CC29" s="3">
        <f t="shared" si="12"/>
        <v>1.0682892336805064E-13</v>
      </c>
      <c r="CD29" s="3">
        <f t="shared" si="13"/>
        <v>-2.9601889671984733E-14</v>
      </c>
      <c r="CE29" s="3">
        <f t="shared" si="14"/>
        <v>1.6665562757589569E-7</v>
      </c>
    </row>
    <row r="30" spans="2:83" x14ac:dyDescent="0.2">
      <c r="B30" s="5" t="s">
        <v>116</v>
      </c>
      <c r="C30" s="5">
        <f>C29*C10/PI()</f>
        <v>0.56665525938438421</v>
      </c>
      <c r="F30" t="s">
        <v>261</v>
      </c>
      <c r="G30" s="9">
        <f>S21*$C$7</f>
        <v>157.07963267948966</v>
      </c>
      <c r="H30" s="5" t="s">
        <v>13</v>
      </c>
      <c r="N30" s="5" t="s">
        <v>46</v>
      </c>
      <c r="O30" s="5">
        <f xml:space="preserve"> 1/$C$73 * LN( EXP($C$73 * O28) + EXP($C$73 * O29) )</f>
        <v>1.1500007993678831</v>
      </c>
      <c r="R30" s="5" t="s">
        <v>46</v>
      </c>
      <c r="S30" s="5">
        <f xml:space="preserve"> 1/$C$73 * LN( EXP($C$73 * S28) + EXP($C$73 * S29) )</f>
        <v>1.1500000000000723</v>
      </c>
      <c r="V30" s="5" t="s">
        <v>46</v>
      </c>
      <c r="W30" s="5">
        <f xml:space="preserve"> 1/$C$73 * LN( EXP($C$73 * W28) + EXP($C$73 * W29) )</f>
        <v>1.1499999999999999</v>
      </c>
      <c r="AB30" s="3">
        <v>26</v>
      </c>
      <c r="AC30" s="3">
        <f>IF(AI29&gt;0, AG29, AC29)</f>
        <v>0.33321084082126617</v>
      </c>
      <c r="AD30" s="3">
        <f t="shared" si="0"/>
        <v>1.4733675668399115E-8</v>
      </c>
      <c r="AE30" s="3">
        <f t="shared" si="16"/>
        <v>0.33321085572242737</v>
      </c>
      <c r="AF30" s="3">
        <f t="shared" si="1"/>
        <v>-8.8306295609186236E-10</v>
      </c>
      <c r="AG30" s="3">
        <f t="shared" si="3"/>
        <v>0.33321084827184677</v>
      </c>
      <c r="AH30" s="3">
        <f t="shared" si="2"/>
        <v>6.9253063839092022E-9</v>
      </c>
      <c r="AI30" s="3">
        <f t="shared" si="4"/>
        <v>1.0203521816481207E-16</v>
      </c>
      <c r="AJ30" s="3">
        <f t="shared" si="5"/>
        <v>-6.1154815272167059E-18</v>
      </c>
      <c r="AK30" s="3">
        <f t="shared" si="6"/>
        <v>1.4901161193847656E-8</v>
      </c>
      <c r="AM30" s="45"/>
      <c r="AN30" s="4">
        <f>0.496013*($AN$9/2)</f>
        <v>0.49601299999999998</v>
      </c>
      <c r="AO30" s="14" t="s">
        <v>11</v>
      </c>
      <c r="AP30"/>
      <c r="AQ30" s="21" t="s">
        <v>218</v>
      </c>
      <c r="AR30" s="45" t="b">
        <f>IF(AR23&lt;0.00001,IF(AR24&lt;0.00001,IF(AR25&lt;0.00001,IF(AR26&lt;0.00001,IF(AR27&lt;0.00001,IF(AR28&lt;0.00001,IF(AR29&lt;0.00001,TRUE,FALSE),FALSE),FALSE),FALSE),FALSE),FALSE),FALSE)</f>
        <v>1</v>
      </c>
      <c r="AS30" s="45"/>
      <c r="AT30"/>
      <c r="AU30" s="44" t="s">
        <v>219</v>
      </c>
      <c r="AV30" s="44"/>
      <c r="AW30" s="44"/>
      <c r="AX30"/>
      <c r="AY30" s="44" t="s">
        <v>220</v>
      </c>
      <c r="AZ30" s="44"/>
      <c r="BA30" s="44"/>
      <c r="BB30"/>
      <c r="BC30" s="3" t="s">
        <v>196</v>
      </c>
      <c r="BD30" s="3">
        <f>IF(BD23=0,1,BD28*BD29)</f>
        <v>0.86982322693836278</v>
      </c>
      <c r="BE30" s="3"/>
      <c r="BF30" s="3"/>
      <c r="BG30" s="3" t="s">
        <v>196</v>
      </c>
      <c r="BH30" s="3">
        <f>IF(BH23=0,1,BH28*BH29)</f>
        <v>0.89150508921522253</v>
      </c>
      <c r="BI30" s="3"/>
      <c r="BJ30"/>
      <c r="BK30" s="3">
        <v>26</v>
      </c>
      <c r="BL30" s="3">
        <f t="shared" si="17"/>
        <v>0.43044407870466861</v>
      </c>
      <c r="BM30" s="3">
        <v>-1.2023493213553227E-7</v>
      </c>
      <c r="BN30" s="3">
        <f t="shared" si="18"/>
        <v>0.43044416203248237</v>
      </c>
      <c r="BO30" s="3">
        <v>3.8987960992997728E-7</v>
      </c>
      <c r="BP30" s="3">
        <f t="shared" si="7"/>
        <v>0.43044412036857549</v>
      </c>
      <c r="BQ30" s="3">
        <v>1.3482235167172618E-7</v>
      </c>
      <c r="BR30" s="3">
        <f t="shared" si="8"/>
        <v>-1.6210356303602864E-14</v>
      </c>
      <c r="BS30" s="3">
        <f t="shared" si="9"/>
        <v>5.2564485879614827E-14</v>
      </c>
      <c r="BT30" s="3">
        <f t="shared" si="10"/>
        <v>8.3327813760192271E-8</v>
      </c>
      <c r="BU30"/>
      <c r="BV30" s="3">
        <v>26</v>
      </c>
      <c r="BW30" s="3">
        <f t="shared" si="19"/>
        <v>0.36678196227649995</v>
      </c>
      <c r="BX30" s="3">
        <v>-1.9650320791375631E-7</v>
      </c>
      <c r="BY30" s="3">
        <f t="shared" si="20"/>
        <v>0.36678204560431371</v>
      </c>
      <c r="BZ30" s="3">
        <v>1.5064328967584473E-7</v>
      </c>
      <c r="CA30" s="3">
        <f t="shared" si="11"/>
        <v>0.36678200394040683</v>
      </c>
      <c r="CB30" s="3">
        <v>-2.2929951479233601E-8</v>
      </c>
      <c r="CC30" s="3">
        <f t="shared" si="12"/>
        <v>4.5058090229761844E-15</v>
      </c>
      <c r="CD30" s="3">
        <f t="shared" si="13"/>
        <v>-3.4542433229392516E-15</v>
      </c>
      <c r="CE30" s="3">
        <f t="shared" si="14"/>
        <v>8.3327813760192271E-8</v>
      </c>
    </row>
    <row r="31" spans="2:83" x14ac:dyDescent="0.2">
      <c r="B31" s="5" t="s">
        <v>256</v>
      </c>
      <c r="C31" s="8">
        <v>0.75</v>
      </c>
      <c r="F31" s="5" t="s">
        <v>262</v>
      </c>
      <c r="G31" s="5">
        <f>G30/$C$67</f>
        <v>0.46143434115755327</v>
      </c>
      <c r="H31" s="5" t="s">
        <v>242</v>
      </c>
      <c r="AB31" s="3">
        <v>27</v>
      </c>
      <c r="AC31" s="3">
        <f t="shared" si="15"/>
        <v>0.33321084827184677</v>
      </c>
      <c r="AD31" s="3">
        <f t="shared" si="0"/>
        <v>6.9253063839092022E-9</v>
      </c>
      <c r="AE31" s="3">
        <f t="shared" si="16"/>
        <v>0.33321085572242737</v>
      </c>
      <c r="AF31" s="3">
        <f t="shared" si="1"/>
        <v>-8.8306295609186236E-10</v>
      </c>
      <c r="AG31" s="3">
        <f t="shared" si="3"/>
        <v>0.33321085199713707</v>
      </c>
      <c r="AH31" s="3">
        <f t="shared" si="2"/>
        <v>3.0211216861530943E-9</v>
      </c>
      <c r="AI31" s="3">
        <f t="shared" si="4"/>
        <v>2.0922193299682557E-17</v>
      </c>
      <c r="AJ31" s="3">
        <f t="shared" si="5"/>
        <v>-2.6678406468875831E-18</v>
      </c>
      <c r="AK31" s="3">
        <f t="shared" si="6"/>
        <v>7.4505805969238281E-9</v>
      </c>
      <c r="AM31" s="45"/>
      <c r="AN31" s="4">
        <f>0.478588*($AN$9/2)</f>
        <v>0.47858800000000001</v>
      </c>
      <c r="AO31" s="14" t="s">
        <v>11</v>
      </c>
      <c r="AP31"/>
      <c r="AQ31"/>
      <c r="AR31"/>
      <c r="AS31"/>
      <c r="AT31"/>
      <c r="AU31" s="3" t="s">
        <v>168</v>
      </c>
      <c r="AV31" s="3">
        <f>$AN$25-$AN$24</f>
        <v>9.8750000000000004E-2</v>
      </c>
      <c r="AW31" s="14" t="s">
        <v>11</v>
      </c>
      <c r="AX31"/>
      <c r="AY31" s="3" t="s">
        <v>168</v>
      </c>
      <c r="AZ31" s="3">
        <f>2*($AN$9/2 - $AN$26)</f>
        <v>9.8749999999999893E-2</v>
      </c>
      <c r="BA31" s="14" t="s">
        <v>11</v>
      </c>
      <c r="BB31"/>
      <c r="BC31" s="3" t="s">
        <v>200</v>
      </c>
      <c r="BD31" s="3">
        <f>IF(BD26&lt;$AW$43, $AR$44*BD26^2 + $AS$44*BD26 + $AT$44, IF(BD26&gt;$AX$43, $AY$44*BD26^2 + $AZ$44*BD26 + $BA$44, $AU$44*BD26^3 + $AV$44*BD26^2 + $AW$44*BD26 + $AX$44))</f>
        <v>0.86077106394629044</v>
      </c>
      <c r="BE31" s="3"/>
      <c r="BF31" s="3"/>
      <c r="BG31" s="3" t="s">
        <v>200</v>
      </c>
      <c r="BH31" s="3">
        <f>IF(BH26&lt;$AW$43, $AR$44*BH26^2 + $AS$44*BH26 + $AT$44, IF(BH26&gt;$AX$43, $AY$44*BH26^2 + $AZ$44*BH26 + $BA$44, $AU$44*BH26^3 + $AV$44*BH26^2 + $AW$44*BH26 + $AX$44))</f>
        <v>0.90710277201535638</v>
      </c>
      <c r="BI31" s="3"/>
      <c r="BJ31"/>
      <c r="BK31" s="3">
        <v>27</v>
      </c>
      <c r="BL31" s="3">
        <f t="shared" si="17"/>
        <v>0.43044407870466861</v>
      </c>
      <c r="BM31" s="3">
        <v>-1.2023493213553227E-7</v>
      </c>
      <c r="BN31" s="3">
        <f t="shared" si="18"/>
        <v>0.43044412036857549</v>
      </c>
      <c r="BO31" s="3">
        <v>1.3482235167172618E-7</v>
      </c>
      <c r="BP31" s="3">
        <f t="shared" si="7"/>
        <v>0.43044409953662205</v>
      </c>
      <c r="BQ31" s="3">
        <v>7.2937129391714706E-9</v>
      </c>
      <c r="BR31" s="3">
        <f t="shared" si="8"/>
        <v>-8.7695908025733532E-16</v>
      </c>
      <c r="BS31" s="3">
        <f t="shared" si="9"/>
        <v>9.8335553087759561E-16</v>
      </c>
      <c r="BT31" s="3">
        <f t="shared" si="10"/>
        <v>4.1663906880096135E-8</v>
      </c>
      <c r="BU31"/>
      <c r="BV31" s="3">
        <v>27</v>
      </c>
      <c r="BW31" s="3">
        <f t="shared" si="19"/>
        <v>0.36678200394040683</v>
      </c>
      <c r="BX31" s="3">
        <v>-2.2929951479233601E-8</v>
      </c>
      <c r="BY31" s="3">
        <f t="shared" si="20"/>
        <v>0.36678204560431371</v>
      </c>
      <c r="BZ31" s="3">
        <v>1.5064328967584473E-7</v>
      </c>
      <c r="CA31" s="3">
        <f t="shared" si="11"/>
        <v>0.36678202477236027</v>
      </c>
      <c r="CB31" s="3">
        <v>6.3856670937112447E-8</v>
      </c>
      <c r="CC31" s="3">
        <f t="shared" si="12"/>
        <v>-1.4642303662133748E-15</v>
      </c>
      <c r="CD31" s="3">
        <f t="shared" si="13"/>
        <v>9.6195789777145258E-15</v>
      </c>
      <c r="CE31" s="3">
        <f t="shared" si="14"/>
        <v>4.1663906880096135E-8</v>
      </c>
    </row>
    <row r="32" spans="2:83" x14ac:dyDescent="0.2">
      <c r="B32" s="5" t="s">
        <v>128</v>
      </c>
      <c r="C32" s="8">
        <v>0.14399999999999999</v>
      </c>
      <c r="F32" s="11" t="s">
        <v>94</v>
      </c>
      <c r="G32" s="5">
        <f xml:space="preserve"> 1/1000 * (S25 + S20 * (S30 * S27 + $C$13 * SIN(S19/180*PI())))</f>
        <v>66.663195381000591</v>
      </c>
      <c r="H32" s="5" t="s">
        <v>81</v>
      </c>
      <c r="AB32" s="3">
        <v>28</v>
      </c>
      <c r="AC32" s="3">
        <f t="shared" si="15"/>
        <v>0.33321085199713707</v>
      </c>
      <c r="AD32" s="3">
        <f t="shared" si="0"/>
        <v>3.0211216861530943E-9</v>
      </c>
      <c r="AE32" s="3">
        <f t="shared" si="16"/>
        <v>0.33321085572242737</v>
      </c>
      <c r="AF32" s="3">
        <f t="shared" si="1"/>
        <v>-8.8306295609186236E-10</v>
      </c>
      <c r="AG32" s="3">
        <f t="shared" si="3"/>
        <v>0.33321085385978222</v>
      </c>
      <c r="AH32" s="3">
        <f t="shared" si="2"/>
        <v>1.069029365030616E-9</v>
      </c>
      <c r="AI32" s="3">
        <f t="shared" si="4"/>
        <v>3.2296677978284662E-18</v>
      </c>
      <c r="AJ32" s="3">
        <f t="shared" si="5"/>
        <v>-9.4402023123294232E-19</v>
      </c>
      <c r="AK32" s="3">
        <f t="shared" si="6"/>
        <v>3.7252902984619141E-9</v>
      </c>
      <c r="AM32" s="45"/>
      <c r="AN32" s="4">
        <f>0.461163*($AN$9/2)</f>
        <v>0.46116299999999999</v>
      </c>
      <c r="AO32" s="14" t="s">
        <v>11</v>
      </c>
      <c r="AP32"/>
      <c r="AQ32"/>
      <c r="AR32"/>
      <c r="AS32"/>
      <c r="AT32"/>
      <c r="AU32" s="3" t="s">
        <v>172</v>
      </c>
      <c r="AV32" s="3">
        <f>(1+$BD$75)*$AN$3</f>
        <v>20.528578819764135</v>
      </c>
      <c r="AW32" s="14" t="s">
        <v>13</v>
      </c>
      <c r="AX32"/>
      <c r="AY32" s="3" t="s">
        <v>172</v>
      </c>
      <c r="AZ32" s="3">
        <f>(1+$BH$75)*$AN$3</f>
        <v>23.383772198420957</v>
      </c>
      <c r="BA32" s="14" t="s">
        <v>13</v>
      </c>
      <c r="BB32"/>
      <c r="BC32" s="3" t="s">
        <v>201</v>
      </c>
      <c r="BD32" s="3">
        <f>IF(BD26&lt;$AW$43, $AR$45*BD26^2 + $AS$45*BD26 + $AT$45, IF(BD26&gt;$AX$43, $AY$45*BD26^2 + $AZ$45*BD26 + $BA$45, $AU$45*BD26^3 + $AV$45*BD26^2 + $AW$45*BD26 + $AX$45))</f>
        <v>5.297692702565155E-3</v>
      </c>
      <c r="BE32" s="3"/>
      <c r="BF32" s="3"/>
      <c r="BG32" s="3" t="s">
        <v>201</v>
      </c>
      <c r="BH32" s="3">
        <f>IF(BH26&lt;$AW$43, $AR$45*BH26^2 + $AS$45*BH26 + $AT$45, IF(BH26&gt;$AX$43, $AY$45*BH26^2 + $AZ$45*BH26 + $BA$45, $AU$45*BH26^3 + $AV$45*BH26^2 + $AW$45*BH26 + $AX$45))</f>
        <v>6.1035456603418508E-3</v>
      </c>
      <c r="BI32" s="3"/>
      <c r="BJ32"/>
      <c r="BK32" s="3">
        <v>28</v>
      </c>
      <c r="BL32" s="3">
        <f t="shared" si="17"/>
        <v>0.43044407870466861</v>
      </c>
      <c r="BM32" s="3">
        <v>-1.2023493213553227E-7</v>
      </c>
      <c r="BN32" s="3">
        <f t="shared" si="18"/>
        <v>0.43044409953662205</v>
      </c>
      <c r="BO32" s="3">
        <v>7.2937129391714706E-9</v>
      </c>
      <c r="BP32" s="3">
        <f t="shared" si="7"/>
        <v>0.43044408912064536</v>
      </c>
      <c r="BQ32" s="3">
        <v>-5.6470608758574237E-8</v>
      </c>
      <c r="BR32" s="3">
        <f t="shared" si="8"/>
        <v>6.7897398117393671E-15</v>
      </c>
      <c r="BS32" s="3">
        <f t="shared" si="9"/>
        <v>-4.118804097853027E-16</v>
      </c>
      <c r="BT32" s="3">
        <f t="shared" si="10"/>
        <v>2.0831953440048068E-8</v>
      </c>
      <c r="BU32"/>
      <c r="BV32" s="3">
        <v>28</v>
      </c>
      <c r="BW32" s="3">
        <f t="shared" si="19"/>
        <v>0.36678200394040683</v>
      </c>
      <c r="BX32" s="3">
        <v>-2.2929951479233601E-8</v>
      </c>
      <c r="BY32" s="3">
        <f t="shared" si="20"/>
        <v>0.36678202477236027</v>
      </c>
      <c r="BZ32" s="3">
        <v>6.3856670937112447E-8</v>
      </c>
      <c r="CA32" s="3">
        <f t="shared" si="11"/>
        <v>0.36678201435638358</v>
      </c>
      <c r="CB32" s="3">
        <v>2.0463360395073238E-8</v>
      </c>
      <c r="CC32" s="3">
        <f t="shared" si="12"/>
        <v>-4.6922386096109986E-16</v>
      </c>
      <c r="CD32" s="3">
        <f t="shared" si="13"/>
        <v>1.3067220710157311E-15</v>
      </c>
      <c r="CE32" s="3">
        <f t="shared" si="14"/>
        <v>2.0831953440048068E-8</v>
      </c>
    </row>
    <row r="33" spans="2:83" x14ac:dyDescent="0.2">
      <c r="F33" s="36" t="s">
        <v>125</v>
      </c>
      <c r="G33" s="34">
        <f xml:space="preserve"> $C$28 * G32</f>
        <v>66.663195381000591</v>
      </c>
      <c r="H33" s="34" t="s">
        <v>81</v>
      </c>
      <c r="N33" s="42" t="s">
        <v>243</v>
      </c>
      <c r="O33" s="42"/>
      <c r="P33" s="42"/>
      <c r="Q33" s="42"/>
      <c r="R33" s="3"/>
      <c r="S33" s="3"/>
      <c r="T33" s="3"/>
      <c r="U33" s="3"/>
      <c r="V33" s="3"/>
      <c r="W33" s="3"/>
      <c r="AB33" s="3">
        <v>29</v>
      </c>
      <c r="AC33" s="3">
        <f t="shared" si="15"/>
        <v>0.33321085385978222</v>
      </c>
      <c r="AD33" s="3">
        <f t="shared" si="0"/>
        <v>1.069029365030616E-9</v>
      </c>
      <c r="AE33" s="3">
        <f t="shared" si="16"/>
        <v>0.33321085572242737</v>
      </c>
      <c r="AF33" s="3">
        <f t="shared" si="1"/>
        <v>-8.8306295609186236E-10</v>
      </c>
      <c r="AG33" s="3">
        <f t="shared" si="3"/>
        <v>0.33321085479110479</v>
      </c>
      <c r="AH33" s="3">
        <f t="shared" si="2"/>
        <v>9.2983232224952417E-11</v>
      </c>
      <c r="AI33" s="3">
        <f t="shared" si="4"/>
        <v>9.9401805703935191E-20</v>
      </c>
      <c r="AJ33" s="3">
        <f t="shared" si="5"/>
        <v>-8.2110047915542597E-20</v>
      </c>
      <c r="AK33" s="3">
        <f t="shared" si="6"/>
        <v>1.862645149230957E-9</v>
      </c>
      <c r="AM33" s="45"/>
      <c r="AN33" s="4">
        <f>0.443738*($AN$9/2)</f>
        <v>0.44373800000000002</v>
      </c>
      <c r="AO33" s="14" t="s">
        <v>11</v>
      </c>
      <c r="AP33"/>
      <c r="AQ33"/>
      <c r="AR33"/>
      <c r="AS33"/>
      <c r="AT33"/>
      <c r="AU33" s="3" t="s">
        <v>176</v>
      </c>
      <c r="AV33" s="3">
        <f>(1-$BD$76)*$AR$5*$AN$25</f>
        <v>86.555843296094253</v>
      </c>
      <c r="AW33" s="14" t="s">
        <v>13</v>
      </c>
      <c r="AX33"/>
      <c r="AY33" s="3" t="s">
        <v>176</v>
      </c>
      <c r="AZ33" s="3">
        <f>(1-$BH$76)*$AR$5*$AN$26</f>
        <v>96.291620569189689</v>
      </c>
      <c r="BA33" s="14" t="s">
        <v>13</v>
      </c>
      <c r="BB33"/>
      <c r="BC33" s="3" t="s">
        <v>203</v>
      </c>
      <c r="BD33" s="3">
        <f xml:space="preserve"> BD31*COS(BD23) - BD32*SIN(BD23)</f>
        <v>0.81449742134182523</v>
      </c>
      <c r="BE33" s="3"/>
      <c r="BF33"/>
      <c r="BG33" s="3" t="s">
        <v>203</v>
      </c>
      <c r="BH33" s="3">
        <f xml:space="preserve"> BH31*COS(BH23) - BH32*SIN(BH23)</f>
        <v>0.86748141724671302</v>
      </c>
      <c r="BI33" s="3"/>
      <c r="BJ33"/>
      <c r="BK33" s="3">
        <v>29</v>
      </c>
      <c r="BL33" s="3">
        <f t="shared" si="17"/>
        <v>0.43044408912064536</v>
      </c>
      <c r="BM33" s="3">
        <v>-5.6470608758574237E-8</v>
      </c>
      <c r="BN33" s="3">
        <f t="shared" si="18"/>
        <v>0.43044409953662205</v>
      </c>
      <c r="BO33" s="3">
        <v>7.2937129391714706E-9</v>
      </c>
      <c r="BP33" s="3">
        <f t="shared" si="7"/>
        <v>0.43044409432863373</v>
      </c>
      <c r="BQ33" s="3">
        <v>-2.4588447597451157E-8</v>
      </c>
      <c r="BR33" s="3">
        <f t="shared" si="8"/>
        <v>1.3885246042563689E-15</v>
      </c>
      <c r="BS33" s="3">
        <f t="shared" si="9"/>
        <v>-1.7934107839566917E-16</v>
      </c>
      <c r="BT33" s="3">
        <f t="shared" si="10"/>
        <v>1.0415976692268458E-8</v>
      </c>
      <c r="BU33"/>
      <c r="BV33" s="3">
        <v>29</v>
      </c>
      <c r="BW33" s="3">
        <f t="shared" si="19"/>
        <v>0.36678200394040683</v>
      </c>
      <c r="BX33" s="3">
        <v>-2.2929951479233601E-8</v>
      </c>
      <c r="BY33" s="3">
        <f t="shared" si="20"/>
        <v>0.36678201435638358</v>
      </c>
      <c r="BZ33" s="3">
        <v>2.0463360395073238E-8</v>
      </c>
      <c r="CA33" s="3">
        <f t="shared" si="11"/>
        <v>0.3667820091483952</v>
      </c>
      <c r="CB33" s="3">
        <v>-1.2332954796301365E-9</v>
      </c>
      <c r="CC33" s="3">
        <f t="shared" si="12"/>
        <v>2.8279405507477163E-17</v>
      </c>
      <c r="CD33" s="3">
        <f t="shared" si="13"/>
        <v>-2.5237369873286188E-17</v>
      </c>
      <c r="CE33" s="3">
        <f t="shared" si="14"/>
        <v>1.0415976747779609E-8</v>
      </c>
    </row>
    <row r="34" spans="2:83" x14ac:dyDescent="0.2">
      <c r="B34" s="51" t="s">
        <v>129</v>
      </c>
      <c r="C34" s="51"/>
      <c r="D34" s="51"/>
      <c r="N34" s="7" t="s">
        <v>54</v>
      </c>
      <c r="O34" s="7" t="s">
        <v>55</v>
      </c>
      <c r="P34" s="7" t="s">
        <v>56</v>
      </c>
      <c r="Q34" s="7" t="s">
        <v>57</v>
      </c>
      <c r="R34" s="7" t="s">
        <v>58</v>
      </c>
      <c r="S34" s="7" t="s">
        <v>59</v>
      </c>
      <c r="T34" s="7" t="s">
        <v>60</v>
      </c>
      <c r="U34" s="7" t="s">
        <v>61</v>
      </c>
      <c r="V34" s="7" t="s">
        <v>62</v>
      </c>
      <c r="W34" s="7" t="s">
        <v>63</v>
      </c>
      <c r="AB34" s="3">
        <v>30</v>
      </c>
      <c r="AC34" s="3">
        <f t="shared" si="15"/>
        <v>0.33321085479110479</v>
      </c>
      <c r="AD34" s="3">
        <f t="shared" si="0"/>
        <v>9.2983232224952417E-11</v>
      </c>
      <c r="AE34" s="3">
        <f t="shared" si="16"/>
        <v>0.33321085572242737</v>
      </c>
      <c r="AF34" s="3">
        <f t="shared" si="1"/>
        <v>-8.8306295609186236E-10</v>
      </c>
      <c r="AG34" s="3">
        <f t="shared" si="3"/>
        <v>0.33321085525676608</v>
      </c>
      <c r="AH34" s="3">
        <f t="shared" si="2"/>
        <v>-3.9503983417787936E-10</v>
      </c>
      <c r="AI34" s="3">
        <f t="shared" si="4"/>
        <v>-3.6732080639468451E-20</v>
      </c>
      <c r="AJ34" s="3">
        <f t="shared" si="5"/>
        <v>3.4884504374315727E-19</v>
      </c>
      <c r="AK34" s="3">
        <f t="shared" si="6"/>
        <v>9.3132257461547852E-10</v>
      </c>
      <c r="AM34" s="45"/>
      <c r="AN34" s="4">
        <f>0.426313*($AN$9/2)</f>
        <v>0.426313</v>
      </c>
      <c r="AO34" s="14" t="s">
        <v>11</v>
      </c>
      <c r="AP34"/>
      <c r="AQ34"/>
      <c r="AR34"/>
      <c r="AS34"/>
      <c r="AT34"/>
      <c r="AU34" s="3" t="s">
        <v>179</v>
      </c>
      <c r="AV34" s="3">
        <f>SQRT(AV32^2 + AV33^2)</f>
        <v>88.956936531432405</v>
      </c>
      <c r="AW34" s="14" t="s">
        <v>13</v>
      </c>
      <c r="AX34"/>
      <c r="AY34" s="3" t="s">
        <v>179</v>
      </c>
      <c r="AZ34" s="3">
        <f>SQRT(AZ32^2 + AZ33^2)</f>
        <v>99.090246715145682</v>
      </c>
      <c r="BA34" s="14" t="s">
        <v>13</v>
      </c>
      <c r="BB34"/>
      <c r="BC34" s="3" t="s">
        <v>205</v>
      </c>
      <c r="BD34" s="3">
        <f xml:space="preserve"> BD31*SIN(BD23) + BD32*COS(BD23)</f>
        <v>0.27847592481705985</v>
      </c>
      <c r="BE34" s="3"/>
      <c r="BF34"/>
      <c r="BG34" s="3" t="s">
        <v>205</v>
      </c>
      <c r="BH34" s="3">
        <f xml:space="preserve"> BH31*SIN(BH23) + BH32*COS(BH23)</f>
        <v>0.26523326148732845</v>
      </c>
      <c r="BI34" s="3"/>
      <c r="BJ34"/>
      <c r="BK34" s="3">
        <v>30</v>
      </c>
      <c r="BL34" s="3">
        <f t="shared" si="17"/>
        <v>0.43044409432863373</v>
      </c>
      <c r="BM34" s="3">
        <v>-2.4588447597451157E-8</v>
      </c>
      <c r="BN34" s="3">
        <f t="shared" si="18"/>
        <v>0.43044409953662205</v>
      </c>
      <c r="BO34" s="3">
        <v>7.2937129391714706E-9</v>
      </c>
      <c r="BP34" s="13">
        <f t="shared" si="7"/>
        <v>0.43044409693262786</v>
      </c>
      <c r="BQ34" s="3">
        <v>-8.6473674054676763E-9</v>
      </c>
      <c r="BR34" s="3">
        <f t="shared" si="8"/>
        <v>2.1262534030524913E-16</v>
      </c>
      <c r="BS34" s="3">
        <f t="shared" si="9"/>
        <v>-6.3071415535029217E-17</v>
      </c>
      <c r="BT34" s="3">
        <f t="shared" si="10"/>
        <v>5.2079883183786535E-9</v>
      </c>
      <c r="BU34"/>
      <c r="BV34" s="3">
        <v>30</v>
      </c>
      <c r="BW34" s="3">
        <f t="shared" si="19"/>
        <v>0.3667820091483952</v>
      </c>
      <c r="BX34" s="3">
        <v>-1.2332954796301365E-9</v>
      </c>
      <c r="BY34" s="3">
        <f t="shared" si="20"/>
        <v>0.36678201435638358</v>
      </c>
      <c r="BZ34" s="3">
        <v>2.0463360395073238E-8</v>
      </c>
      <c r="CA34" s="13">
        <f t="shared" si="11"/>
        <v>0.36678201175238939</v>
      </c>
      <c r="CB34" s="3">
        <v>9.6150325201715958E-9</v>
      </c>
      <c r="CC34" s="3">
        <f t="shared" si="12"/>
        <v>-1.1858176143624389E-17</v>
      </c>
      <c r="CD34" s="3">
        <f t="shared" si="13"/>
        <v>1.9675587567062066E-16</v>
      </c>
      <c r="CE34" s="3">
        <f t="shared" si="14"/>
        <v>5.2079883738898047E-9</v>
      </c>
    </row>
    <row r="35" spans="2:83" x14ac:dyDescent="0.2">
      <c r="B35" s="5" t="s">
        <v>130</v>
      </c>
      <c r="C35" s="8">
        <v>4</v>
      </c>
      <c r="F35" s="49" t="s">
        <v>101</v>
      </c>
      <c r="G35" s="50"/>
      <c r="H35" s="50"/>
      <c r="N35" s="3">
        <v>0</v>
      </c>
      <c r="O35" s="3"/>
      <c r="P35" s="3">
        <f>$G$11</f>
        <v>-2.2255360363487853E-6</v>
      </c>
      <c r="Q35" s="3"/>
      <c r="R35" s="3">
        <f>$G$11</f>
        <v>-2.2255360363487853E-6</v>
      </c>
      <c r="S35" s="3"/>
      <c r="T35" s="3">
        <f>$G$11</f>
        <v>-2.2255360363487853E-6</v>
      </c>
      <c r="U35" s="3"/>
      <c r="V35" s="3"/>
      <c r="W35" s="3"/>
      <c r="AM35" s="45" t="s">
        <v>221</v>
      </c>
      <c r="AN35" s="4">
        <v>7.359375</v>
      </c>
      <c r="AO35" s="14" t="s">
        <v>53</v>
      </c>
      <c r="AP35"/>
      <c r="AQ35"/>
      <c r="AR35"/>
      <c r="AS35"/>
      <c r="AT35"/>
      <c r="AU35" s="3" t="s">
        <v>182</v>
      </c>
      <c r="AV35" s="19">
        <f>$AN$45*AV34*$AN$27/$AN$46</f>
        <v>3339042.9207674791</v>
      </c>
      <c r="AW35" s="14"/>
      <c r="AX35"/>
      <c r="AY35" s="3" t="s">
        <v>182</v>
      </c>
      <c r="AZ35" s="19">
        <f>$AN$45*AZ34*$AN$27/$AN$46</f>
        <v>3719401.7657566294</v>
      </c>
      <c r="BA35" s="14"/>
      <c r="BB35"/>
      <c r="BC35" s="3" t="s">
        <v>46</v>
      </c>
      <c r="BD35" s="3">
        <f xml:space="preserve"> 4*BD30*SIN(BD23)*SIN(BD23) / (BD27*BD33)</f>
        <v>1.2051734426213077</v>
      </c>
      <c r="BE35" s="3"/>
      <c r="BF35"/>
      <c r="BG35" s="3" t="s">
        <v>46</v>
      </c>
      <c r="BH35" s="3">
        <f xml:space="preserve"> 4*BH30*SIN(BH23)*SIN(BH23) / (BH27*BH33)</f>
        <v>1.1828713533463491</v>
      </c>
      <c r="BI35" s="3"/>
      <c r="BJ35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/>
      <c r="BV35"/>
      <c r="BW35"/>
      <c r="BX35"/>
      <c r="BY35"/>
      <c r="BZ35"/>
      <c r="CA35"/>
      <c r="CB35"/>
      <c r="CC35"/>
      <c r="CD35"/>
      <c r="CE35"/>
    </row>
    <row r="36" spans="2:83" x14ac:dyDescent="0.2">
      <c r="B36" s="5" t="s">
        <v>131</v>
      </c>
      <c r="C36" s="8">
        <v>9</v>
      </c>
      <c r="D36" s="5" t="s">
        <v>11</v>
      </c>
      <c r="F36" s="11" t="s">
        <v>87</v>
      </c>
      <c r="G36" s="8">
        <f>$C$13</f>
        <v>50</v>
      </c>
      <c r="H36" s="5" t="s">
        <v>13</v>
      </c>
      <c r="N36" s="3">
        <v>1</v>
      </c>
      <c r="O36" s="4">
        <v>500</v>
      </c>
      <c r="P36" s="3">
        <f t="dataTable" ref="P36:P65" dt2D="0" dtr="0" r1="C6" ca="1"/>
        <v>1051.9930450019779</v>
      </c>
      <c r="Q36" s="4">
        <v>3000</v>
      </c>
      <c r="R36" s="3">
        <f t="dataTable" ref="R36:R65" dt2D="0" dtr="0" r1="C6" ca="1"/>
        <v>-10617.027611490787</v>
      </c>
      <c r="S36" s="3">
        <f t="shared" ref="S36:S65" si="21">(O36+Q36)/2</f>
        <v>1750</v>
      </c>
      <c r="T36" s="3">
        <f t="dataTable" ref="T36:T65" dt2D="0" dtr="0" r1="C6" ca="1"/>
        <v>-2698.7635945849806</v>
      </c>
      <c r="U36" s="3">
        <f t="shared" ref="U36:U65" si="22">P36*T36</f>
        <v>-2839080.5316079371</v>
      </c>
      <c r="V36" s="3">
        <f t="shared" ref="V36:V65" si="23">R36*T36</f>
        <v>28652847.600594867</v>
      </c>
      <c r="W36" s="3">
        <f t="shared" ref="W36:W65" si="24">Q36-O36</f>
        <v>2500</v>
      </c>
      <c r="AM36" s="45"/>
      <c r="AN36" s="4">
        <v>5.8781249999999998</v>
      </c>
      <c r="AO36" s="14" t="s">
        <v>53</v>
      </c>
      <c r="AP36"/>
      <c r="AQ36"/>
      <c r="AR36"/>
      <c r="AS36"/>
      <c r="AT36"/>
      <c r="AU36" s="3" t="s">
        <v>186</v>
      </c>
      <c r="AV36" s="18">
        <f xml:space="preserve"> $BD$65 * PI() * $AN$45 * AV34^2 * $BD$71 * $AN$25 * AV31</f>
        <v>320.9971350550552</v>
      </c>
      <c r="AW36" s="14" t="s">
        <v>27</v>
      </c>
      <c r="AX36"/>
      <c r="AY36" s="3" t="s">
        <v>186</v>
      </c>
      <c r="AZ36" s="18">
        <f xml:space="preserve"> $BH$65 * PI() * $AN$45 * AZ34^2 * $BH$71 * $AN$26 * AZ31</f>
        <v>279.99133101714369</v>
      </c>
      <c r="BA36" s="14" t="s">
        <v>27</v>
      </c>
      <c r="BB36"/>
      <c r="BC36" s="3" t="s">
        <v>207</v>
      </c>
      <c r="BD36" s="3">
        <f xml:space="preserve"> 4*BD30*SIN(BD23)*COS(BD23) / (BD27*BD34)</f>
        <v>10.520965861873423</v>
      </c>
      <c r="BE36" s="3"/>
      <c r="BF36"/>
      <c r="BG36" s="3" t="s">
        <v>207</v>
      </c>
      <c r="BH36" s="3">
        <f xml:space="preserve"> 4*BH30*SIN(BH23)*COS(BH23) / (BH27*BH34)</f>
        <v>12.964585573169307</v>
      </c>
      <c r="BI36" s="3"/>
      <c r="BJ36"/>
      <c r="BK36" s="41" t="s">
        <v>222</v>
      </c>
      <c r="BL36" s="41"/>
      <c r="BM36" s="41"/>
      <c r="BN36" s="41"/>
      <c r="BO36" s="41"/>
      <c r="BP36" s="41"/>
      <c r="BQ36" s="41"/>
      <c r="BR36" s="41"/>
      <c r="BS36" s="41"/>
      <c r="BT36" s="41"/>
      <c r="BU36"/>
      <c r="BV36" s="41" t="s">
        <v>223</v>
      </c>
      <c r="BW36" s="41"/>
      <c r="BX36" s="41"/>
      <c r="BY36" s="41"/>
      <c r="BZ36" s="41"/>
      <c r="CA36" s="41"/>
      <c r="CB36" s="41"/>
      <c r="CC36" s="41"/>
      <c r="CD36" s="41"/>
      <c r="CE36" s="41"/>
    </row>
    <row r="37" spans="2:83" x14ac:dyDescent="0.2">
      <c r="B37" s="5" t="s">
        <v>132</v>
      </c>
      <c r="C37" s="8">
        <v>1.8</v>
      </c>
      <c r="D37" s="5" t="s">
        <v>11</v>
      </c>
      <c r="F37" s="5" t="s">
        <v>88</v>
      </c>
      <c r="G37" s="8">
        <v>1.524</v>
      </c>
      <c r="H37" s="5" t="s">
        <v>13</v>
      </c>
      <c r="N37" s="3">
        <v>2</v>
      </c>
      <c r="O37" s="3">
        <f t="shared" ref="O37:O65" si="25">IF(U36&gt;0, S36, O36)</f>
        <v>500</v>
      </c>
      <c r="P37" s="3">
        <v>1051.9930450019779</v>
      </c>
      <c r="Q37" s="3">
        <f t="shared" ref="Q37:Q65" si="26">IF(V36&gt;0, S36, Q36)</f>
        <v>1750</v>
      </c>
      <c r="R37" s="3">
        <v>-2698.7635945849806</v>
      </c>
      <c r="S37" s="3">
        <f t="shared" si="21"/>
        <v>1125</v>
      </c>
      <c r="T37" s="3">
        <v>-302.44685262664643</v>
      </c>
      <c r="U37" s="3">
        <f t="shared" si="22"/>
        <v>-318171.9854459702</v>
      </c>
      <c r="V37" s="3">
        <f t="shared" si="23"/>
        <v>816232.55516560224</v>
      </c>
      <c r="W37" s="3">
        <f t="shared" si="24"/>
        <v>1250</v>
      </c>
      <c r="AB37" s="6" t="s">
        <v>106</v>
      </c>
      <c r="AM37" s="45"/>
      <c r="AN37" s="4">
        <v>4.3968749999999996</v>
      </c>
      <c r="AO37" s="14" t="s">
        <v>53</v>
      </c>
      <c r="AP37"/>
      <c r="AQ37"/>
      <c r="AR37"/>
      <c r="AS37"/>
      <c r="AT37"/>
      <c r="AU37" s="3" t="s">
        <v>190</v>
      </c>
      <c r="AV37" s="18">
        <f xml:space="preserve"> $BD$65 * PI() * $AN$45 * AV34^2 * $BD$72 * $AN$25^2 * AV31</f>
        <v>66.399570878337599</v>
      </c>
      <c r="AW37" s="14" t="s">
        <v>191</v>
      </c>
      <c r="AX37"/>
      <c r="AY37" s="3" t="s">
        <v>190</v>
      </c>
      <c r="AZ37" s="18">
        <f xml:space="preserve"> $BH$65 * PI() * $AN$45 * AZ34^2 * $BH$72 * $AN$26^2 * AZ31</f>
        <v>66.047106215890366</v>
      </c>
      <c r="BA37" s="14" t="s">
        <v>191</v>
      </c>
      <c r="BB37"/>
      <c r="BC37" s="3" t="s">
        <v>55</v>
      </c>
      <c r="BD37" s="3">
        <f>1/(BD35-1)</f>
        <v>4.8739251397449044</v>
      </c>
      <c r="BE37" s="3"/>
      <c r="BF37"/>
      <c r="BG37" s="3" t="s">
        <v>55</v>
      </c>
      <c r="BH37" s="3">
        <f>1/(BH35-1)</f>
        <v>5.4683250367051786</v>
      </c>
      <c r="BI37" s="3"/>
      <c r="BJ37"/>
      <c r="BK37" s="7" t="s">
        <v>54</v>
      </c>
      <c r="BL37" s="7" t="s">
        <v>55</v>
      </c>
      <c r="BM37" s="7" t="s">
        <v>56</v>
      </c>
      <c r="BN37" s="7" t="s">
        <v>57</v>
      </c>
      <c r="BO37" s="7" t="s">
        <v>58</v>
      </c>
      <c r="BP37" s="7" t="s">
        <v>59</v>
      </c>
      <c r="BQ37" s="7" t="s">
        <v>60</v>
      </c>
      <c r="BR37" s="7" t="s">
        <v>61</v>
      </c>
      <c r="BS37" s="7" t="s">
        <v>62</v>
      </c>
      <c r="BT37" s="7" t="s">
        <v>63</v>
      </c>
      <c r="BU37"/>
      <c r="BV37" s="7" t="s">
        <v>54</v>
      </c>
      <c r="BW37" s="7" t="s">
        <v>55</v>
      </c>
      <c r="BX37" s="7" t="s">
        <v>56</v>
      </c>
      <c r="BY37" s="7" t="s">
        <v>57</v>
      </c>
      <c r="BZ37" s="7" t="s">
        <v>58</v>
      </c>
      <c r="CA37" s="7" t="s">
        <v>59</v>
      </c>
      <c r="CB37" s="7" t="s">
        <v>60</v>
      </c>
      <c r="CC37" s="7" t="s">
        <v>61</v>
      </c>
      <c r="CD37" s="7" t="s">
        <v>62</v>
      </c>
      <c r="CE37" s="7" t="s">
        <v>63</v>
      </c>
    </row>
    <row r="38" spans="2:83" x14ac:dyDescent="0.2">
      <c r="F38" s="5" t="s">
        <v>89</v>
      </c>
      <c r="G38" s="8">
        <v>304.8</v>
      </c>
      <c r="H38" s="5" t="s">
        <v>11</v>
      </c>
      <c r="N38" s="3">
        <v>3</v>
      </c>
      <c r="O38" s="3">
        <f t="shared" si="25"/>
        <v>500</v>
      </c>
      <c r="P38" s="3">
        <v>1051.9930450019779</v>
      </c>
      <c r="Q38" s="3">
        <f t="shared" si="26"/>
        <v>1125</v>
      </c>
      <c r="R38" s="3">
        <v>-302.44685262664643</v>
      </c>
      <c r="S38" s="3">
        <f t="shared" si="21"/>
        <v>812.5</v>
      </c>
      <c r="T38" s="3">
        <v>505.00770172887928</v>
      </c>
      <c r="U38" s="3">
        <f t="shared" si="22"/>
        <v>531264.58989121427</v>
      </c>
      <c r="V38" s="3">
        <f t="shared" si="23"/>
        <v>-152737.98994011577</v>
      </c>
      <c r="W38" s="3">
        <f t="shared" si="24"/>
        <v>625</v>
      </c>
      <c r="AB38" s="7" t="s">
        <v>54</v>
      </c>
      <c r="AC38" s="7" t="s">
        <v>55</v>
      </c>
      <c r="AD38" s="7" t="s">
        <v>56</v>
      </c>
      <c r="AE38" s="7" t="s">
        <v>57</v>
      </c>
      <c r="AF38" s="7" t="s">
        <v>58</v>
      </c>
      <c r="AG38" s="7" t="s">
        <v>59</v>
      </c>
      <c r="AH38" s="7" t="s">
        <v>60</v>
      </c>
      <c r="AI38" s="7" t="s">
        <v>61</v>
      </c>
      <c r="AJ38" s="7" t="s">
        <v>62</v>
      </c>
      <c r="AK38" s="7" t="s">
        <v>63</v>
      </c>
      <c r="AM38" s="45"/>
      <c r="AN38" s="4">
        <v>2.9156249999999999</v>
      </c>
      <c r="AO38" s="14" t="s">
        <v>53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3" t="s">
        <v>210</v>
      </c>
      <c r="BD38" s="3">
        <f>1/(BD36+1)</f>
        <v>8.6798278198993828E-2</v>
      </c>
      <c r="BE38" s="3"/>
      <c r="BF38"/>
      <c r="BG38" s="3" t="s">
        <v>210</v>
      </c>
      <c r="BH38" s="3">
        <f>1/(BH36+1)</f>
        <v>7.1609715502144095E-2</v>
      </c>
      <c r="BI38" s="3"/>
      <c r="BJ38"/>
      <c r="BK38" s="17">
        <v>0</v>
      </c>
      <c r="BL38" s="17"/>
      <c r="BM38" s="17">
        <f>$BD$39</f>
        <v>3.3414316938373823E-9</v>
      </c>
      <c r="BN38" s="17"/>
      <c r="BO38" s="17">
        <f>$BD$39</f>
        <v>3.3414316938373823E-9</v>
      </c>
      <c r="BP38" s="17"/>
      <c r="BQ38" s="17">
        <f>$BD$39</f>
        <v>3.3414316938373823E-9</v>
      </c>
      <c r="BR38" s="17"/>
      <c r="BS38" s="17"/>
      <c r="BT38" s="17"/>
      <c r="BU38"/>
      <c r="BV38" s="17">
        <v>0</v>
      </c>
      <c r="BW38" s="17"/>
      <c r="BX38" s="17">
        <f>$BH$39</f>
        <v>-8.3362717284707344E-9</v>
      </c>
      <c r="BY38" s="17"/>
      <c r="BZ38" s="17">
        <f>$BH$39</f>
        <v>-8.3362717284707344E-9</v>
      </c>
      <c r="CA38" s="17"/>
      <c r="CB38" s="17">
        <f>$BH$39</f>
        <v>-8.3362717284707344E-9</v>
      </c>
      <c r="CC38" s="17"/>
      <c r="CD38" s="17"/>
      <c r="CE38" s="17"/>
    </row>
    <row r="39" spans="2:83" x14ac:dyDescent="0.2">
      <c r="B39" s="51" t="s">
        <v>133</v>
      </c>
      <c r="C39" s="51"/>
      <c r="D39" s="51"/>
      <c r="F39" s="5" t="s">
        <v>104</v>
      </c>
      <c r="G39" s="5">
        <f>$G$38/$G$37</f>
        <v>200</v>
      </c>
      <c r="H39" s="5" t="s">
        <v>18</v>
      </c>
      <c r="N39" s="3">
        <v>4</v>
      </c>
      <c r="O39" s="3">
        <f t="shared" si="25"/>
        <v>812.5</v>
      </c>
      <c r="P39" s="3">
        <v>505.00770172887928</v>
      </c>
      <c r="Q39" s="3">
        <f t="shared" si="26"/>
        <v>1125</v>
      </c>
      <c r="R39" s="3">
        <v>-302.44685262664643</v>
      </c>
      <c r="S39" s="3">
        <f t="shared" si="21"/>
        <v>968.75</v>
      </c>
      <c r="T39" s="3">
        <v>133.83907593641993</v>
      </c>
      <c r="U39" s="3">
        <f t="shared" si="22"/>
        <v>67589.76414016838</v>
      </c>
      <c r="V39" s="3">
        <f t="shared" si="23"/>
        <v>-40479.20727542894</v>
      </c>
      <c r="W39" s="3">
        <f t="shared" si="24"/>
        <v>312.5</v>
      </c>
      <c r="AB39" s="3">
        <v>0</v>
      </c>
      <c r="AC39" s="4">
        <v>0</v>
      </c>
      <c r="AD39" s="3">
        <f t="shared" ref="AD39:AD69" si="27" xml:space="preserve"> $O$22 * TAN($O$19/180*PI()) + $O$23 / (2 * SQRT($O$22^2 + AC39^2)) - AC39</f>
        <v>0.62588049807656543</v>
      </c>
      <c r="AE39" s="4">
        <v>1</v>
      </c>
      <c r="AF39" s="3">
        <f t="shared" ref="AF39:AF69" si="28" xml:space="preserve"> $O$22 * TAN($O$19/180*PI()) + $O$23 / (2 * SQRT($O$22^2 + AE39^2)) - AE39</f>
        <v>-0.674338281790543</v>
      </c>
      <c r="AG39" s="3">
        <f xml:space="preserve"> (AC39 + AE39)/2</f>
        <v>0.5</v>
      </c>
      <c r="AH39" s="3">
        <f t="shared" ref="AH39:AH69" si="29" xml:space="preserve"> $O$22 * TAN($O$19/180*PI()) + $O$23 / (2 * SQRT($O$22^2 + AG39^2)) - AG39</f>
        <v>-0.16579490693912935</v>
      </c>
      <c r="AI39" s="3">
        <f>AD39*AH39</f>
        <v>-0.10376779893362009</v>
      </c>
      <c r="AJ39" s="3">
        <f>AF39*AH39</f>
        <v>0.11180185267495546</v>
      </c>
      <c r="AK39" s="3">
        <f>AE39-AC39</f>
        <v>1</v>
      </c>
      <c r="AM39" s="45"/>
      <c r="AN39" s="4">
        <v>1.434375</v>
      </c>
      <c r="AO39" s="14" t="s">
        <v>53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7" t="s">
        <v>212</v>
      </c>
      <c r="BD39" s="23">
        <f>SIN(BD23)/(1+BD37) - $AN$3*COS(BD23)/($AR$5*$AN$21*(1-BD38))</f>
        <v>3.3414316938373823E-9</v>
      </c>
      <c r="BE39" s="23"/>
      <c r="BF39"/>
      <c r="BG39" s="7" t="s">
        <v>212</v>
      </c>
      <c r="BH39" s="23">
        <f>SIN(BH23)/(1+BH37) - $AN$3*COS(BH23)/($AR$5*$AN$22*(1-BH38))</f>
        <v>-8.3362717284707344E-9</v>
      </c>
      <c r="BI39" s="23"/>
      <c r="BJ39"/>
      <c r="BK39" s="3">
        <v>1</v>
      </c>
      <c r="BL39" s="4">
        <f>0.01*PI()</f>
        <v>3.1415926535897934E-2</v>
      </c>
      <c r="BM39" s="3">
        <f t="dataTable" ref="BM39:BM68" dt2D="0" dtr="0" r1="BD23" ca="1"/>
        <v>-2.5862340225962339</v>
      </c>
      <c r="BN39" s="4">
        <f>0.9*PI()</f>
        <v>2.8274333882308138</v>
      </c>
      <c r="BO39" s="3">
        <f t="dataTable" ref="BO39:BO68" dt2D="0" dtr="0" r1="BD23"/>
        <v>0.39305526048166417</v>
      </c>
      <c r="BP39" s="3">
        <f t="shared" ref="BP39:BP68" si="30">(BL39+BN39)/2</f>
        <v>1.4294246573833558</v>
      </c>
      <c r="BQ39" s="3">
        <f t="dataTable" ref="BQ39:BQ68" dt2D="0" dtr="0" r1="BD23" ca="1"/>
        <v>1.1663637235985627</v>
      </c>
      <c r="BR39" s="3">
        <f t="shared" ref="BR39:BR68" si="31">BM39*BQ39</f>
        <v>-3.0164895446926328</v>
      </c>
      <c r="BS39" s="3">
        <f t="shared" ref="BS39:BS68" si="32">BO39*BQ39</f>
        <v>0.45844539719539679</v>
      </c>
      <c r="BT39" s="3">
        <f t="shared" ref="BT39:BT68" si="33">BN39-BL39</f>
        <v>2.7960174616949161</v>
      </c>
      <c r="BU39"/>
      <c r="BV39" s="3">
        <v>1</v>
      </c>
      <c r="BW39" s="4">
        <f>0.01*PI()</f>
        <v>3.1415926535897934E-2</v>
      </c>
      <c r="BX39" s="3">
        <f t="dataTable" ref="BX39:BX68" dt2D="0" dtr="0" r1="BH23" ca="1"/>
        <v>-2.4015058712561603</v>
      </c>
      <c r="BY39" s="4">
        <f>0.9*PI()</f>
        <v>2.8274333882308138</v>
      </c>
      <c r="BZ39" s="3">
        <f t="dataTable" ref="BZ39:BZ68" dt2D="0" dtr="0" r1="BH23"/>
        <v>0.37169805360092334</v>
      </c>
      <c r="CA39" s="3">
        <f t="shared" ref="CA39:CA68" si="34">(BW39+BY39)/2</f>
        <v>1.4294246573833558</v>
      </c>
      <c r="CB39" s="3">
        <f t="dataTable" ref="CB39:CB68" dt2D="0" dtr="0" r1="BH23" ca="1"/>
        <v>1.1435984556756043</v>
      </c>
      <c r="CC39" s="3">
        <f t="shared" ref="CC39:CC68" si="35">BX39*CB39</f>
        <v>-2.7463584056644414</v>
      </c>
      <c r="CD39" s="3">
        <f t="shared" ref="CD39:CD68" si="36">BZ39*CB39</f>
        <v>0.42507332007564391</v>
      </c>
      <c r="CE39" s="3">
        <f t="shared" ref="CE39:CE68" si="37">BY39-BW39</f>
        <v>2.7960174616949161</v>
      </c>
    </row>
    <row r="40" spans="2:83" x14ac:dyDescent="0.2">
      <c r="B40" s="5" t="s">
        <v>258</v>
      </c>
      <c r="C40" s="40" t="s">
        <v>259</v>
      </c>
      <c r="F40" t="s">
        <v>261</v>
      </c>
      <c r="G40" s="9">
        <f>W21*$C$7</f>
        <v>157.07963267948966</v>
      </c>
      <c r="H40" s="5" t="s">
        <v>13</v>
      </c>
      <c r="N40" s="3">
        <v>5</v>
      </c>
      <c r="O40" s="3">
        <f t="shared" si="25"/>
        <v>968.75</v>
      </c>
      <c r="P40" s="3">
        <v>133.83907593641993</v>
      </c>
      <c r="Q40" s="3">
        <f t="shared" si="26"/>
        <v>1125</v>
      </c>
      <c r="R40" s="3">
        <v>-302.44685262664643</v>
      </c>
      <c r="S40" s="3">
        <f t="shared" si="21"/>
        <v>1046.875</v>
      </c>
      <c r="T40" s="3">
        <v>-76.164225498787346</v>
      </c>
      <c r="U40" s="3">
        <f t="shared" si="22"/>
        <v>-10193.749560170811</v>
      </c>
      <c r="V40" s="3">
        <f t="shared" si="23"/>
        <v>23035.630284854404</v>
      </c>
      <c r="W40" s="3">
        <f t="shared" si="24"/>
        <v>156.25</v>
      </c>
      <c r="AB40" s="3">
        <v>1</v>
      </c>
      <c r="AC40" s="3">
        <f>IF(AI39&gt;0, AG39, AC39)</f>
        <v>0</v>
      </c>
      <c r="AD40" s="3">
        <f t="shared" si="27"/>
        <v>0.62588049807656543</v>
      </c>
      <c r="AE40" s="3">
        <f>IF(AJ39&gt;0, AG39, AE39)</f>
        <v>0.5</v>
      </c>
      <c r="AF40" s="3">
        <f t="shared" si="28"/>
        <v>-0.16579490693912935</v>
      </c>
      <c r="AG40" s="3">
        <f t="shared" ref="AG40:AG69" si="38" xml:space="preserve"> (AC40 + AE40)/2</f>
        <v>0.25</v>
      </c>
      <c r="AH40" s="3">
        <f t="shared" si="29"/>
        <v>0.10115513785926156</v>
      </c>
      <c r="AI40" s="3">
        <f t="shared" ref="AI40:AI69" si="39">AD40*AH40</f>
        <v>6.3311028066358258E-2</v>
      </c>
      <c r="AJ40" s="3">
        <f t="shared" ref="AJ40:AJ69" si="40">AF40*AH40</f>
        <v>-1.677100666779107E-2</v>
      </c>
      <c r="AK40" s="3">
        <f t="shared" ref="AK40:AK69" si="41">AE40-AC40</f>
        <v>0.5</v>
      </c>
      <c r="AM40" s="45"/>
      <c r="AN40" s="4">
        <v>-4.6875E-2</v>
      </c>
      <c r="AO40" s="14" t="s">
        <v>53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3">
        <v>2</v>
      </c>
      <c r="BL40" s="3">
        <f t="shared" ref="BL40:BL68" si="42">IF(BR39&gt;0,BP39,BL39)</f>
        <v>3.1415926535897934E-2</v>
      </c>
      <c r="BM40" s="3">
        <v>-2.5862340225962339</v>
      </c>
      <c r="BN40" s="3">
        <f t="shared" ref="BN40:BN68" si="43">IF(BS39&gt;0,BP39,BN39)</f>
        <v>1.4294246573833558</v>
      </c>
      <c r="BO40" s="3">
        <v>1.1663637235985627</v>
      </c>
      <c r="BP40" s="3">
        <f t="shared" si="30"/>
        <v>0.73042029195962688</v>
      </c>
      <c r="BQ40" s="3">
        <v>0.73970424772542109</v>
      </c>
      <c r="BR40" s="3">
        <f t="shared" si="31"/>
        <v>-1.9130482921264369</v>
      </c>
      <c r="BS40" s="3">
        <f t="shared" si="32"/>
        <v>0.86276420073869575</v>
      </c>
      <c r="BT40" s="3">
        <f t="shared" si="33"/>
        <v>1.3980087308474578</v>
      </c>
      <c r="BU40"/>
      <c r="BV40" s="3">
        <v>2</v>
      </c>
      <c r="BW40" s="3">
        <f t="shared" ref="BW40:BW68" si="44">IF(CC39&gt;0,CA39,BW39)</f>
        <v>3.1415926535897934E-2</v>
      </c>
      <c r="BX40" s="3">
        <v>-2.4015058712561603</v>
      </c>
      <c r="BY40" s="3">
        <f t="shared" ref="BY40:BY68" si="45">IF(CD39&gt;0,CA39,BY39)</f>
        <v>1.4294246573833558</v>
      </c>
      <c r="BZ40" s="3">
        <v>1.1435984556756043</v>
      </c>
      <c r="CA40" s="3">
        <f t="shared" si="34"/>
        <v>0.73042029195962688</v>
      </c>
      <c r="CB40" s="3">
        <v>0.73068835978220181</v>
      </c>
      <c r="CC40" s="3">
        <f t="shared" si="35"/>
        <v>-1.7547523860754912</v>
      </c>
      <c r="CD40" s="3">
        <f t="shared" si="36"/>
        <v>0.83561407982706626</v>
      </c>
      <c r="CE40" s="3">
        <f t="shared" si="37"/>
        <v>1.3980087308474578</v>
      </c>
    </row>
    <row r="41" spans="2:83" x14ac:dyDescent="0.2">
      <c r="B41" s="5" t="s">
        <v>260</v>
      </c>
      <c r="C41" s="5">
        <f>IF($C$40="wheeled",0.0325,0.014)</f>
        <v>3.2500000000000001E-2</v>
      </c>
      <c r="F41" s="5" t="s">
        <v>262</v>
      </c>
      <c r="G41" s="5">
        <f>G40/$C$67</f>
        <v>0.46143434115755327</v>
      </c>
      <c r="H41" s="5" t="s">
        <v>242</v>
      </c>
      <c r="N41" s="3">
        <v>6</v>
      </c>
      <c r="O41" s="3">
        <f t="shared" si="25"/>
        <v>968.75</v>
      </c>
      <c r="P41" s="3">
        <v>133.83907593641993</v>
      </c>
      <c r="Q41" s="3">
        <f t="shared" si="26"/>
        <v>1046.875</v>
      </c>
      <c r="R41" s="3">
        <v>-76.164225498787346</v>
      </c>
      <c r="S41" s="3">
        <f t="shared" si="21"/>
        <v>1007.8125</v>
      </c>
      <c r="T41" s="3">
        <v>30.872340930397741</v>
      </c>
      <c r="U41" s="3">
        <f t="shared" si="22"/>
        <v>4131.9255821185479</v>
      </c>
      <c r="V41" s="3">
        <f t="shared" si="23"/>
        <v>-2351.3679362982557</v>
      </c>
      <c r="W41" s="3">
        <f t="shared" si="24"/>
        <v>78.125</v>
      </c>
      <c r="AB41" s="3">
        <v>2</v>
      </c>
      <c r="AC41" s="3">
        <f t="shared" ref="AC41:AC69" si="46">IF(AI40&gt;0, AG40, AC40)</f>
        <v>0.25</v>
      </c>
      <c r="AD41" s="3">
        <f t="shared" si="27"/>
        <v>0.10115513785926156</v>
      </c>
      <c r="AE41" s="3">
        <f t="shared" ref="AE41:AE69" si="47">IF(AJ40&gt;0, AG40, AE40)</f>
        <v>0.5</v>
      </c>
      <c r="AF41" s="3">
        <f t="shared" si="28"/>
        <v>-0.16579490693912935</v>
      </c>
      <c r="AG41" s="3">
        <f t="shared" si="38"/>
        <v>0.375</v>
      </c>
      <c r="AH41" s="3">
        <f t="shared" si="29"/>
        <v>-3.5119924310885342E-2</v>
      </c>
      <c r="AI41" s="3">
        <f t="shared" si="39"/>
        <v>-3.5525607852744381E-3</v>
      </c>
      <c r="AJ41" s="3">
        <f t="shared" si="40"/>
        <v>5.8227045828325016E-3</v>
      </c>
      <c r="AK41" s="3">
        <f t="shared" si="41"/>
        <v>0.25</v>
      </c>
      <c r="AM41" s="45"/>
      <c r="AN41" s="4">
        <v>-1.528125</v>
      </c>
      <c r="AO41" s="14" t="s">
        <v>53</v>
      </c>
      <c r="AP41"/>
      <c r="AQ41" s="24" t="s">
        <v>224</v>
      </c>
      <c r="AR41" s="46" t="s">
        <v>225</v>
      </c>
      <c r="AS41" s="46"/>
      <c r="AT41" s="25"/>
      <c r="AU41" s="25"/>
      <c r="AV41" s="25"/>
      <c r="AW41" s="25"/>
      <c r="AX41" s="25"/>
      <c r="AY41" s="25"/>
      <c r="AZ41" s="25"/>
      <c r="BA41" s="26"/>
      <c r="BB41"/>
      <c r="BC41" s="44" t="s">
        <v>213</v>
      </c>
      <c r="BD41" s="44"/>
      <c r="BE41" s="44"/>
      <c r="BF41" s="3"/>
      <c r="BG41" s="44" t="s">
        <v>214</v>
      </c>
      <c r="BH41" s="44"/>
      <c r="BI41" s="44"/>
      <c r="BJ41"/>
      <c r="BK41" s="3">
        <v>3</v>
      </c>
      <c r="BL41" s="3">
        <f t="shared" si="42"/>
        <v>3.1415926535897934E-2</v>
      </c>
      <c r="BM41" s="3">
        <v>-2.5862340225962339</v>
      </c>
      <c r="BN41" s="3">
        <f t="shared" si="43"/>
        <v>0.73042029195962688</v>
      </c>
      <c r="BO41" s="3">
        <v>0.73970424772542109</v>
      </c>
      <c r="BP41" s="3">
        <f t="shared" si="30"/>
        <v>0.38091810924776243</v>
      </c>
      <c r="BQ41" s="3">
        <v>0.1919766677512727</v>
      </c>
      <c r="BR41" s="3">
        <f t="shared" si="31"/>
        <v>-0.4964965896829947</v>
      </c>
      <c r="BS41" s="3">
        <f t="shared" si="32"/>
        <v>0.14200595659978829</v>
      </c>
      <c r="BT41" s="3">
        <f t="shared" si="33"/>
        <v>0.6990043654237289</v>
      </c>
      <c r="BU41"/>
      <c r="BV41" s="3">
        <v>3</v>
      </c>
      <c r="BW41" s="3">
        <f t="shared" si="44"/>
        <v>3.1415926535897934E-2</v>
      </c>
      <c r="BX41" s="3">
        <v>-2.4015058712561603</v>
      </c>
      <c r="BY41" s="3">
        <f t="shared" si="45"/>
        <v>0.73042029195962688</v>
      </c>
      <c r="BZ41" s="3">
        <v>0.73068835978220181</v>
      </c>
      <c r="CA41" s="3">
        <f t="shared" si="34"/>
        <v>0.38091810924776243</v>
      </c>
      <c r="CB41" s="3">
        <v>0.26551553981696041</v>
      </c>
      <c r="CC41" s="3">
        <f t="shared" si="35"/>
        <v>-0.63763712778017922</v>
      </c>
      <c r="CD41" s="3">
        <f t="shared" si="36"/>
        <v>0.19400911428554071</v>
      </c>
      <c r="CE41" s="3">
        <f t="shared" si="37"/>
        <v>0.6990043654237289</v>
      </c>
    </row>
    <row r="42" spans="2:83" x14ac:dyDescent="0.2">
      <c r="B42" s="5" t="s">
        <v>134</v>
      </c>
      <c r="C42" s="8">
        <v>0.3</v>
      </c>
      <c r="D42" s="5" t="s">
        <v>11</v>
      </c>
      <c r="F42" s="5" t="s">
        <v>91</v>
      </c>
      <c r="G42" s="5">
        <f>SQRT($G$36^2-$G$37^2)</f>
        <v>49.976768843133506</v>
      </c>
      <c r="H42" s="5" t="s">
        <v>13</v>
      </c>
      <c r="N42" s="3">
        <v>7</v>
      </c>
      <c r="O42" s="3">
        <f t="shared" si="25"/>
        <v>1007.8125</v>
      </c>
      <c r="P42" s="3">
        <v>30.872340930397741</v>
      </c>
      <c r="Q42" s="3">
        <f t="shared" si="26"/>
        <v>1046.875</v>
      </c>
      <c r="R42" s="3">
        <v>-76.164225498787346</v>
      </c>
      <c r="S42" s="3">
        <f t="shared" si="21"/>
        <v>1027.34375</v>
      </c>
      <c r="T42" s="3">
        <v>-22.137213356299526</v>
      </c>
      <c r="U42" s="3">
        <f t="shared" si="22"/>
        <v>-683.42759798463339</v>
      </c>
      <c r="V42" s="3">
        <f t="shared" si="23"/>
        <v>1686.0637099839641</v>
      </c>
      <c r="W42" s="3">
        <f t="shared" si="24"/>
        <v>39.0625</v>
      </c>
      <c r="AB42" s="3">
        <v>3</v>
      </c>
      <c r="AC42" s="3">
        <f>IF(AI41&gt;0, AG41, AC41)</f>
        <v>0.25</v>
      </c>
      <c r="AD42" s="3">
        <f t="shared" si="27"/>
        <v>0.10115513785926156</v>
      </c>
      <c r="AE42" s="3">
        <f t="shared" si="47"/>
        <v>0.375</v>
      </c>
      <c r="AF42" s="3">
        <f t="shared" si="28"/>
        <v>-3.5119924310885342E-2</v>
      </c>
      <c r="AG42" s="3">
        <f t="shared" si="38"/>
        <v>0.3125</v>
      </c>
      <c r="AH42" s="3">
        <f t="shared" si="29"/>
        <v>3.1903687884755338E-2</v>
      </c>
      <c r="AI42" s="3">
        <f t="shared" si="39"/>
        <v>3.227221946201279E-3</v>
      </c>
      <c r="AJ42" s="3">
        <f t="shared" si="40"/>
        <v>-1.1204551037507172E-3</v>
      </c>
      <c r="AK42" s="3">
        <f t="shared" si="41"/>
        <v>0.125</v>
      </c>
      <c r="AM42" s="45"/>
      <c r="AN42" s="4">
        <v>-3.0093749999999999</v>
      </c>
      <c r="AO42" s="14" t="s">
        <v>53</v>
      </c>
      <c r="AP42"/>
      <c r="AQ42" s="27"/>
      <c r="AR42" s="43" t="s">
        <v>226</v>
      </c>
      <c r="AS42" s="43"/>
      <c r="AT42" s="43"/>
      <c r="AU42" s="43" t="s">
        <v>227</v>
      </c>
      <c r="AV42" s="43"/>
      <c r="AW42" s="43"/>
      <c r="AX42" s="43"/>
      <c r="AY42" s="43" t="s">
        <v>228</v>
      </c>
      <c r="AZ42" s="43"/>
      <c r="BA42" s="47"/>
      <c r="BB42"/>
      <c r="BC42" s="15" t="s">
        <v>169</v>
      </c>
      <c r="BD42" s="16">
        <f>BP102</f>
        <v>0.26403220840585195</v>
      </c>
      <c r="BE42" s="13" t="s">
        <v>170</v>
      </c>
      <c r="BF42" s="3"/>
      <c r="BG42" s="15" t="s">
        <v>169</v>
      </c>
      <c r="BH42" s="16">
        <f>CA102</f>
        <v>0.24456766958945286</v>
      </c>
      <c r="BI42" s="13" t="s">
        <v>170</v>
      </c>
      <c r="BJ42"/>
      <c r="BK42" s="3">
        <v>4</v>
      </c>
      <c r="BL42" s="3">
        <f t="shared" si="42"/>
        <v>3.1415926535897934E-2</v>
      </c>
      <c r="BM42" s="3">
        <v>-2.5862340225962339</v>
      </c>
      <c r="BN42" s="3">
        <f t="shared" si="43"/>
        <v>0.38091810924776243</v>
      </c>
      <c r="BO42" s="3">
        <v>0.1919766677512727</v>
      </c>
      <c r="BP42" s="3">
        <f t="shared" si="30"/>
        <v>0.20616701789183017</v>
      </c>
      <c r="BQ42" s="3">
        <v>-0.48490776348240811</v>
      </c>
      <c r="BR42" s="3">
        <f t="shared" si="31"/>
        <v>1.2540849557392515</v>
      </c>
      <c r="BS42" s="3">
        <f t="shared" si="32"/>
        <v>-9.3090976600074982E-2</v>
      </c>
      <c r="BT42" s="3">
        <f t="shared" si="33"/>
        <v>0.34950218271186451</v>
      </c>
      <c r="BU42"/>
      <c r="BV42" s="3">
        <v>4</v>
      </c>
      <c r="BW42" s="3">
        <f t="shared" si="44"/>
        <v>3.1415926535897934E-2</v>
      </c>
      <c r="BX42" s="3">
        <v>-2.4015058712561603</v>
      </c>
      <c r="BY42" s="3">
        <f t="shared" si="45"/>
        <v>0.38091810924776243</v>
      </c>
      <c r="BZ42" s="3">
        <v>0.26551553981696041</v>
      </c>
      <c r="CA42" s="3">
        <f t="shared" si="34"/>
        <v>0.20616701789183017</v>
      </c>
      <c r="CB42" s="3">
        <v>-0.31279642371699184</v>
      </c>
      <c r="CC42" s="3">
        <f t="shared" si="35"/>
        <v>0.75118244806428558</v>
      </c>
      <c r="CD42" s="3">
        <f t="shared" si="36"/>
        <v>-8.3052311296031772E-2</v>
      </c>
      <c r="CE42" s="3">
        <f t="shared" si="37"/>
        <v>0.34950218271186451</v>
      </c>
    </row>
    <row r="43" spans="2:83" x14ac:dyDescent="0.2">
      <c r="B43" s="5" t="s">
        <v>135</v>
      </c>
      <c r="C43" s="8">
        <v>5.7</v>
      </c>
      <c r="F43" s="5" t="s">
        <v>92</v>
      </c>
      <c r="G43" s="5">
        <f>$G$42 * ($G$38/$G$37)</f>
        <v>9995.3537686267009</v>
      </c>
      <c r="H43" s="5" t="s">
        <v>11</v>
      </c>
      <c r="N43" s="3">
        <v>8</v>
      </c>
      <c r="O43" s="3">
        <f t="shared" si="25"/>
        <v>1007.8125</v>
      </c>
      <c r="P43" s="3">
        <v>30.872340930397741</v>
      </c>
      <c r="Q43" s="3">
        <f t="shared" si="26"/>
        <v>1027.34375</v>
      </c>
      <c r="R43" s="3">
        <v>-22.137213356299526</v>
      </c>
      <c r="S43" s="3">
        <f t="shared" si="21"/>
        <v>1017.578125</v>
      </c>
      <c r="T43" s="3">
        <v>4.4947460190230686</v>
      </c>
      <c r="U43" s="3">
        <f t="shared" si="22"/>
        <v>138.76333149482818</v>
      </c>
      <c r="V43" s="3">
        <f t="shared" si="23"/>
        <v>-99.5011516054916</v>
      </c>
      <c r="W43" s="3">
        <f t="shared" si="24"/>
        <v>19.53125</v>
      </c>
      <c r="AB43" s="3">
        <v>4</v>
      </c>
      <c r="AC43" s="3">
        <f t="shared" si="46"/>
        <v>0.3125</v>
      </c>
      <c r="AD43" s="3">
        <f t="shared" si="27"/>
        <v>3.1903687884755338E-2</v>
      </c>
      <c r="AE43" s="3">
        <f t="shared" si="47"/>
        <v>0.375</v>
      </c>
      <c r="AF43" s="3">
        <f t="shared" si="28"/>
        <v>-3.5119924310885342E-2</v>
      </c>
      <c r="AG43" s="3">
        <f t="shared" si="38"/>
        <v>0.34375</v>
      </c>
      <c r="AH43" s="3">
        <f t="shared" si="29"/>
        <v>-1.8117300672796932E-3</v>
      </c>
      <c r="AI43" s="3">
        <f t="shared" si="39"/>
        <v>-5.780087059791812E-5</v>
      </c>
      <c r="AJ43" s="3">
        <f t="shared" si="40"/>
        <v>6.3627822834618034E-5</v>
      </c>
      <c r="AK43" s="3">
        <f t="shared" si="41"/>
        <v>6.25E-2</v>
      </c>
      <c r="AM43" s="3"/>
      <c r="AN43" s="3"/>
      <c r="AO43" s="14"/>
      <c r="AP43"/>
      <c r="AQ43" s="27"/>
      <c r="AR43" s="20" t="s">
        <v>229</v>
      </c>
      <c r="AS43" s="3">
        <v>-180</v>
      </c>
      <c r="AT43" s="3">
        <v>-9.5</v>
      </c>
      <c r="AU43" s="43" t="s">
        <v>229</v>
      </c>
      <c r="AV43" s="43"/>
      <c r="AW43" s="3">
        <v>-9.5</v>
      </c>
      <c r="AX43" s="3">
        <v>18.5</v>
      </c>
      <c r="AY43" s="20" t="s">
        <v>229</v>
      </c>
      <c r="AZ43" s="3">
        <v>18.5</v>
      </c>
      <c r="BA43" s="28">
        <v>180</v>
      </c>
      <c r="BB43"/>
      <c r="BC43" s="3" t="s">
        <v>173</v>
      </c>
      <c r="BD43" s="3">
        <f>($AN$39+$AN$5)/180*PI()</f>
        <v>0.37410041685715956</v>
      </c>
      <c r="BE43" s="3" t="s">
        <v>170</v>
      </c>
      <c r="BF43" s="3"/>
      <c r="BG43" s="3" t="s">
        <v>173</v>
      </c>
      <c r="BH43" s="3">
        <f>($AN$40+$AN$5)/180*PI()</f>
        <v>0.34824772731199355</v>
      </c>
      <c r="BI43" s="3" t="s">
        <v>170</v>
      </c>
      <c r="BJ43"/>
      <c r="BK43" s="3">
        <v>5</v>
      </c>
      <c r="BL43" s="3">
        <f t="shared" si="42"/>
        <v>0.20616701789183017</v>
      </c>
      <c r="BM43" s="3">
        <v>-0.48490776348240811</v>
      </c>
      <c r="BN43" s="3">
        <f t="shared" si="43"/>
        <v>0.38091810924776243</v>
      </c>
      <c r="BO43" s="3">
        <v>0.1919766677512727</v>
      </c>
      <c r="BP43" s="3">
        <f t="shared" si="30"/>
        <v>0.2935425635697963</v>
      </c>
      <c r="BQ43" s="3">
        <v>-0.10999644007553146</v>
      </c>
      <c r="BR43" s="3">
        <f t="shared" si="31"/>
        <v>5.3338127748052681E-2</v>
      </c>
      <c r="BS43" s="3">
        <f t="shared" si="32"/>
        <v>-2.111675003020308E-2</v>
      </c>
      <c r="BT43" s="3">
        <f t="shared" si="33"/>
        <v>0.17475109135593225</v>
      </c>
      <c r="BU43"/>
      <c r="BV43" s="3">
        <v>5</v>
      </c>
      <c r="BW43" s="3">
        <f t="shared" si="44"/>
        <v>0.20616701789183017</v>
      </c>
      <c r="BX43" s="3">
        <v>-0.31279642371699184</v>
      </c>
      <c r="BY43" s="3">
        <f t="shared" si="45"/>
        <v>0.38091810924776243</v>
      </c>
      <c r="BZ43" s="3">
        <v>0.26551553981696041</v>
      </c>
      <c r="CA43" s="3">
        <f t="shared" si="34"/>
        <v>0.2935425635697963</v>
      </c>
      <c r="CB43" s="3">
        <v>1.1579984614546783E-2</v>
      </c>
      <c r="CC43" s="3">
        <f t="shared" si="35"/>
        <v>-3.622177774128022E-3</v>
      </c>
      <c r="CD43" s="3">
        <f t="shared" si="36"/>
        <v>3.0746658660034854E-3</v>
      </c>
      <c r="CE43" s="3">
        <f t="shared" si="37"/>
        <v>0.17475109135593225</v>
      </c>
    </row>
    <row r="44" spans="2:83" x14ac:dyDescent="0.2">
      <c r="F44" s="5" t="s">
        <v>93</v>
      </c>
      <c r="G44" s="5">
        <f>ATAN(G37/G42)/PI()*180</f>
        <v>1.7466458786346903</v>
      </c>
      <c r="H44" s="5" t="s">
        <v>53</v>
      </c>
      <c r="N44" s="3">
        <v>9</v>
      </c>
      <c r="O44" s="3">
        <f t="shared" si="25"/>
        <v>1017.578125</v>
      </c>
      <c r="P44" s="3">
        <v>4.4947460190230686</v>
      </c>
      <c r="Q44" s="3">
        <f t="shared" si="26"/>
        <v>1027.34375</v>
      </c>
      <c r="R44" s="3">
        <v>-22.137213356299526</v>
      </c>
      <c r="S44" s="3">
        <f t="shared" si="21"/>
        <v>1022.4609375</v>
      </c>
      <c r="T44" s="3">
        <v>-8.7894381106448236</v>
      </c>
      <c r="U44" s="3">
        <f t="shared" si="22"/>
        <v>-39.506291957270463</v>
      </c>
      <c r="V44" s="3">
        <f t="shared" si="23"/>
        <v>194.57366673733466</v>
      </c>
      <c r="W44" s="3">
        <f t="shared" si="24"/>
        <v>9.765625</v>
      </c>
      <c r="AB44" s="3">
        <v>5</v>
      </c>
      <c r="AC44" s="3">
        <f t="shared" si="46"/>
        <v>0.3125</v>
      </c>
      <c r="AD44" s="3">
        <f t="shared" si="27"/>
        <v>3.1903687884755338E-2</v>
      </c>
      <c r="AE44" s="3">
        <f t="shared" si="47"/>
        <v>0.34375</v>
      </c>
      <c r="AF44" s="3">
        <f t="shared" si="28"/>
        <v>-1.8117300672796932E-3</v>
      </c>
      <c r="AG44" s="3">
        <f t="shared" si="38"/>
        <v>0.328125</v>
      </c>
      <c r="AH44" s="3">
        <f t="shared" si="29"/>
        <v>1.4987904377907535E-2</v>
      </c>
      <c r="AI44" s="3">
        <f t="shared" si="39"/>
        <v>4.781694233193201E-4</v>
      </c>
      <c r="AJ44" s="3">
        <f t="shared" si="40"/>
        <v>-2.7154037006968028E-5</v>
      </c>
      <c r="AK44" s="3">
        <f t="shared" si="41"/>
        <v>3.125E-2</v>
      </c>
      <c r="AM44" s="41" t="s">
        <v>230</v>
      </c>
      <c r="AN44" s="41"/>
      <c r="AO44" s="41"/>
      <c r="AP44"/>
      <c r="AQ44" s="29" t="s">
        <v>231</v>
      </c>
      <c r="AR44" s="3">
        <v>-4.9719999999999998E-5</v>
      </c>
      <c r="AS44" s="3">
        <v>-9.4228200000000002E-3</v>
      </c>
      <c r="AT44" s="3">
        <v>-0.58952914000000001</v>
      </c>
      <c r="AU44" s="3">
        <v>-2.3201E-4</v>
      </c>
      <c r="AV44" s="3">
        <v>1.5145600000000001E-3</v>
      </c>
      <c r="AW44" s="3">
        <v>0.11609899</v>
      </c>
      <c r="AX44" s="3">
        <v>0.17357117999999999</v>
      </c>
      <c r="AY44" s="3">
        <v>6.9132000000000004E-4</v>
      </c>
      <c r="AZ44" s="3">
        <v>-0.13722607000000001</v>
      </c>
      <c r="BA44" s="28">
        <v>3.6431797299999999</v>
      </c>
      <c r="BB44"/>
      <c r="BC44" s="3" t="s">
        <v>36</v>
      </c>
      <c r="BD44" s="3">
        <f>BD43-BD42</f>
        <v>0.1100682084513076</v>
      </c>
      <c r="BE44" s="3" t="s">
        <v>170</v>
      </c>
      <c r="BF44" s="3"/>
      <c r="BG44" s="3" t="s">
        <v>36</v>
      </c>
      <c r="BH44" s="3">
        <f>BH43-BH42</f>
        <v>0.10368005772254069</v>
      </c>
      <c r="BI44" s="3" t="s">
        <v>170</v>
      </c>
      <c r="BJ44"/>
      <c r="BK44" s="3">
        <v>6</v>
      </c>
      <c r="BL44" s="3">
        <f t="shared" si="42"/>
        <v>0.2935425635697963</v>
      </c>
      <c r="BM44" s="3">
        <v>-0.10999644007553146</v>
      </c>
      <c r="BN44" s="3">
        <f t="shared" si="43"/>
        <v>0.38091810924776243</v>
      </c>
      <c r="BO44" s="3">
        <v>0.1919766677512727</v>
      </c>
      <c r="BP44" s="3">
        <f t="shared" si="30"/>
        <v>0.33723033640877936</v>
      </c>
      <c r="BQ44" s="3">
        <v>4.897654050815959E-2</v>
      </c>
      <c r="BR44" s="3">
        <f t="shared" si="31"/>
        <v>-5.3872451031126154E-3</v>
      </c>
      <c r="BS44" s="3">
        <f t="shared" si="32"/>
        <v>9.4023530447417021E-3</v>
      </c>
      <c r="BT44" s="3">
        <f t="shared" si="33"/>
        <v>8.7375545677966127E-2</v>
      </c>
      <c r="BU44"/>
      <c r="BV44" s="3">
        <v>6</v>
      </c>
      <c r="BW44" s="3">
        <f t="shared" si="44"/>
        <v>0.20616701789183017</v>
      </c>
      <c r="BX44" s="3">
        <v>-0.31279642371699184</v>
      </c>
      <c r="BY44" s="3">
        <f t="shared" si="45"/>
        <v>0.2935425635697963</v>
      </c>
      <c r="BZ44" s="3">
        <v>1.1579984614546783E-2</v>
      </c>
      <c r="CA44" s="3">
        <f t="shared" si="34"/>
        <v>0.24985479073081324</v>
      </c>
      <c r="CB44" s="3">
        <v>-0.13932178913720145</v>
      </c>
      <c r="CC44" s="3">
        <f t="shared" si="35"/>
        <v>4.3579357387969454E-2</v>
      </c>
      <c r="CD44" s="3">
        <f t="shared" si="36"/>
        <v>-1.6133441746799238E-3</v>
      </c>
      <c r="CE44" s="3">
        <f t="shared" si="37"/>
        <v>8.7375545677966127E-2</v>
      </c>
    </row>
    <row r="45" spans="2:83" x14ac:dyDescent="0.2">
      <c r="B45" s="51" t="s">
        <v>137</v>
      </c>
      <c r="C45" s="51"/>
      <c r="D45" s="51"/>
      <c r="F45" s="5" t="s">
        <v>94</v>
      </c>
      <c r="G45" s="5">
        <f>1/1000 * (W25 + W20 * (W30 * W27 + $G$36 * SIN(W19/180*PI())))</f>
        <v>46.865571280562499</v>
      </c>
      <c r="H45" s="5" t="s">
        <v>81</v>
      </c>
      <c r="N45" s="3">
        <v>10</v>
      </c>
      <c r="O45" s="3">
        <f t="shared" si="25"/>
        <v>1017.578125</v>
      </c>
      <c r="P45" s="3">
        <v>4.4947460190230686</v>
      </c>
      <c r="Q45" s="3">
        <f t="shared" si="26"/>
        <v>1022.4609375</v>
      </c>
      <c r="R45" s="3">
        <v>-8.7894381106448236</v>
      </c>
      <c r="S45" s="3">
        <f t="shared" si="21"/>
        <v>1020.01953125</v>
      </c>
      <c r="T45" s="3">
        <v>-2.1393971563122705</v>
      </c>
      <c r="U45" s="3">
        <f t="shared" si="22"/>
        <v>-9.6160468514438513</v>
      </c>
      <c r="V45" s="3">
        <f t="shared" si="23"/>
        <v>18.804098899496232</v>
      </c>
      <c r="W45" s="3">
        <f t="shared" si="24"/>
        <v>4.8828125</v>
      </c>
      <c r="AB45" s="3">
        <v>6</v>
      </c>
      <c r="AC45" s="3">
        <f t="shared" si="46"/>
        <v>0.328125</v>
      </c>
      <c r="AD45" s="3">
        <f t="shared" si="27"/>
        <v>1.4987904377907535E-2</v>
      </c>
      <c r="AE45" s="3">
        <f t="shared" si="47"/>
        <v>0.34375</v>
      </c>
      <c r="AF45" s="3">
        <f t="shared" si="28"/>
        <v>-1.8117300672796932E-3</v>
      </c>
      <c r="AG45" s="3">
        <f t="shared" si="38"/>
        <v>0.3359375</v>
      </c>
      <c r="AH45" s="3">
        <f t="shared" si="29"/>
        <v>6.5745674422698075E-3</v>
      </c>
      <c r="AI45" s="3">
        <f t="shared" si="39"/>
        <v>9.8538988150843998E-5</v>
      </c>
      <c r="AJ45" s="3">
        <f t="shared" si="40"/>
        <v>-1.1911341514518359E-5</v>
      </c>
      <c r="AK45" s="3">
        <f t="shared" si="41"/>
        <v>1.5625E-2</v>
      </c>
      <c r="AM45" s="3" t="s">
        <v>24</v>
      </c>
      <c r="AN45" s="3">
        <f>$C$65</f>
        <v>1.2250000000000001</v>
      </c>
      <c r="AO45" s="14" t="s">
        <v>20</v>
      </c>
      <c r="AP45"/>
      <c r="AQ45" s="30" t="s">
        <v>232</v>
      </c>
      <c r="AR45" s="31">
        <v>-1.4875000000000001E-4</v>
      </c>
      <c r="AS45" s="31">
        <v>-2.818766E-2</v>
      </c>
      <c r="AT45" s="31">
        <v>-0.15965826999999999</v>
      </c>
      <c r="AU45" s="31">
        <v>-4.4100000000000001E-6</v>
      </c>
      <c r="AV45" s="31">
        <v>3.8060999999999998E-4</v>
      </c>
      <c r="AW45" s="31">
        <v>-2.2518899999999999E-3</v>
      </c>
      <c r="AX45" s="31">
        <v>6.2865899999999999E-3</v>
      </c>
      <c r="AY45" s="31">
        <v>-2.0911000000000001E-4</v>
      </c>
      <c r="AZ45" s="31">
        <v>4.150877E-2</v>
      </c>
      <c r="BA45" s="32">
        <v>-0.59881362999999999</v>
      </c>
      <c r="BB45"/>
      <c r="BC45" s="3" t="s">
        <v>180</v>
      </c>
      <c r="BD45" s="3">
        <f>BD44/PI()*180</f>
        <v>6.3064438028261049</v>
      </c>
      <c r="BE45" s="3" t="s">
        <v>53</v>
      </c>
      <c r="BF45" s="3"/>
      <c r="BG45" s="3" t="s">
        <v>180</v>
      </c>
      <c r="BH45" s="3">
        <f>BH44/PI()*180</f>
        <v>5.9404297271743385</v>
      </c>
      <c r="BI45" s="3" t="s">
        <v>53</v>
      </c>
      <c r="BJ45"/>
      <c r="BK45" s="3">
        <v>7</v>
      </c>
      <c r="BL45" s="3">
        <f t="shared" si="42"/>
        <v>0.2935425635697963</v>
      </c>
      <c r="BM45" s="3">
        <v>-0.10999644007553146</v>
      </c>
      <c r="BN45" s="3">
        <f t="shared" si="43"/>
        <v>0.33723033640877936</v>
      </c>
      <c r="BO45" s="3">
        <v>4.897654050815959E-2</v>
      </c>
      <c r="BP45" s="3">
        <f t="shared" si="30"/>
        <v>0.31538644998928783</v>
      </c>
      <c r="BQ45" s="3">
        <v>-2.8467350158415727E-2</v>
      </c>
      <c r="BR45" s="3">
        <f t="shared" si="31"/>
        <v>3.1313071758093465E-3</v>
      </c>
      <c r="BS45" s="3">
        <f t="shared" si="32"/>
        <v>-1.3942323281936112E-3</v>
      </c>
      <c r="BT45" s="3">
        <f t="shared" si="33"/>
        <v>4.3687772838983063E-2</v>
      </c>
      <c r="BU45"/>
      <c r="BV45" s="3">
        <v>7</v>
      </c>
      <c r="BW45" s="3">
        <f t="shared" si="44"/>
        <v>0.24985479073081324</v>
      </c>
      <c r="BX45" s="3">
        <v>-0.13932178913720145</v>
      </c>
      <c r="BY45" s="3">
        <f t="shared" si="45"/>
        <v>0.2935425635697963</v>
      </c>
      <c r="BZ45" s="3">
        <v>1.1579984614546783E-2</v>
      </c>
      <c r="CA45" s="3">
        <f t="shared" si="34"/>
        <v>0.27169867715030477</v>
      </c>
      <c r="CB45" s="3">
        <v>-6.1537456036612898E-2</v>
      </c>
      <c r="CC45" s="3">
        <f t="shared" si="35"/>
        <v>8.5735084739727869E-3</v>
      </c>
      <c r="CD45" s="3">
        <f t="shared" si="36"/>
        <v>-7.1260279412232639E-4</v>
      </c>
      <c r="CE45" s="3">
        <f t="shared" si="37"/>
        <v>4.3687772838983063E-2</v>
      </c>
    </row>
    <row r="46" spans="2:83" x14ac:dyDescent="0.2">
      <c r="B46" s="5" t="s">
        <v>135</v>
      </c>
      <c r="C46" s="8">
        <v>3</v>
      </c>
      <c r="F46" s="34" t="s">
        <v>103</v>
      </c>
      <c r="G46" s="34">
        <f>$C$28*G45</f>
        <v>46.865571280562499</v>
      </c>
      <c r="H46" s="34" t="s">
        <v>81</v>
      </c>
      <c r="N46" s="3">
        <v>11</v>
      </c>
      <c r="O46" s="3">
        <f t="shared" si="25"/>
        <v>1017.578125</v>
      </c>
      <c r="P46" s="3">
        <v>4.4947460190230686</v>
      </c>
      <c r="Q46" s="3">
        <f t="shared" si="26"/>
        <v>1020.01953125</v>
      </c>
      <c r="R46" s="3">
        <v>-2.1393971563122705</v>
      </c>
      <c r="S46" s="3">
        <f t="shared" si="21"/>
        <v>1018.798828125</v>
      </c>
      <c r="T46" s="3">
        <v>1.1796616537296813</v>
      </c>
      <c r="U46" s="3">
        <f t="shared" si="22"/>
        <v>5.3022795218956551</v>
      </c>
      <c r="V46" s="3">
        <f t="shared" si="23"/>
        <v>-2.5237647873999105</v>
      </c>
      <c r="W46" s="3">
        <f t="shared" si="24"/>
        <v>2.44140625</v>
      </c>
      <c r="AB46" s="3">
        <v>7</v>
      </c>
      <c r="AC46" s="3">
        <f t="shared" si="46"/>
        <v>0.3359375</v>
      </c>
      <c r="AD46" s="3">
        <f t="shared" si="27"/>
        <v>6.5745674422698075E-3</v>
      </c>
      <c r="AE46" s="3">
        <f t="shared" si="47"/>
        <v>0.34375</v>
      </c>
      <c r="AF46" s="3">
        <f t="shared" si="28"/>
        <v>-1.8117300672796932E-3</v>
      </c>
      <c r="AG46" s="3">
        <f t="shared" si="38"/>
        <v>0.33984375</v>
      </c>
      <c r="AH46" s="3">
        <f t="shared" si="29"/>
        <v>2.3781537488772875E-3</v>
      </c>
      <c r="AI46" s="3">
        <f t="shared" si="39"/>
        <v>1.5635332210080502E-5</v>
      </c>
      <c r="AJ46" s="3">
        <f t="shared" si="40"/>
        <v>-4.308572651454903E-6</v>
      </c>
      <c r="AK46" s="3">
        <f t="shared" si="41"/>
        <v>7.8125E-3</v>
      </c>
      <c r="AM46" s="3" t="s">
        <v>39</v>
      </c>
      <c r="AN46" s="19">
        <f>$C$66</f>
        <v>1.7893802780775801E-5</v>
      </c>
      <c r="AO46" s="14" t="s">
        <v>155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3" t="s">
        <v>183</v>
      </c>
      <c r="BD46" s="3">
        <f xml:space="preserve"> $AN$8*$AN$31 / (2*PI()*$AN$23)</f>
        <v>0.23280121002319465</v>
      </c>
      <c r="BE46" s="3"/>
      <c r="BF46" s="3"/>
      <c r="BG46" s="3" t="s">
        <v>183</v>
      </c>
      <c r="BH46" s="3">
        <f xml:space="preserve"> $AN$8*$AN$32 / (2*PI()*$AN$24)</f>
        <v>0.1949115247033035</v>
      </c>
      <c r="BI46" s="3"/>
      <c r="BJ46"/>
      <c r="BK46" s="3">
        <v>8</v>
      </c>
      <c r="BL46" s="3">
        <f t="shared" si="42"/>
        <v>0.31538644998928783</v>
      </c>
      <c r="BM46" s="3">
        <v>-2.8467350158415727E-2</v>
      </c>
      <c r="BN46" s="3">
        <f t="shared" si="43"/>
        <v>0.33723033640877936</v>
      </c>
      <c r="BO46" s="3">
        <v>4.897654050815959E-2</v>
      </c>
      <c r="BP46" s="3">
        <f t="shared" si="30"/>
        <v>0.3263083931990336</v>
      </c>
      <c r="BQ46" s="3">
        <v>1.075562366309088E-2</v>
      </c>
      <c r="BR46" s="3">
        <f t="shared" si="31"/>
        <v>-3.0618410498935009E-4</v>
      </c>
      <c r="BS46" s="3">
        <f t="shared" si="32"/>
        <v>5.2677323802589025E-4</v>
      </c>
      <c r="BT46" s="3">
        <f t="shared" si="33"/>
        <v>2.1843886419491532E-2</v>
      </c>
      <c r="BU46"/>
      <c r="BV46" s="3">
        <v>8</v>
      </c>
      <c r="BW46" s="3">
        <f t="shared" si="44"/>
        <v>0.27169867715030477</v>
      </c>
      <c r="BX46" s="3">
        <v>-6.1537456036612898E-2</v>
      </c>
      <c r="BY46" s="3">
        <f t="shared" si="45"/>
        <v>0.2935425635697963</v>
      </c>
      <c r="BZ46" s="3">
        <v>1.1579984614546783E-2</v>
      </c>
      <c r="CA46" s="3">
        <f t="shared" si="34"/>
        <v>0.28262062036005053</v>
      </c>
      <c r="CB46" s="3">
        <v>-2.4435829770320515E-2</v>
      </c>
      <c r="CC46" s="3">
        <f t="shared" si="35"/>
        <v>1.5037188002092552E-3</v>
      </c>
      <c r="CD46" s="3">
        <f t="shared" si="36"/>
        <v>-2.829665327839958E-4</v>
      </c>
      <c r="CE46" s="3">
        <f t="shared" si="37"/>
        <v>2.1843886419491532E-2</v>
      </c>
    </row>
    <row r="47" spans="2:83" x14ac:dyDescent="0.2">
      <c r="N47" s="3">
        <v>12</v>
      </c>
      <c r="O47" s="3">
        <f t="shared" si="25"/>
        <v>1018.798828125</v>
      </c>
      <c r="P47" s="3">
        <v>1.1796616537296813</v>
      </c>
      <c r="Q47" s="3">
        <f t="shared" si="26"/>
        <v>1020.01953125</v>
      </c>
      <c r="R47" s="3">
        <v>-2.1393971563122705</v>
      </c>
      <c r="S47" s="3">
        <f t="shared" si="21"/>
        <v>1019.4091796875</v>
      </c>
      <c r="T47" s="3">
        <v>-0.47937094569783767</v>
      </c>
      <c r="U47" s="3">
        <f t="shared" si="22"/>
        <v>-0.56549552255187241</v>
      </c>
      <c r="V47" s="3">
        <f t="shared" si="23"/>
        <v>1.0255648380446778</v>
      </c>
      <c r="W47" s="3">
        <f t="shared" si="24"/>
        <v>1.220703125</v>
      </c>
      <c r="AB47" s="3">
        <v>8</v>
      </c>
      <c r="AC47" s="3">
        <f t="shared" si="46"/>
        <v>0.33984375</v>
      </c>
      <c r="AD47" s="3">
        <f t="shared" si="27"/>
        <v>2.3781537488772875E-3</v>
      </c>
      <c r="AE47" s="3">
        <f t="shared" si="47"/>
        <v>0.34375</v>
      </c>
      <c r="AF47" s="3">
        <f t="shared" si="28"/>
        <v>-1.8117300672796932E-3</v>
      </c>
      <c r="AG47" s="3">
        <f t="shared" si="38"/>
        <v>0.341796875</v>
      </c>
      <c r="AH47" s="3">
        <f t="shared" si="29"/>
        <v>2.8240941446933121E-4</v>
      </c>
      <c r="AI47" s="3">
        <f t="shared" si="39"/>
        <v>6.7161300773847966E-7</v>
      </c>
      <c r="AJ47" s="3">
        <f t="shared" si="40"/>
        <v>-5.1164962747694025E-7</v>
      </c>
      <c r="AK47" s="3">
        <f t="shared" si="41"/>
        <v>3.90625E-3</v>
      </c>
      <c r="AP47"/>
      <c r="AQ47" t="s">
        <v>180</v>
      </c>
      <c r="AR47" t="s">
        <v>244</v>
      </c>
      <c r="AS47" t="s">
        <v>245</v>
      </c>
      <c r="AT47" t="s">
        <v>246</v>
      </c>
      <c r="AU47" t="s">
        <v>200</v>
      </c>
      <c r="AV47" t="s">
        <v>201</v>
      </c>
      <c r="AW47"/>
      <c r="AX47"/>
      <c r="AY47"/>
      <c r="AZ47"/>
      <c r="BA47"/>
      <c r="BB47"/>
      <c r="BC47" s="3" t="s">
        <v>187</v>
      </c>
      <c r="BD47" s="3">
        <f>IF(-$AN$8*($AR$3-$AN$23)/(2*$AN$23*SIN(BD42))&gt;500, 1, 2*ACOS(MIN(1, EXP(-$AN$8*($AR$3-$AN$23)/(2*$AN$23*SIN(BD42)))))/PI() )</f>
        <v>0.91562702518029948</v>
      </c>
      <c r="BE47" s="3"/>
      <c r="BF47" s="3"/>
      <c r="BG47" s="3" t="s">
        <v>187</v>
      </c>
      <c r="BH47" s="3">
        <f>IF(-$AN$8*($AR$3-$AN$24)/(2*$AN$24*SIN(BH42))&gt;500, 1, 2*ACOS(MIN(1, EXP(-$AN$8*($AR$3-$AN$24)/(2*$AN$24*SIN(BH42)))))/PI() )</f>
        <v>0.83370085586423004</v>
      </c>
      <c r="BI47" s="3"/>
      <c r="BJ47"/>
      <c r="BK47" s="3">
        <v>9</v>
      </c>
      <c r="BL47" s="3">
        <f t="shared" si="42"/>
        <v>0.31538644998928783</v>
      </c>
      <c r="BM47" s="3">
        <v>-2.8467350158415727E-2</v>
      </c>
      <c r="BN47" s="3">
        <f t="shared" si="43"/>
        <v>0.3263083931990336</v>
      </c>
      <c r="BO47" s="3">
        <v>1.075562366309088E-2</v>
      </c>
      <c r="BP47" s="3">
        <f t="shared" si="30"/>
        <v>0.32084742159416069</v>
      </c>
      <c r="BQ47" s="3">
        <v>-8.7296902587540443E-3</v>
      </c>
      <c r="BR47" s="3">
        <f t="shared" si="31"/>
        <v>2.4851114937046216E-4</v>
      </c>
      <c r="BS47" s="3">
        <f t="shared" si="32"/>
        <v>-9.3893263118508945E-5</v>
      </c>
      <c r="BT47" s="3">
        <f t="shared" si="33"/>
        <v>1.0921943209745766E-2</v>
      </c>
      <c r="BU47"/>
      <c r="BV47" s="3">
        <v>9</v>
      </c>
      <c r="BW47" s="3">
        <f t="shared" si="44"/>
        <v>0.28262062036005053</v>
      </c>
      <c r="BX47" s="3">
        <v>-2.4435829770320515E-2</v>
      </c>
      <c r="BY47" s="3">
        <f t="shared" si="45"/>
        <v>0.2935425635697963</v>
      </c>
      <c r="BZ47" s="3">
        <v>1.1579984614546783E-2</v>
      </c>
      <c r="CA47" s="3">
        <f t="shared" si="34"/>
        <v>0.28808159196492344</v>
      </c>
      <c r="CB47" s="3">
        <v>-6.2962998642674198E-3</v>
      </c>
      <c r="CC47" s="3">
        <f t="shared" si="35"/>
        <v>1.5385531166613083E-4</v>
      </c>
      <c r="CD47" s="3">
        <f t="shared" si="36"/>
        <v>-7.2911055556789726E-5</v>
      </c>
      <c r="CE47" s="3">
        <f t="shared" si="37"/>
        <v>1.0921943209745766E-2</v>
      </c>
    </row>
    <row r="48" spans="2:83" x14ac:dyDescent="0.2">
      <c r="B48" s="51" t="s">
        <v>138</v>
      </c>
      <c r="C48" s="51"/>
      <c r="D48" s="51"/>
      <c r="F48" s="51" t="s">
        <v>105</v>
      </c>
      <c r="G48" s="51"/>
      <c r="H48" s="51"/>
      <c r="N48" s="3">
        <v>13</v>
      </c>
      <c r="O48" s="3">
        <f t="shared" si="25"/>
        <v>1018.798828125</v>
      </c>
      <c r="P48" s="3">
        <v>1.1796616537296813</v>
      </c>
      <c r="Q48" s="3">
        <f t="shared" si="26"/>
        <v>1019.4091796875</v>
      </c>
      <c r="R48" s="3">
        <v>-0.47937094569783767</v>
      </c>
      <c r="S48" s="3">
        <f t="shared" si="21"/>
        <v>1019.10400390625</v>
      </c>
      <c r="T48" s="3">
        <v>0.35026955541479765</v>
      </c>
      <c r="U48" s="3">
        <f t="shared" si="22"/>
        <v>0.41319956299178046</v>
      </c>
      <c r="V48" s="3">
        <f t="shared" si="23"/>
        <v>-0.16790904802835271</v>
      </c>
      <c r="W48" s="3">
        <f t="shared" si="24"/>
        <v>0.6103515625</v>
      </c>
      <c r="AB48" s="3">
        <v>9</v>
      </c>
      <c r="AC48" s="3">
        <f t="shared" si="46"/>
        <v>0.341796875</v>
      </c>
      <c r="AD48" s="3">
        <f t="shared" si="27"/>
        <v>2.8240941446933121E-4</v>
      </c>
      <c r="AE48" s="3">
        <f t="shared" si="47"/>
        <v>0.34375</v>
      </c>
      <c r="AF48" s="3">
        <f t="shared" si="28"/>
        <v>-1.8117300672796932E-3</v>
      </c>
      <c r="AG48" s="3">
        <f t="shared" si="38"/>
        <v>0.3427734375</v>
      </c>
      <c r="AH48" s="3">
        <f t="shared" si="29"/>
        <v>-7.6485924080321732E-4</v>
      </c>
      <c r="AI48" s="3">
        <f t="shared" si="39"/>
        <v>-2.1600345034669381E-7</v>
      </c>
      <c r="AJ48" s="3">
        <f t="shared" si="40"/>
        <v>1.385718483799908E-6</v>
      </c>
      <c r="AK48" s="3">
        <f t="shared" si="41"/>
        <v>1.953125E-3</v>
      </c>
      <c r="AP48"/>
      <c r="AQ48">
        <f>BD7</f>
        <v>2.6967449294403192</v>
      </c>
      <c r="AR48">
        <f>AQ48/180*PI()</f>
        <v>4.7067078105195732E-2</v>
      </c>
      <c r="AS48">
        <f>1+AR48</f>
        <v>1.0470670781051958</v>
      </c>
      <c r="AT48">
        <f>AS48/PI()*180</f>
        <v>59.992524442522644</v>
      </c>
      <c r="AU48"/>
      <c r="AV48">
        <f>$AU$45*AQ48^3 + $AV$45*AQ48^2 + $AW$45*AQ48 + $AX$45</f>
        <v>2.8952893990835979E-3</v>
      </c>
      <c r="AW48"/>
      <c r="AX48"/>
      <c r="AY48"/>
      <c r="AZ48"/>
      <c r="BA48"/>
      <c r="BB48"/>
      <c r="BC48" s="3" t="s">
        <v>192</v>
      </c>
      <c r="BD48" s="3">
        <f>IF(-$AN$8*($AN$23-$AN$10)/(2*$AN$23*SIN(BD42))&gt;500, 1, 2*ACOS(MIN(1, EXP(-$AN$8*($AN$23-$AN$10)/(2*$AN$23*SIN(BD42)))))/PI() )</f>
        <v>0.95277179925582423</v>
      </c>
      <c r="BE48" s="3"/>
      <c r="BF48" s="3"/>
      <c r="BG48" s="3" t="s">
        <v>192</v>
      </c>
      <c r="BH48" s="3">
        <f>IF(-$AN$8*($AN$24-$AN$10)/(2*$AN$24*SIN(BH42))&gt;500, 1, 2*ACOS(MIN(1, EXP(-$AN$8*($AN$24-$AN$10)/(2*$AN$24*SIN(BH42)))))/PI() )</f>
        <v>0.96759601218818303</v>
      </c>
      <c r="BI48" s="3"/>
      <c r="BJ48"/>
      <c r="BK48" s="3">
        <v>10</v>
      </c>
      <c r="BL48" s="3">
        <f t="shared" si="42"/>
        <v>0.32084742159416069</v>
      </c>
      <c r="BM48" s="3">
        <v>-8.7296902587540443E-3</v>
      </c>
      <c r="BN48" s="3">
        <f t="shared" si="43"/>
        <v>0.3263083931990336</v>
      </c>
      <c r="BO48" s="3">
        <v>1.075562366309088E-2</v>
      </c>
      <c r="BP48" s="3">
        <f t="shared" si="30"/>
        <v>0.32357790739659714</v>
      </c>
      <c r="BQ48" s="3">
        <v>1.0443791499660585E-3</v>
      </c>
      <c r="BR48" s="3">
        <f t="shared" si="31"/>
        <v>-9.117106491904529E-6</v>
      </c>
      <c r="BS48" s="3">
        <f t="shared" si="32"/>
        <v>1.1232949098613678E-5</v>
      </c>
      <c r="BT48" s="3">
        <f t="shared" si="33"/>
        <v>5.4609716048729107E-3</v>
      </c>
      <c r="BU48"/>
      <c r="BV48" s="3">
        <v>10</v>
      </c>
      <c r="BW48" s="3">
        <f t="shared" si="44"/>
        <v>0.28808159196492344</v>
      </c>
      <c r="BX48" s="3">
        <v>-6.2962998642674198E-3</v>
      </c>
      <c r="BY48" s="3">
        <f t="shared" si="45"/>
        <v>0.2935425635697963</v>
      </c>
      <c r="BZ48" s="3">
        <v>1.1579984614546783E-2</v>
      </c>
      <c r="CA48" s="3">
        <f t="shared" si="34"/>
        <v>0.29081207776735984</v>
      </c>
      <c r="CB48" s="3">
        <v>2.6742868984425336E-3</v>
      </c>
      <c r="CC48" s="3">
        <f t="shared" si="35"/>
        <v>-1.6838112235675862E-5</v>
      </c>
      <c r="CD48" s="3">
        <f t="shared" si="36"/>
        <v>3.0968201138848577E-5</v>
      </c>
      <c r="CE48" s="3">
        <f t="shared" si="37"/>
        <v>5.4609716048728552E-3</v>
      </c>
    </row>
    <row r="49" spans="2:83" x14ac:dyDescent="0.2">
      <c r="B49" s="5" t="s">
        <v>139</v>
      </c>
      <c r="C49" s="8">
        <v>2</v>
      </c>
      <c r="F49" s="5" t="s">
        <v>107</v>
      </c>
      <c r="G49" s="8">
        <v>1.524</v>
      </c>
      <c r="H49" s="5" t="s">
        <v>13</v>
      </c>
      <c r="N49" s="3">
        <v>14</v>
      </c>
      <c r="O49" s="3">
        <f t="shared" si="25"/>
        <v>1019.10400390625</v>
      </c>
      <c r="P49" s="3">
        <v>0.35026955541479765</v>
      </c>
      <c r="Q49" s="3">
        <f t="shared" si="26"/>
        <v>1019.4091796875</v>
      </c>
      <c r="R49" s="3">
        <v>-0.47937094569783767</v>
      </c>
      <c r="S49" s="3">
        <f t="shared" si="21"/>
        <v>1019.256591796875</v>
      </c>
      <c r="T49" s="3">
        <v>-6.4519644791744213E-2</v>
      </c>
      <c r="U49" s="3">
        <f t="shared" si="22"/>
        <v>-2.2599267296724911E-2</v>
      </c>
      <c r="V49" s="3">
        <f t="shared" si="23"/>
        <v>3.092884313990699E-2</v>
      </c>
      <c r="W49" s="3">
        <f t="shared" si="24"/>
        <v>0.30517578125</v>
      </c>
      <c r="AB49" s="3">
        <v>10</v>
      </c>
      <c r="AC49" s="3">
        <f t="shared" si="46"/>
        <v>0.341796875</v>
      </c>
      <c r="AD49" s="3">
        <f t="shared" si="27"/>
        <v>2.8240941446933121E-4</v>
      </c>
      <c r="AE49" s="3">
        <f t="shared" si="47"/>
        <v>0.3427734375</v>
      </c>
      <c r="AF49" s="3">
        <f t="shared" si="28"/>
        <v>-7.6485924080321732E-4</v>
      </c>
      <c r="AG49" s="3">
        <f t="shared" si="38"/>
        <v>0.34228515625</v>
      </c>
      <c r="AH49" s="3">
        <f t="shared" si="29"/>
        <v>-2.4127485180552855E-4</v>
      </c>
      <c r="AI49" s="3">
        <f t="shared" si="39"/>
        <v>-6.8138289624573972E-8</v>
      </c>
      <c r="AJ49" s="3">
        <f t="shared" si="40"/>
        <v>1.8454129997688533E-7</v>
      </c>
      <c r="AK49" s="3">
        <f t="shared" si="41"/>
        <v>9.765625E-4</v>
      </c>
      <c r="AP49"/>
      <c r="AQ49">
        <f>BH7</f>
        <v>4.8630637252703277</v>
      </c>
      <c r="AR49">
        <f t="shared" ref="AR49:AR55" si="48">AQ49/180*PI()</f>
        <v>8.4876473740268188E-2</v>
      </c>
      <c r="AS49">
        <f t="shared" ref="AS49:AS55" si="49">1+AR49</f>
        <v>1.0848764737402683</v>
      </c>
      <c r="AT49">
        <f t="shared" ref="AT49:AT55" si="50">AS49/PI()*180</f>
        <v>62.158843238352659</v>
      </c>
      <c r="AU49"/>
      <c r="AV49">
        <f t="shared" ref="AV49:AV55" si="51">$AU$45*AQ49^3 + $AV$45*AQ49^2 + $AW$45*AQ49 + $AX$45</f>
        <v>3.8295118794871592E-3</v>
      </c>
      <c r="AW49"/>
      <c r="AX49"/>
      <c r="AY49"/>
      <c r="AZ49"/>
      <c r="BA49"/>
      <c r="BB49"/>
      <c r="BC49" s="3" t="s">
        <v>196</v>
      </c>
      <c r="BD49" s="3">
        <f>IF(BD42=0,1,BD47*BD48)</f>
        <v>0.87238360822829186</v>
      </c>
      <c r="BE49" s="3"/>
      <c r="BF49" s="3"/>
      <c r="BG49" s="3" t="s">
        <v>196</v>
      </c>
      <c r="BH49" s="3">
        <f>IF(BH42=0,1,BH47*BH48)</f>
        <v>0.80668562349210415</v>
      </c>
      <c r="BI49" s="3"/>
      <c r="BJ49"/>
      <c r="BK49" s="3">
        <v>11</v>
      </c>
      <c r="BL49" s="3">
        <f t="shared" si="42"/>
        <v>0.32084742159416069</v>
      </c>
      <c r="BM49" s="3">
        <v>-8.7296902587540443E-3</v>
      </c>
      <c r="BN49" s="3">
        <f t="shared" si="43"/>
        <v>0.32357790739659714</v>
      </c>
      <c r="BO49" s="3">
        <v>1.0443791499660585E-3</v>
      </c>
      <c r="BP49" s="3">
        <f t="shared" si="30"/>
        <v>0.32221266449537889</v>
      </c>
      <c r="BQ49" s="3">
        <v>-3.834787158731888E-3</v>
      </c>
      <c r="BR49" s="3">
        <f t="shared" si="31"/>
        <v>3.347650410397686E-5</v>
      </c>
      <c r="BS49" s="3">
        <f t="shared" si="32"/>
        <v>-4.0049717531371652E-6</v>
      </c>
      <c r="BT49" s="3">
        <f t="shared" si="33"/>
        <v>2.7304858024364553E-3</v>
      </c>
      <c r="BU49"/>
      <c r="BV49" s="3">
        <v>11</v>
      </c>
      <c r="BW49" s="3">
        <f t="shared" si="44"/>
        <v>0.28808159196492344</v>
      </c>
      <c r="BX49" s="3">
        <v>-6.2962998642674198E-3</v>
      </c>
      <c r="BY49" s="3">
        <f t="shared" si="45"/>
        <v>0.29081207776735984</v>
      </c>
      <c r="BZ49" s="3">
        <v>2.6742868984425336E-3</v>
      </c>
      <c r="CA49" s="3">
        <f t="shared" si="34"/>
        <v>0.28944683486614164</v>
      </c>
      <c r="CB49" s="3">
        <v>-1.8028398885074487E-3</v>
      </c>
      <c r="CC49" s="3">
        <f t="shared" si="35"/>
        <v>1.1351220545305339E-5</v>
      </c>
      <c r="CD49" s="3">
        <f t="shared" si="36"/>
        <v>-4.8213110938250679E-6</v>
      </c>
      <c r="CE49" s="3">
        <f t="shared" si="37"/>
        <v>2.7304858024363998E-3</v>
      </c>
    </row>
    <row r="50" spans="2:83" x14ac:dyDescent="0.2">
      <c r="B50" s="5" t="s">
        <v>140</v>
      </c>
      <c r="C50" s="8">
        <v>2</v>
      </c>
      <c r="D50" s="5" t="s">
        <v>15</v>
      </c>
      <c r="F50" s="5" t="s">
        <v>108</v>
      </c>
      <c r="G50" s="8">
        <v>152.4</v>
      </c>
      <c r="H50" s="5" t="s">
        <v>11</v>
      </c>
      <c r="N50" s="3">
        <v>15</v>
      </c>
      <c r="O50" s="3">
        <f t="shared" si="25"/>
        <v>1019.10400390625</v>
      </c>
      <c r="P50" s="3">
        <v>0.35026955541479765</v>
      </c>
      <c r="Q50" s="3">
        <f t="shared" si="26"/>
        <v>1019.256591796875</v>
      </c>
      <c r="R50" s="3">
        <v>-6.4519644791744213E-2</v>
      </c>
      <c r="S50" s="3">
        <f t="shared" si="21"/>
        <v>1019.1802978515625</v>
      </c>
      <c r="T50" s="3">
        <v>0.14288271789882856</v>
      </c>
      <c r="U50" s="3">
        <f t="shared" si="22"/>
        <v>5.0047466074880628E-2</v>
      </c>
      <c r="V50" s="3">
        <f t="shared" si="23"/>
        <v>-9.2187422057114117E-3</v>
      </c>
      <c r="W50" s="3">
        <f t="shared" si="24"/>
        <v>0.152587890625</v>
      </c>
      <c r="AB50" s="3">
        <v>11</v>
      </c>
      <c r="AC50" s="3">
        <f t="shared" si="46"/>
        <v>0.341796875</v>
      </c>
      <c r="AD50" s="3">
        <f t="shared" si="27"/>
        <v>2.8240941446933121E-4</v>
      </c>
      <c r="AE50" s="3">
        <f t="shared" si="47"/>
        <v>0.34228515625</v>
      </c>
      <c r="AF50" s="3">
        <f t="shared" si="28"/>
        <v>-2.4127485180552855E-4</v>
      </c>
      <c r="AG50" s="3">
        <f t="shared" si="38"/>
        <v>0.342041015625</v>
      </c>
      <c r="AH50" s="3">
        <f t="shared" si="29"/>
        <v>2.0554770288339075E-5</v>
      </c>
      <c r="AI50" s="3">
        <f t="shared" si="39"/>
        <v>5.8048606416814441E-9</v>
      </c>
      <c r="AJ50" s="3">
        <f t="shared" si="40"/>
        <v>-4.9593491552156918E-9</v>
      </c>
      <c r="AK50" s="3">
        <f t="shared" si="41"/>
        <v>4.8828125E-4</v>
      </c>
      <c r="AP50"/>
      <c r="AQ50">
        <f>BD26</f>
        <v>5.8739911818876873</v>
      </c>
      <c r="AR50">
        <f t="shared" si="48"/>
        <v>0.10252048635705324</v>
      </c>
      <c r="AS50">
        <f t="shared" si="49"/>
        <v>1.1025204863570532</v>
      </c>
      <c r="AT50">
        <f t="shared" si="50"/>
        <v>63.169770694970005</v>
      </c>
      <c r="AU50"/>
      <c r="AV50">
        <f t="shared" si="51"/>
        <v>5.297692702565155E-3</v>
      </c>
      <c r="AW50"/>
      <c r="AX50"/>
      <c r="AY50"/>
      <c r="AZ50"/>
      <c r="BA50"/>
      <c r="BB50"/>
      <c r="BC50" s="3" t="s">
        <v>200</v>
      </c>
      <c r="BD50" s="3">
        <f>IF(BD45&lt;$AW$43, $AR$44*BD45^2 + $AS$44*BD45 + $AT$44, IF(BD45&gt;$AX$43, $AY$44*BD45^2 + $AZ$44*BD45 + $BA$44, $AU$44*BD45^3 + $AV$44*BD45^2 + $AW$44*BD45 + $AX$44))</f>
        <v>0.90778725587941977</v>
      </c>
      <c r="BE50" s="3"/>
      <c r="BF50" s="3"/>
      <c r="BG50" s="3" t="s">
        <v>200</v>
      </c>
      <c r="BH50" s="3">
        <f>IF(BH45&lt;$AW$43, $AR$44*BH45^2 + $AS$44*BH45 + $AT$44, IF(BH45&gt;$AX$43, $AY$44*BH45^2 + $AZ$44*BH45 + $BA$44, $AU$44*BH45^3 + $AV$44*BH45^2 + $AW$44*BH45 + $AX$44))</f>
        <v>0.86805965952782715</v>
      </c>
      <c r="BI50" s="3"/>
      <c r="BJ50"/>
      <c r="BK50" s="3">
        <v>12</v>
      </c>
      <c r="BL50" s="3">
        <f t="shared" si="42"/>
        <v>0.32221266449537889</v>
      </c>
      <c r="BM50" s="3">
        <v>-3.834787158731888E-3</v>
      </c>
      <c r="BN50" s="3">
        <f t="shared" si="43"/>
        <v>0.32357790739659714</v>
      </c>
      <c r="BO50" s="3">
        <v>1.0443791499660585E-3</v>
      </c>
      <c r="BP50" s="3">
        <f t="shared" si="30"/>
        <v>0.32289528594598804</v>
      </c>
      <c r="BQ50" s="3">
        <v>-1.3932388810630886E-3</v>
      </c>
      <c r="BR50" s="3">
        <f t="shared" si="31"/>
        <v>5.342774570146716E-6</v>
      </c>
      <c r="BS50" s="3">
        <f t="shared" si="32"/>
        <v>-1.4550696383043309E-6</v>
      </c>
      <c r="BT50" s="3">
        <f t="shared" si="33"/>
        <v>1.3652429012182554E-3</v>
      </c>
      <c r="BU50"/>
      <c r="BV50" s="3">
        <v>12</v>
      </c>
      <c r="BW50" s="3">
        <f t="shared" si="44"/>
        <v>0.28944683486614164</v>
      </c>
      <c r="BX50" s="3">
        <v>-1.8028398885074487E-3</v>
      </c>
      <c r="BY50" s="3">
        <f t="shared" si="45"/>
        <v>0.29081207776735984</v>
      </c>
      <c r="BZ50" s="3">
        <v>2.6742868984425336E-3</v>
      </c>
      <c r="CA50" s="3">
        <f t="shared" si="34"/>
        <v>0.29012945631675074</v>
      </c>
      <c r="CB50" s="3">
        <v>4.3775808763157203E-4</v>
      </c>
      <c r="CC50" s="3">
        <f t="shared" si="35"/>
        <v>-7.8920774189893724E-7</v>
      </c>
      <c r="CD50" s="3">
        <f t="shared" si="36"/>
        <v>1.1706907184403717E-6</v>
      </c>
      <c r="CE50" s="3">
        <f t="shared" si="37"/>
        <v>1.3652429012181999E-3</v>
      </c>
    </row>
    <row r="51" spans="2:83" x14ac:dyDescent="0.2">
      <c r="B51" s="5" t="s">
        <v>141</v>
      </c>
      <c r="C51" s="8">
        <f>0.15*1.25</f>
        <v>0.1875</v>
      </c>
      <c r="D51" s="5" t="s">
        <v>11</v>
      </c>
      <c r="F51" s="5" t="s">
        <v>110</v>
      </c>
      <c r="G51" s="5">
        <f xml:space="preserve"> $G$50/$G$49</f>
        <v>100</v>
      </c>
      <c r="H51" s="5" t="s">
        <v>18</v>
      </c>
      <c r="N51" s="3">
        <v>16</v>
      </c>
      <c r="O51" s="3">
        <f t="shared" si="25"/>
        <v>1019.1802978515625</v>
      </c>
      <c r="P51" s="3">
        <v>0.14288271789882856</v>
      </c>
      <c r="Q51" s="3">
        <f t="shared" si="26"/>
        <v>1019.256591796875</v>
      </c>
      <c r="R51" s="3">
        <v>-6.4519644791744213E-2</v>
      </c>
      <c r="S51" s="3">
        <f t="shared" si="21"/>
        <v>1019.2184448242188</v>
      </c>
      <c r="T51" s="3">
        <v>3.9183477200367633E-2</v>
      </c>
      <c r="U51" s="3">
        <f t="shared" si="22"/>
        <v>5.5986417191153095E-3</v>
      </c>
      <c r="V51" s="3">
        <f t="shared" si="23"/>
        <v>-2.5281040306731279E-3</v>
      </c>
      <c r="W51" s="3">
        <f t="shared" si="24"/>
        <v>7.62939453125E-2</v>
      </c>
      <c r="AB51" s="3">
        <v>12</v>
      </c>
      <c r="AC51" s="3">
        <f t="shared" si="46"/>
        <v>0.342041015625</v>
      </c>
      <c r="AD51" s="3">
        <f t="shared" si="27"/>
        <v>2.0554770288339075E-5</v>
      </c>
      <c r="AE51" s="3">
        <f t="shared" si="47"/>
        <v>0.34228515625</v>
      </c>
      <c r="AF51" s="3">
        <f t="shared" si="28"/>
        <v>-2.4127485180552855E-4</v>
      </c>
      <c r="AG51" s="3">
        <f t="shared" si="38"/>
        <v>0.3421630859375</v>
      </c>
      <c r="AH51" s="3">
        <f t="shared" si="29"/>
        <v>-1.1036316521567668E-4</v>
      </c>
      <c r="AI51" s="3">
        <f t="shared" si="39"/>
        <v>-2.2684895093022475E-9</v>
      </c>
      <c r="AJ51" s="3">
        <f t="shared" si="40"/>
        <v>2.6627856332201454E-8</v>
      </c>
      <c r="AK51" s="3">
        <f t="shared" si="41"/>
        <v>2.44140625E-4</v>
      </c>
      <c r="AP51"/>
      <c r="AQ51">
        <f>BH26</f>
        <v>6.3000787777826179</v>
      </c>
      <c r="AR51">
        <f t="shared" si="48"/>
        <v>0.10995711780732687</v>
      </c>
      <c r="AS51">
        <f t="shared" si="49"/>
        <v>1.1099571178073269</v>
      </c>
      <c r="AT51">
        <f t="shared" si="50"/>
        <v>63.595858290864939</v>
      </c>
      <c r="AU51"/>
      <c r="AV51">
        <f t="shared" si="51"/>
        <v>6.1035456603418508E-3</v>
      </c>
      <c r="AW51"/>
      <c r="AX51"/>
      <c r="AY51"/>
      <c r="AZ51"/>
      <c r="BA51"/>
      <c r="BB51"/>
      <c r="BC51" s="3" t="s">
        <v>201</v>
      </c>
      <c r="BD51" s="3">
        <f>IF(BD45&lt;$AW$43, $AR$45*BD45^2 + $AS$45*BD45 + $AT$45, IF(BD45&gt;$AX$43, $AY$45*BD45^2 + $AZ$45*BD45 + $BA$45, $AU$45*BD45^3 + $AV$45*BD45^2 + $AW$45*BD45 + $AX$45))</f>
        <v>6.1164070592349077E-3</v>
      </c>
      <c r="BE51" s="3"/>
      <c r="BF51" s="3"/>
      <c r="BG51" s="3" t="s">
        <v>201</v>
      </c>
      <c r="BH51" s="3">
        <f>IF(BH45&lt;$AW$43, $AR$45*BH45^2 + $AS$45*BH45 + $AT$45, IF(BH45&gt;$AX$43, $AY$45*BH45^2 + $AZ$45*BH45 + $BA$45, $AU$45*BH45^3 + $AV$45*BH45^2 + $AW$45*BH45 + $AX$45))</f>
        <v>5.4161612149926409E-3</v>
      </c>
      <c r="BI51" s="3"/>
      <c r="BJ51"/>
      <c r="BK51" s="3">
        <v>13</v>
      </c>
      <c r="BL51" s="3">
        <f t="shared" si="42"/>
        <v>0.32289528594598804</v>
      </c>
      <c r="BM51" s="3">
        <v>-1.3932388810630886E-3</v>
      </c>
      <c r="BN51" s="3">
        <f t="shared" si="43"/>
        <v>0.32357790739659714</v>
      </c>
      <c r="BO51" s="3">
        <v>1.0443791499660585E-3</v>
      </c>
      <c r="BP51" s="3">
        <f t="shared" si="30"/>
        <v>0.32323659667129256</v>
      </c>
      <c r="BQ51" s="3">
        <v>-1.739388259162436E-4</v>
      </c>
      <c r="BR51" s="3">
        <f t="shared" si="31"/>
        <v>2.4233833519297457E-7</v>
      </c>
      <c r="BS51" s="3">
        <f t="shared" si="32"/>
        <v>-1.816580831565007E-7</v>
      </c>
      <c r="BT51" s="3">
        <f t="shared" si="33"/>
        <v>6.8262145060909996E-4</v>
      </c>
      <c r="BU51"/>
      <c r="BV51" s="3">
        <v>13</v>
      </c>
      <c r="BW51" s="3">
        <f t="shared" si="44"/>
        <v>0.28944683486614164</v>
      </c>
      <c r="BX51" s="3">
        <v>-1.8028398885074487E-3</v>
      </c>
      <c r="BY51" s="3">
        <f t="shared" si="45"/>
        <v>0.29012945631675074</v>
      </c>
      <c r="BZ51" s="3">
        <v>4.3775808763157203E-4</v>
      </c>
      <c r="CA51" s="3">
        <f t="shared" si="34"/>
        <v>0.28978814559144617</v>
      </c>
      <c r="CB51" s="3">
        <v>-6.820313799429864E-4</v>
      </c>
      <c r="CC51" s="3">
        <f t="shared" si="35"/>
        <v>1.229593376974995E-6</v>
      </c>
      <c r="CD51" s="3">
        <f t="shared" si="36"/>
        <v>-2.9856475258856384E-7</v>
      </c>
      <c r="CE51" s="3">
        <f t="shared" si="37"/>
        <v>6.8262145060909996E-4</v>
      </c>
    </row>
    <row r="52" spans="2:83" x14ac:dyDescent="0.2">
      <c r="F52" s="5" t="s">
        <v>26</v>
      </c>
      <c r="G52" s="5">
        <f xml:space="preserve"> $C$5 * $C$68 / $C$21</f>
        <v>1487.48834466875</v>
      </c>
      <c r="H52" s="5" t="s">
        <v>27</v>
      </c>
      <c r="N52" s="3">
        <v>17</v>
      </c>
      <c r="O52" s="3">
        <f t="shared" si="25"/>
        <v>1019.2184448242188</v>
      </c>
      <c r="P52" s="3">
        <v>3.9183477200367633E-2</v>
      </c>
      <c r="Q52" s="3">
        <f t="shared" si="26"/>
        <v>1019.256591796875</v>
      </c>
      <c r="R52" s="3">
        <v>-6.4519644791744213E-2</v>
      </c>
      <c r="S52" s="3">
        <f t="shared" si="21"/>
        <v>1019.2375183105469</v>
      </c>
      <c r="T52" s="3">
        <v>-1.2667598634152455E-2</v>
      </c>
      <c r="U52" s="3">
        <f t="shared" si="22"/>
        <v>-4.9636056226472095E-4</v>
      </c>
      <c r="V52" s="3">
        <f t="shared" si="23"/>
        <v>8.1730896423990059E-4</v>
      </c>
      <c r="W52" s="3">
        <f t="shared" si="24"/>
        <v>3.814697265625E-2</v>
      </c>
      <c r="AB52" s="3">
        <v>13</v>
      </c>
      <c r="AC52" s="3">
        <f t="shared" si="46"/>
        <v>0.342041015625</v>
      </c>
      <c r="AD52" s="3">
        <f t="shared" si="27"/>
        <v>2.0554770288339075E-5</v>
      </c>
      <c r="AE52" s="3">
        <f t="shared" si="47"/>
        <v>0.3421630859375</v>
      </c>
      <c r="AF52" s="3">
        <f t="shared" si="28"/>
        <v>-1.1036316521567668E-4</v>
      </c>
      <c r="AG52" s="3">
        <f t="shared" si="38"/>
        <v>0.34210205078125</v>
      </c>
      <c r="AH52" s="3">
        <f t="shared" si="29"/>
        <v>-4.4904978990567557E-5</v>
      </c>
      <c r="AI52" s="3">
        <f t="shared" si="39"/>
        <v>-9.2301152795380838E-10</v>
      </c>
      <c r="AJ52" s="3">
        <f t="shared" si="40"/>
        <v>4.9558556153424973E-9</v>
      </c>
      <c r="AK52" s="3">
        <f t="shared" si="41"/>
        <v>1.220703125E-4</v>
      </c>
      <c r="AP52"/>
      <c r="AQ52">
        <f>BD45</f>
        <v>6.3064438028261049</v>
      </c>
      <c r="AR52">
        <f t="shared" si="48"/>
        <v>0.1100682084513076</v>
      </c>
      <c r="AS52">
        <f t="shared" si="49"/>
        <v>1.1100682084513076</v>
      </c>
      <c r="AT52">
        <f t="shared" si="50"/>
        <v>63.602223315908425</v>
      </c>
      <c r="AU52"/>
      <c r="AV52">
        <f t="shared" si="51"/>
        <v>6.1164070592349077E-3</v>
      </c>
      <c r="AW52"/>
      <c r="AX52"/>
      <c r="AY52"/>
      <c r="AZ52"/>
      <c r="BA52"/>
      <c r="BB52"/>
      <c r="BC52" s="3" t="s">
        <v>203</v>
      </c>
      <c r="BD52" s="3">
        <f xml:space="preserve"> BD50*COS(BD42) - BD51*SIN(BD42)</f>
        <v>0.87473213264434047</v>
      </c>
      <c r="BE52" s="3"/>
      <c r="BF52" s="3"/>
      <c r="BG52" s="3" t="s">
        <v>203</v>
      </c>
      <c r="BH52" s="3">
        <f xml:space="preserve"> BH50*COS(BH42) - BH51*SIN(BH42)</f>
        <v>0.8409165735368358</v>
      </c>
      <c r="BI52" s="3"/>
      <c r="BJ52"/>
      <c r="BK52" s="3">
        <v>14</v>
      </c>
      <c r="BL52" s="3">
        <f t="shared" si="42"/>
        <v>0.32323659667129256</v>
      </c>
      <c r="BM52" s="3">
        <v>-1.739388259162436E-4</v>
      </c>
      <c r="BN52" s="3">
        <f t="shared" si="43"/>
        <v>0.32357790739659714</v>
      </c>
      <c r="BO52" s="3">
        <v>1.0443791499660585E-3</v>
      </c>
      <c r="BP52" s="3">
        <f t="shared" si="30"/>
        <v>0.32340725203394483</v>
      </c>
      <c r="BQ52" s="3">
        <v>4.3534289213984639E-4</v>
      </c>
      <c r="BR52" s="3">
        <f t="shared" si="31"/>
        <v>-7.5723031529786752E-8</v>
      </c>
      <c r="BS52" s="3">
        <f t="shared" si="32"/>
        <v>4.5466303963677823E-7</v>
      </c>
      <c r="BT52" s="3">
        <f t="shared" si="33"/>
        <v>3.4131072530457773E-4</v>
      </c>
      <c r="BU52"/>
      <c r="BV52" s="3">
        <v>14</v>
      </c>
      <c r="BW52" s="3">
        <f t="shared" si="44"/>
        <v>0.28978814559144617</v>
      </c>
      <c r="BX52" s="3">
        <v>-6.820313799429864E-4</v>
      </c>
      <c r="BY52" s="3">
        <f t="shared" si="45"/>
        <v>0.29012945631675074</v>
      </c>
      <c r="BZ52" s="3">
        <v>4.3775808763157203E-4</v>
      </c>
      <c r="CA52" s="3">
        <f t="shared" si="34"/>
        <v>0.28995880095409843</v>
      </c>
      <c r="CB52" s="3">
        <v>-1.2200937590833849E-4</v>
      </c>
      <c r="CC52" s="3">
        <f t="shared" si="35"/>
        <v>8.3214223016746657E-8</v>
      </c>
      <c r="CD52" s="3">
        <f t="shared" si="36"/>
        <v>-5.3410591070755858E-8</v>
      </c>
      <c r="CE52" s="3">
        <f t="shared" si="37"/>
        <v>3.4131072530457773E-4</v>
      </c>
    </row>
    <row r="53" spans="2:83" x14ac:dyDescent="0.2">
      <c r="B53" s="51" t="s">
        <v>142</v>
      </c>
      <c r="C53" s="51"/>
      <c r="D53" s="51"/>
      <c r="F53" s="34" t="s">
        <v>109</v>
      </c>
      <c r="G53" s="34">
        <f xml:space="preserve"> 1/1000 * IF( $G$49&gt;=2*SQRT(($C$5*$C$68)/(2*$C$65*$C$21*PI()*$C$7*$C$7)), ($C$5*$C$68)/$C$24 * ( ($G$49/2) - SQRT( ($G$49/2)^2 - ($C$5*$C$68)/(2*$C$65*$C$21*PI()*$C$7*$C$7 ) ) ), 1/$C$24 * SQRT(($C$5*$C$68)^3/(2*$C$65*$C$21*PI()*$C$7*$C$7)) )</f>
        <v>220.57236627229776</v>
      </c>
      <c r="H53" s="34" t="s">
        <v>81</v>
      </c>
      <c r="N53" s="3">
        <v>18</v>
      </c>
      <c r="O53" s="3">
        <f t="shared" si="25"/>
        <v>1019.2184448242188</v>
      </c>
      <c r="P53" s="3">
        <v>3.9183477200367633E-2</v>
      </c>
      <c r="Q53" s="3">
        <f t="shared" si="26"/>
        <v>1019.2375183105469</v>
      </c>
      <c r="R53" s="3">
        <v>-1.2667598634152455E-2</v>
      </c>
      <c r="S53" s="3">
        <f t="shared" si="21"/>
        <v>1019.2279815673828</v>
      </c>
      <c r="T53" s="3">
        <v>1.3258060573889452E-2</v>
      </c>
      <c r="U53" s="3">
        <f t="shared" si="22"/>
        <v>5.1949691421809038E-4</v>
      </c>
      <c r="V53" s="3">
        <f t="shared" si="23"/>
        <v>-1.6794779001731252E-4</v>
      </c>
      <c r="W53" s="3">
        <f t="shared" si="24"/>
        <v>1.9073486328125E-2</v>
      </c>
      <c r="AB53" s="3">
        <v>14</v>
      </c>
      <c r="AC53" s="3">
        <f t="shared" si="46"/>
        <v>0.342041015625</v>
      </c>
      <c r="AD53" s="3">
        <f t="shared" si="27"/>
        <v>2.0554770288339075E-5</v>
      </c>
      <c r="AE53" s="3">
        <f t="shared" si="47"/>
        <v>0.34210205078125</v>
      </c>
      <c r="AF53" s="3">
        <f t="shared" si="28"/>
        <v>-4.4904978990567557E-5</v>
      </c>
      <c r="AG53" s="3">
        <f t="shared" si="38"/>
        <v>0.342071533203125</v>
      </c>
      <c r="AH53" s="3">
        <f t="shared" si="29"/>
        <v>-1.2175299784422666E-5</v>
      </c>
      <c r="AI53" s="3">
        <f t="shared" si="39"/>
        <v>-2.5026049026047218E-10</v>
      </c>
      <c r="AJ53" s="3">
        <f t="shared" si="40"/>
        <v>5.4673158102336153E-10</v>
      </c>
      <c r="AK53" s="3">
        <f t="shared" si="41"/>
        <v>6.103515625E-5</v>
      </c>
      <c r="AP53"/>
      <c r="AQ53">
        <f>BH45</f>
        <v>5.9404297271743385</v>
      </c>
      <c r="AR53">
        <f t="shared" si="48"/>
        <v>0.10368005772254067</v>
      </c>
      <c r="AS53">
        <f t="shared" si="49"/>
        <v>1.1036800577225407</v>
      </c>
      <c r="AT53">
        <f t="shared" si="50"/>
        <v>63.236209240256663</v>
      </c>
      <c r="AU53"/>
      <c r="AV53">
        <f t="shared" si="51"/>
        <v>5.4161612149926409E-3</v>
      </c>
      <c r="AW53"/>
      <c r="AX53"/>
      <c r="AY53"/>
      <c r="AZ53"/>
      <c r="BA53"/>
      <c r="BB53"/>
      <c r="BC53" s="3" t="s">
        <v>205</v>
      </c>
      <c r="BD53" s="3">
        <f xml:space="preserve"> BD50*SIN(BD42) + BD51*COS(BD42)</f>
        <v>0.24281434984754388</v>
      </c>
      <c r="BE53" s="3"/>
      <c r="BF53" s="3"/>
      <c r="BG53" s="3" t="s">
        <v>205</v>
      </c>
      <c r="BH53" s="3">
        <f xml:space="preserve"> BH50*SIN(BH42) + BH51*COS(BH42)</f>
        <v>0.2154442472031716</v>
      </c>
      <c r="BI53" s="3"/>
      <c r="BJ53"/>
      <c r="BK53" s="3">
        <v>15</v>
      </c>
      <c r="BL53" s="3">
        <f t="shared" si="42"/>
        <v>0.32323659667129256</v>
      </c>
      <c r="BM53" s="3">
        <v>-1.739388259162436E-4</v>
      </c>
      <c r="BN53" s="3">
        <f t="shared" si="43"/>
        <v>0.32340725203394483</v>
      </c>
      <c r="BO53" s="3">
        <v>4.3534289213984639E-4</v>
      </c>
      <c r="BP53" s="3">
        <f t="shared" si="30"/>
        <v>0.32332192435261869</v>
      </c>
      <c r="BQ53" s="3">
        <v>1.3073271934882502E-4</v>
      </c>
      <c r="BR53" s="3">
        <f t="shared" si="31"/>
        <v>-2.2739495712372405E-8</v>
      </c>
      <c r="BS53" s="3">
        <f t="shared" si="32"/>
        <v>5.6913560138624341E-8</v>
      </c>
      <c r="BT53" s="3">
        <f t="shared" si="33"/>
        <v>1.7065536265226111E-4</v>
      </c>
      <c r="BU53"/>
      <c r="BV53" s="3">
        <v>15</v>
      </c>
      <c r="BW53" s="3">
        <f t="shared" si="44"/>
        <v>0.28995880095409843</v>
      </c>
      <c r="BX53" s="3">
        <v>-1.2200937590833849E-4</v>
      </c>
      <c r="BY53" s="3">
        <f t="shared" si="45"/>
        <v>0.29012945631675074</v>
      </c>
      <c r="BZ53" s="3">
        <v>4.3775808763157203E-4</v>
      </c>
      <c r="CA53" s="3">
        <f t="shared" si="34"/>
        <v>0.29004412863542461</v>
      </c>
      <c r="CB53" s="3">
        <v>1.57906159734926E-4</v>
      </c>
      <c r="CC53" s="3">
        <f t="shared" si="35"/>
        <v>-1.926603200134073E-8</v>
      </c>
      <c r="CD53" s="3">
        <f t="shared" si="36"/>
        <v>6.9124698510806748E-8</v>
      </c>
      <c r="CE53" s="3">
        <f t="shared" si="37"/>
        <v>1.7065536265231662E-4</v>
      </c>
    </row>
    <row r="54" spans="2:83" x14ac:dyDescent="0.2">
      <c r="B54" s="5" t="s">
        <v>143</v>
      </c>
      <c r="C54" s="8">
        <v>1.2</v>
      </c>
      <c r="N54" s="3">
        <v>19</v>
      </c>
      <c r="O54" s="3">
        <f t="shared" si="25"/>
        <v>1019.2279815673828</v>
      </c>
      <c r="P54" s="3">
        <v>1.3258060573889452E-2</v>
      </c>
      <c r="Q54" s="3">
        <f t="shared" si="26"/>
        <v>1019.2375183105469</v>
      </c>
      <c r="R54" s="3">
        <v>-1.2667598634152455E-2</v>
      </c>
      <c r="S54" s="3">
        <f t="shared" si="21"/>
        <v>1019.2327499389648</v>
      </c>
      <c r="T54" s="3">
        <v>2.9526129219448194E-4</v>
      </c>
      <c r="U54" s="3">
        <f t="shared" si="22"/>
        <v>3.9145920970393144E-6</v>
      </c>
      <c r="V54" s="3">
        <f t="shared" si="23"/>
        <v>-3.7402515417209083E-6</v>
      </c>
      <c r="W54" s="3">
        <f t="shared" si="24"/>
        <v>9.5367431640625E-3</v>
      </c>
      <c r="AB54" s="3">
        <v>15</v>
      </c>
      <c r="AC54" s="3">
        <f t="shared" si="46"/>
        <v>0.342041015625</v>
      </c>
      <c r="AD54" s="3">
        <f t="shared" si="27"/>
        <v>2.0554770288339075E-5</v>
      </c>
      <c r="AE54" s="3">
        <f t="shared" si="47"/>
        <v>0.342071533203125</v>
      </c>
      <c r="AF54" s="3">
        <f t="shared" si="28"/>
        <v>-1.2175299784422666E-5</v>
      </c>
      <c r="AG54" s="3">
        <f t="shared" si="38"/>
        <v>0.3420562744140625</v>
      </c>
      <c r="AH54" s="3">
        <f t="shared" si="29"/>
        <v>4.1896863871571099E-6</v>
      </c>
      <c r="AI54" s="3">
        <f t="shared" si="39"/>
        <v>8.6118041268195641E-11</v>
      </c>
      <c r="AJ54" s="3">
        <f t="shared" si="40"/>
        <v>-5.1010687766352538E-11</v>
      </c>
      <c r="AK54" s="3">
        <f t="shared" si="41"/>
        <v>3.0517578125E-5</v>
      </c>
      <c r="AP54"/>
      <c r="AQ54">
        <f>BD64</f>
        <v>5.1294720748439424</v>
      </c>
      <c r="AR54">
        <f t="shared" si="48"/>
        <v>8.952617659513179E-2</v>
      </c>
      <c r="AS54">
        <f t="shared" si="49"/>
        <v>1.0895261765951318</v>
      </c>
      <c r="AT54">
        <f t="shared" si="50"/>
        <v>62.425251587926269</v>
      </c>
      <c r="AU54"/>
      <c r="AV54">
        <f t="shared" si="51"/>
        <v>4.1548056321690525E-3</v>
      </c>
      <c r="AW54"/>
      <c r="AX54"/>
      <c r="AY54"/>
      <c r="AZ54"/>
      <c r="BA54"/>
      <c r="BB54"/>
      <c r="BC54" s="3" t="s">
        <v>46</v>
      </c>
      <c r="BD54" s="3">
        <f xml:space="preserve"> 4*BD49*SIN(BD42)*SIN(BD42) / (BD46*BD52)</f>
        <v>1.1670929448162453</v>
      </c>
      <c r="BE54" s="3"/>
      <c r="BF54" s="3"/>
      <c r="BG54" s="3" t="s">
        <v>46</v>
      </c>
      <c r="BH54" s="3">
        <f xml:space="preserve"> 4*BH49*SIN(BH42)*SIN(BH42) / (BH46*BH52)</f>
        <v>1.1542390681117172</v>
      </c>
      <c r="BI54" s="3"/>
      <c r="BJ54"/>
      <c r="BK54" s="3">
        <v>16</v>
      </c>
      <c r="BL54" s="3">
        <f t="shared" si="42"/>
        <v>0.32323659667129256</v>
      </c>
      <c r="BM54" s="3">
        <v>-1.739388259162436E-4</v>
      </c>
      <c r="BN54" s="3">
        <f t="shared" si="43"/>
        <v>0.32332192435261869</v>
      </c>
      <c r="BO54" s="3">
        <v>1.3073271934882502E-4</v>
      </c>
      <c r="BP54" s="3">
        <f t="shared" si="30"/>
        <v>0.32327926051195566</v>
      </c>
      <c r="BQ54" s="3">
        <v>-2.1595381259439939E-5</v>
      </c>
      <c r="BR54" s="3">
        <f t="shared" si="31"/>
        <v>3.7562752614806332E-9</v>
      </c>
      <c r="BS54" s="3">
        <f t="shared" si="32"/>
        <v>-2.823222917421237E-9</v>
      </c>
      <c r="BT54" s="3">
        <f t="shared" si="33"/>
        <v>8.5327681326130556E-5</v>
      </c>
      <c r="BU54"/>
      <c r="BV54" s="3">
        <v>16</v>
      </c>
      <c r="BW54" s="3">
        <f t="shared" si="44"/>
        <v>0.28995880095409843</v>
      </c>
      <c r="BX54" s="3">
        <v>-1.2200937590833849E-4</v>
      </c>
      <c r="BY54" s="3">
        <f t="shared" si="45"/>
        <v>0.29004412863542461</v>
      </c>
      <c r="BZ54" s="3">
        <v>1.57906159734926E-4</v>
      </c>
      <c r="CA54" s="3">
        <f t="shared" si="34"/>
        <v>0.29000146479476152</v>
      </c>
      <c r="CB54" s="3">
        <v>1.7956344590584761E-5</v>
      </c>
      <c r="CC54" s="3">
        <f t="shared" si="35"/>
        <v>-2.1908423970923164E-9</v>
      </c>
      <c r="CD54" s="3">
        <f t="shared" si="36"/>
        <v>2.8354174171762517E-9</v>
      </c>
      <c r="CE54" s="3">
        <f t="shared" si="37"/>
        <v>8.5327681326186067E-5</v>
      </c>
    </row>
    <row r="55" spans="2:83" x14ac:dyDescent="0.2">
      <c r="B55" s="5" t="s">
        <v>144</v>
      </c>
      <c r="C55" s="8">
        <v>2.5</v>
      </c>
      <c r="D55" s="5" t="s">
        <v>15</v>
      </c>
      <c r="N55" s="3">
        <v>20</v>
      </c>
      <c r="O55" s="3">
        <f t="shared" si="25"/>
        <v>1019.2327499389648</v>
      </c>
      <c r="P55" s="3">
        <v>2.9526129219448194E-4</v>
      </c>
      <c r="Q55" s="3">
        <f t="shared" si="26"/>
        <v>1019.2375183105469</v>
      </c>
      <c r="R55" s="3">
        <v>-1.2667598634152455E-2</v>
      </c>
      <c r="S55" s="3">
        <f t="shared" si="21"/>
        <v>1019.2351341247559</v>
      </c>
      <c r="T55" s="3">
        <v>-6.1861610899995867E-3</v>
      </c>
      <c r="U55" s="3">
        <f t="shared" si="22"/>
        <v>-1.8265339171565028E-6</v>
      </c>
      <c r="V55" s="3">
        <f t="shared" si="23"/>
        <v>7.8363805774325825E-5</v>
      </c>
      <c r="W55" s="3">
        <f t="shared" si="24"/>
        <v>4.76837158203125E-3</v>
      </c>
      <c r="AB55" s="3">
        <v>16</v>
      </c>
      <c r="AC55" s="3">
        <f t="shared" si="46"/>
        <v>0.3420562744140625</v>
      </c>
      <c r="AD55" s="3">
        <f t="shared" si="27"/>
        <v>4.1896863871571099E-6</v>
      </c>
      <c r="AE55" s="3">
        <f t="shared" si="47"/>
        <v>0.342071533203125</v>
      </c>
      <c r="AF55" s="3">
        <f t="shared" si="28"/>
        <v>-1.2175299784422666E-5</v>
      </c>
      <c r="AG55" s="3">
        <f t="shared" si="38"/>
        <v>0.34206390380859375</v>
      </c>
      <c r="AH55" s="3">
        <f t="shared" si="29"/>
        <v>-3.9928189140003845E-6</v>
      </c>
      <c r="AI55" s="3">
        <f t="shared" si="39"/>
        <v>-1.6728659050370845E-11</v>
      </c>
      <c r="AJ55" s="3">
        <f t="shared" si="40"/>
        <v>4.8613767262867624E-11</v>
      </c>
      <c r="AK55" s="3">
        <f t="shared" si="41"/>
        <v>1.52587890625E-5</v>
      </c>
      <c r="AP55"/>
      <c r="AQ55">
        <f>BH64</f>
        <v>3.3409538226202131</v>
      </c>
      <c r="AR55">
        <f t="shared" si="48"/>
        <v>5.8310644361813324E-2</v>
      </c>
      <c r="AS55">
        <f t="shared" si="49"/>
        <v>1.0583106443618133</v>
      </c>
      <c r="AT55">
        <f t="shared" si="50"/>
        <v>60.636733335702537</v>
      </c>
      <c r="AU55"/>
      <c r="AV55">
        <f t="shared" si="51"/>
        <v>2.8470317204467976E-3</v>
      </c>
      <c r="AW55"/>
      <c r="AX55"/>
      <c r="AY55"/>
      <c r="AZ55"/>
      <c r="BA55"/>
      <c r="BB55"/>
      <c r="BC55" s="3" t="s">
        <v>207</v>
      </c>
      <c r="BD55" s="3">
        <f xml:space="preserve"> 4*BD49*SIN(BD42)*COS(BD42) / (BD46*BD53)</f>
        <v>15.552128173128425</v>
      </c>
      <c r="BE55" s="3"/>
      <c r="BF55" s="3"/>
      <c r="BG55" s="3" t="s">
        <v>207</v>
      </c>
      <c r="BH55" s="3">
        <f xml:space="preserve"> 4*BH49*SIN(BH42)*COS(BH42) / (BH46*BH53)</f>
        <v>18.052316891574975</v>
      </c>
      <c r="BI55" s="3"/>
      <c r="BJ55"/>
      <c r="BK55" s="3">
        <v>17</v>
      </c>
      <c r="BL55" s="3">
        <f t="shared" si="42"/>
        <v>0.32327926051195566</v>
      </c>
      <c r="BM55" s="3">
        <v>-2.1595381259439939E-5</v>
      </c>
      <c r="BN55" s="3">
        <f t="shared" si="43"/>
        <v>0.32332192435261869</v>
      </c>
      <c r="BO55" s="3">
        <v>1.3073271934882502E-4</v>
      </c>
      <c r="BP55" s="3">
        <f t="shared" si="30"/>
        <v>0.32330059243228715</v>
      </c>
      <c r="BQ55" s="3">
        <v>5.457058699243067E-5</v>
      </c>
      <c r="BR55" s="3">
        <f t="shared" si="31"/>
        <v>-1.1784726316529741E-9</v>
      </c>
      <c r="BS55" s="3">
        <f t="shared" si="32"/>
        <v>7.1341612339820797E-9</v>
      </c>
      <c r="BT55" s="3">
        <f t="shared" si="33"/>
        <v>4.2663840663037522E-5</v>
      </c>
      <c r="BU55"/>
      <c r="BV55" s="3">
        <v>17</v>
      </c>
      <c r="BW55" s="3">
        <f t="shared" si="44"/>
        <v>0.28995880095409843</v>
      </c>
      <c r="BX55" s="3">
        <v>-1.2200937590833849E-4</v>
      </c>
      <c r="BY55" s="3">
        <f t="shared" si="45"/>
        <v>0.29000146479476152</v>
      </c>
      <c r="BZ55" s="3">
        <v>1.7956344590584761E-5</v>
      </c>
      <c r="CA55" s="3">
        <f t="shared" si="34"/>
        <v>0.28998013287442997</v>
      </c>
      <c r="CB55" s="3">
        <v>-5.2024527275679189E-5</v>
      </c>
      <c r="CC55" s="3">
        <f t="shared" si="35"/>
        <v>6.3474801048319513E-9</v>
      </c>
      <c r="CD55" s="3">
        <f t="shared" si="36"/>
        <v>-9.341703389243713E-10</v>
      </c>
      <c r="CE55" s="3">
        <f t="shared" si="37"/>
        <v>4.2663840663093033E-5</v>
      </c>
    </row>
    <row r="56" spans="2:83" x14ac:dyDescent="0.2">
      <c r="B56" s="5" t="s">
        <v>145</v>
      </c>
      <c r="C56" s="8">
        <f>0.12*2.92</f>
        <v>0.35039999999999999</v>
      </c>
      <c r="D56" s="5" t="s">
        <v>11</v>
      </c>
      <c r="N56" s="3">
        <v>21</v>
      </c>
      <c r="O56" s="3">
        <f t="shared" si="25"/>
        <v>1019.2327499389648</v>
      </c>
      <c r="P56" s="3">
        <v>2.9526129219448194E-4</v>
      </c>
      <c r="Q56" s="3">
        <f t="shared" si="26"/>
        <v>1019.2351341247559</v>
      </c>
      <c r="R56" s="3">
        <v>-6.1861610899995867E-3</v>
      </c>
      <c r="S56" s="3">
        <f t="shared" si="21"/>
        <v>1019.2339420318604</v>
      </c>
      <c r="T56" s="3">
        <v>-2.9454480040840281E-3</v>
      </c>
      <c r="U56" s="3">
        <f t="shared" si="22"/>
        <v>-8.6967678377750781E-7</v>
      </c>
      <c r="V56" s="3">
        <f t="shared" si="23"/>
        <v>1.8221015835481557E-5</v>
      </c>
      <c r="W56" s="3">
        <f t="shared" si="24"/>
        <v>2.384185791015625E-3</v>
      </c>
      <c r="AB56" s="3">
        <v>17</v>
      </c>
      <c r="AC56" s="3">
        <f t="shared" si="46"/>
        <v>0.3420562744140625</v>
      </c>
      <c r="AD56" s="3">
        <f t="shared" si="27"/>
        <v>4.1896863871571099E-6</v>
      </c>
      <c r="AE56" s="3">
        <f t="shared" si="47"/>
        <v>0.34206390380859375</v>
      </c>
      <c r="AF56" s="3">
        <f t="shared" si="28"/>
        <v>-3.9928189140003845E-6</v>
      </c>
      <c r="AG56" s="3">
        <f t="shared" si="38"/>
        <v>0.34206008911132812</v>
      </c>
      <c r="AH56" s="3">
        <f t="shared" si="29"/>
        <v>9.8430682660133328E-8</v>
      </c>
      <c r="AI56" s="3">
        <f t="shared" si="39"/>
        <v>4.1239369121974198E-13</v>
      </c>
      <c r="AJ56" s="3">
        <f t="shared" si="40"/>
        <v>-3.9301589144335004E-13</v>
      </c>
      <c r="AK56" s="3">
        <f t="shared" si="41"/>
        <v>7.62939453125E-6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3" t="s">
        <v>55</v>
      </c>
      <c r="BD56" s="3">
        <f>1/(BD54-1)</f>
        <v>5.9846931365038527</v>
      </c>
      <c r="BE56" s="3"/>
      <c r="BF56" s="3"/>
      <c r="BG56" s="3" t="s">
        <v>55</v>
      </c>
      <c r="BH56" s="3">
        <f>1/(BH54-1)</f>
        <v>6.4834416613285564</v>
      </c>
      <c r="BI56" s="3"/>
      <c r="BJ56"/>
      <c r="BK56" s="3">
        <v>18</v>
      </c>
      <c r="BL56" s="3">
        <f t="shared" si="42"/>
        <v>0.32327926051195566</v>
      </c>
      <c r="BM56" s="3">
        <v>-2.1595381259439939E-5</v>
      </c>
      <c r="BN56" s="3">
        <f t="shared" si="43"/>
        <v>0.32330059243228715</v>
      </c>
      <c r="BO56" s="3">
        <v>5.457058699243067E-5</v>
      </c>
      <c r="BP56" s="3">
        <f t="shared" si="30"/>
        <v>0.3232899264721214</v>
      </c>
      <c r="BQ56" s="3">
        <v>1.6488082360641143E-5</v>
      </c>
      <c r="BR56" s="3">
        <f t="shared" si="31"/>
        <v>-3.5606642481509198E-10</v>
      </c>
      <c r="BS56" s="3">
        <f t="shared" si="32"/>
        <v>8.9976433279972912E-10</v>
      </c>
      <c r="BT56" s="3">
        <f t="shared" si="33"/>
        <v>2.1331920331491006E-5</v>
      </c>
      <c r="BU56"/>
      <c r="BV56" s="3">
        <v>18</v>
      </c>
      <c r="BW56" s="3">
        <f t="shared" si="44"/>
        <v>0.28998013287442997</v>
      </c>
      <c r="BX56" s="3">
        <v>-5.2024527275679189E-5</v>
      </c>
      <c r="BY56" s="3">
        <f t="shared" si="45"/>
        <v>0.29000146479476152</v>
      </c>
      <c r="BZ56" s="3">
        <v>1.7956344590584761E-5</v>
      </c>
      <c r="CA56" s="3">
        <f t="shared" si="34"/>
        <v>0.28999079883459578</v>
      </c>
      <c r="CB56" s="3">
        <v>-1.7033594273269115E-5</v>
      </c>
      <c r="CC56" s="3">
        <f t="shared" si="35"/>
        <v>8.8616468987254188E-10</v>
      </c>
      <c r="CD56" s="3">
        <f t="shared" si="36"/>
        <v>-3.0586108838703142E-10</v>
      </c>
      <c r="CE56" s="3">
        <f t="shared" si="37"/>
        <v>2.1331920331546517E-5</v>
      </c>
    </row>
    <row r="57" spans="2:83" x14ac:dyDescent="0.2">
      <c r="B57" s="5" t="s">
        <v>146</v>
      </c>
      <c r="C57" s="8">
        <v>35</v>
      </c>
      <c r="D57" s="5" t="s">
        <v>53</v>
      </c>
      <c r="N57" s="3">
        <v>22</v>
      </c>
      <c r="O57" s="3">
        <f t="shared" si="25"/>
        <v>1019.2327499389648</v>
      </c>
      <c r="P57" s="3">
        <v>2.9526129219448194E-4</v>
      </c>
      <c r="Q57" s="3">
        <f t="shared" si="26"/>
        <v>1019.2339420318604</v>
      </c>
      <c r="R57" s="3">
        <v>-2.9454480040840281E-3</v>
      </c>
      <c r="S57" s="3">
        <f t="shared" si="21"/>
        <v>1019.2333459854126</v>
      </c>
      <c r="T57" s="3">
        <v>-1.3250928820980334E-3</v>
      </c>
      <c r="U57" s="3">
        <f t="shared" si="22"/>
        <v>-3.9124863664597564E-7</v>
      </c>
      <c r="V57" s="3">
        <f t="shared" si="23"/>
        <v>3.9029921848016051E-6</v>
      </c>
      <c r="W57" s="3">
        <f t="shared" si="24"/>
        <v>1.1920928955078125E-3</v>
      </c>
      <c r="AB57" s="3">
        <v>18</v>
      </c>
      <c r="AC57" s="3">
        <f t="shared" si="46"/>
        <v>0.34206008911132812</v>
      </c>
      <c r="AD57" s="3">
        <f t="shared" si="27"/>
        <v>9.8430682660133328E-8</v>
      </c>
      <c r="AE57" s="3">
        <f t="shared" si="47"/>
        <v>0.34206390380859375</v>
      </c>
      <c r="AF57" s="3">
        <f t="shared" si="28"/>
        <v>-3.9928189140003845E-6</v>
      </c>
      <c r="AG57" s="3">
        <f t="shared" si="38"/>
        <v>0.34206199645996094</v>
      </c>
      <c r="AH57" s="3">
        <f t="shared" si="29"/>
        <v>-1.9471948791704996E-6</v>
      </c>
      <c r="AI57" s="3">
        <f t="shared" si="39"/>
        <v>-1.9166372122906811E-13</v>
      </c>
      <c r="AJ57" s="3">
        <f t="shared" si="40"/>
        <v>7.7747965427966648E-12</v>
      </c>
      <c r="AK57" s="3">
        <f t="shared" si="41"/>
        <v>3.814697265625E-6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" t="s">
        <v>210</v>
      </c>
      <c r="BD57" s="3">
        <f>1/(BD55+1)</f>
        <v>6.0415191904050834E-2</v>
      </c>
      <c r="BE57" s="3"/>
      <c r="BF57" s="3"/>
      <c r="BG57" s="3" t="s">
        <v>210</v>
      </c>
      <c r="BH57" s="3">
        <f>1/(BH55+1)</f>
        <v>5.2487054760369051E-2</v>
      </c>
      <c r="BI57" s="3"/>
      <c r="BJ57"/>
      <c r="BK57" s="3">
        <v>19</v>
      </c>
      <c r="BL57" s="3">
        <f t="shared" si="42"/>
        <v>0.32327926051195566</v>
      </c>
      <c r="BM57" s="3">
        <v>-2.1595381259439939E-5</v>
      </c>
      <c r="BN57" s="3">
        <f t="shared" si="43"/>
        <v>0.3232899264721214</v>
      </c>
      <c r="BO57" s="3">
        <v>1.6488082360641143E-5</v>
      </c>
      <c r="BP57" s="3">
        <f t="shared" si="30"/>
        <v>0.32328459349203853</v>
      </c>
      <c r="BQ57" s="3">
        <v>-2.5535295748654874E-6</v>
      </c>
      <c r="BR57" s="3">
        <f t="shared" si="31"/>
        <v>5.5144444726475777E-11</v>
      </c>
      <c r="BS57" s="3">
        <f t="shared" si="32"/>
        <v>-4.2102805940715119E-11</v>
      </c>
      <c r="BT57" s="3">
        <f t="shared" si="33"/>
        <v>1.0665960165745503E-5</v>
      </c>
      <c r="BU57"/>
      <c r="BV57" s="3">
        <v>19</v>
      </c>
      <c r="BW57" s="3">
        <f t="shared" si="44"/>
        <v>0.28999079883459578</v>
      </c>
      <c r="BX57" s="3">
        <v>-1.7033594273269115E-5</v>
      </c>
      <c r="BY57" s="3">
        <f t="shared" si="45"/>
        <v>0.29000146479476152</v>
      </c>
      <c r="BZ57" s="3">
        <v>1.7956344590584761E-5</v>
      </c>
      <c r="CA57" s="3">
        <f t="shared" si="34"/>
        <v>0.28999613181467865</v>
      </c>
      <c r="CB57" s="3">
        <v>4.6149942251050291E-7</v>
      </c>
      <c r="CC57" s="3">
        <f t="shared" si="35"/>
        <v>-7.8609939203919063E-12</v>
      </c>
      <c r="CD57" s="3">
        <f t="shared" si="36"/>
        <v>8.2868426589544605E-12</v>
      </c>
      <c r="CE57" s="3">
        <f t="shared" si="37"/>
        <v>1.0665960165745503E-5</v>
      </c>
    </row>
    <row r="58" spans="2:83" x14ac:dyDescent="0.2">
      <c r="N58" s="3">
        <v>23</v>
      </c>
      <c r="O58" s="3">
        <f t="shared" si="25"/>
        <v>1019.2327499389648</v>
      </c>
      <c r="P58" s="3">
        <v>2.9526129219448194E-4</v>
      </c>
      <c r="Q58" s="3">
        <f t="shared" si="26"/>
        <v>1019.2333459854126</v>
      </c>
      <c r="R58" s="3">
        <v>-1.3250928820980334E-3</v>
      </c>
      <c r="S58" s="3">
        <f t="shared" si="21"/>
        <v>1019.2330479621887</v>
      </c>
      <c r="T58" s="3">
        <v>-5.1491567637640401E-4</v>
      </c>
      <c r="U58" s="3">
        <f t="shared" si="22"/>
        <v>-1.5203466797809272E-7</v>
      </c>
      <c r="V58" s="3">
        <f t="shared" si="23"/>
        <v>6.8231109764706746E-7</v>
      </c>
      <c r="W58" s="3">
        <f t="shared" si="24"/>
        <v>5.9604644775390625E-4</v>
      </c>
      <c r="AB58" s="3">
        <v>19</v>
      </c>
      <c r="AC58" s="3">
        <f t="shared" si="46"/>
        <v>0.34206008911132812</v>
      </c>
      <c r="AD58" s="3">
        <f t="shared" si="27"/>
        <v>9.8430682660133328E-8</v>
      </c>
      <c r="AE58" s="3">
        <f t="shared" si="47"/>
        <v>0.34206199645996094</v>
      </c>
      <c r="AF58" s="3">
        <f t="shared" si="28"/>
        <v>-1.9471948791704996E-6</v>
      </c>
      <c r="AG58" s="3">
        <f t="shared" si="38"/>
        <v>0.34206104278564453</v>
      </c>
      <c r="AH58" s="3">
        <f t="shared" si="29"/>
        <v>-9.2438228915803222E-7</v>
      </c>
      <c r="AI58" s="3">
        <f t="shared" si="39"/>
        <v>-9.0987579760761869E-14</v>
      </c>
      <c r="AJ58" s="3">
        <f t="shared" si="40"/>
        <v>1.7999524598444243E-12</v>
      </c>
      <c r="AK58" s="3">
        <f t="shared" si="41"/>
        <v>1.9073486328125E-6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7" t="s">
        <v>212</v>
      </c>
      <c r="BD58" s="23">
        <f>SIN(BD42)/(1+BD56) - $AN$3*COS(BD42)/($AR$5*$AN$23*(1-BD57))</f>
        <v>1.7632449597626554E-9</v>
      </c>
      <c r="BE58" s="23"/>
      <c r="BF58" s="3"/>
      <c r="BG58" s="7" t="s">
        <v>212</v>
      </c>
      <c r="BH58" s="23">
        <f>SIN(BH42)/(1+BH56) - $AN$3*COS(BH42)/($AR$5*$AN$24*(1-BH57))</f>
        <v>-8.635800269329863E-10</v>
      </c>
      <c r="BI58" s="23"/>
      <c r="BJ58"/>
      <c r="BK58" s="3">
        <v>20</v>
      </c>
      <c r="BL58" s="3">
        <f t="shared" si="42"/>
        <v>0.32328459349203853</v>
      </c>
      <c r="BM58" s="3">
        <v>-2.5535295748654874E-6</v>
      </c>
      <c r="BN58" s="3">
        <f t="shared" si="43"/>
        <v>0.3232899264721214</v>
      </c>
      <c r="BO58" s="3">
        <v>1.6488082360641143E-5</v>
      </c>
      <c r="BP58" s="3">
        <f t="shared" si="30"/>
        <v>0.32328725998207997</v>
      </c>
      <c r="BQ58" s="3">
        <v>6.9673063614258957E-6</v>
      </c>
      <c r="BR58" s="3">
        <f t="shared" si="31"/>
        <v>-1.7791222851049473E-11</v>
      </c>
      <c r="BS58" s="3">
        <f t="shared" si="32"/>
        <v>1.1487752111900913E-10</v>
      </c>
      <c r="BT58" s="3">
        <f t="shared" si="33"/>
        <v>5.3329800828727514E-6</v>
      </c>
      <c r="BU58"/>
      <c r="BV58" s="3">
        <v>20</v>
      </c>
      <c r="BW58" s="3">
        <f t="shared" si="44"/>
        <v>0.28999079883459578</v>
      </c>
      <c r="BX58" s="3">
        <v>-1.7033594273269115E-5</v>
      </c>
      <c r="BY58" s="3">
        <f t="shared" si="45"/>
        <v>0.28999613181467865</v>
      </c>
      <c r="BZ58" s="3">
        <v>4.6149942251050291E-7</v>
      </c>
      <c r="CA58" s="3">
        <f t="shared" si="34"/>
        <v>0.28999346532463721</v>
      </c>
      <c r="CB58" s="3">
        <v>-8.2860163589382196E-6</v>
      </c>
      <c r="CC58" s="3">
        <f t="shared" si="35"/>
        <v>1.4114064079982425E-10</v>
      </c>
      <c r="CD58" s="3">
        <f t="shared" si="36"/>
        <v>-3.8239917645625688E-12</v>
      </c>
      <c r="CE58" s="3">
        <f t="shared" si="37"/>
        <v>5.3329800828727514E-6</v>
      </c>
    </row>
    <row r="59" spans="2:83" x14ac:dyDescent="0.2">
      <c r="B59" s="49" t="s">
        <v>5</v>
      </c>
      <c r="C59" s="50"/>
      <c r="D59" s="50"/>
      <c r="N59" s="3">
        <v>24</v>
      </c>
      <c r="O59" s="3">
        <f t="shared" si="25"/>
        <v>1019.2327499389648</v>
      </c>
      <c r="P59" s="3">
        <v>2.9526129219448194E-4</v>
      </c>
      <c r="Q59" s="3">
        <f t="shared" si="26"/>
        <v>1019.2330479621887</v>
      </c>
      <c r="R59" s="3">
        <v>-5.1491567637640401E-4</v>
      </c>
      <c r="S59" s="3">
        <f t="shared" si="21"/>
        <v>1019.2328989505768</v>
      </c>
      <c r="T59" s="3">
        <v>-1.0982716230500955E-4</v>
      </c>
      <c r="U59" s="3">
        <f t="shared" si="22"/>
        <v>-3.2427709860230218E-8</v>
      </c>
      <c r="V59" s="3">
        <f t="shared" si="23"/>
        <v>5.6551727562785093E-8</v>
      </c>
      <c r="W59" s="3">
        <f t="shared" si="24"/>
        <v>2.9802322387695312E-4</v>
      </c>
      <c r="AB59" s="3">
        <v>20</v>
      </c>
      <c r="AC59" s="3">
        <f t="shared" si="46"/>
        <v>0.34206008911132812</v>
      </c>
      <c r="AD59" s="3">
        <f t="shared" si="27"/>
        <v>9.8430682660133328E-8</v>
      </c>
      <c r="AE59" s="3">
        <f t="shared" si="47"/>
        <v>0.34206104278564453</v>
      </c>
      <c r="AF59" s="3">
        <f t="shared" si="28"/>
        <v>-9.2438228915803222E-7</v>
      </c>
      <c r="AG59" s="3">
        <f t="shared" si="38"/>
        <v>0.34206056594848633</v>
      </c>
      <c r="AH59" s="3">
        <f t="shared" si="29"/>
        <v>-4.1297585096078393E-7</v>
      </c>
      <c r="AI59" s="3">
        <f t="shared" si="39"/>
        <v>-4.0649494932219441E-14</v>
      </c>
      <c r="AJ59" s="3">
        <f t="shared" si="40"/>
        <v>3.8174756247811578E-13</v>
      </c>
      <c r="AK59" s="3">
        <f t="shared" si="41"/>
        <v>9.5367431640625E-7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"/>
      <c r="BD59" s="3"/>
      <c r="BE59" s="3"/>
      <c r="BF59" s="3"/>
      <c r="BG59" s="3"/>
      <c r="BH59" s="3"/>
      <c r="BI59" s="3"/>
      <c r="BJ59"/>
      <c r="BK59" s="3">
        <v>21</v>
      </c>
      <c r="BL59" s="3">
        <f t="shared" si="42"/>
        <v>0.32328459349203853</v>
      </c>
      <c r="BM59" s="3">
        <v>-2.5535295748654874E-6</v>
      </c>
      <c r="BN59" s="3">
        <f t="shared" si="43"/>
        <v>0.32328725998207997</v>
      </c>
      <c r="BO59" s="3">
        <v>6.9673063614258957E-6</v>
      </c>
      <c r="BP59" s="3">
        <f t="shared" si="30"/>
        <v>0.32328592673705925</v>
      </c>
      <c r="BQ59" s="3">
        <v>2.2068958853982412E-6</v>
      </c>
      <c r="BR59" s="3">
        <f t="shared" si="31"/>
        <v>-5.635373912013364E-12</v>
      </c>
      <c r="BS59" s="3">
        <f t="shared" si="32"/>
        <v>1.5376119741339801E-11</v>
      </c>
      <c r="BT59" s="3">
        <f t="shared" si="33"/>
        <v>2.6664900414363757E-6</v>
      </c>
      <c r="BU59"/>
      <c r="BV59" s="3">
        <v>21</v>
      </c>
      <c r="BW59" s="3">
        <f t="shared" si="44"/>
        <v>0.28999346532463721</v>
      </c>
      <c r="BX59" s="3">
        <v>-8.2860163589382196E-6</v>
      </c>
      <c r="BY59" s="3">
        <f t="shared" si="45"/>
        <v>0.28999613181467865</v>
      </c>
      <c r="BZ59" s="3">
        <v>4.6149942251050291E-7</v>
      </c>
      <c r="CA59" s="3">
        <f t="shared" si="34"/>
        <v>0.28999479856965793</v>
      </c>
      <c r="CB59" s="3">
        <v>-3.9122507016695063E-6</v>
      </c>
      <c r="CC59" s="3">
        <f t="shared" si="35"/>
        <v>3.2416973314301058E-11</v>
      </c>
      <c r="CD59" s="3">
        <f t="shared" si="36"/>
        <v>-1.805501439536787E-12</v>
      </c>
      <c r="CE59" s="3">
        <f t="shared" si="37"/>
        <v>2.6664900414363757E-6</v>
      </c>
    </row>
    <row r="60" spans="2:83" x14ac:dyDescent="0.2">
      <c r="B60" s="5" t="s">
        <v>6</v>
      </c>
      <c r="C60" s="8">
        <v>250</v>
      </c>
      <c r="D60" s="5" t="s">
        <v>7</v>
      </c>
      <c r="N60" s="3">
        <v>25</v>
      </c>
      <c r="O60" s="3">
        <f t="shared" si="25"/>
        <v>1019.2327499389648</v>
      </c>
      <c r="P60" s="3">
        <v>2.9526129219448194E-4</v>
      </c>
      <c r="Q60" s="3">
        <f t="shared" si="26"/>
        <v>1019.2328989505768</v>
      </c>
      <c r="R60" s="3">
        <v>-1.0982716230500955E-4</v>
      </c>
      <c r="S60" s="3">
        <f t="shared" si="21"/>
        <v>1019.2328244447708</v>
      </c>
      <c r="T60" s="3">
        <v>9.2717072448067483E-5</v>
      </c>
      <c r="U60" s="3">
        <f t="shared" si="22"/>
        <v>2.7375762619505806E-8</v>
      </c>
      <c r="V60" s="3">
        <f t="shared" si="23"/>
        <v>-1.0182852964199236E-8</v>
      </c>
      <c r="W60" s="3">
        <f t="shared" si="24"/>
        <v>1.4901161193847656E-4</v>
      </c>
      <c r="AB60" s="3">
        <v>21</v>
      </c>
      <c r="AC60" s="3">
        <f t="shared" si="46"/>
        <v>0.34206008911132812</v>
      </c>
      <c r="AD60" s="3">
        <f t="shared" si="27"/>
        <v>9.8430682660133328E-8</v>
      </c>
      <c r="AE60" s="3">
        <f t="shared" si="47"/>
        <v>0.34206056594848633</v>
      </c>
      <c r="AF60" s="3">
        <f t="shared" si="28"/>
        <v>-4.1297585096078393E-7</v>
      </c>
      <c r="AG60" s="3">
        <f t="shared" si="38"/>
        <v>0.34206032752990723</v>
      </c>
      <c r="AH60" s="3">
        <f t="shared" si="29"/>
        <v>-1.5727259611297839E-7</v>
      </c>
      <c r="AI60" s="3">
        <f t="shared" si="39"/>
        <v>-1.5480448999131895E-14</v>
      </c>
      <c r="AJ60" s="3">
        <f t="shared" si="40"/>
        <v>6.4949784212568925E-14</v>
      </c>
      <c r="AK60" s="3">
        <f t="shared" si="41"/>
        <v>4.76837158203125E-7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44" t="s">
        <v>219</v>
      </c>
      <c r="BD60" s="44"/>
      <c r="BE60" s="44"/>
      <c r="BF60" s="3"/>
      <c r="BG60" s="44" t="s">
        <v>220</v>
      </c>
      <c r="BH60" s="44"/>
      <c r="BI60" s="44"/>
      <c r="BJ60"/>
      <c r="BK60" s="3">
        <v>22</v>
      </c>
      <c r="BL60" s="3">
        <f t="shared" si="42"/>
        <v>0.32328459349203853</v>
      </c>
      <c r="BM60" s="3">
        <v>-2.5535295748654874E-6</v>
      </c>
      <c r="BN60" s="3">
        <f t="shared" si="43"/>
        <v>0.32328592673705925</v>
      </c>
      <c r="BO60" s="3">
        <v>2.2068958853982412E-6</v>
      </c>
      <c r="BP60" s="3">
        <f t="shared" si="30"/>
        <v>0.32328526011454889</v>
      </c>
      <c r="BQ60" s="3">
        <v>-1.733149718879945E-7</v>
      </c>
      <c r="BR60" s="3">
        <f t="shared" si="31"/>
        <v>4.4256490648297447E-13</v>
      </c>
      <c r="BS60" s="3">
        <f t="shared" si="32"/>
        <v>-3.8248809833752689E-13</v>
      </c>
      <c r="BT60" s="3">
        <f t="shared" si="33"/>
        <v>1.3332450207181878E-6</v>
      </c>
      <c r="BU60"/>
      <c r="BV60" s="3">
        <v>22</v>
      </c>
      <c r="BW60" s="3">
        <f t="shared" si="44"/>
        <v>0.28999479856965793</v>
      </c>
      <c r="BX60" s="3">
        <v>-3.9122507016695063E-6</v>
      </c>
      <c r="BY60" s="3">
        <f t="shared" si="45"/>
        <v>0.28999613181467865</v>
      </c>
      <c r="BZ60" s="3">
        <v>4.6149942251050291E-7</v>
      </c>
      <c r="CA60" s="3">
        <f t="shared" si="34"/>
        <v>0.28999546519216829</v>
      </c>
      <c r="CB60" s="3">
        <v>-1.7253736978792289E-6</v>
      </c>
      <c r="CC60" s="3">
        <f t="shared" si="35"/>
        <v>6.7500944601701239E-12</v>
      </c>
      <c r="CD60" s="3">
        <f t="shared" si="36"/>
        <v>-7.9625896518607506E-13</v>
      </c>
      <c r="CE60" s="3">
        <f t="shared" si="37"/>
        <v>1.3332450207181878E-6</v>
      </c>
    </row>
    <row r="61" spans="2:83" x14ac:dyDescent="0.2">
      <c r="B61" s="5" t="s">
        <v>8</v>
      </c>
      <c r="C61" s="8">
        <v>0.85</v>
      </c>
      <c r="N61" s="3">
        <v>26</v>
      </c>
      <c r="O61" s="3">
        <f t="shared" si="25"/>
        <v>1019.2328244447708</v>
      </c>
      <c r="P61" s="3">
        <v>9.2717072448067483E-5</v>
      </c>
      <c r="Q61" s="3">
        <f t="shared" si="26"/>
        <v>1019.2328989505768</v>
      </c>
      <c r="R61" s="3">
        <v>-1.0982716230500955E-4</v>
      </c>
      <c r="S61" s="3">
        <f t="shared" si="21"/>
        <v>1019.2328616976738</v>
      </c>
      <c r="T61" s="3">
        <v>-8.5550432231684681E-6</v>
      </c>
      <c r="U61" s="3">
        <f t="shared" si="22"/>
        <v>-7.9319856231885961E-10</v>
      </c>
      <c r="V61" s="3">
        <f t="shared" si="23"/>
        <v>9.3957612059729539E-10</v>
      </c>
      <c r="W61" s="3">
        <f t="shared" si="24"/>
        <v>7.4505805969238281E-5</v>
      </c>
      <c r="AB61" s="3">
        <v>22</v>
      </c>
      <c r="AC61" s="3">
        <f t="shared" si="46"/>
        <v>0.34206008911132812</v>
      </c>
      <c r="AD61" s="3">
        <f t="shared" si="27"/>
        <v>9.8430682660133328E-8</v>
      </c>
      <c r="AE61" s="3">
        <f t="shared" si="47"/>
        <v>0.34206032752990723</v>
      </c>
      <c r="AF61" s="3">
        <f t="shared" si="28"/>
        <v>-1.5727259611297839E-7</v>
      </c>
      <c r="AG61" s="3">
        <f t="shared" si="38"/>
        <v>0.34206020832061768</v>
      </c>
      <c r="AH61" s="3">
        <f t="shared" si="29"/>
        <v>-2.9420959724024698E-8</v>
      </c>
      <c r="AI61" s="3">
        <f t="shared" si="39"/>
        <v>-2.8959251501520389E-15</v>
      </c>
      <c r="AJ61" s="3">
        <f t="shared" si="40"/>
        <v>4.6271107159327407E-15</v>
      </c>
      <c r="AK61" s="3">
        <f t="shared" si="41"/>
        <v>2.384185791015625E-7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15" t="s">
        <v>169</v>
      </c>
      <c r="BD61" s="16">
        <f>BP136</f>
        <v>0.23286886117169575</v>
      </c>
      <c r="BE61" s="13" t="s">
        <v>170</v>
      </c>
      <c r="BF61" s="3"/>
      <c r="BG61" s="15" t="s">
        <v>169</v>
      </c>
      <c r="BH61" s="16">
        <f>CA136</f>
        <v>0.23823170385984821</v>
      </c>
      <c r="BI61" s="13" t="s">
        <v>170</v>
      </c>
      <c r="BJ61"/>
      <c r="BK61" s="3">
        <v>23</v>
      </c>
      <c r="BL61" s="3">
        <f t="shared" si="42"/>
        <v>0.32328526011454889</v>
      </c>
      <c r="BM61" s="3">
        <v>-1.733149718879945E-7</v>
      </c>
      <c r="BN61" s="3">
        <f t="shared" si="43"/>
        <v>0.32328592673705925</v>
      </c>
      <c r="BO61" s="3">
        <v>2.2068958853982412E-6</v>
      </c>
      <c r="BP61" s="3">
        <f t="shared" si="30"/>
        <v>0.3232855934258041</v>
      </c>
      <c r="BQ61" s="3">
        <v>1.0167909251443397E-6</v>
      </c>
      <c r="BR61" s="3">
        <f t="shared" si="31"/>
        <v>-1.7622509060735914E-13</v>
      </c>
      <c r="BS61" s="3">
        <f t="shared" si="32"/>
        <v>2.2439517090113142E-12</v>
      </c>
      <c r="BT61" s="3">
        <f t="shared" si="33"/>
        <v>6.6662251035909392E-7</v>
      </c>
      <c r="BU61"/>
      <c r="BV61" s="3">
        <v>23</v>
      </c>
      <c r="BW61" s="3">
        <f t="shared" si="44"/>
        <v>0.28999546519216829</v>
      </c>
      <c r="BX61" s="3">
        <v>-1.7253736978792289E-6</v>
      </c>
      <c r="BY61" s="3">
        <f t="shared" si="45"/>
        <v>0.28999613181467865</v>
      </c>
      <c r="BZ61" s="3">
        <v>4.6149942251050291E-7</v>
      </c>
      <c r="CA61" s="3">
        <f t="shared" si="34"/>
        <v>0.2899957985034235</v>
      </c>
      <c r="CB61" s="3">
        <v>-6.3193665207628147E-7</v>
      </c>
      <c r="CC61" s="3">
        <f t="shared" si="35"/>
        <v>1.0903268782182735E-12</v>
      </c>
      <c r="CD61" s="3">
        <f t="shared" si="36"/>
        <v>-2.916383999964245E-13</v>
      </c>
      <c r="CE61" s="3">
        <f t="shared" si="37"/>
        <v>6.6662251035909392E-7</v>
      </c>
    </row>
    <row r="62" spans="2:83" x14ac:dyDescent="0.2">
      <c r="B62" s="5" t="s">
        <v>9</v>
      </c>
      <c r="C62" s="8">
        <v>0.8</v>
      </c>
      <c r="N62" s="3">
        <v>27</v>
      </c>
      <c r="O62" s="3">
        <f t="shared" si="25"/>
        <v>1019.2328244447708</v>
      </c>
      <c r="P62" s="3">
        <v>9.2717072448067483E-5</v>
      </c>
      <c r="Q62" s="3">
        <f t="shared" si="26"/>
        <v>1019.2328616976738</v>
      </c>
      <c r="R62" s="3">
        <v>-8.5550432231684681E-6</v>
      </c>
      <c r="S62" s="3">
        <f t="shared" si="21"/>
        <v>1019.2328430712223</v>
      </c>
      <c r="T62" s="3">
        <v>4.2081014726136345E-5</v>
      </c>
      <c r="U62" s="3">
        <f t="shared" si="22"/>
        <v>3.901628491051378E-9</v>
      </c>
      <c r="V62" s="3">
        <f t="shared" si="23"/>
        <v>-3.6000489985688525E-10</v>
      </c>
      <c r="W62" s="3">
        <f t="shared" si="24"/>
        <v>3.7252902984619141E-5</v>
      </c>
      <c r="AB62" s="3">
        <v>23</v>
      </c>
      <c r="AC62" s="3">
        <f t="shared" si="46"/>
        <v>0.34206008911132812</v>
      </c>
      <c r="AD62" s="3">
        <f t="shared" si="27"/>
        <v>9.8430682660133328E-8</v>
      </c>
      <c r="AE62" s="3">
        <f t="shared" si="47"/>
        <v>0.34206020832061768</v>
      </c>
      <c r="AF62" s="3">
        <f t="shared" si="28"/>
        <v>-2.9420959724024698E-8</v>
      </c>
      <c r="AG62" s="3">
        <f t="shared" si="38"/>
        <v>0.3420601487159729</v>
      </c>
      <c r="AH62" s="3">
        <f t="shared" si="29"/>
        <v>3.4504860746409349E-8</v>
      </c>
      <c r="AI62" s="3">
        <f t="shared" si="39"/>
        <v>3.3963369983619099E-15</v>
      </c>
      <c r="AJ62" s="3">
        <f t="shared" si="40"/>
        <v>-1.0151661183031902E-15</v>
      </c>
      <c r="AK62" s="3">
        <f t="shared" si="41"/>
        <v>1.1920928955078125E-7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" t="s">
        <v>173</v>
      </c>
      <c r="BD62" s="3">
        <f>($AN$41+$AN$5)/180*PI()</f>
        <v>0.32239503776682754</v>
      </c>
      <c r="BE62" s="3" t="s">
        <v>170</v>
      </c>
      <c r="BF62" s="3"/>
      <c r="BG62" s="3" t="s">
        <v>173</v>
      </c>
      <c r="BH62" s="3">
        <f>($AN$42+$AN$5)/180*PI()</f>
        <v>0.29654234822166153</v>
      </c>
      <c r="BI62" s="3" t="s">
        <v>170</v>
      </c>
      <c r="BJ62"/>
      <c r="BK62" s="3">
        <v>24</v>
      </c>
      <c r="BL62" s="3">
        <f t="shared" si="42"/>
        <v>0.32328526011454889</v>
      </c>
      <c r="BM62" s="3">
        <v>-1.733149718879945E-7</v>
      </c>
      <c r="BN62" s="3">
        <f t="shared" si="43"/>
        <v>0.3232855934258041</v>
      </c>
      <c r="BO62" s="3">
        <v>1.0167909251443397E-6</v>
      </c>
      <c r="BP62" s="3">
        <f t="shared" si="30"/>
        <v>0.32328542677017647</v>
      </c>
      <c r="BQ62" s="3">
        <v>4.2173809359363768E-7</v>
      </c>
      <c r="BR62" s="3">
        <f t="shared" si="31"/>
        <v>-7.3093525835277705E-14</v>
      </c>
      <c r="BS62" s="3">
        <f t="shared" si="32"/>
        <v>4.2881946635368496E-13</v>
      </c>
      <c r="BT62" s="3">
        <f t="shared" si="33"/>
        <v>3.3331125520730254E-7</v>
      </c>
      <c r="BU62"/>
      <c r="BV62" s="3">
        <v>24</v>
      </c>
      <c r="BW62" s="3">
        <f t="shared" si="44"/>
        <v>0.2899957985034235</v>
      </c>
      <c r="BX62" s="3">
        <v>-6.3193665207628147E-7</v>
      </c>
      <c r="BY62" s="3">
        <f t="shared" si="45"/>
        <v>0.28999613181467865</v>
      </c>
      <c r="BZ62" s="3">
        <v>4.6149942251050291E-7</v>
      </c>
      <c r="CA62" s="3">
        <f t="shared" si="34"/>
        <v>0.28999596515905107</v>
      </c>
      <c r="CB62" s="3">
        <v>-8.5218493393879324E-8</v>
      </c>
      <c r="CC62" s="3">
        <f t="shared" si="35"/>
        <v>5.3852689410312811E-14</v>
      </c>
      <c r="CD62" s="3">
        <f t="shared" si="36"/>
        <v>-3.9328285488490416E-14</v>
      </c>
      <c r="CE62" s="3">
        <f t="shared" si="37"/>
        <v>3.3331125515179139E-7</v>
      </c>
    </row>
    <row r="63" spans="2:83" x14ac:dyDescent="0.2">
      <c r="F63" s="11"/>
      <c r="N63" s="3">
        <v>28</v>
      </c>
      <c r="O63" s="3">
        <f t="shared" si="25"/>
        <v>1019.2328430712223</v>
      </c>
      <c r="P63" s="3">
        <v>4.2081014726136345E-5</v>
      </c>
      <c r="Q63" s="3">
        <f t="shared" si="26"/>
        <v>1019.2328616976738</v>
      </c>
      <c r="R63" s="3">
        <v>-8.5550432231684681E-6</v>
      </c>
      <c r="S63" s="3">
        <f t="shared" si="21"/>
        <v>1019.2328523844481</v>
      </c>
      <c r="T63" s="3">
        <v>1.6762985751483939E-5</v>
      </c>
      <c r="U63" s="3">
        <f t="shared" si="22"/>
        <v>7.0540345026220936E-10</v>
      </c>
      <c r="V63" s="3">
        <f t="shared" si="23"/>
        <v>-1.4340806765330226E-10</v>
      </c>
      <c r="W63" s="3">
        <f t="shared" si="24"/>
        <v>1.862645149230957E-5</v>
      </c>
      <c r="AB63" s="3">
        <v>24</v>
      </c>
      <c r="AC63" s="3">
        <f t="shared" si="46"/>
        <v>0.3420601487159729</v>
      </c>
      <c r="AD63" s="3">
        <f t="shared" si="27"/>
        <v>3.4504860746409349E-8</v>
      </c>
      <c r="AE63" s="3">
        <f t="shared" si="47"/>
        <v>0.34206020832061768</v>
      </c>
      <c r="AF63" s="3">
        <f t="shared" si="28"/>
        <v>-2.9420959724024698E-8</v>
      </c>
      <c r="AG63" s="3">
        <f t="shared" si="38"/>
        <v>0.34206017851829529</v>
      </c>
      <c r="AH63" s="3">
        <f t="shared" si="29"/>
        <v>2.5419503169032964E-9</v>
      </c>
      <c r="AI63" s="3">
        <f t="shared" si="39"/>
        <v>8.7709641709039359E-17</v>
      </c>
      <c r="AJ63" s="3">
        <f t="shared" si="40"/>
        <v>-7.4786617894083695E-17</v>
      </c>
      <c r="AK63" s="3">
        <f t="shared" si="41"/>
        <v>5.9604644775390625E-8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" t="s">
        <v>36</v>
      </c>
      <c r="BD63" s="3">
        <f>BD62-BD61</f>
        <v>8.952617659513179E-2</v>
      </c>
      <c r="BE63" s="3" t="s">
        <v>170</v>
      </c>
      <c r="BF63" s="3"/>
      <c r="BG63" s="3" t="s">
        <v>36</v>
      </c>
      <c r="BH63" s="3">
        <f>BH62-BH61</f>
        <v>5.8310644361813324E-2</v>
      </c>
      <c r="BI63" s="3" t="s">
        <v>170</v>
      </c>
      <c r="BJ63"/>
      <c r="BK63" s="3">
        <v>25</v>
      </c>
      <c r="BL63" s="3">
        <f t="shared" si="42"/>
        <v>0.32328526011454889</v>
      </c>
      <c r="BM63" s="3">
        <v>-1.733149718879945E-7</v>
      </c>
      <c r="BN63" s="3">
        <f t="shared" si="43"/>
        <v>0.32328542677017647</v>
      </c>
      <c r="BO63" s="3">
        <v>4.2173809359363768E-7</v>
      </c>
      <c r="BP63" s="3">
        <f t="shared" si="30"/>
        <v>0.3232853434423627</v>
      </c>
      <c r="BQ63" s="3">
        <v>1.2421159040904017E-7</v>
      </c>
      <c r="BR63" s="3">
        <f t="shared" si="31"/>
        <v>-2.1527728299905885E-14</v>
      </c>
      <c r="BS63" s="3">
        <f t="shared" si="32"/>
        <v>5.2384759341342374E-14</v>
      </c>
      <c r="BT63" s="3">
        <f t="shared" si="33"/>
        <v>1.6665562757589569E-7</v>
      </c>
      <c r="BU63"/>
      <c r="BV63" s="3">
        <v>25</v>
      </c>
      <c r="BW63" s="3">
        <f t="shared" si="44"/>
        <v>0.28999596515905107</v>
      </c>
      <c r="BX63" s="3">
        <v>-8.5218493393879324E-8</v>
      </c>
      <c r="BY63" s="3">
        <f t="shared" si="45"/>
        <v>0.28999613181467865</v>
      </c>
      <c r="BZ63" s="3">
        <v>4.6149942251050291E-7</v>
      </c>
      <c r="CA63" s="3">
        <f t="shared" si="34"/>
        <v>0.28999604848686489</v>
      </c>
      <c r="CB63" s="3">
        <v>1.8814049507209774E-7</v>
      </c>
      <c r="CC63" s="3">
        <f t="shared" si="35"/>
        <v>-1.6033049536422745E-14</v>
      </c>
      <c r="CD63" s="3">
        <f t="shared" si="36"/>
        <v>8.6826729826613222E-14</v>
      </c>
      <c r="CE63" s="3">
        <f t="shared" si="37"/>
        <v>1.6665562757589569E-7</v>
      </c>
    </row>
    <row r="64" spans="2:83" x14ac:dyDescent="0.2">
      <c r="B64" s="51" t="s">
        <v>99</v>
      </c>
      <c r="C64" s="51"/>
      <c r="D64" s="51"/>
      <c r="N64" s="3">
        <v>29</v>
      </c>
      <c r="O64" s="3">
        <f t="shared" si="25"/>
        <v>1019.2328523844481</v>
      </c>
      <c r="P64" s="3">
        <v>1.6762985751483939E-5</v>
      </c>
      <c r="Q64" s="3">
        <f t="shared" si="26"/>
        <v>1019.2328616976738</v>
      </c>
      <c r="R64" s="3">
        <v>-8.5550432231684681E-6</v>
      </c>
      <c r="S64" s="3">
        <f t="shared" si="21"/>
        <v>1019.2328570410609</v>
      </c>
      <c r="T64" s="3">
        <v>4.1039718325919239E-6</v>
      </c>
      <c r="U64" s="3">
        <f t="shared" si="22"/>
        <v>6.8794821354229848E-11</v>
      </c>
      <c r="V64" s="3">
        <f t="shared" si="23"/>
        <v>-3.5109656414489817E-11</v>
      </c>
      <c r="W64" s="3">
        <f t="shared" si="24"/>
        <v>9.3132257461547852E-6</v>
      </c>
      <c r="AB64" s="3">
        <v>25</v>
      </c>
      <c r="AC64" s="3">
        <f t="shared" si="46"/>
        <v>0.34206017851829529</v>
      </c>
      <c r="AD64" s="3">
        <f t="shared" si="27"/>
        <v>2.5419503169032964E-9</v>
      </c>
      <c r="AE64" s="3">
        <f t="shared" si="47"/>
        <v>0.34206020832061768</v>
      </c>
      <c r="AF64" s="3">
        <f t="shared" si="28"/>
        <v>-2.9420959724024698E-8</v>
      </c>
      <c r="AG64" s="3">
        <f t="shared" si="38"/>
        <v>0.34206019341945648</v>
      </c>
      <c r="AH64" s="3">
        <f t="shared" si="29"/>
        <v>-1.3439504731316276E-8</v>
      </c>
      <c r="AI64" s="3">
        <f t="shared" si="39"/>
        <v>-3.416255331079276E-17</v>
      </c>
      <c r="AJ64" s="3">
        <f t="shared" si="40"/>
        <v>3.9540312741089555E-16</v>
      </c>
      <c r="AK64" s="3">
        <f t="shared" si="41"/>
        <v>2.9802322387695312E-8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" t="s">
        <v>180</v>
      </c>
      <c r="BD64" s="3">
        <f>BD63/PI()*180</f>
        <v>5.1294720748439424</v>
      </c>
      <c r="BE64" s="3" t="s">
        <v>53</v>
      </c>
      <c r="BF64" s="3"/>
      <c r="BG64" s="3" t="s">
        <v>180</v>
      </c>
      <c r="BH64" s="3">
        <f>BH63/PI()*180</f>
        <v>3.3409538226202131</v>
      </c>
      <c r="BI64" s="3" t="s">
        <v>53</v>
      </c>
      <c r="BJ64"/>
      <c r="BK64" s="3">
        <v>26</v>
      </c>
      <c r="BL64" s="3">
        <f t="shared" si="42"/>
        <v>0.32328526011454889</v>
      </c>
      <c r="BM64" s="3">
        <v>-1.733149718879945E-7</v>
      </c>
      <c r="BN64" s="3">
        <f t="shared" si="43"/>
        <v>0.3232853434423627</v>
      </c>
      <c r="BO64" s="3">
        <v>1.2421159040904017E-7</v>
      </c>
      <c r="BP64" s="3">
        <f t="shared" si="30"/>
        <v>0.32328530177845582</v>
      </c>
      <c r="BQ64" s="3">
        <v>-2.4551683269757874E-8</v>
      </c>
      <c r="BR64" s="3">
        <f t="shared" si="31"/>
        <v>4.2551742957010308E-15</v>
      </c>
      <c r="BS64" s="3">
        <f t="shared" si="32"/>
        <v>-3.0496036261556491E-15</v>
      </c>
      <c r="BT64" s="3">
        <f t="shared" si="33"/>
        <v>8.3327813815703422E-8</v>
      </c>
      <c r="BU64"/>
      <c r="BV64" s="3">
        <v>26</v>
      </c>
      <c r="BW64" s="3">
        <f t="shared" si="44"/>
        <v>0.28999596515905107</v>
      </c>
      <c r="BX64" s="3">
        <v>-8.5218493393879324E-8</v>
      </c>
      <c r="BY64" s="3">
        <f t="shared" si="45"/>
        <v>0.28999604848686489</v>
      </c>
      <c r="BZ64" s="3">
        <v>1.8814049507209774E-7</v>
      </c>
      <c r="CA64" s="3">
        <f t="shared" si="34"/>
        <v>0.28999600682295801</v>
      </c>
      <c r="CB64" s="3">
        <v>5.1461008461484159E-8</v>
      </c>
      <c r="CC64" s="3">
        <f t="shared" si="35"/>
        <v>-4.3854296096173559E-15</v>
      </c>
      <c r="CD64" s="3">
        <f t="shared" si="36"/>
        <v>9.6818996088530403E-15</v>
      </c>
      <c r="CE64" s="3">
        <f t="shared" si="37"/>
        <v>8.3327813815703422E-8</v>
      </c>
    </row>
    <row r="65" spans="2:83" x14ac:dyDescent="0.2">
      <c r="B65" s="5" t="s">
        <v>19</v>
      </c>
      <c r="C65" s="8">
        <v>1.2250000000000001</v>
      </c>
      <c r="D65" s="5" t="s">
        <v>20</v>
      </c>
      <c r="N65" s="3">
        <v>30</v>
      </c>
      <c r="O65" s="3">
        <f t="shared" si="25"/>
        <v>1019.2328570410609</v>
      </c>
      <c r="P65" s="3">
        <v>4.1039718325919239E-6</v>
      </c>
      <c r="Q65" s="3">
        <f t="shared" si="26"/>
        <v>1019.2328616976738</v>
      </c>
      <c r="R65" s="3">
        <v>-8.5550432231684681E-6</v>
      </c>
      <c r="S65" s="13">
        <f t="shared" si="21"/>
        <v>1019.2328593693674</v>
      </c>
      <c r="T65" s="3">
        <v>-2.2255360363487853E-6</v>
      </c>
      <c r="U65" s="3">
        <f t="shared" si="22"/>
        <v>-9.1335372055936908E-12</v>
      </c>
      <c r="V65" s="3">
        <f t="shared" si="23"/>
        <v>1.9039556985682889E-11</v>
      </c>
      <c r="W65" s="3">
        <f t="shared" si="24"/>
        <v>4.6566128730773926E-6</v>
      </c>
      <c r="AB65" s="3">
        <v>26</v>
      </c>
      <c r="AC65" s="3">
        <f t="shared" si="46"/>
        <v>0.34206017851829529</v>
      </c>
      <c r="AD65" s="3">
        <f t="shared" si="27"/>
        <v>2.5419503169032964E-9</v>
      </c>
      <c r="AE65" s="3">
        <f t="shared" si="47"/>
        <v>0.34206019341945648</v>
      </c>
      <c r="AF65" s="3">
        <f t="shared" si="28"/>
        <v>-1.3439504731316276E-8</v>
      </c>
      <c r="AG65" s="3">
        <f t="shared" si="38"/>
        <v>0.34206018596887589</v>
      </c>
      <c r="AH65" s="3">
        <f t="shared" si="29"/>
        <v>-5.4487772072064899E-9</v>
      </c>
      <c r="AI65" s="3">
        <f t="shared" si="39"/>
        <v>-1.3850520948593996E-17</v>
      </c>
      <c r="AJ65" s="3">
        <f t="shared" si="40"/>
        <v>7.3228867056139908E-17</v>
      </c>
      <c r="AK65" s="3">
        <f t="shared" si="41"/>
        <v>1.4901161193847656E-8</v>
      </c>
      <c r="AM65" s="3"/>
      <c r="AN65" s="3"/>
      <c r="AO65" s="14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" t="s">
        <v>183</v>
      </c>
      <c r="BD65" s="3">
        <f xml:space="preserve"> $AN$8*$AN$33 / (2*PI()*$AN$25)</f>
        <v>0.16580624184935924</v>
      </c>
      <c r="BE65" s="3"/>
      <c r="BF65" s="3"/>
      <c r="BG65" s="3" t="s">
        <v>183</v>
      </c>
      <c r="BH65" s="3">
        <f xml:space="preserve"> $AN$8*$AN$34 / (2*PI()*$AN$26)</f>
        <v>0.14274781591970584</v>
      </c>
      <c r="BI65" s="3"/>
      <c r="BJ65"/>
      <c r="BK65" s="3">
        <v>27</v>
      </c>
      <c r="BL65" s="3">
        <f t="shared" si="42"/>
        <v>0.32328530177845582</v>
      </c>
      <c r="BM65" s="3">
        <v>-2.4551683269757874E-8</v>
      </c>
      <c r="BN65" s="3">
        <f t="shared" si="43"/>
        <v>0.3232853434423627</v>
      </c>
      <c r="BO65" s="3">
        <v>1.2421159040904017E-7</v>
      </c>
      <c r="BP65" s="3">
        <f t="shared" si="30"/>
        <v>0.32328532261040926</v>
      </c>
      <c r="BQ65" s="3">
        <v>4.9829955377223012E-8</v>
      </c>
      <c r="BR65" s="3">
        <f t="shared" si="31"/>
        <v>-1.2234092817677476E-15</v>
      </c>
      <c r="BS65" s="3">
        <f t="shared" si="32"/>
        <v>6.1894580074163738E-15</v>
      </c>
      <c r="BT65" s="3">
        <f t="shared" si="33"/>
        <v>4.1663906880096135E-8</v>
      </c>
      <c r="BU65"/>
      <c r="BV65" s="3">
        <v>27</v>
      </c>
      <c r="BW65" s="3">
        <f t="shared" si="44"/>
        <v>0.28999596515905107</v>
      </c>
      <c r="BX65" s="3">
        <v>-8.5218493393879324E-8</v>
      </c>
      <c r="BY65" s="3">
        <f t="shared" si="45"/>
        <v>0.28999600682295801</v>
      </c>
      <c r="BZ65" s="3">
        <v>5.1461008461484159E-8</v>
      </c>
      <c r="CA65" s="3">
        <f t="shared" si="34"/>
        <v>0.28999598599100451</v>
      </c>
      <c r="CB65" s="3">
        <v>-1.6878740620451804E-8</v>
      </c>
      <c r="CC65" s="3">
        <f t="shared" si="35"/>
        <v>1.4383808460609747E-15</v>
      </c>
      <c r="CD65" s="3">
        <f t="shared" si="36"/>
        <v>-8.6859701388826671E-16</v>
      </c>
      <c r="CE65" s="3">
        <f t="shared" si="37"/>
        <v>4.1663906935607287E-8</v>
      </c>
    </row>
    <row r="66" spans="2:83" x14ac:dyDescent="0.2">
      <c r="B66" s="5" t="s">
        <v>153</v>
      </c>
      <c r="C66" s="8">
        <v>1.7893802780775801E-5</v>
      </c>
      <c r="D66" s="5" t="s">
        <v>20</v>
      </c>
      <c r="AB66" s="3">
        <v>27</v>
      </c>
      <c r="AC66" s="3">
        <f t="shared" si="46"/>
        <v>0.34206017851829529</v>
      </c>
      <c r="AD66" s="3">
        <f t="shared" si="27"/>
        <v>2.5419503169032964E-9</v>
      </c>
      <c r="AE66" s="3">
        <f t="shared" si="47"/>
        <v>0.34206018596887589</v>
      </c>
      <c r="AF66" s="3">
        <f t="shared" si="28"/>
        <v>-5.4487772072064899E-9</v>
      </c>
      <c r="AG66" s="3">
        <f t="shared" si="38"/>
        <v>0.34206018224358559</v>
      </c>
      <c r="AH66" s="3">
        <f t="shared" si="29"/>
        <v>-1.4534134451515968E-9</v>
      </c>
      <c r="AI66" s="3">
        <f t="shared" si="39"/>
        <v>-3.6945047674946132E-18</v>
      </c>
      <c r="AJ66" s="3">
        <f t="shared" si="40"/>
        <v>7.9193260525894804E-18</v>
      </c>
      <c r="AK66" s="3">
        <f t="shared" si="41"/>
        <v>7.4505805969238281E-9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" t="s">
        <v>187</v>
      </c>
      <c r="BD66" s="3">
        <f>IF(-$AN$8*($AR$3-$AN$25)/(2*$AN$25*SIN(BD61))&gt;500, 1, 2*ACOS(MIN(1, EXP(-$AN$8*($AR$3-$AN$25)/(2*$AN$25*SIN(BD61)))))/PI() )</f>
        <v>0.68798533176328613</v>
      </c>
      <c r="BE66" s="3"/>
      <c r="BF66" s="3"/>
      <c r="BG66" s="3" t="s">
        <v>187</v>
      </c>
      <c r="BH66" s="3">
        <f>IF(-$AN$8*($AR$3-$AN$26)/(2*$AN$26*SIN(BH61))&gt;500, 1, 2*ACOS(MIN(1, EXP(-$AN$8*($AR$3-$AN$26)/(2*$AN$26*SIN(BH61)))))/PI() )</f>
        <v>0.40706852905696161</v>
      </c>
      <c r="BI66" s="3"/>
      <c r="BJ66"/>
      <c r="BK66" s="3">
        <v>28</v>
      </c>
      <c r="BL66" s="3">
        <f t="shared" si="42"/>
        <v>0.32328530177845582</v>
      </c>
      <c r="BM66" s="3">
        <v>-2.4551683269757874E-8</v>
      </c>
      <c r="BN66" s="3">
        <f t="shared" si="43"/>
        <v>0.32328532261040926</v>
      </c>
      <c r="BO66" s="3">
        <v>4.9829955377223012E-8</v>
      </c>
      <c r="BP66" s="3">
        <f t="shared" si="30"/>
        <v>0.32328531219443257</v>
      </c>
      <c r="BQ66" s="3">
        <v>1.2639136501291226E-8</v>
      </c>
      <c r="BR66" s="3">
        <f t="shared" si="31"/>
        <v>-3.1031207618293788E-16</v>
      </c>
      <c r="BS66" s="3">
        <f t="shared" si="32"/>
        <v>6.298076078659724E-16</v>
      </c>
      <c r="BT66" s="3">
        <f t="shared" si="33"/>
        <v>2.0831953440048068E-8</v>
      </c>
      <c r="BU66"/>
      <c r="BV66" s="3">
        <v>28</v>
      </c>
      <c r="BW66" s="3">
        <f t="shared" si="44"/>
        <v>0.28999598599100451</v>
      </c>
      <c r="BX66" s="3">
        <v>-1.6878740620451804E-8</v>
      </c>
      <c r="BY66" s="3">
        <f t="shared" si="45"/>
        <v>0.28999600682295801</v>
      </c>
      <c r="BZ66" s="3">
        <v>5.1461008461484159E-8</v>
      </c>
      <c r="CA66" s="3">
        <f t="shared" si="34"/>
        <v>0.28999599640698126</v>
      </c>
      <c r="CB66" s="3">
        <v>1.7291134378483175E-8</v>
      </c>
      <c r="CC66" s="3">
        <f t="shared" si="35"/>
        <v>-2.9185257220779461E-16</v>
      </c>
      <c r="CD66" s="3">
        <f t="shared" si="36"/>
        <v>8.8981921255978232E-16</v>
      </c>
      <c r="CE66" s="3">
        <f t="shared" si="37"/>
        <v>2.0831953495559219E-8</v>
      </c>
    </row>
    <row r="67" spans="2:83" x14ac:dyDescent="0.2">
      <c r="B67" s="5" t="s">
        <v>154</v>
      </c>
      <c r="C67" s="8">
        <v>340.416</v>
      </c>
      <c r="D67" s="5" t="s">
        <v>13</v>
      </c>
      <c r="AB67" s="3">
        <v>28</v>
      </c>
      <c r="AC67" s="3">
        <f t="shared" si="46"/>
        <v>0.34206017851829529</v>
      </c>
      <c r="AD67" s="3">
        <f t="shared" si="27"/>
        <v>2.5419503169032964E-9</v>
      </c>
      <c r="AE67" s="3">
        <f t="shared" si="47"/>
        <v>0.34206018224358559</v>
      </c>
      <c r="AF67" s="3">
        <f t="shared" si="28"/>
        <v>-1.4534134451515968E-9</v>
      </c>
      <c r="AG67" s="3">
        <f t="shared" si="38"/>
        <v>0.34206018038094044</v>
      </c>
      <c r="AH67" s="3">
        <f t="shared" si="29"/>
        <v>5.4426840812027422E-10</v>
      </c>
      <c r="AI67" s="3">
        <f t="shared" si="39"/>
        <v>1.3835032525017837E-18</v>
      </c>
      <c r="AJ67" s="3">
        <f t="shared" si="40"/>
        <v>-7.9104702213326305E-19</v>
      </c>
      <c r="AK67" s="3">
        <f t="shared" si="41"/>
        <v>3.7252902984619141E-9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" t="s">
        <v>192</v>
      </c>
      <c r="BD67" s="3">
        <f>IF(-$AN$8*($AN$25-$AN$10)/(2*$AN$25*SIN(BD61))&gt;500, 1, 2*ACOS(MIN(1, EXP(-$AN$8*($AN$25-$AN$10)/(2*$AN$25*SIN(BD61)))))/PI() )</f>
        <v>0.97567939979080243</v>
      </c>
      <c r="BE67" s="3"/>
      <c r="BF67" s="3"/>
      <c r="BG67" s="3" t="s">
        <v>192</v>
      </c>
      <c r="BH67" s="3">
        <f>IF(-$AN$8*($AN$26-$AN$10)/(2*$AN$26*SIN(BH61))&gt;500, 1, 2*ACOS(MIN(1, EXP(-$AN$8*($AN$26-$AN$10)/(2*$AN$26*SIN(BH61)))))/PI() )</f>
        <v>0.97654828439134522</v>
      </c>
      <c r="BI67" s="3"/>
      <c r="BJ67"/>
      <c r="BK67" s="3">
        <v>29</v>
      </c>
      <c r="BL67" s="3">
        <f t="shared" si="42"/>
        <v>0.32328530177845582</v>
      </c>
      <c r="BM67" s="3">
        <v>-2.4551683269757874E-8</v>
      </c>
      <c r="BN67" s="3">
        <f t="shared" si="43"/>
        <v>0.32328531219443257</v>
      </c>
      <c r="BO67" s="3">
        <v>1.2639136501291226E-8</v>
      </c>
      <c r="BP67" s="3">
        <f t="shared" si="30"/>
        <v>0.3232853069864442</v>
      </c>
      <c r="BQ67" s="3">
        <v>-5.956273294027703E-9</v>
      </c>
      <c r="BR67" s="3">
        <f t="shared" si="31"/>
        <v>1.4623653538308557E-16</v>
      </c>
      <c r="BS67" s="3">
        <f t="shared" si="32"/>
        <v>-7.5282151202211664E-17</v>
      </c>
      <c r="BT67" s="3">
        <f t="shared" si="33"/>
        <v>1.0415976747779609E-8</v>
      </c>
      <c r="BU67"/>
      <c r="BV67" s="3">
        <v>29</v>
      </c>
      <c r="BW67" s="3">
        <f t="shared" si="44"/>
        <v>0.28999598599100451</v>
      </c>
      <c r="BX67" s="3">
        <v>-1.6878740620451804E-8</v>
      </c>
      <c r="BY67" s="3">
        <f t="shared" si="45"/>
        <v>0.28999599640698126</v>
      </c>
      <c r="BZ67" s="3">
        <v>1.7291134378483175E-8</v>
      </c>
      <c r="CA67" s="3">
        <f t="shared" si="34"/>
        <v>0.28999599119899289</v>
      </c>
      <c r="CB67" s="3">
        <v>2.0619694840462444E-10</v>
      </c>
      <c r="CC67" s="3">
        <f t="shared" si="35"/>
        <v>-3.4803448088503393E-18</v>
      </c>
      <c r="CD67" s="3">
        <f t="shared" si="36"/>
        <v>3.5653791432975231E-18</v>
      </c>
      <c r="CE67" s="3">
        <f t="shared" si="37"/>
        <v>1.0415976747779609E-8</v>
      </c>
    </row>
    <row r="68" spans="2:83" x14ac:dyDescent="0.2">
      <c r="B68" s="5" t="s">
        <v>21</v>
      </c>
      <c r="C68" s="8">
        <v>9.8066499999999994</v>
      </c>
      <c r="D68" s="5" t="s">
        <v>22</v>
      </c>
      <c r="AB68" s="3">
        <v>29</v>
      </c>
      <c r="AC68" s="3">
        <f t="shared" si="46"/>
        <v>0.34206018038094044</v>
      </c>
      <c r="AD68" s="3">
        <f t="shared" si="27"/>
        <v>5.4426840812027422E-10</v>
      </c>
      <c r="AE68" s="3">
        <f t="shared" si="47"/>
        <v>0.34206018224358559</v>
      </c>
      <c r="AF68" s="3">
        <f t="shared" si="28"/>
        <v>-1.4534134451515968E-9</v>
      </c>
      <c r="AG68" s="3">
        <f t="shared" si="38"/>
        <v>0.34206018131226301</v>
      </c>
      <c r="AH68" s="3">
        <f t="shared" si="29"/>
        <v>-4.5457249076008566E-10</v>
      </c>
      <c r="AI68" s="3">
        <f t="shared" si="39"/>
        <v>-2.4740944592125988E-19</v>
      </c>
      <c r="AJ68" s="3">
        <f t="shared" si="40"/>
        <v>6.6068176986675848E-19</v>
      </c>
      <c r="AK68" s="3">
        <f t="shared" si="41"/>
        <v>1.862645149230957E-9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" t="s">
        <v>196</v>
      </c>
      <c r="BD68" s="3">
        <f>IF(BD61=0,1,BD66*BD67)</f>
        <v>0.67125311555967915</v>
      </c>
      <c r="BE68" s="3"/>
      <c r="BF68" s="3"/>
      <c r="BG68" s="3" t="s">
        <v>196</v>
      </c>
      <c r="BH68" s="3">
        <f>IF(BH61=0,1,BH66*BH67)</f>
        <v>0.3975220736802843</v>
      </c>
      <c r="BI68" s="3"/>
      <c r="BJ68"/>
      <c r="BK68" s="3">
        <v>30</v>
      </c>
      <c r="BL68" s="3">
        <f t="shared" si="42"/>
        <v>0.3232853069864442</v>
      </c>
      <c r="BM68" s="3">
        <v>-5.956273294027703E-9</v>
      </c>
      <c r="BN68" s="3">
        <f t="shared" si="43"/>
        <v>0.32328531219443257</v>
      </c>
      <c r="BO68" s="3">
        <v>1.2639136501291226E-8</v>
      </c>
      <c r="BP68" s="13">
        <f t="shared" si="30"/>
        <v>0.32328530959043839</v>
      </c>
      <c r="BQ68" s="3">
        <v>3.3414316938373823E-9</v>
      </c>
      <c r="BR68" s="3">
        <f t="shared" si="31"/>
        <v>-1.9902480361821353E-17</v>
      </c>
      <c r="BS68" s="3">
        <f t="shared" si="32"/>
        <v>4.2232811288151424E-17</v>
      </c>
      <c r="BT68" s="3">
        <f t="shared" si="33"/>
        <v>5.2079883738898047E-9</v>
      </c>
      <c r="BU68"/>
      <c r="BV68" s="3">
        <v>30</v>
      </c>
      <c r="BW68" s="3">
        <f t="shared" si="44"/>
        <v>0.28999598599100451</v>
      </c>
      <c r="BX68" s="3">
        <v>-1.6878740620451804E-8</v>
      </c>
      <c r="BY68" s="3">
        <f t="shared" si="45"/>
        <v>0.28999599119899289</v>
      </c>
      <c r="BZ68" s="3">
        <v>2.0619694840462444E-10</v>
      </c>
      <c r="CA68" s="13">
        <f t="shared" si="34"/>
        <v>0.2899959885949987</v>
      </c>
      <c r="CB68" s="3">
        <v>-8.3362717284707344E-9</v>
      </c>
      <c r="CC68" s="3">
        <f t="shared" si="35"/>
        <v>1.4070576824646296E-16</v>
      </c>
      <c r="CD68" s="3">
        <f t="shared" si="36"/>
        <v>-1.7189137914824094E-18</v>
      </c>
      <c r="CE68" s="3">
        <f t="shared" si="37"/>
        <v>5.2079883738898047E-9</v>
      </c>
    </row>
    <row r="69" spans="2:83" x14ac:dyDescent="0.2">
      <c r="B69" s="5" t="s">
        <v>52</v>
      </c>
      <c r="C69" s="8">
        <v>5</v>
      </c>
      <c r="D69" s="5" t="s">
        <v>53</v>
      </c>
      <c r="AB69" s="3">
        <v>30</v>
      </c>
      <c r="AC69" s="3">
        <f t="shared" si="46"/>
        <v>0.34206018038094044</v>
      </c>
      <c r="AD69" s="3">
        <f t="shared" si="27"/>
        <v>5.4426840812027422E-10</v>
      </c>
      <c r="AE69" s="3">
        <f t="shared" si="47"/>
        <v>0.34206018131226301</v>
      </c>
      <c r="AF69" s="3">
        <f t="shared" si="28"/>
        <v>-4.5457249076008566E-10</v>
      </c>
      <c r="AG69" s="3">
        <f t="shared" si="38"/>
        <v>0.34206018084660172</v>
      </c>
      <c r="AH69" s="3">
        <f t="shared" si="29"/>
        <v>4.484795868009428E-11</v>
      </c>
      <c r="AI69" s="3">
        <f t="shared" si="39"/>
        <v>2.4409327078258748E-20</v>
      </c>
      <c r="AJ69" s="3">
        <f t="shared" si="40"/>
        <v>-2.038664828271586E-20</v>
      </c>
      <c r="AK69" s="3">
        <f t="shared" si="41"/>
        <v>9.3132257461547852E-10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" t="s">
        <v>200</v>
      </c>
      <c r="BD69" s="3">
        <f>IF(BD64&lt;$AW$43, $AR$44*BD64^2 + $AS$44*BD64 + $AT$44, IF(BD64&gt;$AX$43, $AY$44*BD64^2 + $AZ$44*BD64 + $BA$44, $AU$44*BD64^3 + $AV$44*BD64^2 + $AW$44*BD64 + $AX$44))</f>
        <v>0.77763502541090834</v>
      </c>
      <c r="BE69" s="3"/>
      <c r="BF69" s="3"/>
      <c r="BG69" s="3" t="s">
        <v>200</v>
      </c>
      <c r="BH69" s="3">
        <f>IF(BH64&lt;$AW$43, $AR$44*BH64^2 + $AS$44*BH64 + $AT$44, IF(BH64&gt;$AX$43, $AY$44*BH64^2 + $AZ$44*BH64 + $BA$44, $AU$44*BH64^3 + $AV$44*BH64^2 + $AW$44*BH64 + $AX$44))</f>
        <v>0.56970598930683147</v>
      </c>
      <c r="BI69" s="3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</row>
    <row r="70" spans="2:83" x14ac:dyDescent="0.2">
      <c r="B70" s="5" t="s">
        <v>102</v>
      </c>
      <c r="C70" s="8">
        <v>0.8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" t="s">
        <v>201</v>
      </c>
      <c r="BD70" s="3">
        <f>IF(BD64&lt;$AW$43, $AR$45*BD64^2 + $AS$45*BD64 + $AT$45, IF(BD64&gt;$AX$43, $AY$45*BD64^2 + $AZ$45*BD64 + $BA$45, $AU$45*BD64^3 + $AV$45*BD64^2 + $AW$45*BD64 + $AX$45))</f>
        <v>4.1548056321690525E-3</v>
      </c>
      <c r="BE70" s="3"/>
      <c r="BF70" s="3"/>
      <c r="BG70" s="3" t="s">
        <v>201</v>
      </c>
      <c r="BH70" s="3">
        <f>IF(BH64&lt;$AW$43, $AR$45*BH64^2 + $AS$45*BH64 + $AT$45, IF(BH64&gt;$AX$43, $AY$45*BH64^2 + $AZ$45*BH64 + $BA$45, $AU$45*BH64^3 + $AV$45*BH64^2 + $AW$45*BH64 + $AX$45))</f>
        <v>2.8470317204467976E-3</v>
      </c>
      <c r="BI70" s="3"/>
      <c r="BJ70"/>
      <c r="BK70" s="41" t="s">
        <v>233</v>
      </c>
      <c r="BL70" s="41"/>
      <c r="BM70" s="41"/>
      <c r="BN70" s="41"/>
      <c r="BO70" s="41"/>
      <c r="BP70" s="41"/>
      <c r="BQ70" s="41"/>
      <c r="BR70" s="41"/>
      <c r="BS70" s="41"/>
      <c r="BT70" s="41"/>
      <c r="BU70"/>
      <c r="BV70" s="41" t="s">
        <v>234</v>
      </c>
      <c r="BW70" s="41"/>
      <c r="BX70" s="41"/>
      <c r="BY70" s="41"/>
      <c r="BZ70" s="41"/>
      <c r="CA70" s="41"/>
      <c r="CB70" s="41"/>
      <c r="CC70" s="41"/>
      <c r="CD70" s="41"/>
      <c r="CE70" s="41"/>
    </row>
    <row r="71" spans="2:83" x14ac:dyDescent="0.2"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" t="s">
        <v>203</v>
      </c>
      <c r="BD71" s="3">
        <f xml:space="preserve"> BD69*COS(BD61) - BD70*SIN(BD61)</f>
        <v>0.75568657142491225</v>
      </c>
      <c r="BE71" s="3"/>
      <c r="BF71" s="3"/>
      <c r="BG71" s="3" t="s">
        <v>203</v>
      </c>
      <c r="BH71" s="3">
        <f xml:space="preserve"> BH69*COS(BH61) - BH70*SIN(BH61)</f>
        <v>0.55294380459953107</v>
      </c>
      <c r="BI71" s="3"/>
      <c r="BJ71"/>
      <c r="BK71" s="7" t="s">
        <v>54</v>
      </c>
      <c r="BL71" s="7" t="s">
        <v>55</v>
      </c>
      <c r="BM71" s="7" t="s">
        <v>56</v>
      </c>
      <c r="BN71" s="7" t="s">
        <v>57</v>
      </c>
      <c r="BO71" s="7" t="s">
        <v>58</v>
      </c>
      <c r="BP71" s="7" t="s">
        <v>59</v>
      </c>
      <c r="BQ71" s="7" t="s">
        <v>60</v>
      </c>
      <c r="BR71" s="7" t="s">
        <v>61</v>
      </c>
      <c r="BS71" s="7" t="s">
        <v>62</v>
      </c>
      <c r="BT71" s="7" t="s">
        <v>63</v>
      </c>
      <c r="BU71"/>
      <c r="BV71" s="7" t="s">
        <v>54</v>
      </c>
      <c r="BW71" s="7" t="s">
        <v>55</v>
      </c>
      <c r="BX71" s="7" t="s">
        <v>56</v>
      </c>
      <c r="BY71" s="7" t="s">
        <v>57</v>
      </c>
      <c r="BZ71" s="7" t="s">
        <v>58</v>
      </c>
      <c r="CA71" s="7" t="s">
        <v>59</v>
      </c>
      <c r="CB71" s="7" t="s">
        <v>60</v>
      </c>
      <c r="CC71" s="7" t="s">
        <v>61</v>
      </c>
      <c r="CD71" s="7" t="s">
        <v>62</v>
      </c>
      <c r="CE71" s="7" t="s">
        <v>63</v>
      </c>
    </row>
    <row r="72" spans="2:83" x14ac:dyDescent="0.2">
      <c r="B72" s="51" t="s">
        <v>23</v>
      </c>
      <c r="C72" s="51"/>
      <c r="D72" s="51"/>
      <c r="AB72" s="6" t="s">
        <v>111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" t="s">
        <v>205</v>
      </c>
      <c r="BD72" s="3">
        <f xml:space="preserve"> BD69*SIN(BD61) + BD70*COS(BD61)</f>
        <v>0.1834974139428841</v>
      </c>
      <c r="BE72" s="3"/>
      <c r="BF72" s="3"/>
      <c r="BG72" s="3" t="s">
        <v>205</v>
      </c>
      <c r="BH72" s="3">
        <f xml:space="preserve"> BH69*SIN(BH61) + BH70*COS(BH61)</f>
        <v>0.13720848660592558</v>
      </c>
      <c r="BI72" s="3"/>
      <c r="BJ72"/>
      <c r="BK72" s="17">
        <v>0</v>
      </c>
      <c r="BL72" s="17"/>
      <c r="BM72" s="17">
        <f>$BD$58</f>
        <v>1.7632449597626554E-9</v>
      </c>
      <c r="BN72" s="17"/>
      <c r="BO72" s="17">
        <f>$BD$58</f>
        <v>1.7632449597626554E-9</v>
      </c>
      <c r="BP72" s="17"/>
      <c r="BQ72" s="17">
        <f>$BD$58</f>
        <v>1.7632449597626554E-9</v>
      </c>
      <c r="BR72" s="17"/>
      <c r="BS72" s="17"/>
      <c r="BT72" s="17"/>
      <c r="BU72"/>
      <c r="BV72" s="17">
        <v>0</v>
      </c>
      <c r="BW72" s="17"/>
      <c r="BX72" s="17">
        <f>$BH$58</f>
        <v>-8.635800269329863E-10</v>
      </c>
      <c r="BY72" s="17"/>
      <c r="BZ72" s="17">
        <f>$BH$58</f>
        <v>-8.635800269329863E-10</v>
      </c>
      <c r="CA72" s="17"/>
      <c r="CB72" s="17">
        <f>$BH$58</f>
        <v>-8.635800269329863E-10</v>
      </c>
      <c r="CC72" s="17"/>
      <c r="CD72" s="17"/>
      <c r="CE72" s="17"/>
    </row>
    <row r="73" spans="2:83" x14ac:dyDescent="0.2">
      <c r="B73" s="5" t="s">
        <v>24</v>
      </c>
      <c r="C73" s="8">
        <v>30</v>
      </c>
      <c r="AB73" s="7" t="s">
        <v>54</v>
      </c>
      <c r="AC73" s="7" t="s">
        <v>55</v>
      </c>
      <c r="AD73" s="7" t="s">
        <v>56</v>
      </c>
      <c r="AE73" s="7" t="s">
        <v>57</v>
      </c>
      <c r="AF73" s="7" t="s">
        <v>58</v>
      </c>
      <c r="AG73" s="7" t="s">
        <v>59</v>
      </c>
      <c r="AH73" s="7" t="s">
        <v>60</v>
      </c>
      <c r="AI73" s="7" t="s">
        <v>61</v>
      </c>
      <c r="AJ73" s="7" t="s">
        <v>62</v>
      </c>
      <c r="AK73" s="7" t="s">
        <v>63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" t="s">
        <v>46</v>
      </c>
      <c r="BD73" s="3">
        <f xml:space="preserve"> 4*BD68*SIN(BD61)*SIN(BD61) / (BD65*BD71)</f>
        <v>1.1412007043718924</v>
      </c>
      <c r="BE73" s="3"/>
      <c r="BF73" s="3"/>
      <c r="BG73" s="3" t="s">
        <v>46</v>
      </c>
      <c r="BH73" s="3">
        <f xml:space="preserve"> 4*BH68*SIN(BH61)*SIN(BH61) / (BH65*BH71)</f>
        <v>1.121858940686006</v>
      </c>
      <c r="BI73" s="3"/>
      <c r="BJ73"/>
      <c r="BK73" s="3">
        <v>1</v>
      </c>
      <c r="BL73" s="4">
        <f>0.01*PI()</f>
        <v>3.1415926535897934E-2</v>
      </c>
      <c r="BM73" s="3">
        <f t="dataTable" ref="BM73:BM102" dt2D="0" dtr="0" r1="BD42" ca="1"/>
        <v>-2.2595191712902327</v>
      </c>
      <c r="BN73" s="4">
        <f>0.9*PI()</f>
        <v>2.8274333882308138</v>
      </c>
      <c r="BO73" s="3">
        <f t="dataTable" ref="BO73:BO102" dt2D="0" dtr="0" r1="BD42" ca="1"/>
        <v>0.3583155803689016</v>
      </c>
      <c r="BP73" s="3">
        <f t="shared" ref="BP73:BP102" si="52">(BL73+BN73)/2</f>
        <v>1.4294246573833558</v>
      </c>
      <c r="BQ73" s="3">
        <f t="dataTable" ref="BQ73:BQ102" dt2D="0" dtr="0" r1="BD42"/>
        <v>1.1353744013058151</v>
      </c>
      <c r="BR73" s="3">
        <f t="shared" ref="BR73:BR102" si="53">BM73*BQ73</f>
        <v>-2.5654002263426596</v>
      </c>
      <c r="BS73" s="3">
        <f t="shared" ref="BS73:BS102" si="54">BO73*BQ73</f>
        <v>0.40682233753988734</v>
      </c>
      <c r="BT73" s="3">
        <f t="shared" ref="BT73:BT102" si="55">BN73-BL73</f>
        <v>2.7960174616949161</v>
      </c>
      <c r="BU73"/>
      <c r="BV73" s="3">
        <v>1</v>
      </c>
      <c r="BW73" s="4">
        <f>0.01*PI()</f>
        <v>3.1415926535897934E-2</v>
      </c>
      <c r="BX73" s="3">
        <f t="dataTable" ref="BX73:BX102" dt2D="0" dtr="0" r1="BH42"/>
        <v>-2.161236126573451</v>
      </c>
      <c r="BY73" s="4">
        <f>0.9*PI()</f>
        <v>2.8274333882308138</v>
      </c>
      <c r="BZ73" s="3">
        <f t="dataTable" ref="BZ73:BZ102" dt2D="0" dtr="0" r1="BH42" ca="1"/>
        <v>0.34914896655205702</v>
      </c>
      <c r="CA73" s="3">
        <f t="shared" ref="CA73:CA102" si="56">(BW73+BY73)/2</f>
        <v>1.4294246573833558</v>
      </c>
      <c r="CB73" s="3">
        <f t="dataTable" ref="CB73:CB102" dt2D="0" dtr="0" r1="BH42" ca="1"/>
        <v>1.1385874334543309</v>
      </c>
      <c r="CC73" s="3">
        <f t="shared" ref="CC73:CC102" si="57">BX73*CB73</f>
        <v>-2.4607562944440451</v>
      </c>
      <c r="CD73" s="3">
        <f t="shared" ref="CD73:CD102" si="58">BZ73*CB73</f>
        <v>0.39753662571973863</v>
      </c>
      <c r="CE73" s="3">
        <f t="shared" ref="CE73:CE102" si="59">BY73-BW73</f>
        <v>2.7960174616949161</v>
      </c>
    </row>
    <row r="74" spans="2:83" x14ac:dyDescent="0.2">
      <c r="AB74" s="3">
        <v>0</v>
      </c>
      <c r="AC74" s="4">
        <v>0</v>
      </c>
      <c r="AD74" s="3">
        <f t="shared" ref="AD74:AD104" si="60" xml:space="preserve"> $W$22 * TAN($W$19/180*PI()) + $W$23 / (2 * SQRT($W$22^2 + AC74^2)) - AC74</f>
        <v>0.44239424643599501</v>
      </c>
      <c r="AE74" s="4">
        <v>1</v>
      </c>
      <c r="AF74" s="3">
        <f t="shared" ref="AF74:AF104" si="61" xml:space="preserve"> $W$22 * TAN($W$19/180*PI()) + $W$23 / (2 * SQRT($W$22^2 + AE74^2)) - AE74</f>
        <v>-0.67942669769840902</v>
      </c>
      <c r="AG74" s="3">
        <f xml:space="preserve"> (AC74 + AE74)/2</f>
        <v>0.5</v>
      </c>
      <c r="AH74" s="3">
        <f t="shared" ref="AH74:AH104" si="62" xml:space="preserve"> $W$22 * TAN($W$19/180*PI()) + $W$23 / (2 * SQRT($W$22^2 + AG74^2)) - AG74</f>
        <v>-0.17596001919497223</v>
      </c>
      <c r="AI74" s="3">
        <f>AD74*AH74</f>
        <v>-7.784370009462295E-2</v>
      </c>
      <c r="AJ74" s="3">
        <f>AF74*AH74</f>
        <v>0.11955193476858865</v>
      </c>
      <c r="AK74" s="3">
        <f>AE74-AC74</f>
        <v>1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" t="s">
        <v>207</v>
      </c>
      <c r="BD74" s="3">
        <f xml:space="preserve"> 4*BD68*SIN(BD61)*COS(BD61) / (BD65*BD72)</f>
        <v>19.815781444008234</v>
      </c>
      <c r="BE74" s="3"/>
      <c r="BF74" s="3"/>
      <c r="BG74" s="3" t="s">
        <v>207</v>
      </c>
      <c r="BH74" s="3">
        <f xml:space="preserve"> 4*BH68*SIN(BH61)*COS(BH61) / (BH65*BH72)</f>
        <v>18.617103641524462</v>
      </c>
      <c r="BI74" s="3"/>
      <c r="BJ74"/>
      <c r="BK74" s="3">
        <v>2</v>
      </c>
      <c r="BL74" s="3">
        <f t="shared" ref="BL74:BL102" si="63">IF(BR73&gt;0,BP73,BL73)</f>
        <v>3.1415926535897934E-2</v>
      </c>
      <c r="BM74" s="3">
        <v>-2.2595191712902327</v>
      </c>
      <c r="BN74" s="3">
        <f t="shared" ref="BN74:BN102" si="64">IF(BS73&gt;0,BP73,BN73)</f>
        <v>1.4294246573833558</v>
      </c>
      <c r="BO74" s="3">
        <v>1.1353744013058151</v>
      </c>
      <c r="BP74" s="3">
        <f t="shared" si="52"/>
        <v>0.73042029195962688</v>
      </c>
      <c r="BQ74" s="3">
        <v>0.7293078511352814</v>
      </c>
      <c r="BR74" s="3">
        <f t="shared" si="53"/>
        <v>-1.6478850714126514</v>
      </c>
      <c r="BS74" s="3">
        <f t="shared" si="54"/>
        <v>0.82803746485035068</v>
      </c>
      <c r="BT74" s="3">
        <f t="shared" si="55"/>
        <v>1.3980087308474578</v>
      </c>
      <c r="BU74"/>
      <c r="BV74" s="3">
        <v>2</v>
      </c>
      <c r="BW74" s="3">
        <f t="shared" ref="BW74:BW102" si="65">IF(CC73&gt;0,CA73,BW73)</f>
        <v>3.1415926535897934E-2</v>
      </c>
      <c r="BX74" s="3">
        <v>-2.161236126573451</v>
      </c>
      <c r="BY74" s="3">
        <f t="shared" ref="BY74:BY102" si="66">IF(CD73&gt;0,CA73,BY73)</f>
        <v>1.4294246573833558</v>
      </c>
      <c r="BZ74" s="3">
        <v>1.1385874334543309</v>
      </c>
      <c r="CA74" s="3">
        <f t="shared" si="56"/>
        <v>0.73042029195962688</v>
      </c>
      <c r="CB74" s="3">
        <v>0.73402005312411966</v>
      </c>
      <c r="CC74" s="3">
        <f t="shared" si="57"/>
        <v>-1.5863906564412111</v>
      </c>
      <c r="CD74" s="3">
        <f t="shared" si="58"/>
        <v>0.83574600839060298</v>
      </c>
      <c r="CE74" s="3">
        <f t="shared" si="59"/>
        <v>1.3980087308474578</v>
      </c>
    </row>
    <row r="75" spans="2:83" x14ac:dyDescent="0.2">
      <c r="AB75" s="3">
        <v>1</v>
      </c>
      <c r="AC75" s="3">
        <f>IF(AI74&gt;0, AG74, AC74)</f>
        <v>0</v>
      </c>
      <c r="AD75" s="3">
        <f t="shared" si="60"/>
        <v>0.44239424643599501</v>
      </c>
      <c r="AE75" s="3">
        <f>IF(AJ74&gt;0, AG74, AE74)</f>
        <v>0.5</v>
      </c>
      <c r="AF75" s="3">
        <f t="shared" si="61"/>
        <v>-0.17596001919497223</v>
      </c>
      <c r="AG75" s="3">
        <f t="shared" ref="AG75:AG104" si="67" xml:space="preserve"> (AC75 + AE75)/2</f>
        <v>0.25</v>
      </c>
      <c r="AH75" s="3">
        <f t="shared" si="62"/>
        <v>8.0917866530146099E-2</v>
      </c>
      <c r="AI75" s="3">
        <f t="shared" ref="AI75:AI104" si="68">AD75*AH75</f>
        <v>3.5797598586812404E-2</v>
      </c>
      <c r="AJ75" s="3">
        <f t="shared" ref="AJ75:AJ104" si="69">AF75*AH75</f>
        <v>-1.4238309347860708E-2</v>
      </c>
      <c r="AK75" s="3">
        <f t="shared" ref="AK75:AK104" si="70">AE75-AC75</f>
        <v>0.5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" t="s">
        <v>55</v>
      </c>
      <c r="BD75" s="3">
        <f>1/(BD73-1)</f>
        <v>7.0821176455764308</v>
      </c>
      <c r="BE75" s="3"/>
      <c r="BF75" s="3"/>
      <c r="BG75" s="3" t="s">
        <v>55</v>
      </c>
      <c r="BH75" s="3">
        <f>1/(BH73-1)</f>
        <v>8.2062095269373838</v>
      </c>
      <c r="BI75" s="3"/>
      <c r="BJ75"/>
      <c r="BK75" s="3">
        <v>3</v>
      </c>
      <c r="BL75" s="3">
        <f t="shared" si="63"/>
        <v>3.1415926535897934E-2</v>
      </c>
      <c r="BM75" s="3">
        <v>-2.2595191712902327</v>
      </c>
      <c r="BN75" s="3">
        <f t="shared" si="64"/>
        <v>0.73042029195962688</v>
      </c>
      <c r="BO75" s="3">
        <v>0.7293078511352814</v>
      </c>
      <c r="BP75" s="3">
        <f t="shared" si="52"/>
        <v>0.38091810924776243</v>
      </c>
      <c r="BQ75" s="3">
        <v>0.31352069037997582</v>
      </c>
      <c r="BR75" s="3">
        <f t="shared" si="53"/>
        <v>-0.70840601050970464</v>
      </c>
      <c r="BS75" s="3">
        <f t="shared" si="54"/>
        <v>0.22865310098747005</v>
      </c>
      <c r="BT75" s="3">
        <f t="shared" si="55"/>
        <v>0.6990043654237289</v>
      </c>
      <c r="BU75"/>
      <c r="BV75" s="3">
        <v>3</v>
      </c>
      <c r="BW75" s="3">
        <f t="shared" si="65"/>
        <v>3.1415926535897934E-2</v>
      </c>
      <c r="BX75" s="3">
        <v>-2.161236126573451</v>
      </c>
      <c r="BY75" s="3">
        <f t="shared" si="66"/>
        <v>0.73042029195962688</v>
      </c>
      <c r="BZ75" s="3">
        <v>0.73402005312411966</v>
      </c>
      <c r="CA75" s="3">
        <f t="shared" si="56"/>
        <v>0.38091810924776243</v>
      </c>
      <c r="CB75" s="3">
        <v>0.3501236349076704</v>
      </c>
      <c r="CC75" s="3">
        <f t="shared" si="57"/>
        <v>-0.75669984852967065</v>
      </c>
      <c r="CD75" s="3">
        <f t="shared" si="58"/>
        <v>0.2569977690949381</v>
      </c>
      <c r="CE75" s="3">
        <f t="shared" si="59"/>
        <v>0.6990043654237289</v>
      </c>
    </row>
    <row r="76" spans="2:83" x14ac:dyDescent="0.2">
      <c r="AB76" s="3">
        <v>2</v>
      </c>
      <c r="AC76" s="3">
        <f t="shared" ref="AC76:AC104" si="71">IF(AI75&gt;0, AG75, AC75)</f>
        <v>0.25</v>
      </c>
      <c r="AD76" s="3">
        <f t="shared" si="60"/>
        <v>8.0917866530146099E-2</v>
      </c>
      <c r="AE76" s="3">
        <f t="shared" ref="AE76:AE104" si="72">IF(AJ75&gt;0, AG75, AE75)</f>
        <v>0.5</v>
      </c>
      <c r="AF76" s="3">
        <f t="shared" si="61"/>
        <v>-0.17596001919497223</v>
      </c>
      <c r="AG76" s="3">
        <f t="shared" si="67"/>
        <v>0.375</v>
      </c>
      <c r="AH76" s="3">
        <f t="shared" si="62"/>
        <v>-4.8657259380862516E-2</v>
      </c>
      <c r="AI76" s="3">
        <f t="shared" si="68"/>
        <v>-3.9372416203033323E-3</v>
      </c>
      <c r="AJ76" s="3">
        <f t="shared" si="69"/>
        <v>8.5617322946313114E-3</v>
      </c>
      <c r="AK76" s="3">
        <f t="shared" si="70"/>
        <v>0.25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" t="s">
        <v>210</v>
      </c>
      <c r="BD76" s="3">
        <f>1/(BD74+1)</f>
        <v>4.8040473651679662E-2</v>
      </c>
      <c r="BE76" s="3"/>
      <c r="BF76"/>
      <c r="BG76" s="3" t="s">
        <v>210</v>
      </c>
      <c r="BH76" s="3">
        <f>1/(BH74+1)</f>
        <v>5.0975924798768564E-2</v>
      </c>
      <c r="BI76" s="3"/>
      <c r="BJ76"/>
      <c r="BK76" s="3">
        <v>4</v>
      </c>
      <c r="BL76" s="3">
        <f t="shared" si="63"/>
        <v>3.1415926535897934E-2</v>
      </c>
      <c r="BM76" s="3">
        <v>-2.2595191712902327</v>
      </c>
      <c r="BN76" s="3">
        <f t="shared" si="64"/>
        <v>0.38091810924776243</v>
      </c>
      <c r="BO76" s="3">
        <v>0.31352069037997582</v>
      </c>
      <c r="BP76" s="3">
        <f t="shared" si="52"/>
        <v>0.20616701789183017</v>
      </c>
      <c r="BQ76" s="3">
        <v>-0.19926963343421822</v>
      </c>
      <c r="BR76" s="3">
        <f t="shared" si="53"/>
        <v>0.45025355700059322</v>
      </c>
      <c r="BS76" s="3">
        <f t="shared" si="54"/>
        <v>-6.2475153046060806E-2</v>
      </c>
      <c r="BT76" s="3">
        <f t="shared" si="55"/>
        <v>0.34950218271186451</v>
      </c>
      <c r="BU76"/>
      <c r="BV76" s="3">
        <v>4</v>
      </c>
      <c r="BW76" s="3">
        <f t="shared" si="65"/>
        <v>3.1415926535897934E-2</v>
      </c>
      <c r="BX76" s="3">
        <v>-2.161236126573451</v>
      </c>
      <c r="BY76" s="3">
        <f t="shared" si="66"/>
        <v>0.38091810924776243</v>
      </c>
      <c r="BZ76" s="3">
        <v>0.3501236349076704</v>
      </c>
      <c r="CA76" s="3">
        <f t="shared" si="56"/>
        <v>0.20616701789183017</v>
      </c>
      <c r="CB76" s="3">
        <v>-0.12597627580679827</v>
      </c>
      <c r="CC76" s="3">
        <f t="shared" si="57"/>
        <v>0.27226447836483342</v>
      </c>
      <c r="CD76" s="3">
        <f t="shared" si="58"/>
        <v>-4.4107271597607425E-2</v>
      </c>
      <c r="CE76" s="3">
        <f t="shared" si="59"/>
        <v>0.34950218271186451</v>
      </c>
    </row>
    <row r="77" spans="2:83" x14ac:dyDescent="0.2">
      <c r="AB77" s="3">
        <v>3</v>
      </c>
      <c r="AC77" s="3">
        <f t="shared" si="71"/>
        <v>0.25</v>
      </c>
      <c r="AD77" s="3">
        <f t="shared" si="60"/>
        <v>8.0917866530146099E-2</v>
      </c>
      <c r="AE77" s="3">
        <f t="shared" si="72"/>
        <v>0.375</v>
      </c>
      <c r="AF77" s="3">
        <f t="shared" si="61"/>
        <v>-4.8657259380862516E-2</v>
      </c>
      <c r="AG77" s="3">
        <f t="shared" si="67"/>
        <v>0.3125</v>
      </c>
      <c r="AH77" s="3">
        <f t="shared" si="62"/>
        <v>1.5678304366397999E-2</v>
      </c>
      <c r="AI77" s="3">
        <f t="shared" si="68"/>
        <v>1.2686549401392001E-3</v>
      </c>
      <c r="AJ77" s="3">
        <f t="shared" si="69"/>
        <v>-7.6286332220793678E-4</v>
      </c>
      <c r="AK77" s="3">
        <f t="shared" si="70"/>
        <v>0.125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7" t="s">
        <v>212</v>
      </c>
      <c r="BD77" s="23">
        <f>SIN(BD61)/(1+BD75) - $AN$3*COS(BD61)/($AR$5*$AN$25*(1-BD76))</f>
        <v>6.0313151035995549E-9</v>
      </c>
      <c r="BE77" s="23"/>
      <c r="BF77"/>
      <c r="BG77" s="7" t="s">
        <v>212</v>
      </c>
      <c r="BH77" s="23">
        <f>SIN(BH61)/(1+BH75) - $AN$3*COS(BH61)/($AR$5*$AN$26*(1-BH76))</f>
        <v>4.930885345866276E-9</v>
      </c>
      <c r="BI77" s="23"/>
      <c r="BJ77"/>
      <c r="BK77" s="3">
        <v>5</v>
      </c>
      <c r="BL77" s="3">
        <f t="shared" si="63"/>
        <v>0.20616701789183017</v>
      </c>
      <c r="BM77" s="3">
        <v>-0.19926963343421822</v>
      </c>
      <c r="BN77" s="3">
        <f t="shared" si="64"/>
        <v>0.38091810924776243</v>
      </c>
      <c r="BO77" s="3">
        <v>0.31352069037997582</v>
      </c>
      <c r="BP77" s="3">
        <f t="shared" si="52"/>
        <v>0.2935425635697963</v>
      </c>
      <c r="BQ77" s="3">
        <v>8.8603460361379879E-2</v>
      </c>
      <c r="BR77" s="3">
        <f t="shared" si="53"/>
        <v>-1.7655979067215454E-2</v>
      </c>
      <c r="BS77" s="3">
        <f t="shared" si="54"/>
        <v>2.7779018062554641E-2</v>
      </c>
      <c r="BT77" s="3">
        <f t="shared" si="55"/>
        <v>0.17475109135593225</v>
      </c>
      <c r="BU77"/>
      <c r="BV77" s="3">
        <v>5</v>
      </c>
      <c r="BW77" s="3">
        <f t="shared" si="65"/>
        <v>0.20616701789183017</v>
      </c>
      <c r="BX77" s="3">
        <v>-0.12597627580679827</v>
      </c>
      <c r="BY77" s="3">
        <f t="shared" si="66"/>
        <v>0.38091810924776243</v>
      </c>
      <c r="BZ77" s="3">
        <v>0.3501236349076704</v>
      </c>
      <c r="CA77" s="3">
        <f t="shared" si="56"/>
        <v>0.2935425635697963</v>
      </c>
      <c r="CB77" s="3">
        <v>0.1408819931395027</v>
      </c>
      <c r="CC77" s="3">
        <f t="shared" si="57"/>
        <v>-1.7747788823953455E-2</v>
      </c>
      <c r="CD77" s="3">
        <f t="shared" si="58"/>
        <v>4.9326115531040167E-2</v>
      </c>
      <c r="CE77" s="3">
        <f t="shared" si="59"/>
        <v>0.17475109135593225</v>
      </c>
    </row>
    <row r="78" spans="2:83" x14ac:dyDescent="0.2">
      <c r="AB78" s="3">
        <v>4</v>
      </c>
      <c r="AC78" s="3">
        <f t="shared" si="71"/>
        <v>0.3125</v>
      </c>
      <c r="AD78" s="3">
        <f t="shared" si="60"/>
        <v>1.5678304366397999E-2</v>
      </c>
      <c r="AE78" s="3">
        <f t="shared" si="72"/>
        <v>0.375</v>
      </c>
      <c r="AF78" s="3">
        <f t="shared" si="61"/>
        <v>-4.8657259380862516E-2</v>
      </c>
      <c r="AG78" s="3">
        <f t="shared" si="67"/>
        <v>0.34375</v>
      </c>
      <c r="AH78" s="3">
        <f t="shared" si="62"/>
        <v>-1.6572097882707637E-2</v>
      </c>
      <c r="AI78" s="3">
        <f t="shared" si="68"/>
        <v>-2.5982239459483017E-4</v>
      </c>
      <c r="AJ78" s="3">
        <f t="shared" si="69"/>
        <v>8.0635286516394806E-4</v>
      </c>
      <c r="AK78" s="3">
        <f t="shared" si="70"/>
        <v>6.25E-2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3">
        <v>6</v>
      </c>
      <c r="BL78" s="3">
        <f t="shared" si="63"/>
        <v>0.20616701789183017</v>
      </c>
      <c r="BM78" s="3">
        <v>-0.19926963343421822</v>
      </c>
      <c r="BN78" s="3">
        <f t="shared" si="64"/>
        <v>0.2935425635697963</v>
      </c>
      <c r="BO78" s="3">
        <v>8.8603460361379879E-2</v>
      </c>
      <c r="BP78" s="3">
        <f t="shared" si="52"/>
        <v>0.24985479073081324</v>
      </c>
      <c r="BQ78" s="3">
        <v>-4.529505104020292E-2</v>
      </c>
      <c r="BR78" s="3">
        <f t="shared" si="53"/>
        <v>9.0259282171654409E-3</v>
      </c>
      <c r="BS78" s="3">
        <f t="shared" si="54"/>
        <v>-4.0132982594072979E-3</v>
      </c>
      <c r="BT78" s="3">
        <f t="shared" si="55"/>
        <v>8.7375545677966127E-2</v>
      </c>
      <c r="BU78"/>
      <c r="BV78" s="3">
        <v>6</v>
      </c>
      <c r="BW78" s="3">
        <f t="shared" si="65"/>
        <v>0.20616701789183017</v>
      </c>
      <c r="BX78" s="3">
        <v>-0.12597627580679827</v>
      </c>
      <c r="BY78" s="3">
        <f t="shared" si="66"/>
        <v>0.2935425635697963</v>
      </c>
      <c r="BZ78" s="3">
        <v>0.1408819931395027</v>
      </c>
      <c r="CA78" s="3">
        <f t="shared" si="56"/>
        <v>0.24985479073081324</v>
      </c>
      <c r="CB78" s="3">
        <v>1.61525856470063E-2</v>
      </c>
      <c r="CC78" s="3">
        <f t="shared" si="57"/>
        <v>-2.0348425844601966E-3</v>
      </c>
      <c r="CD78" s="3">
        <f t="shared" si="58"/>
        <v>2.2756084603067711E-3</v>
      </c>
      <c r="CE78" s="3">
        <f t="shared" si="59"/>
        <v>8.7375545677966127E-2</v>
      </c>
    </row>
    <row r="79" spans="2:83" x14ac:dyDescent="0.2">
      <c r="AB79" s="3">
        <v>5</v>
      </c>
      <c r="AC79" s="3">
        <f t="shared" si="71"/>
        <v>0.3125</v>
      </c>
      <c r="AD79" s="3">
        <f t="shared" si="60"/>
        <v>1.5678304366397999E-2</v>
      </c>
      <c r="AE79" s="3">
        <f t="shared" si="72"/>
        <v>0.34375</v>
      </c>
      <c r="AF79" s="3">
        <f t="shared" si="61"/>
        <v>-1.6572097882707637E-2</v>
      </c>
      <c r="AG79" s="3">
        <f t="shared" si="67"/>
        <v>0.328125</v>
      </c>
      <c r="AH79" s="3">
        <f t="shared" si="62"/>
        <v>-4.7046188682209333E-4</v>
      </c>
      <c r="AI79" s="3">
        <f t="shared" si="68"/>
        <v>-7.3760446543866669E-6</v>
      </c>
      <c r="AJ79" s="3">
        <f t="shared" si="69"/>
        <v>7.7965404384990533E-6</v>
      </c>
      <c r="AK79" s="3">
        <f t="shared" si="70"/>
        <v>3.125E-2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s="3">
        <v>7</v>
      </c>
      <c r="BL79" s="3">
        <f t="shared" si="63"/>
        <v>0.24985479073081324</v>
      </c>
      <c r="BM79" s="3">
        <v>-4.529505104020292E-2</v>
      </c>
      <c r="BN79" s="3">
        <f t="shared" si="64"/>
        <v>0.2935425635697963</v>
      </c>
      <c r="BO79" s="3">
        <v>8.8603460361379879E-2</v>
      </c>
      <c r="BP79" s="3">
        <f t="shared" si="52"/>
        <v>0.27169867715030477</v>
      </c>
      <c r="BQ79" s="3">
        <v>2.3719278747276758E-2</v>
      </c>
      <c r="BR79" s="3">
        <f t="shared" si="53"/>
        <v>-1.0743659414947011E-3</v>
      </c>
      <c r="BS79" s="3">
        <f t="shared" si="54"/>
        <v>2.1016101742848564E-3</v>
      </c>
      <c r="BT79" s="3">
        <f t="shared" si="55"/>
        <v>4.3687772838983063E-2</v>
      </c>
      <c r="BU79"/>
      <c r="BV79" s="3">
        <v>7</v>
      </c>
      <c r="BW79" s="3">
        <f t="shared" si="65"/>
        <v>0.20616701789183017</v>
      </c>
      <c r="BX79" s="3">
        <v>-0.12597627580679827</v>
      </c>
      <c r="BY79" s="3">
        <f t="shared" si="66"/>
        <v>0.24985479073081324</v>
      </c>
      <c r="BZ79" s="3">
        <v>1.61525856470063E-2</v>
      </c>
      <c r="CA79" s="3">
        <f t="shared" si="56"/>
        <v>0.2280109043113217</v>
      </c>
      <c r="CB79" s="3">
        <v>-5.2310988441081271E-2</v>
      </c>
      <c r="CC79" s="3">
        <f t="shared" si="57"/>
        <v>6.5899435075798905E-3</v>
      </c>
      <c r="CD79" s="3">
        <f t="shared" si="58"/>
        <v>-8.4495772107412177E-4</v>
      </c>
      <c r="CE79" s="3">
        <f t="shared" si="59"/>
        <v>4.3687772838983063E-2</v>
      </c>
    </row>
    <row r="80" spans="2:83" x14ac:dyDescent="0.2">
      <c r="AB80" s="3">
        <v>6</v>
      </c>
      <c r="AC80" s="3">
        <f t="shared" si="71"/>
        <v>0.3125</v>
      </c>
      <c r="AD80" s="3">
        <f t="shared" si="60"/>
        <v>1.5678304366397999E-2</v>
      </c>
      <c r="AE80" s="3">
        <f t="shared" si="72"/>
        <v>0.328125</v>
      </c>
      <c r="AF80" s="3">
        <f t="shared" si="61"/>
        <v>-4.7046188682209333E-4</v>
      </c>
      <c r="AG80" s="3">
        <f t="shared" si="67"/>
        <v>0.3203125</v>
      </c>
      <c r="AH80" s="3">
        <f t="shared" si="62"/>
        <v>7.5976052112418646E-3</v>
      </c>
      <c r="AI80" s="3">
        <f t="shared" si="68"/>
        <v>1.1911756695758151E-4</v>
      </c>
      <c r="AJ80" s="3">
        <f t="shared" si="69"/>
        <v>-3.5743836830102167E-6</v>
      </c>
      <c r="AK80" s="3">
        <f t="shared" si="70"/>
        <v>1.5625E-2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s="3">
        <v>8</v>
      </c>
      <c r="BL80" s="3">
        <f t="shared" si="63"/>
        <v>0.24985479073081324</v>
      </c>
      <c r="BM80" s="3">
        <v>-4.529505104020292E-2</v>
      </c>
      <c r="BN80" s="3">
        <f t="shared" si="64"/>
        <v>0.27169867715030477</v>
      </c>
      <c r="BO80" s="3">
        <v>2.3719278747276758E-2</v>
      </c>
      <c r="BP80" s="3">
        <f t="shared" si="52"/>
        <v>0.260776733940559</v>
      </c>
      <c r="BQ80" s="3">
        <v>-1.0231847530558558E-2</v>
      </c>
      <c r="BR80" s="3">
        <f t="shared" si="53"/>
        <v>4.6345205613222408E-4</v>
      </c>
      <c r="BS80" s="3">
        <f t="shared" si="54"/>
        <v>-2.4269204367695376E-4</v>
      </c>
      <c r="BT80" s="3">
        <f t="shared" si="55"/>
        <v>2.1843886419491532E-2</v>
      </c>
      <c r="BU80"/>
      <c r="BV80" s="3">
        <v>8</v>
      </c>
      <c r="BW80" s="3">
        <f t="shared" si="65"/>
        <v>0.2280109043113217</v>
      </c>
      <c r="BX80" s="3">
        <v>-5.2310988441081271E-2</v>
      </c>
      <c r="BY80" s="3">
        <f t="shared" si="66"/>
        <v>0.24985479073081324</v>
      </c>
      <c r="BZ80" s="3">
        <v>1.61525856470063E-2</v>
      </c>
      <c r="CA80" s="3">
        <f t="shared" si="56"/>
        <v>0.23893284752106747</v>
      </c>
      <c r="CB80" s="3">
        <v>-1.749939918346094E-2</v>
      </c>
      <c r="CC80" s="3">
        <f t="shared" si="57"/>
        <v>9.1541086841189227E-4</v>
      </c>
      <c r="CD80" s="3">
        <f t="shared" si="58"/>
        <v>-2.8266054408200493E-4</v>
      </c>
      <c r="CE80" s="3">
        <f t="shared" si="59"/>
        <v>2.1843886419491532E-2</v>
      </c>
    </row>
    <row r="81" spans="28:83" x14ac:dyDescent="0.2">
      <c r="AB81" s="3">
        <v>7</v>
      </c>
      <c r="AC81" s="3">
        <f t="shared" si="71"/>
        <v>0.3203125</v>
      </c>
      <c r="AD81" s="3">
        <f t="shared" si="60"/>
        <v>7.5976052112418646E-3</v>
      </c>
      <c r="AE81" s="3">
        <f t="shared" si="72"/>
        <v>0.328125</v>
      </c>
      <c r="AF81" s="3">
        <f t="shared" si="61"/>
        <v>-4.7046188682209333E-4</v>
      </c>
      <c r="AG81" s="3">
        <f t="shared" si="67"/>
        <v>0.32421875</v>
      </c>
      <c r="AH81" s="3">
        <f t="shared" si="62"/>
        <v>3.562048888546554E-3</v>
      </c>
      <c r="AI81" s="3">
        <f t="shared" si="68"/>
        <v>2.7063041198319592E-5</v>
      </c>
      <c r="AJ81" s="3">
        <f t="shared" si="69"/>
        <v>-1.6758082410581522E-6</v>
      </c>
      <c r="AK81" s="3">
        <f t="shared" si="70"/>
        <v>7.8125E-3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s="3">
        <v>9</v>
      </c>
      <c r="BL81" s="3">
        <f t="shared" si="63"/>
        <v>0.260776733940559</v>
      </c>
      <c r="BM81" s="3">
        <v>-1.0231847530558558E-2</v>
      </c>
      <c r="BN81" s="3">
        <f t="shared" si="64"/>
        <v>0.27169867715030477</v>
      </c>
      <c r="BO81" s="3">
        <v>2.3719278747276758E-2</v>
      </c>
      <c r="BP81" s="3">
        <f t="shared" si="52"/>
        <v>0.26623770554543191</v>
      </c>
      <c r="BQ81" s="3">
        <v>6.8769833583326237E-3</v>
      </c>
      <c r="BR81" s="3">
        <f t="shared" si="53"/>
        <v>-7.0364245192647957E-5</v>
      </c>
      <c r="BS81" s="3">
        <f t="shared" si="54"/>
        <v>1.6311708521667495E-4</v>
      </c>
      <c r="BT81" s="3">
        <f t="shared" si="55"/>
        <v>1.0921943209745766E-2</v>
      </c>
      <c r="BU81"/>
      <c r="BV81" s="3">
        <v>9</v>
      </c>
      <c r="BW81" s="3">
        <f t="shared" si="65"/>
        <v>0.23893284752106747</v>
      </c>
      <c r="BX81" s="3">
        <v>-1.749939918346094E-2</v>
      </c>
      <c r="BY81" s="3">
        <f t="shared" si="66"/>
        <v>0.24985479073081324</v>
      </c>
      <c r="BZ81" s="3">
        <v>1.61525856470063E-2</v>
      </c>
      <c r="CA81" s="3">
        <f t="shared" si="56"/>
        <v>0.24439381912594035</v>
      </c>
      <c r="CB81" s="3">
        <v>-5.3545069232909664E-4</v>
      </c>
      <c r="CC81" s="3">
        <f t="shared" si="57"/>
        <v>9.3700654081273888E-6</v>
      </c>
      <c r="CD81" s="3">
        <f t="shared" si="58"/>
        <v>-8.6489131675945522E-6</v>
      </c>
      <c r="CE81" s="3">
        <f t="shared" si="59"/>
        <v>1.0921943209745766E-2</v>
      </c>
    </row>
    <row r="82" spans="28:83" x14ac:dyDescent="0.2">
      <c r="AB82" s="3">
        <v>8</v>
      </c>
      <c r="AC82" s="3">
        <f t="shared" si="71"/>
        <v>0.32421875</v>
      </c>
      <c r="AD82" s="3">
        <f t="shared" si="60"/>
        <v>3.562048888546554E-3</v>
      </c>
      <c r="AE82" s="3">
        <f t="shared" si="72"/>
        <v>0.328125</v>
      </c>
      <c r="AF82" s="3">
        <f t="shared" si="61"/>
        <v>-4.7046188682209333E-4</v>
      </c>
      <c r="AG82" s="3">
        <f t="shared" si="67"/>
        <v>0.326171875</v>
      </c>
      <c r="AH82" s="3">
        <f t="shared" si="62"/>
        <v>1.5454195473806887E-3</v>
      </c>
      <c r="AI82" s="3">
        <f t="shared" si="68"/>
        <v>5.5048599810855004E-6</v>
      </c>
      <c r="AJ82" s="3">
        <f t="shared" si="69"/>
        <v>-7.2706099619246427E-7</v>
      </c>
      <c r="AK82" s="3">
        <f t="shared" si="70"/>
        <v>3.90625E-3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3">
        <v>10</v>
      </c>
      <c r="BL82" s="3">
        <f t="shared" si="63"/>
        <v>0.260776733940559</v>
      </c>
      <c r="BM82" s="3">
        <v>-1.0231847530558558E-2</v>
      </c>
      <c r="BN82" s="3">
        <f t="shared" si="64"/>
        <v>0.26623770554543191</v>
      </c>
      <c r="BO82" s="3">
        <v>6.8769833583326237E-3</v>
      </c>
      <c r="BP82" s="3">
        <f t="shared" si="52"/>
        <v>0.26350721974299546</v>
      </c>
      <c r="BQ82" s="3">
        <v>-1.6434509733444722E-3</v>
      </c>
      <c r="BR82" s="3">
        <f t="shared" si="53"/>
        <v>1.6815539783208695E-5</v>
      </c>
      <c r="BS82" s="3">
        <f t="shared" si="54"/>
        <v>-1.1301984993925488E-5</v>
      </c>
      <c r="BT82" s="3">
        <f t="shared" si="55"/>
        <v>5.4609716048729107E-3</v>
      </c>
      <c r="BU82"/>
      <c r="BV82" s="3">
        <v>10</v>
      </c>
      <c r="BW82" s="3">
        <f t="shared" si="65"/>
        <v>0.24439381912594035</v>
      </c>
      <c r="BX82" s="3">
        <v>-5.3545069232909664E-4</v>
      </c>
      <c r="BY82" s="3">
        <f t="shared" si="66"/>
        <v>0.24985479073081324</v>
      </c>
      <c r="BZ82" s="3">
        <v>1.61525856470063E-2</v>
      </c>
      <c r="CA82" s="3">
        <f t="shared" si="56"/>
        <v>0.24712430492837678</v>
      </c>
      <c r="CB82" s="3">
        <v>7.8422763495589326E-3</v>
      </c>
      <c r="CC82" s="3">
        <f t="shared" si="57"/>
        <v>-4.1991523008074313E-6</v>
      </c>
      <c r="CD82" s="3">
        <f t="shared" si="58"/>
        <v>1.2667304040374258E-4</v>
      </c>
      <c r="CE82" s="3">
        <f t="shared" si="59"/>
        <v>5.4609716048728829E-3</v>
      </c>
    </row>
    <row r="83" spans="28:83" x14ac:dyDescent="0.2">
      <c r="AB83" s="3">
        <v>9</v>
      </c>
      <c r="AC83" s="3">
        <f t="shared" si="71"/>
        <v>0.326171875</v>
      </c>
      <c r="AD83" s="3">
        <f t="shared" si="60"/>
        <v>1.5454195473806887E-3</v>
      </c>
      <c r="AE83" s="3">
        <f t="shared" si="72"/>
        <v>0.328125</v>
      </c>
      <c r="AF83" s="3">
        <f t="shared" si="61"/>
        <v>-4.7046188682209333E-4</v>
      </c>
      <c r="AG83" s="3">
        <f t="shared" si="67"/>
        <v>0.3271484375</v>
      </c>
      <c r="AH83" s="3">
        <f t="shared" si="62"/>
        <v>5.3738616711423992E-4</v>
      </c>
      <c r="AI83" s="3">
        <f t="shared" si="68"/>
        <v>8.3048708715033182E-7</v>
      </c>
      <c r="AJ83" s="3">
        <f t="shared" si="69"/>
        <v>-2.5281971013265808E-7</v>
      </c>
      <c r="AK83" s="3">
        <f t="shared" si="70"/>
        <v>1.953125E-3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3">
        <v>11</v>
      </c>
      <c r="BL83" s="3">
        <f t="shared" si="63"/>
        <v>0.26350721974299546</v>
      </c>
      <c r="BM83" s="3">
        <v>-1.6434509733444722E-3</v>
      </c>
      <c r="BN83" s="3">
        <f t="shared" si="64"/>
        <v>0.26623770554543191</v>
      </c>
      <c r="BO83" s="3">
        <v>6.8769833583326237E-3</v>
      </c>
      <c r="BP83" s="3">
        <f t="shared" si="52"/>
        <v>0.26487246264421371</v>
      </c>
      <c r="BQ83" s="3">
        <v>2.6251752865528166E-3</v>
      </c>
      <c r="BR83" s="3">
        <f t="shared" si="53"/>
        <v>-4.3143468798850798E-6</v>
      </c>
      <c r="BS83" s="3">
        <f t="shared" si="54"/>
        <v>1.8053286758329797E-5</v>
      </c>
      <c r="BT83" s="3">
        <f t="shared" si="55"/>
        <v>2.7304858024364553E-3</v>
      </c>
      <c r="BU83"/>
      <c r="BV83" s="3">
        <v>11</v>
      </c>
      <c r="BW83" s="3">
        <f t="shared" si="65"/>
        <v>0.24439381912594035</v>
      </c>
      <c r="BX83" s="3">
        <v>-5.3545069232909664E-4</v>
      </c>
      <c r="BY83" s="3">
        <f t="shared" si="66"/>
        <v>0.24712430492837678</v>
      </c>
      <c r="BZ83" s="3">
        <v>7.8422763495589326E-3</v>
      </c>
      <c r="CA83" s="3">
        <f t="shared" si="56"/>
        <v>0.24575906202715858</v>
      </c>
      <c r="CB83" s="3">
        <v>3.6619336671655234E-3</v>
      </c>
      <c r="CC83" s="3">
        <f t="shared" si="57"/>
        <v>-1.9607849173470071E-6</v>
      </c>
      <c r="CD83" s="3">
        <f t="shared" si="58"/>
        <v>2.8717895791665796E-5</v>
      </c>
      <c r="CE83" s="3">
        <f t="shared" si="59"/>
        <v>2.7304858024364276E-3</v>
      </c>
    </row>
    <row r="84" spans="28:83" x14ac:dyDescent="0.2">
      <c r="AB84" s="3">
        <v>10</v>
      </c>
      <c r="AC84" s="3">
        <f t="shared" si="71"/>
        <v>0.3271484375</v>
      </c>
      <c r="AD84" s="3">
        <f t="shared" si="60"/>
        <v>5.3738616711423992E-4</v>
      </c>
      <c r="AE84" s="3">
        <f t="shared" si="72"/>
        <v>0.328125</v>
      </c>
      <c r="AF84" s="3">
        <f t="shared" si="61"/>
        <v>-4.7046188682209333E-4</v>
      </c>
      <c r="AG84" s="3">
        <f t="shared" si="67"/>
        <v>0.32763671875</v>
      </c>
      <c r="AH84" s="3">
        <f t="shared" si="62"/>
        <v>3.3439076448704697E-5</v>
      </c>
      <c r="AI84" s="3">
        <f t="shared" si="68"/>
        <v>1.7969697124609466E-8</v>
      </c>
      <c r="AJ84" s="3">
        <f t="shared" si="69"/>
        <v>-1.5731810999645835E-8</v>
      </c>
      <c r="AK84" s="3">
        <f t="shared" si="70"/>
        <v>9.765625E-4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s="3">
        <v>12</v>
      </c>
      <c r="BL84" s="3">
        <f t="shared" si="63"/>
        <v>0.26350721974299546</v>
      </c>
      <c r="BM84" s="3">
        <v>-1.6434509733444722E-3</v>
      </c>
      <c r="BN84" s="3">
        <f t="shared" si="64"/>
        <v>0.26487246264421371</v>
      </c>
      <c r="BO84" s="3">
        <v>2.6251752865528166E-3</v>
      </c>
      <c r="BP84" s="3">
        <f t="shared" si="52"/>
        <v>0.26418984119360456</v>
      </c>
      <c r="BQ84" s="3">
        <v>4.9297499999012562E-4</v>
      </c>
      <c r="BR84" s="3">
        <f t="shared" si="53"/>
        <v>-8.1018024356826308E-7</v>
      </c>
      <c r="BS84" s="3">
        <f t="shared" si="54"/>
        <v>1.2941457868624529E-6</v>
      </c>
      <c r="BT84" s="3">
        <f t="shared" si="55"/>
        <v>1.3652429012182554E-3</v>
      </c>
      <c r="BU84"/>
      <c r="BV84" s="3">
        <v>12</v>
      </c>
      <c r="BW84" s="3">
        <f t="shared" si="65"/>
        <v>0.24439381912594035</v>
      </c>
      <c r="BX84" s="3">
        <v>-5.3545069232909664E-4</v>
      </c>
      <c r="BY84" s="3">
        <f t="shared" si="66"/>
        <v>0.24575906202715858</v>
      </c>
      <c r="BZ84" s="3">
        <v>3.6619336671655234E-3</v>
      </c>
      <c r="CA84" s="3">
        <f t="shared" si="56"/>
        <v>0.24507644057654948</v>
      </c>
      <c r="CB84" s="3">
        <v>1.5653837320468017E-3</v>
      </c>
      <c r="CC84" s="3">
        <f t="shared" si="57"/>
        <v>-8.3818580308516507E-7</v>
      </c>
      <c r="CD84" s="3">
        <f t="shared" si="58"/>
        <v>5.7323313904153975E-6</v>
      </c>
      <c r="CE84" s="3">
        <f t="shared" si="59"/>
        <v>1.3652429012182277E-3</v>
      </c>
    </row>
    <row r="85" spans="28:83" x14ac:dyDescent="0.2">
      <c r="AB85" s="3">
        <v>11</v>
      </c>
      <c r="AC85" s="3">
        <f t="shared" si="71"/>
        <v>0.32763671875</v>
      </c>
      <c r="AD85" s="3">
        <f t="shared" si="60"/>
        <v>3.3439076448704697E-5</v>
      </c>
      <c r="AE85" s="3">
        <f t="shared" si="72"/>
        <v>0.328125</v>
      </c>
      <c r="AF85" s="3">
        <f t="shared" si="61"/>
        <v>-4.7046188682209333E-4</v>
      </c>
      <c r="AG85" s="3">
        <f t="shared" si="67"/>
        <v>0.327880859375</v>
      </c>
      <c r="AH85" s="3">
        <f t="shared" si="62"/>
        <v>-2.1851715841464392E-4</v>
      </c>
      <c r="AI85" s="3">
        <f t="shared" si="68"/>
        <v>-7.3070119655809926E-9</v>
      </c>
      <c r="AJ85" s="3">
        <f t="shared" si="69"/>
        <v>1.0280399465075564E-7</v>
      </c>
      <c r="AK85" s="3">
        <f t="shared" si="70"/>
        <v>4.8828125E-4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s="3">
        <v>13</v>
      </c>
      <c r="BL85" s="3">
        <f t="shared" si="63"/>
        <v>0.26350721974299546</v>
      </c>
      <c r="BM85" s="3">
        <v>-1.6434509733444722E-3</v>
      </c>
      <c r="BN85" s="3">
        <f t="shared" si="64"/>
        <v>0.26418984119360456</v>
      </c>
      <c r="BO85" s="3">
        <v>4.9297499999012562E-4</v>
      </c>
      <c r="BP85" s="3">
        <f t="shared" si="52"/>
        <v>0.26384853046830004</v>
      </c>
      <c r="BQ85" s="3">
        <v>-5.7470843702400742E-4</v>
      </c>
      <c r="BR85" s="3">
        <f t="shared" si="53"/>
        <v>9.4450514021638529E-7</v>
      </c>
      <c r="BS85" s="3">
        <f t="shared" si="54"/>
        <v>-2.8331689173623518E-7</v>
      </c>
      <c r="BT85" s="3">
        <f t="shared" si="55"/>
        <v>6.8262145060909996E-4</v>
      </c>
      <c r="BU85"/>
      <c r="BV85" s="3">
        <v>13</v>
      </c>
      <c r="BW85" s="3">
        <f t="shared" si="65"/>
        <v>0.24439381912594035</v>
      </c>
      <c r="BX85" s="3">
        <v>-5.3545069232909664E-4</v>
      </c>
      <c r="BY85" s="3">
        <f t="shared" si="66"/>
        <v>0.24507644057654948</v>
      </c>
      <c r="BZ85" s="3">
        <v>1.5653837320468017E-3</v>
      </c>
      <c r="CA85" s="3">
        <f t="shared" si="56"/>
        <v>0.2447351298512449</v>
      </c>
      <c r="CB85" s="3">
        <v>5.1550360660581468E-4</v>
      </c>
      <c r="CC85" s="3">
        <f t="shared" si="57"/>
        <v>-2.7602676305522975E-7</v>
      </c>
      <c r="CD85" s="3">
        <f t="shared" si="58"/>
        <v>8.0696095959219653E-7</v>
      </c>
      <c r="CE85" s="3">
        <f t="shared" si="59"/>
        <v>6.8262145060912771E-4</v>
      </c>
    </row>
    <row r="86" spans="28:83" x14ac:dyDescent="0.2">
      <c r="AB86" s="3">
        <v>12</v>
      </c>
      <c r="AC86" s="3">
        <f t="shared" si="71"/>
        <v>0.32763671875</v>
      </c>
      <c r="AD86" s="3">
        <f t="shared" si="60"/>
        <v>3.3439076448704697E-5</v>
      </c>
      <c r="AE86" s="3">
        <f t="shared" si="72"/>
        <v>0.327880859375</v>
      </c>
      <c r="AF86" s="3">
        <f t="shared" si="61"/>
        <v>-2.1851715841464392E-4</v>
      </c>
      <c r="AG86" s="3">
        <f t="shared" si="67"/>
        <v>0.3277587890625</v>
      </c>
      <c r="AH86" s="3">
        <f t="shared" si="62"/>
        <v>-9.2540480874092612E-5</v>
      </c>
      <c r="AI86" s="3">
        <f t="shared" si="68"/>
        <v>-3.0944682145486778E-9</v>
      </c>
      <c r="AJ86" s="3">
        <f t="shared" si="69"/>
        <v>2.0221682918931422E-8</v>
      </c>
      <c r="AK86" s="3">
        <f t="shared" si="70"/>
        <v>2.44140625E-4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 s="3">
        <v>14</v>
      </c>
      <c r="BL86" s="3">
        <f t="shared" si="63"/>
        <v>0.26384853046830004</v>
      </c>
      <c r="BM86" s="3">
        <v>-5.7470843702400742E-4</v>
      </c>
      <c r="BN86" s="3">
        <f t="shared" si="64"/>
        <v>0.26418984119360456</v>
      </c>
      <c r="BO86" s="3">
        <v>4.9297499999012562E-4</v>
      </c>
      <c r="BP86" s="3">
        <f t="shared" si="52"/>
        <v>0.2640191858309523</v>
      </c>
      <c r="BQ86" s="3">
        <v>-4.073449924550665E-5</v>
      </c>
      <c r="BR86" s="3">
        <f t="shared" si="53"/>
        <v>2.3410460394340735E-8</v>
      </c>
      <c r="BS86" s="3">
        <f t="shared" si="54"/>
        <v>-2.0081089765151412E-8</v>
      </c>
      <c r="BT86" s="3">
        <f t="shared" si="55"/>
        <v>3.4131072530452222E-4</v>
      </c>
      <c r="BU86"/>
      <c r="BV86" s="3">
        <v>14</v>
      </c>
      <c r="BW86" s="3">
        <f t="shared" si="65"/>
        <v>0.24439381912594035</v>
      </c>
      <c r="BX86" s="3">
        <v>-5.3545069232909664E-4</v>
      </c>
      <c r="BY86" s="3">
        <f t="shared" si="66"/>
        <v>0.2447351298512449</v>
      </c>
      <c r="BZ86" s="3">
        <v>5.1550360660581468E-4</v>
      </c>
      <c r="CA86" s="3">
        <f t="shared" si="56"/>
        <v>0.24456447448859264</v>
      </c>
      <c r="CB86" s="3">
        <v>-9.8390791360633556E-6</v>
      </c>
      <c r="CC86" s="3">
        <f t="shared" si="57"/>
        <v>5.2683417352858939E-9</v>
      </c>
      <c r="CD86" s="3">
        <f t="shared" si="58"/>
        <v>-5.0720807803206833E-9</v>
      </c>
      <c r="CE86" s="3">
        <f t="shared" si="59"/>
        <v>3.4131072530454998E-4</v>
      </c>
    </row>
    <row r="87" spans="28:83" x14ac:dyDescent="0.2">
      <c r="AB87" s="3">
        <v>13</v>
      </c>
      <c r="AC87" s="3">
        <f t="shared" si="71"/>
        <v>0.32763671875</v>
      </c>
      <c r="AD87" s="3">
        <f t="shared" si="60"/>
        <v>3.3439076448704697E-5</v>
      </c>
      <c r="AE87" s="3">
        <f t="shared" si="72"/>
        <v>0.3277587890625</v>
      </c>
      <c r="AF87" s="3">
        <f t="shared" si="61"/>
        <v>-9.2540480874092612E-5</v>
      </c>
      <c r="AG87" s="3">
        <f t="shared" si="67"/>
        <v>0.32769775390625</v>
      </c>
      <c r="AH87" s="3">
        <f t="shared" si="62"/>
        <v>-2.9551062383725846E-5</v>
      </c>
      <c r="AI87" s="3">
        <f t="shared" si="68"/>
        <v>-9.8816023418985015E-10</v>
      </c>
      <c r="AJ87" s="3">
        <f t="shared" si="69"/>
        <v>2.7346695233302994E-9</v>
      </c>
      <c r="AK87" s="3">
        <f t="shared" si="70"/>
        <v>1.220703125E-4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3">
        <v>15</v>
      </c>
      <c r="BL87" s="3">
        <f t="shared" si="63"/>
        <v>0.2640191858309523</v>
      </c>
      <c r="BM87" s="3">
        <v>-4.073449924550665E-5</v>
      </c>
      <c r="BN87" s="3">
        <f t="shared" si="64"/>
        <v>0.26418984119360456</v>
      </c>
      <c r="BO87" s="3">
        <v>4.9297499999012562E-4</v>
      </c>
      <c r="BP87" s="3">
        <f t="shared" si="52"/>
        <v>0.26410451351227843</v>
      </c>
      <c r="BQ87" s="3">
        <v>2.261532842419145E-4</v>
      </c>
      <c r="BR87" s="3">
        <f t="shared" si="53"/>
        <v>-9.2122407863211167E-9</v>
      </c>
      <c r="BS87" s="3">
        <f t="shared" si="54"/>
        <v>1.1148791529692468E-7</v>
      </c>
      <c r="BT87" s="3">
        <f t="shared" si="55"/>
        <v>1.7065536265226111E-4</v>
      </c>
      <c r="BU87"/>
      <c r="BV87" s="3">
        <v>15</v>
      </c>
      <c r="BW87" s="3">
        <f t="shared" si="65"/>
        <v>0.24456447448859264</v>
      </c>
      <c r="BX87" s="3">
        <v>-9.8390791360633556E-6</v>
      </c>
      <c r="BY87" s="3">
        <f t="shared" si="66"/>
        <v>0.2447351298512449</v>
      </c>
      <c r="BZ87" s="3">
        <v>5.1550360660581468E-4</v>
      </c>
      <c r="CA87" s="3">
        <f t="shared" si="56"/>
        <v>0.24464980216991877</v>
      </c>
      <c r="CB87" s="3">
        <v>2.5286585560126834E-4</v>
      </c>
      <c r="CC87" s="3">
        <f t="shared" si="57"/>
        <v>-2.4879671640692486E-9</v>
      </c>
      <c r="CD87" s="3">
        <f t="shared" si="58"/>
        <v>1.3035326054991898E-7</v>
      </c>
      <c r="CE87" s="3">
        <f t="shared" si="59"/>
        <v>1.7065536265226111E-4</v>
      </c>
    </row>
    <row r="88" spans="28:83" x14ac:dyDescent="0.2">
      <c r="AB88" s="3">
        <v>14</v>
      </c>
      <c r="AC88" s="3">
        <f t="shared" si="71"/>
        <v>0.32763671875</v>
      </c>
      <c r="AD88" s="3">
        <f t="shared" si="60"/>
        <v>3.3439076448704697E-5</v>
      </c>
      <c r="AE88" s="3">
        <f t="shared" si="72"/>
        <v>0.32769775390625</v>
      </c>
      <c r="AF88" s="3">
        <f t="shared" si="61"/>
        <v>-2.9551062383725846E-5</v>
      </c>
      <c r="AG88" s="3">
        <f t="shared" si="67"/>
        <v>0.327667236328125</v>
      </c>
      <c r="AH88" s="3">
        <f t="shared" si="62"/>
        <v>1.9439169649526633E-6</v>
      </c>
      <c r="AI88" s="3">
        <f t="shared" si="68"/>
        <v>6.5002788000986118E-11</v>
      </c>
      <c r="AJ88" s="3">
        <f t="shared" si="69"/>
        <v>-5.7444811500099164E-11</v>
      </c>
      <c r="AK88" s="3">
        <f t="shared" si="70"/>
        <v>6.103515625E-5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3">
        <v>16</v>
      </c>
      <c r="BL88" s="3">
        <f t="shared" si="63"/>
        <v>0.2640191858309523</v>
      </c>
      <c r="BM88" s="3">
        <v>-4.073449924550665E-5</v>
      </c>
      <c r="BN88" s="3">
        <f t="shared" si="64"/>
        <v>0.26410451351227843</v>
      </c>
      <c r="BO88" s="3">
        <v>2.261532842419145E-4</v>
      </c>
      <c r="BP88" s="3">
        <f t="shared" si="52"/>
        <v>0.26406184967161539</v>
      </c>
      <c r="BQ88" s="3">
        <v>9.2717653581125825E-5</v>
      </c>
      <c r="BR88" s="3">
        <f t="shared" si="53"/>
        <v>-3.776807189845517E-9</v>
      </c>
      <c r="BS88" s="3">
        <f t="shared" si="54"/>
        <v>2.0968401864575709E-8</v>
      </c>
      <c r="BT88" s="3">
        <f t="shared" si="55"/>
        <v>8.5327681326130556E-5</v>
      </c>
      <c r="BU88"/>
      <c r="BV88" s="3">
        <v>16</v>
      </c>
      <c r="BW88" s="3">
        <f t="shared" si="65"/>
        <v>0.24456447448859264</v>
      </c>
      <c r="BX88" s="3">
        <v>-9.8390791360633556E-6</v>
      </c>
      <c r="BY88" s="3">
        <f t="shared" si="66"/>
        <v>0.24464980216991877</v>
      </c>
      <c r="BZ88" s="3">
        <v>2.5286585560126834E-4</v>
      </c>
      <c r="CA88" s="3">
        <f t="shared" si="56"/>
        <v>0.24460713832925571</v>
      </c>
      <c r="CB88" s="3">
        <v>1.2152178920350754E-4</v>
      </c>
      <c r="CC88" s="3">
        <f t="shared" si="57"/>
        <v>-1.1956625007293201E-9</v>
      </c>
      <c r="CD88" s="3">
        <f t="shared" si="58"/>
        <v>3.0728711201141904E-8</v>
      </c>
      <c r="CE88" s="3">
        <f t="shared" si="59"/>
        <v>8.5327681326130556E-5</v>
      </c>
    </row>
    <row r="89" spans="28:83" x14ac:dyDescent="0.2">
      <c r="AB89" s="3">
        <v>15</v>
      </c>
      <c r="AC89" s="3">
        <f t="shared" si="71"/>
        <v>0.327667236328125</v>
      </c>
      <c r="AD89" s="3">
        <f t="shared" si="60"/>
        <v>1.9439169649526633E-6</v>
      </c>
      <c r="AE89" s="3">
        <f t="shared" si="72"/>
        <v>0.32769775390625</v>
      </c>
      <c r="AF89" s="3">
        <f t="shared" si="61"/>
        <v>-2.9551062383725846E-5</v>
      </c>
      <c r="AG89" s="3">
        <f t="shared" si="67"/>
        <v>0.3276824951171875</v>
      </c>
      <c r="AH89" s="3">
        <f t="shared" si="62"/>
        <v>-1.3803595223182974E-5</v>
      </c>
      <c r="AI89" s="3">
        <f t="shared" si="68"/>
        <v>-2.6833042931684929E-11</v>
      </c>
      <c r="AJ89" s="3">
        <f t="shared" si="69"/>
        <v>4.0791090355998013E-10</v>
      </c>
      <c r="AK89" s="3">
        <f t="shared" si="70"/>
        <v>3.0517578125E-5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3">
        <v>17</v>
      </c>
      <c r="BL89" s="3">
        <f t="shared" si="63"/>
        <v>0.2640191858309523</v>
      </c>
      <c r="BM89" s="3">
        <v>-4.073449924550665E-5</v>
      </c>
      <c r="BN89" s="3">
        <f t="shared" si="64"/>
        <v>0.26406184967161539</v>
      </c>
      <c r="BO89" s="3">
        <v>9.2717653581125825E-5</v>
      </c>
      <c r="BP89" s="3">
        <f t="shared" si="52"/>
        <v>0.26404051775128384</v>
      </c>
      <c r="BQ89" s="3">
        <v>2.5993642765738401E-5</v>
      </c>
      <c r="BR89" s="3">
        <f t="shared" si="53"/>
        <v>-1.0588380216289402E-9</v>
      </c>
      <c r="BS89" s="3">
        <f t="shared" si="54"/>
        <v>2.4100695652652704E-9</v>
      </c>
      <c r="BT89" s="3">
        <f t="shared" si="55"/>
        <v>4.2663840663093033E-5</v>
      </c>
      <c r="BU89"/>
      <c r="BV89" s="3">
        <v>17</v>
      </c>
      <c r="BW89" s="3">
        <f t="shared" si="65"/>
        <v>0.24456447448859264</v>
      </c>
      <c r="BX89" s="3">
        <v>-9.8390791360633556E-6</v>
      </c>
      <c r="BY89" s="3">
        <f t="shared" si="66"/>
        <v>0.24460713832925571</v>
      </c>
      <c r="BZ89" s="3">
        <v>1.2152178920350754E-4</v>
      </c>
      <c r="CA89" s="3">
        <f t="shared" si="56"/>
        <v>0.24458580640892419</v>
      </c>
      <c r="CB89" s="3">
        <v>5.5843455652508645E-5</v>
      </c>
      <c r="CC89" s="3">
        <f t="shared" si="57"/>
        <v>-5.4944817939627702E-10</v>
      </c>
      <c r="CD89" s="3">
        <f t="shared" si="58"/>
        <v>6.7861966461995767E-9</v>
      </c>
      <c r="CE89" s="3">
        <f t="shared" si="59"/>
        <v>4.2663840663065278E-5</v>
      </c>
    </row>
    <row r="90" spans="28:83" x14ac:dyDescent="0.2">
      <c r="AB90" s="3">
        <v>16</v>
      </c>
      <c r="AC90" s="3">
        <f t="shared" si="71"/>
        <v>0.327667236328125</v>
      </c>
      <c r="AD90" s="3">
        <f t="shared" si="60"/>
        <v>1.9439169649526633E-6</v>
      </c>
      <c r="AE90" s="3">
        <f t="shared" si="72"/>
        <v>0.3276824951171875</v>
      </c>
      <c r="AF90" s="3">
        <f t="shared" si="61"/>
        <v>-1.3803595223182974E-5</v>
      </c>
      <c r="AG90" s="3">
        <f t="shared" si="67"/>
        <v>0.32767486572265625</v>
      </c>
      <c r="AH90" s="3">
        <f t="shared" si="62"/>
        <v>-5.9298447579458902E-6</v>
      </c>
      <c r="AI90" s="3">
        <f t="shared" si="68"/>
        <v>-1.1527125824506636E-11</v>
      </c>
      <c r="AJ90" s="3">
        <f t="shared" si="69"/>
        <v>8.1853176774998484E-11</v>
      </c>
      <c r="AK90" s="3">
        <f t="shared" si="70"/>
        <v>1.52587890625E-5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s="3">
        <v>18</v>
      </c>
      <c r="BL90" s="3">
        <f t="shared" si="63"/>
        <v>0.2640191858309523</v>
      </c>
      <c r="BM90" s="3">
        <v>-4.073449924550665E-5</v>
      </c>
      <c r="BN90" s="3">
        <f t="shared" si="64"/>
        <v>0.26404051775128384</v>
      </c>
      <c r="BO90" s="3">
        <v>2.5993642765738401E-5</v>
      </c>
      <c r="BP90" s="3">
        <f t="shared" si="52"/>
        <v>0.26402985179111804</v>
      </c>
      <c r="BQ90" s="3">
        <v>-7.3699117996289809E-6</v>
      </c>
      <c r="BR90" s="3">
        <f t="shared" si="53"/>
        <v>3.002096666414373E-10</v>
      </c>
      <c r="BS90" s="3">
        <f t="shared" si="54"/>
        <v>-1.9157085453455594E-10</v>
      </c>
      <c r="BT90" s="3">
        <f t="shared" si="55"/>
        <v>2.1331920331546517E-5</v>
      </c>
      <c r="BU90"/>
      <c r="BV90" s="3">
        <v>18</v>
      </c>
      <c r="BW90" s="3">
        <f t="shared" si="65"/>
        <v>0.24456447448859264</v>
      </c>
      <c r="BX90" s="3">
        <v>-9.8390791360633556E-6</v>
      </c>
      <c r="BY90" s="3">
        <f t="shared" si="66"/>
        <v>0.24458580640892419</v>
      </c>
      <c r="BZ90" s="3">
        <v>5.5843455652508645E-5</v>
      </c>
      <c r="CA90" s="3">
        <f t="shared" si="56"/>
        <v>0.24457514044875842</v>
      </c>
      <c r="CB90" s="3">
        <v>2.3002713459861768E-5</v>
      </c>
      <c r="CC90" s="3">
        <f t="shared" si="57"/>
        <v>-2.2632551807576963E-10</v>
      </c>
      <c r="CD90" s="3">
        <f t="shared" si="58"/>
        <v>1.2845510089831543E-9</v>
      </c>
      <c r="CE90" s="3">
        <f t="shared" si="59"/>
        <v>2.1331920331546517E-5</v>
      </c>
    </row>
    <row r="91" spans="28:83" x14ac:dyDescent="0.2">
      <c r="AB91" s="3">
        <v>17</v>
      </c>
      <c r="AC91" s="3">
        <f t="shared" si="71"/>
        <v>0.327667236328125</v>
      </c>
      <c r="AD91" s="3">
        <f t="shared" si="60"/>
        <v>1.9439169649526633E-6</v>
      </c>
      <c r="AE91" s="3">
        <f t="shared" si="72"/>
        <v>0.32767486572265625</v>
      </c>
      <c r="AF91" s="3">
        <f t="shared" si="61"/>
        <v>-5.9298447579458902E-6</v>
      </c>
      <c r="AG91" s="3">
        <f t="shared" si="67"/>
        <v>0.32767105102539062</v>
      </c>
      <c r="AH91" s="3">
        <f t="shared" si="62"/>
        <v>-1.9929653037875639E-6</v>
      </c>
      <c r="AI91" s="3">
        <f t="shared" si="68"/>
        <v>-3.8741590645946838E-12</v>
      </c>
      <c r="AJ91" s="3">
        <f t="shared" si="69"/>
        <v>1.1817974859432723E-11</v>
      </c>
      <c r="AK91" s="3">
        <f t="shared" si="70"/>
        <v>7.62939453125E-6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3">
        <v>19</v>
      </c>
      <c r="BL91" s="3">
        <f t="shared" si="63"/>
        <v>0.26402985179111804</v>
      </c>
      <c r="BM91" s="3">
        <v>-7.3699117996289809E-6</v>
      </c>
      <c r="BN91" s="3">
        <f t="shared" si="64"/>
        <v>0.26404051775128384</v>
      </c>
      <c r="BO91" s="3">
        <v>2.5993642765738401E-5</v>
      </c>
      <c r="BP91" s="3">
        <f t="shared" si="52"/>
        <v>0.26403518477120091</v>
      </c>
      <c r="BQ91" s="3">
        <v>9.311994587944683E-6</v>
      </c>
      <c r="BR91" s="3">
        <f t="shared" si="53"/>
        <v>-6.8628578791774729E-11</v>
      </c>
      <c r="BS91" s="3">
        <f t="shared" si="54"/>
        <v>2.4205266075552347E-10</v>
      </c>
      <c r="BT91" s="3">
        <f t="shared" si="55"/>
        <v>1.0665960165801014E-5</v>
      </c>
      <c r="BU91"/>
      <c r="BV91" s="3">
        <v>19</v>
      </c>
      <c r="BW91" s="3">
        <f t="shared" si="65"/>
        <v>0.24456447448859264</v>
      </c>
      <c r="BX91" s="3">
        <v>-9.8390791360633556E-6</v>
      </c>
      <c r="BY91" s="3">
        <f t="shared" si="66"/>
        <v>0.24457514044875842</v>
      </c>
      <c r="BZ91" s="3">
        <v>2.3002713459861768E-5</v>
      </c>
      <c r="CA91" s="3">
        <f t="shared" si="56"/>
        <v>0.24456980746867552</v>
      </c>
      <c r="CB91" s="3">
        <v>6.5819484681012286E-6</v>
      </c>
      <c r="CC91" s="3">
        <f t="shared" si="57"/>
        <v>-6.4760311847138965E-11</v>
      </c>
      <c r="CD91" s="3">
        <f t="shared" si="58"/>
        <v>1.5140267461930867E-10</v>
      </c>
      <c r="CE91" s="3">
        <f t="shared" si="59"/>
        <v>1.0665960165773258E-5</v>
      </c>
    </row>
    <row r="92" spans="28:83" x14ac:dyDescent="0.2">
      <c r="AB92" s="3">
        <v>18</v>
      </c>
      <c r="AC92" s="3">
        <f t="shared" si="71"/>
        <v>0.327667236328125</v>
      </c>
      <c r="AD92" s="3">
        <f t="shared" si="60"/>
        <v>1.9439169649526633E-6</v>
      </c>
      <c r="AE92" s="3">
        <f t="shared" si="72"/>
        <v>0.32767105102539062</v>
      </c>
      <c r="AF92" s="3">
        <f t="shared" si="61"/>
        <v>-1.9929653037875639E-6</v>
      </c>
      <c r="AG92" s="3">
        <f t="shared" si="67"/>
        <v>0.32766914367675781</v>
      </c>
      <c r="AH92" s="3">
        <f t="shared" si="62"/>
        <v>-2.4524521247126785E-8</v>
      </c>
      <c r="AI92" s="3">
        <f t="shared" si="68"/>
        <v>-4.7673632909631802E-14</v>
      </c>
      <c r="AJ92" s="3">
        <f t="shared" si="69"/>
        <v>4.88765199375246E-14</v>
      </c>
      <c r="AK92" s="3">
        <f t="shared" si="70"/>
        <v>3.814697265625E-6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 s="3">
        <v>20</v>
      </c>
      <c r="BL92" s="3">
        <f t="shared" si="63"/>
        <v>0.26402985179111804</v>
      </c>
      <c r="BM92" s="3">
        <v>-7.3699117996289809E-6</v>
      </c>
      <c r="BN92" s="3">
        <f t="shared" si="64"/>
        <v>0.26403518477120091</v>
      </c>
      <c r="BO92" s="3">
        <v>9.311994587944683E-6</v>
      </c>
      <c r="BP92" s="3">
        <f t="shared" si="52"/>
        <v>0.26403251828115948</v>
      </c>
      <c r="BQ92" s="3">
        <v>9.7107367105775388E-7</v>
      </c>
      <c r="BR92" s="3">
        <f t="shared" si="53"/>
        <v>-7.1567273066375723E-12</v>
      </c>
      <c r="BS92" s="3">
        <f t="shared" si="54"/>
        <v>9.0426327693853797E-12</v>
      </c>
      <c r="BT92" s="3">
        <f t="shared" si="55"/>
        <v>5.3329800828727514E-6</v>
      </c>
      <c r="BU92"/>
      <c r="BV92" s="3">
        <v>20</v>
      </c>
      <c r="BW92" s="3">
        <f t="shared" si="65"/>
        <v>0.24456447448859264</v>
      </c>
      <c r="BX92" s="3">
        <v>-9.8390791360633556E-6</v>
      </c>
      <c r="BY92" s="3">
        <f t="shared" si="66"/>
        <v>0.24456980746867552</v>
      </c>
      <c r="BZ92" s="3">
        <v>6.5819484681012286E-6</v>
      </c>
      <c r="CA92" s="3">
        <f t="shared" si="56"/>
        <v>0.24456714097863408</v>
      </c>
      <c r="CB92" s="3">
        <v>-1.6285325066464629E-6</v>
      </c>
      <c r="CC92" s="3">
        <f t="shared" si="57"/>
        <v>1.602326020854617E-11</v>
      </c>
      <c r="CD92" s="3">
        <f t="shared" si="58"/>
        <v>-1.071891703737474E-11</v>
      </c>
      <c r="CE92" s="3">
        <f t="shared" si="59"/>
        <v>5.3329800828727514E-6</v>
      </c>
    </row>
    <row r="93" spans="28:83" x14ac:dyDescent="0.2">
      <c r="AB93" s="3">
        <v>19</v>
      </c>
      <c r="AC93" s="3">
        <f t="shared" si="71"/>
        <v>0.327667236328125</v>
      </c>
      <c r="AD93" s="3">
        <f t="shared" si="60"/>
        <v>1.9439169649526633E-6</v>
      </c>
      <c r="AE93" s="3">
        <f t="shared" si="72"/>
        <v>0.32766914367675781</v>
      </c>
      <c r="AF93" s="3">
        <f t="shared" si="61"/>
        <v>-2.4524521247126785E-8</v>
      </c>
      <c r="AG93" s="3">
        <f t="shared" si="67"/>
        <v>0.32766819000244141</v>
      </c>
      <c r="AH93" s="3">
        <f t="shared" si="62"/>
        <v>9.5969613389534913E-7</v>
      </c>
      <c r="AI93" s="3">
        <f t="shared" si="68"/>
        <v>1.865569595878652E-12</v>
      </c>
      <c r="AJ93" s="3">
        <f t="shared" si="69"/>
        <v>-2.3536088226501921E-14</v>
      </c>
      <c r="AK93" s="3">
        <f t="shared" si="70"/>
        <v>1.9073486328125E-6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s="3">
        <v>21</v>
      </c>
      <c r="BL93" s="3">
        <f t="shared" si="63"/>
        <v>0.26402985179111804</v>
      </c>
      <c r="BM93" s="3">
        <v>-7.3699117996289809E-6</v>
      </c>
      <c r="BN93" s="3">
        <f t="shared" si="64"/>
        <v>0.26403251828115948</v>
      </c>
      <c r="BO93" s="3">
        <v>9.7107367105775388E-7</v>
      </c>
      <c r="BP93" s="3">
        <f t="shared" si="52"/>
        <v>0.26403118503613876</v>
      </c>
      <c r="BQ93" s="3">
        <v>-3.1994109949487481E-6</v>
      </c>
      <c r="BR93" s="3">
        <f t="shared" si="53"/>
        <v>2.3579376843535478E-11</v>
      </c>
      <c r="BS93" s="3">
        <f t="shared" si="54"/>
        <v>-3.1068637800874218E-12</v>
      </c>
      <c r="BT93" s="3">
        <f t="shared" si="55"/>
        <v>2.6664900414363757E-6</v>
      </c>
      <c r="BU93"/>
      <c r="BV93" s="3">
        <v>21</v>
      </c>
      <c r="BW93" s="3">
        <f t="shared" si="65"/>
        <v>0.24456714097863408</v>
      </c>
      <c r="BX93" s="3">
        <v>-1.6285325066464629E-6</v>
      </c>
      <c r="BY93" s="3">
        <f t="shared" si="66"/>
        <v>0.24456980746867552</v>
      </c>
      <c r="BZ93" s="3">
        <v>6.5819484681012286E-6</v>
      </c>
      <c r="CA93" s="3">
        <f t="shared" si="56"/>
        <v>0.2445684742236548</v>
      </c>
      <c r="CB93" s="3">
        <v>2.4767161875272059E-6</v>
      </c>
      <c r="CC93" s="3">
        <f t="shared" si="57"/>
        <v>-4.0334128211255517E-12</v>
      </c>
      <c r="CD93" s="3">
        <f t="shared" si="58"/>
        <v>1.6301618316416209E-11</v>
      </c>
      <c r="CE93" s="3">
        <f t="shared" si="59"/>
        <v>2.6664900414363757E-6</v>
      </c>
    </row>
    <row r="94" spans="28:83" x14ac:dyDescent="0.2">
      <c r="AB94" s="3">
        <v>20</v>
      </c>
      <c r="AC94" s="3">
        <f t="shared" si="71"/>
        <v>0.32766819000244141</v>
      </c>
      <c r="AD94" s="3">
        <f t="shared" si="60"/>
        <v>9.5969613389534913E-7</v>
      </c>
      <c r="AE94" s="3">
        <f t="shared" si="72"/>
        <v>0.32766914367675781</v>
      </c>
      <c r="AF94" s="3">
        <f t="shared" si="61"/>
        <v>-2.4524521247126785E-8</v>
      </c>
      <c r="AG94" s="3">
        <f t="shared" si="67"/>
        <v>0.32766866683959961</v>
      </c>
      <c r="AH94" s="3">
        <f t="shared" si="62"/>
        <v>4.6758578431393971E-7</v>
      </c>
      <c r="AI94" s="3">
        <f t="shared" si="68"/>
        <v>4.4874026947051255E-13</v>
      </c>
      <c r="AJ94" s="3">
        <f t="shared" si="69"/>
        <v>-1.1467317502261657E-14</v>
      </c>
      <c r="AK94" s="3">
        <f t="shared" si="70"/>
        <v>9.5367431640625E-7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 s="3">
        <v>22</v>
      </c>
      <c r="BL94" s="3">
        <f t="shared" si="63"/>
        <v>0.26403118503613876</v>
      </c>
      <c r="BM94" s="3">
        <v>-3.1994109949487481E-6</v>
      </c>
      <c r="BN94" s="3">
        <f t="shared" si="64"/>
        <v>0.26403251828115948</v>
      </c>
      <c r="BO94" s="3">
        <v>9.7107367105775388E-7</v>
      </c>
      <c r="BP94" s="3">
        <f t="shared" si="52"/>
        <v>0.26403185165864912</v>
      </c>
      <c r="BQ94" s="3">
        <v>-1.1141666446667919E-6</v>
      </c>
      <c r="BR94" s="3">
        <f t="shared" si="53"/>
        <v>3.5646770131520889E-12</v>
      </c>
      <c r="BS94" s="3">
        <f t="shared" si="54"/>
        <v>-1.0819378938066816E-12</v>
      </c>
      <c r="BT94" s="3">
        <f t="shared" si="55"/>
        <v>1.3332450207181878E-6</v>
      </c>
      <c r="BU94"/>
      <c r="BV94" s="3">
        <v>22</v>
      </c>
      <c r="BW94" s="3">
        <f t="shared" si="65"/>
        <v>0.24456714097863408</v>
      </c>
      <c r="BX94" s="3">
        <v>-1.6285325066464629E-6</v>
      </c>
      <c r="BY94" s="3">
        <f t="shared" si="66"/>
        <v>0.2445684742236548</v>
      </c>
      <c r="BZ94" s="3">
        <v>2.4767161875272059E-6</v>
      </c>
      <c r="CA94" s="3">
        <f t="shared" si="56"/>
        <v>0.24456780760114444</v>
      </c>
      <c r="CB94" s="3">
        <v>4.2409389205272374E-7</v>
      </c>
      <c r="CC94" s="3">
        <f t="shared" si="57"/>
        <v>-6.9065068907807662E-13</v>
      </c>
      <c r="CD94" s="3">
        <f t="shared" si="58"/>
        <v>1.0503602074783964E-12</v>
      </c>
      <c r="CE94" s="3">
        <f t="shared" si="59"/>
        <v>1.3332450207181878E-6</v>
      </c>
    </row>
    <row r="95" spans="28:83" x14ac:dyDescent="0.2">
      <c r="AB95" s="3">
        <v>21</v>
      </c>
      <c r="AC95" s="3">
        <f t="shared" si="71"/>
        <v>0.32766866683959961</v>
      </c>
      <c r="AD95" s="3">
        <f t="shared" si="60"/>
        <v>4.6758578431393971E-7</v>
      </c>
      <c r="AE95" s="3">
        <f t="shared" si="72"/>
        <v>0.32766914367675781</v>
      </c>
      <c r="AF95" s="3">
        <f t="shared" si="61"/>
        <v>-2.4524521247126785E-8</v>
      </c>
      <c r="AG95" s="3">
        <f t="shared" si="67"/>
        <v>0.32766890525817871</v>
      </c>
      <c r="AH95" s="3">
        <f t="shared" si="62"/>
        <v>2.2153062606555807E-7</v>
      </c>
      <c r="AI95" s="3">
        <f t="shared" si="68"/>
        <v>1.0358457153842207E-13</v>
      </c>
      <c r="AJ95" s="3">
        <f t="shared" si="69"/>
        <v>-5.4329325458340777E-15</v>
      </c>
      <c r="AK95" s="3">
        <f t="shared" si="70"/>
        <v>4.76837158203125E-7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 s="3">
        <v>23</v>
      </c>
      <c r="BL95" s="3">
        <f t="shared" si="63"/>
        <v>0.26403185165864912</v>
      </c>
      <c r="BM95" s="3">
        <v>-1.1141666446667919E-6</v>
      </c>
      <c r="BN95" s="3">
        <f t="shared" si="64"/>
        <v>0.26403251828115948</v>
      </c>
      <c r="BO95" s="3">
        <v>9.7107367105775388E-7</v>
      </c>
      <c r="BP95" s="3">
        <f t="shared" si="52"/>
        <v>0.26403218496990433</v>
      </c>
      <c r="BQ95" s="3">
        <v>-7.1545982339993319E-8</v>
      </c>
      <c r="BR95" s="3">
        <f t="shared" si="53"/>
        <v>7.9714147083139906E-14</v>
      </c>
      <c r="BS95" s="3">
        <f t="shared" si="54"/>
        <v>-6.9476419720330544E-14</v>
      </c>
      <c r="BT95" s="3">
        <f t="shared" si="55"/>
        <v>6.6662251035909392E-7</v>
      </c>
      <c r="BU95"/>
      <c r="BV95" s="3">
        <v>23</v>
      </c>
      <c r="BW95" s="3">
        <f t="shared" si="65"/>
        <v>0.24456714097863408</v>
      </c>
      <c r="BX95" s="3">
        <v>-1.6285325066464629E-6</v>
      </c>
      <c r="BY95" s="3">
        <f t="shared" si="66"/>
        <v>0.24456780760114444</v>
      </c>
      <c r="BZ95" s="3">
        <v>4.2409389205272374E-7</v>
      </c>
      <c r="CA95" s="3">
        <f t="shared" si="56"/>
        <v>0.24456747428988926</v>
      </c>
      <c r="CB95" s="3">
        <v>-6.0221879435301551E-7</v>
      </c>
      <c r="CC95" s="3">
        <f t="shared" si="57"/>
        <v>9.8073288271732718E-13</v>
      </c>
      <c r="CD95" s="3">
        <f t="shared" si="58"/>
        <v>-2.5539731236446922E-13</v>
      </c>
      <c r="CE95" s="3">
        <f t="shared" si="59"/>
        <v>6.6662251035909392E-7</v>
      </c>
    </row>
    <row r="96" spans="28:83" x14ac:dyDescent="0.2">
      <c r="AB96" s="3">
        <v>22</v>
      </c>
      <c r="AC96" s="3">
        <f t="shared" si="71"/>
        <v>0.32766890525817871</v>
      </c>
      <c r="AD96" s="3">
        <f t="shared" si="60"/>
        <v>2.2153062606555807E-7</v>
      </c>
      <c r="AE96" s="3">
        <f t="shared" si="72"/>
        <v>0.32766914367675781</v>
      </c>
      <c r="AF96" s="3">
        <f t="shared" si="61"/>
        <v>-2.4524521247126785E-8</v>
      </c>
      <c r="AG96" s="3">
        <f t="shared" si="67"/>
        <v>0.32766902446746826</v>
      </c>
      <c r="AH96" s="3">
        <f t="shared" si="62"/>
        <v>9.8503051049192436E-8</v>
      </c>
      <c r="AI96" s="3">
        <f t="shared" si="68"/>
        <v>2.1821442568295227E-14</v>
      </c>
      <c r="AJ96" s="3">
        <f t="shared" si="69"/>
        <v>-2.4157401683627342E-15</v>
      </c>
      <c r="AK96" s="3">
        <f t="shared" si="70"/>
        <v>2.384185791015625E-7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3">
        <v>24</v>
      </c>
      <c r="BL96" s="3">
        <f t="shared" si="63"/>
        <v>0.26403218496990433</v>
      </c>
      <c r="BM96" s="3">
        <v>-7.1545982339993319E-8</v>
      </c>
      <c r="BN96" s="3">
        <f t="shared" si="64"/>
        <v>0.26403251828115948</v>
      </c>
      <c r="BO96" s="3">
        <v>9.7107367105775388E-7</v>
      </c>
      <c r="BP96" s="3">
        <f t="shared" si="52"/>
        <v>0.2640323516255319</v>
      </c>
      <c r="BQ96" s="3">
        <v>4.4976397049756311E-7</v>
      </c>
      <c r="BR96" s="3">
        <f t="shared" si="53"/>
        <v>-3.217880509038393E-14</v>
      </c>
      <c r="BS96" s="3">
        <f t="shared" si="54"/>
        <v>4.3675394994057991E-13</v>
      </c>
      <c r="BT96" s="3">
        <f t="shared" si="55"/>
        <v>3.3331125515179139E-7</v>
      </c>
      <c r="BU96"/>
      <c r="BV96" s="3">
        <v>24</v>
      </c>
      <c r="BW96" s="3">
        <f t="shared" si="65"/>
        <v>0.24456747428988926</v>
      </c>
      <c r="BX96" s="3">
        <v>-6.0221879435301551E-7</v>
      </c>
      <c r="BY96" s="3">
        <f t="shared" si="66"/>
        <v>0.24456780760114444</v>
      </c>
      <c r="BZ96" s="3">
        <v>4.2409389205272374E-7</v>
      </c>
      <c r="CA96" s="3">
        <f t="shared" si="56"/>
        <v>0.24456764094551686</v>
      </c>
      <c r="CB96" s="3">
        <v>-8.9062322836119812E-8</v>
      </c>
      <c r="CC96" s="3">
        <f t="shared" si="57"/>
        <v>5.3635004680647114E-14</v>
      </c>
      <c r="CD96" s="3">
        <f t="shared" si="58"/>
        <v>-3.7770787126826231E-14</v>
      </c>
      <c r="CE96" s="3">
        <f t="shared" si="59"/>
        <v>3.3331125517954696E-7</v>
      </c>
    </row>
    <row r="97" spans="28:83" x14ac:dyDescent="0.2">
      <c r="AB97" s="3">
        <v>23</v>
      </c>
      <c r="AC97" s="3">
        <f t="shared" si="71"/>
        <v>0.32766902446746826</v>
      </c>
      <c r="AD97" s="3">
        <f t="shared" si="60"/>
        <v>9.8503051049192436E-8</v>
      </c>
      <c r="AE97" s="3">
        <f t="shared" si="72"/>
        <v>0.32766914367675781</v>
      </c>
      <c r="AF97" s="3">
        <f t="shared" si="61"/>
        <v>-2.4524521247126785E-8</v>
      </c>
      <c r="AG97" s="3">
        <f t="shared" si="67"/>
        <v>0.32766908407211304</v>
      </c>
      <c r="AH97" s="3">
        <f t="shared" si="62"/>
        <v>3.6989264540210343E-8</v>
      </c>
      <c r="AI97" s="3">
        <f t="shared" si="68"/>
        <v>3.643555413276423E-15</v>
      </c>
      <c r="AJ97" s="3">
        <f t="shared" si="69"/>
        <v>-9.0714400413198189E-16</v>
      </c>
      <c r="AK97" s="3">
        <f t="shared" si="70"/>
        <v>1.1920928955078125E-7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s="3">
        <v>25</v>
      </c>
      <c r="BL97" s="3">
        <f t="shared" si="63"/>
        <v>0.26403218496990433</v>
      </c>
      <c r="BM97" s="3">
        <v>-7.1545982339993319E-8</v>
      </c>
      <c r="BN97" s="3">
        <f t="shared" si="64"/>
        <v>0.2640323516255319</v>
      </c>
      <c r="BO97" s="3">
        <v>4.4976397049756311E-7</v>
      </c>
      <c r="BP97" s="3">
        <f t="shared" si="52"/>
        <v>0.26403226829771809</v>
      </c>
      <c r="BQ97" s="3">
        <v>1.8910902546687147E-7</v>
      </c>
      <c r="BR97" s="3">
        <f t="shared" si="53"/>
        <v>-1.3529990996386134E-14</v>
      </c>
      <c r="BS97" s="3">
        <f t="shared" si="54"/>
        <v>8.5054426150904888E-14</v>
      </c>
      <c r="BT97" s="3">
        <f t="shared" si="55"/>
        <v>1.6665562757589569E-7</v>
      </c>
      <c r="BU97"/>
      <c r="BV97" s="3">
        <v>25</v>
      </c>
      <c r="BW97" s="3">
        <f t="shared" si="65"/>
        <v>0.24456764094551686</v>
      </c>
      <c r="BX97" s="3">
        <v>-8.9062322836119812E-8</v>
      </c>
      <c r="BY97" s="3">
        <f t="shared" si="66"/>
        <v>0.24456780760114444</v>
      </c>
      <c r="BZ97" s="3">
        <v>4.2409389205272374E-7</v>
      </c>
      <c r="CA97" s="3">
        <f t="shared" si="56"/>
        <v>0.24456772427333065</v>
      </c>
      <c r="CB97" s="3">
        <v>1.6751581664864457E-7</v>
      </c>
      <c r="CC97" s="3">
        <f t="shared" si="57"/>
        <v>-1.4919347742517837E-14</v>
      </c>
      <c r="CD97" s="3">
        <f t="shared" si="58"/>
        <v>7.1042434662914134E-14</v>
      </c>
      <c r="CE97" s="3">
        <f t="shared" si="59"/>
        <v>1.6665562757589569E-7</v>
      </c>
    </row>
    <row r="98" spans="28:83" x14ac:dyDescent="0.2">
      <c r="AB98" s="3">
        <v>24</v>
      </c>
      <c r="AC98" s="3">
        <f t="shared" si="71"/>
        <v>0.32766908407211304</v>
      </c>
      <c r="AD98" s="3">
        <f t="shared" si="60"/>
        <v>3.6989264540210343E-8</v>
      </c>
      <c r="AE98" s="3">
        <f t="shared" si="72"/>
        <v>0.32766914367675781</v>
      </c>
      <c r="AF98" s="3">
        <f t="shared" si="61"/>
        <v>-2.4524521247126785E-8</v>
      </c>
      <c r="AG98" s="3">
        <f t="shared" si="67"/>
        <v>0.32766911387443542</v>
      </c>
      <c r="AH98" s="3">
        <f t="shared" si="62"/>
        <v>6.232371563275052E-9</v>
      </c>
      <c r="AI98" s="3">
        <f t="shared" si="68"/>
        <v>2.3053084046686521E-16</v>
      </c>
      <c r="AJ98" s="3">
        <f t="shared" si="69"/>
        <v>-1.5284592882352778E-16</v>
      </c>
      <c r="AK98" s="3">
        <f t="shared" si="70"/>
        <v>5.9604644775390625E-8</v>
      </c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3">
        <v>26</v>
      </c>
      <c r="BL98" s="3">
        <f t="shared" si="63"/>
        <v>0.26403218496990433</v>
      </c>
      <c r="BM98" s="3">
        <v>-7.1545982339993319E-8</v>
      </c>
      <c r="BN98" s="3">
        <f t="shared" si="64"/>
        <v>0.26403226829771809</v>
      </c>
      <c r="BO98" s="3">
        <v>1.8910902546687147E-7</v>
      </c>
      <c r="BP98" s="3">
        <f t="shared" si="52"/>
        <v>0.26403222663381121</v>
      </c>
      <c r="BQ98" s="3">
        <v>5.8781529539697619E-8</v>
      </c>
      <c r="BR98" s="3">
        <f t="shared" si="53"/>
        <v>-4.2055822743650013E-15</v>
      </c>
      <c r="BS98" s="3">
        <f t="shared" si="54"/>
        <v>1.1116117766704334E-14</v>
      </c>
      <c r="BT98" s="3">
        <f t="shared" si="55"/>
        <v>8.3327813760192271E-8</v>
      </c>
      <c r="BU98"/>
      <c r="BV98" s="3">
        <v>26</v>
      </c>
      <c r="BW98" s="3">
        <f t="shared" si="65"/>
        <v>0.24456764094551686</v>
      </c>
      <c r="BX98" s="3">
        <v>-8.9062322836119812E-8</v>
      </c>
      <c r="BY98" s="3">
        <f t="shared" si="66"/>
        <v>0.24456772427333065</v>
      </c>
      <c r="BZ98" s="3">
        <v>1.6751581664864457E-7</v>
      </c>
      <c r="CA98" s="3">
        <f t="shared" si="56"/>
        <v>0.24456768260942374</v>
      </c>
      <c r="CB98" s="3">
        <v>3.9226754899868155E-8</v>
      </c>
      <c r="CC98" s="3">
        <f t="shared" si="57"/>
        <v>-3.4936259087054022E-15</v>
      </c>
      <c r="CD98" s="3">
        <f t="shared" si="58"/>
        <v>6.5711018815276334E-15</v>
      </c>
      <c r="CE98" s="3">
        <f t="shared" si="59"/>
        <v>8.3327813787947846E-8</v>
      </c>
    </row>
    <row r="99" spans="28:83" x14ac:dyDescent="0.2">
      <c r="AB99" s="3">
        <v>25</v>
      </c>
      <c r="AC99" s="3">
        <f t="shared" si="71"/>
        <v>0.32766911387443542</v>
      </c>
      <c r="AD99" s="3">
        <f t="shared" si="60"/>
        <v>6.232371563275052E-9</v>
      </c>
      <c r="AE99" s="3">
        <f t="shared" si="72"/>
        <v>0.32766914367675781</v>
      </c>
      <c r="AF99" s="3">
        <f t="shared" si="61"/>
        <v>-2.4524521247126785E-8</v>
      </c>
      <c r="AG99" s="3">
        <f t="shared" si="67"/>
        <v>0.32766912877559662</v>
      </c>
      <c r="AH99" s="3">
        <f t="shared" si="62"/>
        <v>-9.1460748419258664E-9</v>
      </c>
      <c r="AI99" s="3">
        <f t="shared" si="68"/>
        <v>-5.7001736760404133E-17</v>
      </c>
      <c r="AJ99" s="3">
        <f t="shared" si="69"/>
        <v>2.2430310678862264E-16</v>
      </c>
      <c r="AK99" s="3">
        <f t="shared" si="70"/>
        <v>2.9802322387695312E-8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 s="3">
        <v>27</v>
      </c>
      <c r="BL99" s="3">
        <f t="shared" si="63"/>
        <v>0.26403218496990433</v>
      </c>
      <c r="BM99" s="3">
        <v>-7.1545982339993319E-8</v>
      </c>
      <c r="BN99" s="3">
        <f t="shared" si="64"/>
        <v>0.26403222663381121</v>
      </c>
      <c r="BO99" s="3">
        <v>5.8781529539697619E-8</v>
      </c>
      <c r="BP99" s="3">
        <f t="shared" si="52"/>
        <v>0.26403220580185777</v>
      </c>
      <c r="BQ99" s="3">
        <v>-6.3822245405242839E-9</v>
      </c>
      <c r="BR99" s="3">
        <f t="shared" si="53"/>
        <v>4.5662252426622234E-16</v>
      </c>
      <c r="BS99" s="3">
        <f t="shared" si="54"/>
        <v>-3.7515692035781126E-16</v>
      </c>
      <c r="BT99" s="3">
        <f t="shared" si="55"/>
        <v>4.1663906880096135E-8</v>
      </c>
      <c r="BU99"/>
      <c r="BV99" s="3">
        <v>27</v>
      </c>
      <c r="BW99" s="3">
        <f t="shared" si="65"/>
        <v>0.24456764094551686</v>
      </c>
      <c r="BX99" s="3">
        <v>-8.9062322836119812E-8</v>
      </c>
      <c r="BY99" s="3">
        <f t="shared" si="66"/>
        <v>0.24456768260942374</v>
      </c>
      <c r="BZ99" s="3">
        <v>3.9226754899868155E-8</v>
      </c>
      <c r="CA99" s="3">
        <f t="shared" si="56"/>
        <v>0.2445676617774703</v>
      </c>
      <c r="CB99" s="3">
        <v>-2.4917781990541066E-8</v>
      </c>
      <c r="CC99" s="3">
        <f t="shared" si="57"/>
        <v>2.2192355440016206E-15</v>
      </c>
      <c r="CD99" s="3">
        <f t="shared" si="58"/>
        <v>-9.7744372679130322E-16</v>
      </c>
      <c r="CE99" s="3">
        <f t="shared" si="59"/>
        <v>4.1663906880096135E-8</v>
      </c>
    </row>
    <row r="100" spans="28:83" x14ac:dyDescent="0.2">
      <c r="AB100" s="3">
        <v>26</v>
      </c>
      <c r="AC100" s="3">
        <f t="shared" si="71"/>
        <v>0.32766911387443542</v>
      </c>
      <c r="AD100" s="3">
        <f t="shared" si="60"/>
        <v>6.232371563275052E-9</v>
      </c>
      <c r="AE100" s="3">
        <f t="shared" si="72"/>
        <v>0.32766912877559662</v>
      </c>
      <c r="AF100" s="3">
        <f t="shared" si="61"/>
        <v>-9.1460748419258664E-9</v>
      </c>
      <c r="AG100" s="3">
        <f t="shared" si="67"/>
        <v>0.32766912132501602</v>
      </c>
      <c r="AH100" s="3">
        <f t="shared" si="62"/>
        <v>-1.4568516393254072E-9</v>
      </c>
      <c r="AI100" s="3">
        <f t="shared" si="68"/>
        <v>-9.0796407288423102E-18</v>
      </c>
      <c r="AJ100" s="3">
        <f t="shared" si="69"/>
        <v>1.3324474126852563E-17</v>
      </c>
      <c r="AK100" s="3">
        <f t="shared" si="70"/>
        <v>1.4901161193847656E-8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3">
        <v>28</v>
      </c>
      <c r="BL100" s="3">
        <f t="shared" si="63"/>
        <v>0.26403220580185777</v>
      </c>
      <c r="BM100" s="3">
        <v>-6.3822245405242839E-9</v>
      </c>
      <c r="BN100" s="3">
        <f t="shared" si="64"/>
        <v>0.26403222663381121</v>
      </c>
      <c r="BO100" s="3">
        <v>5.8781529539697619E-8</v>
      </c>
      <c r="BP100" s="3">
        <f t="shared" si="52"/>
        <v>0.26403221621783446</v>
      </c>
      <c r="BQ100" s="3">
        <v>2.619965285000081E-8</v>
      </c>
      <c r="BR100" s="3">
        <f t="shared" si="53"/>
        <v>-1.6721206737249215E-16</v>
      </c>
      <c r="BS100" s="3">
        <f t="shared" si="54"/>
        <v>1.5400556679321455E-15</v>
      </c>
      <c r="BT100" s="3">
        <f t="shared" si="55"/>
        <v>2.0831953440048068E-8</v>
      </c>
      <c r="BU100"/>
      <c r="BV100" s="3">
        <v>28</v>
      </c>
      <c r="BW100" s="3">
        <f t="shared" si="65"/>
        <v>0.2445676617774703</v>
      </c>
      <c r="BX100" s="3">
        <v>-2.4917781990541066E-8</v>
      </c>
      <c r="BY100" s="3">
        <f t="shared" si="66"/>
        <v>0.24456768260942374</v>
      </c>
      <c r="BZ100" s="3">
        <v>3.9226754899868155E-8</v>
      </c>
      <c r="CA100" s="3">
        <f t="shared" si="56"/>
        <v>0.24456767219344702</v>
      </c>
      <c r="CB100" s="3">
        <v>7.15448692650833E-9</v>
      </c>
      <c r="CC100" s="3">
        <f t="shared" si="57"/>
        <v>-1.7827394548891076E-16</v>
      </c>
      <c r="CD100" s="3">
        <f t="shared" si="58"/>
        <v>2.8064730510045328E-16</v>
      </c>
      <c r="CE100" s="3">
        <f t="shared" si="59"/>
        <v>2.0831953440048068E-8</v>
      </c>
    </row>
    <row r="101" spans="28:83" x14ac:dyDescent="0.2">
      <c r="AB101" s="3">
        <v>27</v>
      </c>
      <c r="AC101" s="3">
        <f t="shared" si="71"/>
        <v>0.32766911387443542</v>
      </c>
      <c r="AD101" s="3">
        <f t="shared" si="60"/>
        <v>6.232371563275052E-9</v>
      </c>
      <c r="AE101" s="3">
        <f t="shared" si="72"/>
        <v>0.32766912132501602</v>
      </c>
      <c r="AF101" s="3">
        <f t="shared" si="61"/>
        <v>-1.4568516393254072E-9</v>
      </c>
      <c r="AG101" s="3">
        <f t="shared" si="67"/>
        <v>0.32766911759972572</v>
      </c>
      <c r="AH101" s="3">
        <f t="shared" si="62"/>
        <v>2.3877599342192468E-9</v>
      </c>
      <c r="AI101" s="3">
        <f t="shared" si="68"/>
        <v>1.4881407113955543E-17</v>
      </c>
      <c r="AJ101" s="3">
        <f t="shared" si="69"/>
        <v>-3.4786119744828361E-18</v>
      </c>
      <c r="AK101" s="3">
        <f t="shared" si="70"/>
        <v>7.4505805969238281E-9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 s="3">
        <v>29</v>
      </c>
      <c r="BL101" s="3">
        <f t="shared" si="63"/>
        <v>0.26403220580185777</v>
      </c>
      <c r="BM101" s="3">
        <v>-6.3822245405242839E-9</v>
      </c>
      <c r="BN101" s="3">
        <f t="shared" si="64"/>
        <v>0.26403221621783446</v>
      </c>
      <c r="BO101" s="3">
        <v>2.619965285000081E-8</v>
      </c>
      <c r="BP101" s="3">
        <f t="shared" si="52"/>
        <v>0.26403221100984609</v>
      </c>
      <c r="BQ101" s="3">
        <v>9.9087141963716263E-9</v>
      </c>
      <c r="BR101" s="3">
        <f t="shared" si="53"/>
        <v>-6.3239638909124347E-17</v>
      </c>
      <c r="BS101" s="3">
        <f t="shared" si="54"/>
        <v>2.5960487213481137E-16</v>
      </c>
      <c r="BT101" s="3">
        <f t="shared" si="55"/>
        <v>1.0415976692268458E-8</v>
      </c>
      <c r="BU101"/>
      <c r="BV101" s="3">
        <v>29</v>
      </c>
      <c r="BW101" s="3">
        <f t="shared" si="65"/>
        <v>0.2445676617774703</v>
      </c>
      <c r="BX101" s="3">
        <v>-2.4917781990541066E-8</v>
      </c>
      <c r="BY101" s="3">
        <f t="shared" si="66"/>
        <v>0.24456767219344702</v>
      </c>
      <c r="BZ101" s="3">
        <v>7.15448692650833E-9</v>
      </c>
      <c r="CA101" s="3">
        <f t="shared" si="56"/>
        <v>0.24456766698545868</v>
      </c>
      <c r="CB101" s="3">
        <v>-8.8816473689523612E-9</v>
      </c>
      <c r="CC101" s="3">
        <f t="shared" si="57"/>
        <v>2.2131095285641758E-16</v>
      </c>
      <c r="CD101" s="3">
        <f t="shared" si="58"/>
        <v>-6.3543629987026769E-17</v>
      </c>
      <c r="CE101" s="3">
        <f t="shared" si="59"/>
        <v>1.0415976720024034E-8</v>
      </c>
    </row>
    <row r="102" spans="28:83" x14ac:dyDescent="0.2">
      <c r="AB102" s="3">
        <v>28</v>
      </c>
      <c r="AC102" s="3">
        <f t="shared" si="71"/>
        <v>0.32766911759972572</v>
      </c>
      <c r="AD102" s="3">
        <f t="shared" si="60"/>
        <v>2.3877599342192468E-9</v>
      </c>
      <c r="AE102" s="3">
        <f t="shared" si="72"/>
        <v>0.32766912132501602</v>
      </c>
      <c r="AF102" s="3">
        <f t="shared" si="61"/>
        <v>-1.4568516393254072E-9</v>
      </c>
      <c r="AG102" s="3">
        <f t="shared" si="67"/>
        <v>0.32766911946237087</v>
      </c>
      <c r="AH102" s="3">
        <f t="shared" si="62"/>
        <v>4.6545417520249543E-10</v>
      </c>
      <c r="AI102" s="3">
        <f t="shared" si="68"/>
        <v>1.1113928307635843E-18</v>
      </c>
      <c r="AJ102" s="3">
        <f t="shared" si="69"/>
        <v>-6.7809767817461076E-19</v>
      </c>
      <c r="AK102" s="3">
        <f t="shared" si="70"/>
        <v>3.7252902984619141E-9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 s="3">
        <v>30</v>
      </c>
      <c r="BL102" s="3">
        <f t="shared" si="63"/>
        <v>0.26403220580185777</v>
      </c>
      <c r="BM102" s="3">
        <v>-6.3822245405242839E-9</v>
      </c>
      <c r="BN102" s="3">
        <f t="shared" si="64"/>
        <v>0.26403221100984609</v>
      </c>
      <c r="BO102" s="3">
        <v>9.9087141963716263E-9</v>
      </c>
      <c r="BP102" s="13">
        <f t="shared" si="52"/>
        <v>0.26403220840585195</v>
      </c>
      <c r="BQ102" s="3">
        <v>1.7632449597626554E-9</v>
      </c>
      <c r="BR102" s="3">
        <f t="shared" si="53"/>
        <v>-1.1253425253152973E-17</v>
      </c>
      <c r="BS102" s="3">
        <f t="shared" si="54"/>
        <v>1.7471490364480942E-17</v>
      </c>
      <c r="BT102" s="3">
        <f t="shared" si="55"/>
        <v>5.2079883183786535E-9</v>
      </c>
      <c r="BU102"/>
      <c r="BV102" s="3">
        <v>30</v>
      </c>
      <c r="BW102" s="3">
        <f t="shared" si="65"/>
        <v>0.24456766698545868</v>
      </c>
      <c r="BX102" s="3">
        <v>-8.8816473689523612E-9</v>
      </c>
      <c r="BY102" s="3">
        <f t="shared" si="66"/>
        <v>0.24456767219344702</v>
      </c>
      <c r="BZ102" s="3">
        <v>7.15448692650833E-9</v>
      </c>
      <c r="CA102" s="13">
        <f t="shared" si="56"/>
        <v>0.24456766958945286</v>
      </c>
      <c r="CB102" s="3">
        <v>-8.635800269329863E-10</v>
      </c>
      <c r="CC102" s="3">
        <f t="shared" si="57"/>
        <v>7.6700132740891667E-18</v>
      </c>
      <c r="CD102" s="3">
        <f t="shared" si="58"/>
        <v>-6.1784720126857621E-18</v>
      </c>
      <c r="CE102" s="3">
        <f t="shared" si="59"/>
        <v>5.2079883461342291E-9</v>
      </c>
    </row>
    <row r="103" spans="28:83" x14ac:dyDescent="0.2">
      <c r="AB103" s="3">
        <v>29</v>
      </c>
      <c r="AC103" s="3">
        <f t="shared" si="71"/>
        <v>0.32766911946237087</v>
      </c>
      <c r="AD103" s="3">
        <f t="shared" si="60"/>
        <v>4.6545417520249543E-10</v>
      </c>
      <c r="AE103" s="3">
        <f t="shared" si="72"/>
        <v>0.32766912132501602</v>
      </c>
      <c r="AF103" s="3">
        <f t="shared" si="61"/>
        <v>-1.4568516393254072E-9</v>
      </c>
      <c r="AG103" s="3">
        <f t="shared" si="67"/>
        <v>0.32766912039369345</v>
      </c>
      <c r="AH103" s="3">
        <f t="shared" si="62"/>
        <v>-4.9569875981703149E-10</v>
      </c>
      <c r="AI103" s="3">
        <f t="shared" si="68"/>
        <v>-2.3072505739953628E-19</v>
      </c>
      <c r="AJ103" s="3">
        <f t="shared" si="69"/>
        <v>7.221595508510136E-19</v>
      </c>
      <c r="AK103" s="3">
        <f t="shared" si="70"/>
        <v>1.862645149230957E-9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</row>
    <row r="104" spans="28:83" x14ac:dyDescent="0.2">
      <c r="AB104" s="3">
        <v>30</v>
      </c>
      <c r="AC104" s="3">
        <f t="shared" si="71"/>
        <v>0.32766911946237087</v>
      </c>
      <c r="AD104" s="3">
        <f t="shared" si="60"/>
        <v>4.6545417520249543E-10</v>
      </c>
      <c r="AE104" s="3">
        <f t="shared" si="72"/>
        <v>0.32766912039369345</v>
      </c>
      <c r="AF104" s="3">
        <f t="shared" si="61"/>
        <v>-4.9569875981703149E-10</v>
      </c>
      <c r="AG104" s="3">
        <f t="shared" si="67"/>
        <v>0.32766911992803216</v>
      </c>
      <c r="AH104" s="3">
        <f t="shared" si="62"/>
        <v>-1.5122292307268026E-11</v>
      </c>
      <c r="AI104" s="3">
        <f t="shared" si="68"/>
        <v>-7.0387340930504807E-21</v>
      </c>
      <c r="AJ104" s="3">
        <f t="shared" si="69"/>
        <v>7.4961015423033961E-21</v>
      </c>
      <c r="AK104" s="3">
        <f t="shared" si="70"/>
        <v>9.3132257461547852E-10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s="41" t="s">
        <v>235</v>
      </c>
      <c r="BL104" s="41"/>
      <c r="BM104" s="41"/>
      <c r="BN104" s="41"/>
      <c r="BO104" s="41"/>
      <c r="BP104" s="41"/>
      <c r="BQ104" s="41"/>
      <c r="BR104" s="41"/>
      <c r="BS104" s="41"/>
      <c r="BT104" s="41"/>
      <c r="BU104"/>
      <c r="BV104" s="41" t="s">
        <v>236</v>
      </c>
      <c r="BW104" s="41"/>
      <c r="BX104" s="41"/>
      <c r="BY104" s="41"/>
      <c r="BZ104" s="41"/>
      <c r="CA104" s="41"/>
      <c r="CB104" s="41"/>
      <c r="CC104" s="41"/>
      <c r="CD104" s="41"/>
      <c r="CE104" s="41"/>
    </row>
    <row r="105" spans="28:83" x14ac:dyDescent="0.2"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s="7" t="s">
        <v>54</v>
      </c>
      <c r="BL105" s="7" t="s">
        <v>55</v>
      </c>
      <c r="BM105" s="7" t="s">
        <v>56</v>
      </c>
      <c r="BN105" s="7" t="s">
        <v>57</v>
      </c>
      <c r="BO105" s="7" t="s">
        <v>58</v>
      </c>
      <c r="BP105" s="7" t="s">
        <v>59</v>
      </c>
      <c r="BQ105" s="7" t="s">
        <v>60</v>
      </c>
      <c r="BR105" s="7" t="s">
        <v>61</v>
      </c>
      <c r="BS105" s="7" t="s">
        <v>62</v>
      </c>
      <c r="BT105" s="7" t="s">
        <v>63</v>
      </c>
      <c r="BU105"/>
      <c r="BV105" s="7" t="s">
        <v>54</v>
      </c>
      <c r="BW105" s="7" t="s">
        <v>55</v>
      </c>
      <c r="BX105" s="7" t="s">
        <v>56</v>
      </c>
      <c r="BY105" s="7" t="s">
        <v>57</v>
      </c>
      <c r="BZ105" s="7" t="s">
        <v>58</v>
      </c>
      <c r="CA105" s="7" t="s">
        <v>59</v>
      </c>
      <c r="CB105" s="7" t="s">
        <v>60</v>
      </c>
      <c r="CC105" s="7" t="s">
        <v>61</v>
      </c>
      <c r="CD105" s="7" t="s">
        <v>62</v>
      </c>
      <c r="CE105" s="7" t="s">
        <v>63</v>
      </c>
    </row>
    <row r="106" spans="28:83" x14ac:dyDescent="0.2"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 s="17">
        <v>0</v>
      </c>
      <c r="BL106" s="17"/>
      <c r="BM106" s="17">
        <f>$BD$77</f>
        <v>6.0313151035995549E-9</v>
      </c>
      <c r="BN106" s="17"/>
      <c r="BO106" s="17">
        <f>$BD$77</f>
        <v>6.0313151035995549E-9</v>
      </c>
      <c r="BP106" s="17"/>
      <c r="BQ106" s="17">
        <f>$BD$77</f>
        <v>6.0313151035995549E-9</v>
      </c>
      <c r="BR106" s="17"/>
      <c r="BS106" s="17"/>
      <c r="BT106" s="17"/>
      <c r="BU106"/>
      <c r="BV106" s="17">
        <v>0</v>
      </c>
      <c r="BW106" s="17"/>
      <c r="BX106" s="17">
        <f>$BH$77</f>
        <v>4.930885345866276E-9</v>
      </c>
      <c r="BY106" s="17"/>
      <c r="BZ106" s="17">
        <f>$BH$77</f>
        <v>4.930885345866276E-9</v>
      </c>
      <c r="CA106" s="17"/>
      <c r="CB106" s="17">
        <f>$BH$77</f>
        <v>4.930885345866276E-9</v>
      </c>
      <c r="CC106" s="17"/>
      <c r="CD106" s="17"/>
      <c r="CE106" s="17"/>
    </row>
    <row r="107" spans="28:83" x14ac:dyDescent="0.2"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 s="3">
        <v>1</v>
      </c>
      <c r="BL107" s="4">
        <f>0.01*PI()</f>
        <v>3.1415926535897934E-2</v>
      </c>
      <c r="BM107" s="3">
        <f t="dataTable" ref="BM107:BM136" dt2D="0" dtr="0" r1="BD61" ca="1"/>
        <v>-1.9219471568061877</v>
      </c>
      <c r="BN107" s="4">
        <f>0.9*PI()</f>
        <v>2.8274333882308138</v>
      </c>
      <c r="BO107" s="3">
        <f t="dataTable" ref="BO107:BO136" dt2D="0" dtr="0" r1="BD61"/>
        <v>0.34240405910666083</v>
      </c>
      <c r="BP107" s="3">
        <f t="shared" ref="BP107:BP136" si="73">(BL107+BN107)/2</f>
        <v>1.4294246573833558</v>
      </c>
      <c r="BQ107" s="3">
        <f t="dataTable" ref="BQ107:BQ136" dt2D="0" dtr="0" r1="BD61" ca="1"/>
        <v>1.159492934667026</v>
      </c>
      <c r="BR107" s="3">
        <f t="shared" ref="BR107:BR136" si="74">BM107*BQ107</f>
        <v>-2.2284841491201535</v>
      </c>
      <c r="BS107" s="3">
        <f t="shared" ref="BS107:BS136" si="75">BO107*BQ107</f>
        <v>0.39701508733548396</v>
      </c>
      <c r="BT107" s="3">
        <f t="shared" ref="BT107:BT136" si="76">BN107-BL107</f>
        <v>2.7960174616949161</v>
      </c>
      <c r="BU107"/>
      <c r="BV107" s="3">
        <v>1</v>
      </c>
      <c r="BW107" s="4">
        <f>0.01*PI()</f>
        <v>3.1415926535897934E-2</v>
      </c>
      <c r="BX107" s="3">
        <f t="dataTable" ref="BX107:BX136" dt2D="0" dtr="0" r1="BH61"/>
        <v>-1.9016768358326603</v>
      </c>
      <c r="BY107" s="4">
        <f>0.9*PI()</f>
        <v>2.8274333882308138</v>
      </c>
      <c r="BZ107" s="3">
        <f t="dataTable" ref="BZ107:BZ136" dt2D="0" dtr="0" r1="BH61" ca="1"/>
        <v>0.33717946297637824</v>
      </c>
      <c r="CA107" s="3">
        <f t="shared" ref="CA107:CA136" si="77">(BW107+BY107)/2</f>
        <v>1.4294246573833558</v>
      </c>
      <c r="CB107" s="3">
        <f t="dataTable" ref="CB107:CB136" dt2D="0" dtr="0" r1="BH61" ca="1"/>
        <v>1.253919382998951</v>
      </c>
      <c r="CC107" s="3">
        <f t="shared" ref="CC107:CC136" si="78">BX107*CB107</f>
        <v>-2.3845494446506867</v>
      </c>
      <c r="CD107" s="3">
        <f t="shared" ref="CD107:CD136" si="79">BZ107*CB107</f>
        <v>0.42279586417525783</v>
      </c>
      <c r="CE107" s="3">
        <f t="shared" ref="CE107:CE136" si="80">BY107-BW107</f>
        <v>2.7960174616949161</v>
      </c>
    </row>
    <row r="108" spans="28:83" x14ac:dyDescent="0.2"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 s="3">
        <v>2</v>
      </c>
      <c r="BL108" s="3">
        <f t="shared" ref="BL108:BL136" si="81">IF(BR107&gt;0,BP107,BL107)</f>
        <v>3.1415926535897934E-2</v>
      </c>
      <c r="BM108" s="3">
        <v>-1.9219471568061877</v>
      </c>
      <c r="BN108" s="3">
        <f t="shared" ref="BN108:BN136" si="82">IF(BS107&gt;0,BP107,BN107)</f>
        <v>1.4294246573833558</v>
      </c>
      <c r="BO108" s="3">
        <v>1.159492934667026</v>
      </c>
      <c r="BP108" s="3">
        <f t="shared" si="73"/>
        <v>0.73042029195962688</v>
      </c>
      <c r="BQ108" s="3">
        <v>0.74872290725081803</v>
      </c>
      <c r="BR108" s="3">
        <f t="shared" si="74"/>
        <v>-1.4390058628263727</v>
      </c>
      <c r="BS108" s="3">
        <f t="shared" si="75"/>
        <v>0.86813892098067846</v>
      </c>
      <c r="BT108" s="3">
        <f t="shared" si="76"/>
        <v>1.3980087308474578</v>
      </c>
      <c r="BU108"/>
      <c r="BV108" s="3">
        <v>2</v>
      </c>
      <c r="BW108" s="3">
        <f t="shared" ref="BW108:BW136" si="83">IF(CC107&gt;0,CA107,BW107)</f>
        <v>3.1415926535897934E-2</v>
      </c>
      <c r="BX108" s="3">
        <v>-1.9016768358326603</v>
      </c>
      <c r="BY108" s="3">
        <f t="shared" ref="BY108:BY136" si="84">IF(CD107&gt;0,CA107,BY107)</f>
        <v>1.4294246573833558</v>
      </c>
      <c r="BZ108" s="3">
        <v>1.253919382998951</v>
      </c>
      <c r="CA108" s="3">
        <f t="shared" si="77"/>
        <v>0.73042029195962688</v>
      </c>
      <c r="CB108" s="3">
        <v>0.80662559618718033</v>
      </c>
      <c r="CC108" s="3">
        <f t="shared" si="78"/>
        <v>-1.5339412114588702</v>
      </c>
      <c r="CD108" s="3">
        <f t="shared" si="79"/>
        <v>1.0114434698821901</v>
      </c>
      <c r="CE108" s="3">
        <f t="shared" si="80"/>
        <v>1.3980087308474578</v>
      </c>
    </row>
    <row r="109" spans="28:83" x14ac:dyDescent="0.2"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s="3">
        <v>3</v>
      </c>
      <c r="BL109" s="3">
        <f t="shared" si="81"/>
        <v>3.1415926535897934E-2</v>
      </c>
      <c r="BM109" s="3">
        <v>-1.9219471568061877</v>
      </c>
      <c r="BN109" s="3">
        <f t="shared" si="82"/>
        <v>0.73042029195962688</v>
      </c>
      <c r="BO109" s="3">
        <v>0.74872290725081803</v>
      </c>
      <c r="BP109" s="3">
        <f t="shared" si="73"/>
        <v>0.38091810924776243</v>
      </c>
      <c r="BQ109" s="3">
        <v>0.3853396457227819</v>
      </c>
      <c r="BR109" s="3">
        <f t="shared" si="74"/>
        <v>-0.74060243650160429</v>
      </c>
      <c r="BS109" s="3">
        <f t="shared" si="75"/>
        <v>0.2885126198245615</v>
      </c>
      <c r="BT109" s="3">
        <f t="shared" si="76"/>
        <v>0.6990043654237289</v>
      </c>
      <c r="BU109"/>
      <c r="BV109" s="3">
        <v>3</v>
      </c>
      <c r="BW109" s="3">
        <f t="shared" si="83"/>
        <v>3.1415926535897934E-2</v>
      </c>
      <c r="BX109" s="3">
        <v>-1.9016768358326603</v>
      </c>
      <c r="BY109" s="3">
        <f t="shared" si="84"/>
        <v>0.73042029195962688</v>
      </c>
      <c r="BZ109" s="3">
        <v>0.80662559618718033</v>
      </c>
      <c r="CA109" s="3">
        <f t="shared" si="77"/>
        <v>0.38091810924776243</v>
      </c>
      <c r="CB109" s="3">
        <v>0.44835095427821609</v>
      </c>
      <c r="CC109" s="3">
        <f t="shared" si="78"/>
        <v>-0.85261862407435174</v>
      </c>
      <c r="CD109" s="3">
        <f t="shared" si="79"/>
        <v>0.3616513557957573</v>
      </c>
      <c r="CE109" s="3">
        <f t="shared" si="80"/>
        <v>0.6990043654237289</v>
      </c>
    </row>
    <row r="110" spans="28:83" x14ac:dyDescent="0.2"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s="3">
        <v>4</v>
      </c>
      <c r="BL110" s="3">
        <f t="shared" si="81"/>
        <v>3.1415926535897934E-2</v>
      </c>
      <c r="BM110" s="3">
        <v>-1.9219471568061877</v>
      </c>
      <c r="BN110" s="3">
        <f t="shared" si="82"/>
        <v>0.38091810924776243</v>
      </c>
      <c r="BO110" s="3">
        <v>0.3853396457227819</v>
      </c>
      <c r="BP110" s="3">
        <f t="shared" si="73"/>
        <v>0.20616701789183017</v>
      </c>
      <c r="BQ110" s="3">
        <v>-8.8807648040072559E-2</v>
      </c>
      <c r="BR110" s="3">
        <f t="shared" si="74"/>
        <v>0.17068360665326207</v>
      </c>
      <c r="BS110" s="3">
        <f t="shared" si="75"/>
        <v>-3.4221107633235069E-2</v>
      </c>
      <c r="BT110" s="3">
        <f t="shared" si="76"/>
        <v>0.34950218271186451</v>
      </c>
      <c r="BU110"/>
      <c r="BV110" s="3">
        <v>4</v>
      </c>
      <c r="BW110" s="3">
        <f t="shared" si="83"/>
        <v>3.1415926535897934E-2</v>
      </c>
      <c r="BX110" s="3">
        <v>-1.9016768358326603</v>
      </c>
      <c r="BY110" s="3">
        <f t="shared" si="84"/>
        <v>0.38091810924776243</v>
      </c>
      <c r="BZ110" s="3">
        <v>0.44835095427821609</v>
      </c>
      <c r="CA110" s="3">
        <f t="shared" si="77"/>
        <v>0.20616701789183017</v>
      </c>
      <c r="CB110" s="3">
        <v>-0.13303166295707172</v>
      </c>
      <c r="CC110" s="3">
        <f t="shared" si="78"/>
        <v>0.25298323187776106</v>
      </c>
      <c r="CD110" s="3">
        <f t="shared" si="79"/>
        <v>-5.9644873036021118E-2</v>
      </c>
      <c r="CE110" s="3">
        <f t="shared" si="80"/>
        <v>0.34950218271186451</v>
      </c>
    </row>
    <row r="111" spans="28:83" x14ac:dyDescent="0.2"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s="3">
        <v>5</v>
      </c>
      <c r="BL111" s="3">
        <f t="shared" si="81"/>
        <v>0.20616701789183017</v>
      </c>
      <c r="BM111" s="3">
        <v>-8.8807648040072559E-2</v>
      </c>
      <c r="BN111" s="3">
        <f t="shared" si="82"/>
        <v>0.38091810924776243</v>
      </c>
      <c r="BO111" s="3">
        <v>0.3853396457227819</v>
      </c>
      <c r="BP111" s="3">
        <f t="shared" si="73"/>
        <v>0.2935425635697963</v>
      </c>
      <c r="BQ111" s="3">
        <v>0.17799379590206069</v>
      </c>
      <c r="BR111" s="3">
        <f t="shared" si="74"/>
        <v>-1.5807210379786715E-2</v>
      </c>
      <c r="BS111" s="3">
        <f t="shared" si="75"/>
        <v>6.8588066253753216E-2</v>
      </c>
      <c r="BT111" s="3">
        <f t="shared" si="76"/>
        <v>0.17475109135593225</v>
      </c>
      <c r="BU111"/>
      <c r="BV111" s="3">
        <v>5</v>
      </c>
      <c r="BW111" s="3">
        <f t="shared" si="83"/>
        <v>0.20616701789183017</v>
      </c>
      <c r="BX111" s="3">
        <v>-0.13303166295707172</v>
      </c>
      <c r="BY111" s="3">
        <f t="shared" si="84"/>
        <v>0.38091810924776243</v>
      </c>
      <c r="BZ111" s="3">
        <v>0.44835095427821609</v>
      </c>
      <c r="CA111" s="3">
        <f t="shared" si="77"/>
        <v>0.2935425635697963</v>
      </c>
      <c r="CB111" s="3">
        <v>0.20091640882771777</v>
      </c>
      <c r="CC111" s="3">
        <f t="shared" si="78"/>
        <v>-2.6728243981714181E-2</v>
      </c>
      <c r="CD111" s="3">
        <f t="shared" si="79"/>
        <v>9.0081063628059468E-2</v>
      </c>
      <c r="CE111" s="3">
        <f t="shared" si="80"/>
        <v>0.17475109135593225</v>
      </c>
    </row>
    <row r="112" spans="28:83" x14ac:dyDescent="0.2"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 s="3">
        <v>6</v>
      </c>
      <c r="BL112" s="3">
        <f t="shared" si="81"/>
        <v>0.20616701789183017</v>
      </c>
      <c r="BM112" s="3">
        <v>-8.8807648040072559E-2</v>
      </c>
      <c r="BN112" s="3">
        <f t="shared" si="82"/>
        <v>0.2935425635697963</v>
      </c>
      <c r="BO112" s="3">
        <v>0.17799379590206069</v>
      </c>
      <c r="BP112" s="3">
        <f t="shared" si="73"/>
        <v>0.24985479073081324</v>
      </c>
      <c r="BQ112" s="3">
        <v>5.2871357712080611E-2</v>
      </c>
      <c r="BR112" s="3">
        <f t="shared" si="74"/>
        <v>-4.6953809270952312E-3</v>
      </c>
      <c r="BS112" s="3">
        <f t="shared" si="75"/>
        <v>9.4107736536689184E-3</v>
      </c>
      <c r="BT112" s="3">
        <f t="shared" si="76"/>
        <v>8.7375545677966127E-2</v>
      </c>
      <c r="BU112"/>
      <c r="BV112" s="3">
        <v>6</v>
      </c>
      <c r="BW112" s="3">
        <f t="shared" si="83"/>
        <v>0.20616701789183017</v>
      </c>
      <c r="BX112" s="3">
        <v>-0.13303166295707172</v>
      </c>
      <c r="BY112" s="3">
        <f t="shared" si="84"/>
        <v>0.2935425635697963</v>
      </c>
      <c r="BZ112" s="3">
        <v>0.20091640882771777</v>
      </c>
      <c r="CA112" s="3">
        <f t="shared" si="77"/>
        <v>0.24985479073081324</v>
      </c>
      <c r="CB112" s="3">
        <v>4.5082170943168041E-2</v>
      </c>
      <c r="CC112" s="3">
        <f t="shared" si="78"/>
        <v>-5.9973561702846229E-3</v>
      </c>
      <c r="CD112" s="3">
        <f t="shared" si="79"/>
        <v>9.057747888058609E-3</v>
      </c>
      <c r="CE112" s="3">
        <f t="shared" si="80"/>
        <v>8.7375545677966127E-2</v>
      </c>
    </row>
    <row r="113" spans="39:83" x14ac:dyDescent="0.2"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s="3">
        <v>7</v>
      </c>
      <c r="BL113" s="3">
        <f t="shared" si="81"/>
        <v>0.20616701789183017</v>
      </c>
      <c r="BM113" s="3">
        <v>-8.8807648040072559E-2</v>
      </c>
      <c r="BN113" s="3">
        <f t="shared" si="82"/>
        <v>0.24985479073081324</v>
      </c>
      <c r="BO113" s="3">
        <v>5.2871357712080611E-2</v>
      </c>
      <c r="BP113" s="3">
        <f t="shared" si="73"/>
        <v>0.2280109043113217</v>
      </c>
      <c r="BQ113" s="3">
        <v>-1.5608705108547278E-2</v>
      </c>
      <c r="BR113" s="3">
        <f t="shared" si="74"/>
        <v>1.3861723896411492E-3</v>
      </c>
      <c r="BS113" s="3">
        <f t="shared" si="75"/>
        <v>-8.252534312163831E-4</v>
      </c>
      <c r="BT113" s="3">
        <f t="shared" si="76"/>
        <v>4.3687772838983063E-2</v>
      </c>
      <c r="BU113"/>
      <c r="BV113" s="3">
        <v>7</v>
      </c>
      <c r="BW113" s="3">
        <f t="shared" si="83"/>
        <v>0.20616701789183017</v>
      </c>
      <c r="BX113" s="3">
        <v>-0.13303166295707172</v>
      </c>
      <c r="BY113" s="3">
        <f t="shared" si="84"/>
        <v>0.24985479073081324</v>
      </c>
      <c r="BZ113" s="3">
        <v>4.5082170943168041E-2</v>
      </c>
      <c r="CA113" s="3">
        <f t="shared" si="77"/>
        <v>0.2280109043113217</v>
      </c>
      <c r="CB113" s="3">
        <v>-4.0975005021109429E-2</v>
      </c>
      <c r="CC113" s="3">
        <f t="shared" si="78"/>
        <v>5.4509730576325511E-3</v>
      </c>
      <c r="CD113" s="3">
        <f t="shared" si="79"/>
        <v>-1.8472421807588242E-3</v>
      </c>
      <c r="CE113" s="3">
        <f t="shared" si="80"/>
        <v>4.3687772838983063E-2</v>
      </c>
    </row>
    <row r="114" spans="39:83" x14ac:dyDescent="0.2"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s="3">
        <v>8</v>
      </c>
      <c r="BL114" s="3">
        <f t="shared" si="81"/>
        <v>0.2280109043113217</v>
      </c>
      <c r="BM114" s="3">
        <v>-1.5608705108547278E-2</v>
      </c>
      <c r="BN114" s="3">
        <f t="shared" si="82"/>
        <v>0.24985479073081324</v>
      </c>
      <c r="BO114" s="3">
        <v>5.2871357712080611E-2</v>
      </c>
      <c r="BP114" s="3">
        <f t="shared" si="73"/>
        <v>0.23893284752106747</v>
      </c>
      <c r="BQ114" s="3">
        <v>1.9171767306783494E-2</v>
      </c>
      <c r="BR114" s="3">
        <f t="shared" si="74"/>
        <v>-2.9924646230127119E-4</v>
      </c>
      <c r="BS114" s="3">
        <f t="shared" si="75"/>
        <v>1.0136373672497223E-3</v>
      </c>
      <c r="BT114" s="3">
        <f t="shared" si="76"/>
        <v>2.1843886419491532E-2</v>
      </c>
      <c r="BU114"/>
      <c r="BV114" s="3">
        <v>8</v>
      </c>
      <c r="BW114" s="3">
        <f t="shared" si="83"/>
        <v>0.2280109043113217</v>
      </c>
      <c r="BX114" s="3">
        <v>-4.0975005021109429E-2</v>
      </c>
      <c r="BY114" s="3">
        <f t="shared" si="84"/>
        <v>0.24985479073081324</v>
      </c>
      <c r="BZ114" s="3">
        <v>4.5082170943168041E-2</v>
      </c>
      <c r="CA114" s="3">
        <f t="shared" si="77"/>
        <v>0.23893284752106747</v>
      </c>
      <c r="CB114" s="3">
        <v>2.7645456924588405E-3</v>
      </c>
      <c r="CC114" s="3">
        <f t="shared" si="78"/>
        <v>-1.1327727362958743E-4</v>
      </c>
      <c r="CD114" s="3">
        <f t="shared" si="79"/>
        <v>1.2463172148762831E-4</v>
      </c>
      <c r="CE114" s="3">
        <f t="shared" si="80"/>
        <v>2.1843886419491532E-2</v>
      </c>
    </row>
    <row r="115" spans="39:83" x14ac:dyDescent="0.2"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 s="3">
        <v>9</v>
      </c>
      <c r="BL115" s="3">
        <f t="shared" si="81"/>
        <v>0.2280109043113217</v>
      </c>
      <c r="BM115" s="3">
        <v>-1.5608705108547278E-2</v>
      </c>
      <c r="BN115" s="3">
        <f t="shared" si="82"/>
        <v>0.23893284752106747</v>
      </c>
      <c r="BO115" s="3">
        <v>1.9171767306783494E-2</v>
      </c>
      <c r="BP115" s="3">
        <f t="shared" si="73"/>
        <v>0.23347187591619459</v>
      </c>
      <c r="BQ115" s="3">
        <v>1.9217837262305061E-3</v>
      </c>
      <c r="BR115" s="3">
        <f t="shared" si="74"/>
        <v>-2.9996555465137125E-5</v>
      </c>
      <c r="BS115" s="3">
        <f t="shared" si="75"/>
        <v>3.6843990413254576E-5</v>
      </c>
      <c r="BT115" s="3">
        <f t="shared" si="76"/>
        <v>1.0921943209745766E-2</v>
      </c>
      <c r="BU115"/>
      <c r="BV115" s="3">
        <v>9</v>
      </c>
      <c r="BW115" s="3">
        <f t="shared" si="83"/>
        <v>0.2280109043113217</v>
      </c>
      <c r="BX115" s="3">
        <v>-4.0975005021109429E-2</v>
      </c>
      <c r="BY115" s="3">
        <f t="shared" si="84"/>
        <v>0.23893284752106747</v>
      </c>
      <c r="BZ115" s="3">
        <v>2.7645456924588405E-3</v>
      </c>
      <c r="CA115" s="3">
        <f t="shared" si="77"/>
        <v>0.23347187591619459</v>
      </c>
      <c r="CB115" s="3">
        <v>-1.8923551444722457E-2</v>
      </c>
      <c r="CC115" s="3">
        <f t="shared" si="78"/>
        <v>7.7539261546472526E-4</v>
      </c>
      <c r="CD115" s="3">
        <f t="shared" si="79"/>
        <v>-5.2315022632530734E-5</v>
      </c>
      <c r="CE115" s="3">
        <f t="shared" si="80"/>
        <v>1.0921943209745766E-2</v>
      </c>
    </row>
    <row r="116" spans="39:83" x14ac:dyDescent="0.2"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s="3">
        <v>10</v>
      </c>
      <c r="BL116" s="3">
        <f t="shared" si="81"/>
        <v>0.2280109043113217</v>
      </c>
      <c r="BM116" s="3">
        <v>-1.5608705108547278E-2</v>
      </c>
      <c r="BN116" s="3">
        <f t="shared" si="82"/>
        <v>0.23347187591619459</v>
      </c>
      <c r="BO116" s="3">
        <v>1.9217837262305061E-3</v>
      </c>
      <c r="BP116" s="3">
        <f t="shared" si="73"/>
        <v>0.23074139011375816</v>
      </c>
      <c r="BQ116" s="3">
        <v>-6.8076737360718981E-3</v>
      </c>
      <c r="BR116" s="3">
        <f t="shared" si="74"/>
        <v>1.0625897182154857E-4</v>
      </c>
      <c r="BS116" s="3">
        <f t="shared" si="75"/>
        <v>-1.3082876599469803E-5</v>
      </c>
      <c r="BT116" s="3">
        <f t="shared" si="76"/>
        <v>5.4609716048728829E-3</v>
      </c>
      <c r="BU116"/>
      <c r="BV116" s="3">
        <v>10</v>
      </c>
      <c r="BW116" s="3">
        <f t="shared" si="83"/>
        <v>0.23347187591619459</v>
      </c>
      <c r="BX116" s="3">
        <v>-1.8923551444722457E-2</v>
      </c>
      <c r="BY116" s="3">
        <f t="shared" si="84"/>
        <v>0.23893284752106747</v>
      </c>
      <c r="BZ116" s="3">
        <v>2.7645456924588405E-3</v>
      </c>
      <c r="CA116" s="3">
        <f t="shared" si="77"/>
        <v>0.23620236171863102</v>
      </c>
      <c r="CB116" s="3">
        <v>-8.0346272087522437E-3</v>
      </c>
      <c r="CC116" s="3">
        <f t="shared" si="78"/>
        <v>1.5204368132398988E-4</v>
      </c>
      <c r="CD116" s="3">
        <f t="shared" si="79"/>
        <v>-2.2212094040468612E-5</v>
      </c>
      <c r="CE116" s="3">
        <f t="shared" si="80"/>
        <v>5.4609716048728829E-3</v>
      </c>
    </row>
    <row r="117" spans="39:83" x14ac:dyDescent="0.2"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 s="3">
        <v>11</v>
      </c>
      <c r="BL117" s="3">
        <f t="shared" si="81"/>
        <v>0.23074139011375816</v>
      </c>
      <c r="BM117" s="3">
        <v>-6.8076737360718981E-3</v>
      </c>
      <c r="BN117" s="3">
        <f t="shared" si="82"/>
        <v>0.23347187591619459</v>
      </c>
      <c r="BO117" s="3">
        <v>1.9217837262305061E-3</v>
      </c>
      <c r="BP117" s="3">
        <f t="shared" si="73"/>
        <v>0.23210663301497636</v>
      </c>
      <c r="BQ117" s="3">
        <v>-2.4340926312998723E-3</v>
      </c>
      <c r="BR117" s="3">
        <f t="shared" si="74"/>
        <v>1.6570508477266279E-5</v>
      </c>
      <c r="BS117" s="3">
        <f t="shared" si="75"/>
        <v>-4.6777996069696858E-6</v>
      </c>
      <c r="BT117" s="3">
        <f t="shared" si="76"/>
        <v>2.7304858024364276E-3</v>
      </c>
      <c r="BU117"/>
      <c r="BV117" s="3">
        <v>11</v>
      </c>
      <c r="BW117" s="3">
        <f t="shared" si="83"/>
        <v>0.23620236171863102</v>
      </c>
      <c r="BX117" s="3">
        <v>-8.0346272087522437E-3</v>
      </c>
      <c r="BY117" s="3">
        <f t="shared" si="84"/>
        <v>0.23893284752106747</v>
      </c>
      <c r="BZ117" s="3">
        <v>2.7645456924588405E-3</v>
      </c>
      <c r="CA117" s="3">
        <f t="shared" si="77"/>
        <v>0.23756760461984924</v>
      </c>
      <c r="CB117" s="3">
        <v>-2.6238850929209134E-3</v>
      </c>
      <c r="CC117" s="3">
        <f t="shared" si="78"/>
        <v>2.108193856022178E-5</v>
      </c>
      <c r="CD117" s="3">
        <f t="shared" si="79"/>
        <v>-7.2538502311414754E-6</v>
      </c>
      <c r="CE117" s="3">
        <f t="shared" si="80"/>
        <v>2.7304858024364553E-3</v>
      </c>
    </row>
    <row r="118" spans="39:83" x14ac:dyDescent="0.2"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 s="3">
        <v>12</v>
      </c>
      <c r="BL118" s="3">
        <f t="shared" si="81"/>
        <v>0.23210663301497636</v>
      </c>
      <c r="BM118" s="3">
        <v>-2.4340926312998723E-3</v>
      </c>
      <c r="BN118" s="3">
        <f t="shared" si="82"/>
        <v>0.23347187591619459</v>
      </c>
      <c r="BO118" s="3">
        <v>1.9217837262305061E-3</v>
      </c>
      <c r="BP118" s="3">
        <f t="shared" si="73"/>
        <v>0.23278925446558546</v>
      </c>
      <c r="BQ118" s="3">
        <v>-2.5395280546209459E-4</v>
      </c>
      <c r="BR118" s="3">
        <f t="shared" si="74"/>
        <v>6.1814465247321437E-7</v>
      </c>
      <c r="BS118" s="3">
        <f t="shared" si="75"/>
        <v>-4.8804236876763492E-7</v>
      </c>
      <c r="BT118" s="3">
        <f t="shared" si="76"/>
        <v>1.3652429012182277E-3</v>
      </c>
      <c r="BU118"/>
      <c r="BV118" s="3">
        <v>12</v>
      </c>
      <c r="BW118" s="3">
        <f t="shared" si="83"/>
        <v>0.23756760461984924</v>
      </c>
      <c r="BX118" s="3">
        <v>-2.6238850929209134E-3</v>
      </c>
      <c r="BY118" s="3">
        <f t="shared" si="84"/>
        <v>0.23893284752106747</v>
      </c>
      <c r="BZ118" s="3">
        <v>2.7645456924588405E-3</v>
      </c>
      <c r="CA118" s="3">
        <f t="shared" si="77"/>
        <v>0.23825022607045837</v>
      </c>
      <c r="CB118" s="3">
        <v>7.3111594058906937E-5</v>
      </c>
      <c r="CC118" s="3">
        <f t="shared" si="78"/>
        <v>-1.9183642177085114E-7</v>
      </c>
      <c r="CD118" s="3">
        <f t="shared" si="79"/>
        <v>2.0212034242435052E-7</v>
      </c>
      <c r="CE118" s="3">
        <f t="shared" si="80"/>
        <v>1.3652429012182277E-3</v>
      </c>
    </row>
    <row r="119" spans="39:83" x14ac:dyDescent="0.2"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 s="3">
        <v>13</v>
      </c>
      <c r="BL119" s="3">
        <f t="shared" si="81"/>
        <v>0.23278925446558546</v>
      </c>
      <c r="BM119" s="3">
        <v>-2.5395280546209459E-4</v>
      </c>
      <c r="BN119" s="3">
        <f t="shared" si="82"/>
        <v>0.23347187591619459</v>
      </c>
      <c r="BO119" s="3">
        <v>1.9217837262305061E-3</v>
      </c>
      <c r="BP119" s="3">
        <f t="shared" si="73"/>
        <v>0.23313056519089004</v>
      </c>
      <c r="BQ119" s="3">
        <v>8.3446446271758998E-4</v>
      </c>
      <c r="BR119" s="3">
        <f t="shared" si="74"/>
        <v>-2.1191459136555142E-7</v>
      </c>
      <c r="BS119" s="3">
        <f t="shared" si="75"/>
        <v>1.6036602245683474E-6</v>
      </c>
      <c r="BT119" s="3">
        <f t="shared" si="76"/>
        <v>6.8262145060912771E-4</v>
      </c>
      <c r="BU119"/>
      <c r="BV119" s="3">
        <v>13</v>
      </c>
      <c r="BW119" s="3">
        <f t="shared" si="83"/>
        <v>0.23756760461984924</v>
      </c>
      <c r="BX119" s="3">
        <v>-2.6238850929209134E-3</v>
      </c>
      <c r="BY119" s="3">
        <f t="shared" si="84"/>
        <v>0.23825022607045837</v>
      </c>
      <c r="BZ119" s="3">
        <v>7.3111594058906937E-5</v>
      </c>
      <c r="CA119" s="3">
        <f t="shared" si="77"/>
        <v>0.23790891534515379</v>
      </c>
      <c r="CB119" s="3">
        <v>-1.2746904855910519E-3</v>
      </c>
      <c r="CC119" s="3">
        <f t="shared" si="78"/>
        <v>3.3446413632304814E-6</v>
      </c>
      <c r="CD119" s="3">
        <f t="shared" si="79"/>
        <v>-9.3194653333283953E-8</v>
      </c>
      <c r="CE119" s="3">
        <f t="shared" si="80"/>
        <v>6.8262145060912771E-4</v>
      </c>
    </row>
    <row r="120" spans="39:83" x14ac:dyDescent="0.2"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 s="3">
        <v>14</v>
      </c>
      <c r="BL120" s="3">
        <f t="shared" si="81"/>
        <v>0.23278925446558546</v>
      </c>
      <c r="BM120" s="3">
        <v>-2.5395280546209459E-4</v>
      </c>
      <c r="BN120" s="3">
        <f t="shared" si="82"/>
        <v>0.23313056519089004</v>
      </c>
      <c r="BO120" s="3">
        <v>8.3446446271758998E-4</v>
      </c>
      <c r="BP120" s="3">
        <f t="shared" si="73"/>
        <v>0.23295990982823775</v>
      </c>
      <c r="BQ120" s="3">
        <v>2.90393254446044E-4</v>
      </c>
      <c r="BR120" s="3">
        <f t="shared" si="74"/>
        <v>-7.3746181653840745E-8</v>
      </c>
      <c r="BS120" s="3">
        <f t="shared" si="75"/>
        <v>2.4232285104813051E-7</v>
      </c>
      <c r="BT120" s="3">
        <f t="shared" si="76"/>
        <v>3.4131072530457773E-4</v>
      </c>
      <c r="BU120"/>
      <c r="BV120" s="3">
        <v>14</v>
      </c>
      <c r="BW120" s="3">
        <f t="shared" si="83"/>
        <v>0.23790891534515379</v>
      </c>
      <c r="BX120" s="3">
        <v>-1.2746904855910519E-3</v>
      </c>
      <c r="BY120" s="3">
        <f t="shared" si="84"/>
        <v>0.23825022607045837</v>
      </c>
      <c r="BZ120" s="3">
        <v>7.3111594058906937E-5</v>
      </c>
      <c r="CA120" s="3">
        <f t="shared" si="77"/>
        <v>0.23807957070780608</v>
      </c>
      <c r="CB120" s="3">
        <v>-6.0061549811427778E-4</v>
      </c>
      <c r="CC120" s="3">
        <f t="shared" si="78"/>
        <v>7.6559886094480026E-7</v>
      </c>
      <c r="CD120" s="3">
        <f t="shared" si="79"/>
        <v>-4.391195648361926E-8</v>
      </c>
      <c r="CE120" s="3">
        <f t="shared" si="80"/>
        <v>3.4131072530457773E-4</v>
      </c>
    </row>
    <row r="121" spans="39:83" x14ac:dyDescent="0.2"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 s="3">
        <v>15</v>
      </c>
      <c r="BL121" s="3">
        <f t="shared" si="81"/>
        <v>0.23278925446558546</v>
      </c>
      <c r="BM121" s="3">
        <v>-2.5395280546209459E-4</v>
      </c>
      <c r="BN121" s="3">
        <f t="shared" si="82"/>
        <v>0.23295990982823775</v>
      </c>
      <c r="BO121" s="3">
        <v>2.90393254446044E-4</v>
      </c>
      <c r="BP121" s="3">
        <f t="shared" si="73"/>
        <v>0.23287458214691159</v>
      </c>
      <c r="BQ121" s="3">
        <v>1.8254602933184816E-5</v>
      </c>
      <c r="BR121" s="3">
        <f t="shared" si="74"/>
        <v>-4.6358076274788647E-9</v>
      </c>
      <c r="BS121" s="3">
        <f t="shared" si="75"/>
        <v>5.3010135543878391E-9</v>
      </c>
      <c r="BT121" s="3">
        <f t="shared" si="76"/>
        <v>1.7065536265228887E-4</v>
      </c>
      <c r="BU121"/>
      <c r="BV121" s="3">
        <v>15</v>
      </c>
      <c r="BW121" s="3">
        <f t="shared" si="83"/>
        <v>0.23807957070780608</v>
      </c>
      <c r="BX121" s="3">
        <v>-6.0061549811427778E-4</v>
      </c>
      <c r="BY121" s="3">
        <f t="shared" si="84"/>
        <v>0.23825022607045837</v>
      </c>
      <c r="BZ121" s="3">
        <v>7.3111594058906937E-5</v>
      </c>
      <c r="CA121" s="3">
        <f t="shared" si="77"/>
        <v>0.23816489838913224</v>
      </c>
      <c r="CB121" s="3">
        <v>-2.637084798352736E-4</v>
      </c>
      <c r="CC121" s="3">
        <f t="shared" si="78"/>
        <v>1.5838739997322182E-7</v>
      </c>
      <c r="CD121" s="3">
        <f t="shared" si="79"/>
        <v>-1.928014732760797E-8</v>
      </c>
      <c r="CE121" s="3">
        <f t="shared" si="80"/>
        <v>1.7065536265228887E-4</v>
      </c>
    </row>
    <row r="122" spans="39:83" x14ac:dyDescent="0.2"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 s="3">
        <v>16</v>
      </c>
      <c r="BL122" s="3">
        <f t="shared" si="81"/>
        <v>0.23278925446558546</v>
      </c>
      <c r="BM122" s="3">
        <v>-2.5395280546209459E-4</v>
      </c>
      <c r="BN122" s="3">
        <f t="shared" si="82"/>
        <v>0.23287458214691159</v>
      </c>
      <c r="BO122" s="3">
        <v>1.8254602933184816E-5</v>
      </c>
      <c r="BP122" s="3">
        <f t="shared" si="73"/>
        <v>0.23283191830624853</v>
      </c>
      <c r="BQ122" s="3">
        <v>-1.1784050390065137E-4</v>
      </c>
      <c r="BR122" s="3">
        <f t="shared" si="74"/>
        <v>2.9925926562637316E-8</v>
      </c>
      <c r="BS122" s="3">
        <f t="shared" si="75"/>
        <v>-2.1511316081528074E-9</v>
      </c>
      <c r="BT122" s="3">
        <f t="shared" si="76"/>
        <v>8.5327681326130556E-5</v>
      </c>
      <c r="BU122"/>
      <c r="BV122" s="3">
        <v>16</v>
      </c>
      <c r="BW122" s="3">
        <f t="shared" si="83"/>
        <v>0.23816489838913224</v>
      </c>
      <c r="BX122" s="3">
        <v>-2.637084798352736E-4</v>
      </c>
      <c r="BY122" s="3">
        <f t="shared" si="84"/>
        <v>0.23825022607045837</v>
      </c>
      <c r="BZ122" s="3">
        <v>7.3111594058906937E-5</v>
      </c>
      <c r="CA122" s="3">
        <f t="shared" si="77"/>
        <v>0.23820756222979531</v>
      </c>
      <c r="CB122" s="3">
        <v>-9.5287576675893992E-5</v>
      </c>
      <c r="CC122" s="3">
        <f t="shared" si="78"/>
        <v>2.5128141992387077E-8</v>
      </c>
      <c r="CD122" s="3">
        <f t="shared" si="79"/>
        <v>-6.9666266247849307E-9</v>
      </c>
      <c r="CE122" s="3">
        <f t="shared" si="80"/>
        <v>8.5327681326130556E-5</v>
      </c>
    </row>
    <row r="123" spans="39:83" x14ac:dyDescent="0.2"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 s="3">
        <v>17</v>
      </c>
      <c r="BL123" s="3">
        <f t="shared" si="81"/>
        <v>0.23283191830624853</v>
      </c>
      <c r="BM123" s="3">
        <v>-1.1784050390065137E-4</v>
      </c>
      <c r="BN123" s="3">
        <f t="shared" si="82"/>
        <v>0.23287458214691159</v>
      </c>
      <c r="BO123" s="3">
        <v>1.8254602933184816E-5</v>
      </c>
      <c r="BP123" s="3">
        <f t="shared" si="73"/>
        <v>0.23285325022658004</v>
      </c>
      <c r="BQ123" s="3">
        <v>-4.9790801487186592E-5</v>
      </c>
      <c r="BR123" s="3">
        <f t="shared" si="74"/>
        <v>5.8673731368673699E-9</v>
      </c>
      <c r="BS123" s="3">
        <f t="shared" si="75"/>
        <v>-9.0891131087361922E-10</v>
      </c>
      <c r="BT123" s="3">
        <f t="shared" si="76"/>
        <v>4.2663840663065278E-5</v>
      </c>
      <c r="BU123"/>
      <c r="BV123" s="3">
        <v>17</v>
      </c>
      <c r="BW123" s="3">
        <f t="shared" si="83"/>
        <v>0.23820756222979531</v>
      </c>
      <c r="BX123" s="3">
        <v>-9.5287576675893992E-5</v>
      </c>
      <c r="BY123" s="3">
        <f t="shared" si="84"/>
        <v>0.23825022607045837</v>
      </c>
      <c r="BZ123" s="3">
        <v>7.3111594058906937E-5</v>
      </c>
      <c r="CA123" s="3">
        <f t="shared" si="77"/>
        <v>0.23822889415012682</v>
      </c>
      <c r="CB123" s="3">
        <v>-1.108527498477202E-5</v>
      </c>
      <c r="CC123" s="3">
        <f t="shared" si="78"/>
        <v>1.0562889900848335E-9</v>
      </c>
      <c r="CD123" s="3">
        <f t="shared" si="79"/>
        <v>-8.1046212471800768E-10</v>
      </c>
      <c r="CE123" s="3">
        <f t="shared" si="80"/>
        <v>4.2663840663065278E-5</v>
      </c>
    </row>
    <row r="124" spans="39:83" x14ac:dyDescent="0.2"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 s="3">
        <v>18</v>
      </c>
      <c r="BL124" s="3">
        <f t="shared" si="81"/>
        <v>0.23285325022658004</v>
      </c>
      <c r="BM124" s="3">
        <v>-4.9790801487186592E-5</v>
      </c>
      <c r="BN124" s="3">
        <f t="shared" si="82"/>
        <v>0.23287458214691159</v>
      </c>
      <c r="BO124" s="3">
        <v>1.8254602933184816E-5</v>
      </c>
      <c r="BP124" s="3">
        <f t="shared" si="73"/>
        <v>0.23286391618674582</v>
      </c>
      <c r="BQ124" s="3">
        <v>-1.5767562070913982E-5</v>
      </c>
      <c r="BR124" s="3">
        <f t="shared" si="74"/>
        <v>7.850795530097708E-10</v>
      </c>
      <c r="BS124" s="3">
        <f t="shared" si="75"/>
        <v>-2.8783058482888001E-10</v>
      </c>
      <c r="BT124" s="3">
        <f t="shared" si="76"/>
        <v>2.1331920331546517E-5</v>
      </c>
      <c r="BU124"/>
      <c r="BV124" s="3">
        <v>18</v>
      </c>
      <c r="BW124" s="3">
        <f t="shared" si="83"/>
        <v>0.23822889415012682</v>
      </c>
      <c r="BX124" s="3">
        <v>-1.108527498477202E-5</v>
      </c>
      <c r="BY124" s="3">
        <f t="shared" si="84"/>
        <v>0.23825022607045837</v>
      </c>
      <c r="BZ124" s="3">
        <v>7.3111594058906937E-5</v>
      </c>
      <c r="CA124" s="3">
        <f t="shared" si="77"/>
        <v>0.2382395601102926</v>
      </c>
      <c r="CB124" s="3">
        <v>3.1013838589399184E-5</v>
      </c>
      <c r="CC124" s="3">
        <f t="shared" si="78"/>
        <v>-3.4379692909682394E-10</v>
      </c>
      <c r="CD124" s="3">
        <f t="shared" si="79"/>
        <v>2.267471177156616E-9</v>
      </c>
      <c r="CE124" s="3">
        <f t="shared" si="80"/>
        <v>2.1331920331546517E-5</v>
      </c>
    </row>
    <row r="125" spans="39:83" x14ac:dyDescent="0.2"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 s="3">
        <v>19</v>
      </c>
      <c r="BL125" s="3">
        <f t="shared" si="81"/>
        <v>0.23286391618674582</v>
      </c>
      <c r="BM125" s="3">
        <v>-1.5767562070913982E-5</v>
      </c>
      <c r="BN125" s="3">
        <f t="shared" si="82"/>
        <v>0.23287458214691159</v>
      </c>
      <c r="BO125" s="3">
        <v>1.8254602933184816E-5</v>
      </c>
      <c r="BP125" s="3">
        <f t="shared" si="73"/>
        <v>0.23286924916682872</v>
      </c>
      <c r="BQ125" s="3">
        <v>1.2436547273501908E-6</v>
      </c>
      <c r="BR125" s="3">
        <f t="shared" si="74"/>
        <v>-1.9609403108279737E-11</v>
      </c>
      <c r="BS125" s="3">
        <f t="shared" si="75"/>
        <v>2.2702423233755954E-11</v>
      </c>
      <c r="BT125" s="3">
        <f t="shared" si="76"/>
        <v>1.0665960165773258E-5</v>
      </c>
      <c r="BU125"/>
      <c r="BV125" s="3">
        <v>19</v>
      </c>
      <c r="BW125" s="3">
        <f t="shared" si="83"/>
        <v>0.23822889415012682</v>
      </c>
      <c r="BX125" s="3">
        <v>-1.108527498477202E-5</v>
      </c>
      <c r="BY125" s="3">
        <f t="shared" si="84"/>
        <v>0.2382395601102926</v>
      </c>
      <c r="BZ125" s="3">
        <v>3.1013838589399184E-5</v>
      </c>
      <c r="CA125" s="3">
        <f t="shared" si="77"/>
        <v>0.2382342271302097</v>
      </c>
      <c r="CB125" s="3">
        <v>9.9644515689049917E-6</v>
      </c>
      <c r="CC125" s="3">
        <f t="shared" si="78"/>
        <v>-1.1045868571375481E-10</v>
      </c>
      <c r="CD125" s="3">
        <f t="shared" si="79"/>
        <v>3.0903589258990487E-10</v>
      </c>
      <c r="CE125" s="3">
        <f t="shared" si="80"/>
        <v>1.0665960165773258E-5</v>
      </c>
    </row>
    <row r="126" spans="39:83" x14ac:dyDescent="0.2"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 s="3">
        <v>20</v>
      </c>
      <c r="BL126" s="3">
        <f t="shared" si="81"/>
        <v>0.23286391618674582</v>
      </c>
      <c r="BM126" s="3">
        <v>-1.5767562070913982E-5</v>
      </c>
      <c r="BN126" s="3">
        <f t="shared" si="82"/>
        <v>0.23286924916682872</v>
      </c>
      <c r="BO126" s="3">
        <v>1.2436547273501908E-6</v>
      </c>
      <c r="BP126" s="3">
        <f t="shared" si="73"/>
        <v>0.23286658267678728</v>
      </c>
      <c r="BQ126" s="3">
        <v>-7.2619200970659714E-6</v>
      </c>
      <c r="BR126" s="3">
        <f t="shared" si="74"/>
        <v>1.1450277588450539E-10</v>
      </c>
      <c r="BS126" s="3">
        <f t="shared" si="75"/>
        <v>-9.0313212583554518E-12</v>
      </c>
      <c r="BT126" s="3">
        <f t="shared" si="76"/>
        <v>5.332980082900507E-6</v>
      </c>
      <c r="BU126"/>
      <c r="BV126" s="3">
        <v>20</v>
      </c>
      <c r="BW126" s="3">
        <f t="shared" si="83"/>
        <v>0.23822889415012682</v>
      </c>
      <c r="BX126" s="3">
        <v>-1.108527498477202E-5</v>
      </c>
      <c r="BY126" s="3">
        <f t="shared" si="84"/>
        <v>0.2382342271302097</v>
      </c>
      <c r="BZ126" s="3">
        <v>9.9644515689049917E-6</v>
      </c>
      <c r="CA126" s="3">
        <f t="shared" si="77"/>
        <v>0.23823156064016826</v>
      </c>
      <c r="CB126" s="3">
        <v>-5.6036926586108815E-7</v>
      </c>
      <c r="CC126" s="3">
        <f t="shared" si="78"/>
        <v>6.2118474050849819E-12</v>
      </c>
      <c r="CD126" s="3">
        <f t="shared" si="79"/>
        <v>-5.5837724103756583E-12</v>
      </c>
      <c r="CE126" s="3">
        <f t="shared" si="80"/>
        <v>5.3329800828727514E-6</v>
      </c>
    </row>
    <row r="127" spans="39:83" x14ac:dyDescent="0.2"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 s="3">
        <v>21</v>
      </c>
      <c r="BL127" s="3">
        <f t="shared" si="81"/>
        <v>0.23286658267678728</v>
      </c>
      <c r="BM127" s="3">
        <v>-7.2619200970659714E-6</v>
      </c>
      <c r="BN127" s="3">
        <f t="shared" si="82"/>
        <v>0.23286924916682872</v>
      </c>
      <c r="BO127" s="3">
        <v>1.2436547273501908E-6</v>
      </c>
      <c r="BP127" s="3">
        <f t="shared" si="73"/>
        <v>0.232867915921808</v>
      </c>
      <c r="BQ127" s="3">
        <v>-3.0091242911797766E-6</v>
      </c>
      <c r="BR127" s="3">
        <f t="shared" si="74"/>
        <v>2.1852020164687815E-11</v>
      </c>
      <c r="BS127" s="3">
        <f t="shared" si="75"/>
        <v>-3.7423116499100213E-12</v>
      </c>
      <c r="BT127" s="3">
        <f t="shared" si="76"/>
        <v>2.6664900414363757E-6</v>
      </c>
      <c r="BU127"/>
      <c r="BV127" s="3">
        <v>21</v>
      </c>
      <c r="BW127" s="3">
        <f t="shared" si="83"/>
        <v>0.23823156064016826</v>
      </c>
      <c r="BX127" s="3">
        <v>-5.6036926586108815E-7</v>
      </c>
      <c r="BY127" s="3">
        <f t="shared" si="84"/>
        <v>0.2382342271302097</v>
      </c>
      <c r="BZ127" s="3">
        <v>9.9644515689049917E-6</v>
      </c>
      <c r="CA127" s="3">
        <f t="shared" si="77"/>
        <v>0.23823289388518898</v>
      </c>
      <c r="CB127" s="3">
        <v>4.7020517619858482E-6</v>
      </c>
      <c r="CC127" s="3">
        <f t="shared" si="78"/>
        <v>-2.6348852939048458E-12</v>
      </c>
      <c r="CD127" s="3">
        <f t="shared" si="79"/>
        <v>4.6853367056792363E-11</v>
      </c>
      <c r="CE127" s="3">
        <f t="shared" si="80"/>
        <v>2.6664900414363757E-6</v>
      </c>
    </row>
    <row r="128" spans="39:83" x14ac:dyDescent="0.2"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 s="3">
        <v>22</v>
      </c>
      <c r="BL128" s="3">
        <f t="shared" si="81"/>
        <v>0.232867915921808</v>
      </c>
      <c r="BM128" s="3">
        <v>-3.0091242911797766E-6</v>
      </c>
      <c r="BN128" s="3">
        <f t="shared" si="82"/>
        <v>0.23286924916682872</v>
      </c>
      <c r="BO128" s="3">
        <v>1.2436547273501908E-6</v>
      </c>
      <c r="BP128" s="3">
        <f t="shared" si="73"/>
        <v>0.23286858254431836</v>
      </c>
      <c r="BQ128" s="3">
        <v>-8.8273268348745826E-7</v>
      </c>
      <c r="BR128" s="3">
        <f t="shared" si="74"/>
        <v>2.65625236050042E-12</v>
      </c>
      <c r="BS128" s="3">
        <f t="shared" si="75"/>
        <v>-1.0978146748056972E-12</v>
      </c>
      <c r="BT128" s="3">
        <f t="shared" si="76"/>
        <v>1.3332450207181878E-6</v>
      </c>
      <c r="BU128"/>
      <c r="BV128" s="3">
        <v>22</v>
      </c>
      <c r="BW128" s="3">
        <f t="shared" si="83"/>
        <v>0.23823156064016826</v>
      </c>
      <c r="BX128" s="3">
        <v>-5.6036926586108815E-7</v>
      </c>
      <c r="BY128" s="3">
        <f t="shared" si="84"/>
        <v>0.23823289388518898</v>
      </c>
      <c r="BZ128" s="3">
        <v>4.7020517619858482E-6</v>
      </c>
      <c r="CA128" s="3">
        <f t="shared" si="77"/>
        <v>0.23823222726267862</v>
      </c>
      <c r="CB128" s="3">
        <v>2.0708439007893764E-6</v>
      </c>
      <c r="CC128" s="3">
        <f t="shared" si="78"/>
        <v>-1.160437276398255E-12</v>
      </c>
      <c r="CD128" s="3">
        <f t="shared" si="79"/>
        <v>9.7372152125043343E-12</v>
      </c>
      <c r="CE128" s="3">
        <f t="shared" si="80"/>
        <v>1.3332450207181878E-6</v>
      </c>
    </row>
    <row r="129" spans="39:83" x14ac:dyDescent="0.2"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 s="3">
        <v>23</v>
      </c>
      <c r="BL129" s="3">
        <f t="shared" si="81"/>
        <v>0.23286858254431836</v>
      </c>
      <c r="BM129" s="3">
        <v>-8.8273268348745826E-7</v>
      </c>
      <c r="BN129" s="3">
        <f t="shared" si="82"/>
        <v>0.23286924916682872</v>
      </c>
      <c r="BO129" s="3">
        <v>1.2436547273501908E-6</v>
      </c>
      <c r="BP129" s="3">
        <f t="shared" si="73"/>
        <v>0.23286891585557354</v>
      </c>
      <c r="BQ129" s="3">
        <v>1.8046154648052037E-7</v>
      </c>
      <c r="BR129" s="3">
        <f t="shared" si="74"/>
        <v>-1.5929930519104644E-13</v>
      </c>
      <c r="BS129" s="3">
        <f t="shared" si="75"/>
        <v>2.2443185538542536E-13</v>
      </c>
      <c r="BT129" s="3">
        <f t="shared" si="76"/>
        <v>6.6662251035909392E-7</v>
      </c>
      <c r="BU129"/>
      <c r="BV129" s="3">
        <v>23</v>
      </c>
      <c r="BW129" s="3">
        <f t="shared" si="83"/>
        <v>0.23823156064016826</v>
      </c>
      <c r="BX129" s="3">
        <v>-5.6036926586108815E-7</v>
      </c>
      <c r="BY129" s="3">
        <f t="shared" si="84"/>
        <v>0.23823222726267862</v>
      </c>
      <c r="BZ129" s="3">
        <v>2.0708439007893764E-6</v>
      </c>
      <c r="CA129" s="3">
        <f t="shared" si="77"/>
        <v>0.23823189395142344</v>
      </c>
      <c r="CB129" s="3">
        <v>7.5523798068535819E-7</v>
      </c>
      <c r="CC129" s="3">
        <f t="shared" si="78"/>
        <v>-4.2321215278706486E-13</v>
      </c>
      <c r="CD129" s="3">
        <f t="shared" si="79"/>
        <v>1.563979965946759E-12</v>
      </c>
      <c r="CE129" s="3">
        <f t="shared" si="80"/>
        <v>6.6662251035909392E-7</v>
      </c>
    </row>
    <row r="130" spans="39:83" x14ac:dyDescent="0.2"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 s="3">
        <v>24</v>
      </c>
      <c r="BL130" s="3">
        <f t="shared" si="81"/>
        <v>0.23286858254431836</v>
      </c>
      <c r="BM130" s="3">
        <v>-8.8273268348745826E-7</v>
      </c>
      <c r="BN130" s="3">
        <f t="shared" si="82"/>
        <v>0.23286891585557354</v>
      </c>
      <c r="BO130" s="3">
        <v>1.8046154648052037E-7</v>
      </c>
      <c r="BP130" s="3">
        <f t="shared" si="73"/>
        <v>0.23286874919994593</v>
      </c>
      <c r="BQ130" s="3">
        <v>-3.5113543737572139E-7</v>
      </c>
      <c r="BR130" s="3">
        <f t="shared" si="74"/>
        <v>3.0995872690221289E-13</v>
      </c>
      <c r="BS130" s="3">
        <f t="shared" si="75"/>
        <v>-6.3366444052936601E-14</v>
      </c>
      <c r="BT130" s="3">
        <f t="shared" si="76"/>
        <v>3.3331125517954696E-7</v>
      </c>
      <c r="BU130"/>
      <c r="BV130" s="3">
        <v>24</v>
      </c>
      <c r="BW130" s="3">
        <f t="shared" si="83"/>
        <v>0.23823156064016826</v>
      </c>
      <c r="BX130" s="3">
        <v>-5.6036926586108815E-7</v>
      </c>
      <c r="BY130" s="3">
        <f t="shared" si="84"/>
        <v>0.23823189395142344</v>
      </c>
      <c r="BZ130" s="3">
        <v>7.5523798068535819E-7</v>
      </c>
      <c r="CA130" s="3">
        <f t="shared" si="77"/>
        <v>0.23823172729579584</v>
      </c>
      <c r="CB130" s="3">
        <v>9.7434523161493702E-8</v>
      </c>
      <c r="CC130" s="3">
        <f t="shared" si="78"/>
        <v>-5.4599312213531413E-14</v>
      </c>
      <c r="CD130" s="3">
        <f t="shared" si="79"/>
        <v>7.3586252521527264E-14</v>
      </c>
      <c r="CE130" s="3">
        <f t="shared" si="80"/>
        <v>3.3331125517954696E-7</v>
      </c>
    </row>
    <row r="131" spans="39:83" x14ac:dyDescent="0.2"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 s="3">
        <v>25</v>
      </c>
      <c r="BL131" s="3">
        <f t="shared" si="81"/>
        <v>0.23286874919994593</v>
      </c>
      <c r="BM131" s="3">
        <v>-3.5113543737572139E-7</v>
      </c>
      <c r="BN131" s="3">
        <f t="shared" si="82"/>
        <v>0.23286891585557354</v>
      </c>
      <c r="BO131" s="3">
        <v>1.8046154648052037E-7</v>
      </c>
      <c r="BP131" s="3">
        <f t="shared" si="73"/>
        <v>0.23286883252775975</v>
      </c>
      <c r="BQ131" s="3">
        <v>-8.5336912682143495E-8</v>
      </c>
      <c r="BR131" s="3">
        <f t="shared" si="74"/>
        <v>2.9964814158938203E-14</v>
      </c>
      <c r="BS131" s="3">
        <f t="shared" si="75"/>
        <v>-1.5400031234492748E-14</v>
      </c>
      <c r="BT131" s="3">
        <f t="shared" si="76"/>
        <v>1.6665562760365127E-7</v>
      </c>
      <c r="BU131"/>
      <c r="BV131" s="3">
        <v>25</v>
      </c>
      <c r="BW131" s="3">
        <f t="shared" si="83"/>
        <v>0.23823156064016826</v>
      </c>
      <c r="BX131" s="3">
        <v>-5.6036926586108815E-7</v>
      </c>
      <c r="BY131" s="3">
        <f t="shared" si="84"/>
        <v>0.23823172729579584</v>
      </c>
      <c r="BZ131" s="3">
        <v>9.7434523161493702E-8</v>
      </c>
      <c r="CA131" s="3">
        <f t="shared" si="77"/>
        <v>0.23823164396798205</v>
      </c>
      <c r="CB131" s="3">
        <v>-2.3146732976500606E-7</v>
      </c>
      <c r="CC131" s="3">
        <f t="shared" si="78"/>
        <v>1.2970717765124285E-13</v>
      </c>
      <c r="CD131" s="3">
        <f t="shared" si="79"/>
        <v>-2.2552908903117584E-14</v>
      </c>
      <c r="CE131" s="3">
        <f t="shared" si="80"/>
        <v>1.6665562757589569E-7</v>
      </c>
    </row>
    <row r="132" spans="39:83" x14ac:dyDescent="0.2">
      <c r="AM132"/>
      <c r="AN132"/>
      <c r="AO132"/>
      <c r="AP132"/>
      <c r="BB132"/>
      <c r="BC132"/>
      <c r="BD132"/>
      <c r="BE132"/>
      <c r="BF132"/>
      <c r="BG132"/>
      <c r="BH132"/>
      <c r="BI132"/>
      <c r="BJ132"/>
      <c r="BK132" s="3">
        <v>26</v>
      </c>
      <c r="BL132" s="3">
        <f t="shared" si="81"/>
        <v>0.23286883252775975</v>
      </c>
      <c r="BM132" s="3">
        <v>-8.5336912682143495E-8</v>
      </c>
      <c r="BN132" s="3">
        <f t="shared" si="82"/>
        <v>0.23286891585557354</v>
      </c>
      <c r="BO132" s="3">
        <v>1.8046154648052037E-7</v>
      </c>
      <c r="BP132" s="3">
        <f t="shared" si="73"/>
        <v>0.23286887419166663</v>
      </c>
      <c r="BQ132" s="3">
        <v>4.7562325081879075E-8</v>
      </c>
      <c r="BR132" s="3">
        <f t="shared" si="74"/>
        <v>-4.058821982472038E-15</v>
      </c>
      <c r="BS132" s="3">
        <f t="shared" si="75"/>
        <v>8.583170738485141E-15</v>
      </c>
      <c r="BT132" s="3">
        <f t="shared" si="76"/>
        <v>8.3327813787947846E-8</v>
      </c>
      <c r="BU132"/>
      <c r="BV132" s="3">
        <v>26</v>
      </c>
      <c r="BW132" s="3">
        <f t="shared" si="83"/>
        <v>0.23823164396798205</v>
      </c>
      <c r="BX132" s="3">
        <v>-2.3146732976500606E-7</v>
      </c>
      <c r="BY132" s="3">
        <f t="shared" si="84"/>
        <v>0.23823172729579584</v>
      </c>
      <c r="BZ132" s="3">
        <v>9.7434523161493702E-8</v>
      </c>
      <c r="CA132" s="3">
        <f t="shared" si="77"/>
        <v>0.23823168563188896</v>
      </c>
      <c r="CB132" s="3">
        <v>-6.7016392935048685E-8</v>
      </c>
      <c r="CC132" s="3">
        <f t="shared" si="78"/>
        <v>1.5512105523158136E-14</v>
      </c>
      <c r="CD132" s="3">
        <f t="shared" si="79"/>
        <v>-6.529710289629764E-15</v>
      </c>
      <c r="CE132" s="3">
        <f t="shared" si="80"/>
        <v>8.3327813787947846E-8</v>
      </c>
    </row>
    <row r="133" spans="39:83" x14ac:dyDescent="0.2">
      <c r="AM133"/>
      <c r="AN133"/>
      <c r="AO133"/>
      <c r="AP133"/>
      <c r="BB133"/>
      <c r="BC133"/>
      <c r="BD133"/>
      <c r="BE133"/>
      <c r="BF133"/>
      <c r="BG133"/>
      <c r="BH133"/>
      <c r="BI133"/>
      <c r="BJ133"/>
      <c r="BK133" s="3">
        <v>27</v>
      </c>
      <c r="BL133" s="3">
        <f t="shared" si="81"/>
        <v>0.23286883252775975</v>
      </c>
      <c r="BM133" s="3">
        <v>-8.5336912682143495E-8</v>
      </c>
      <c r="BN133" s="3">
        <f t="shared" si="82"/>
        <v>0.23286887419166663</v>
      </c>
      <c r="BO133" s="3">
        <v>4.7562325081879075E-8</v>
      </c>
      <c r="BP133" s="3">
        <f t="shared" si="73"/>
        <v>0.23286885335971319</v>
      </c>
      <c r="BQ133" s="3">
        <v>-1.8887291678565399E-8</v>
      </c>
      <c r="BR133" s="3">
        <f t="shared" si="74"/>
        <v>1.6117831607759109E-15</v>
      </c>
      <c r="BS133" s="3">
        <f t="shared" si="75"/>
        <v>-8.9832350673219708E-16</v>
      </c>
      <c r="BT133" s="3">
        <f t="shared" si="76"/>
        <v>4.1663906880096135E-8</v>
      </c>
      <c r="BU133"/>
      <c r="BV133" s="3">
        <v>27</v>
      </c>
      <c r="BW133" s="3">
        <f t="shared" si="83"/>
        <v>0.23823168563188896</v>
      </c>
      <c r="BX133" s="3">
        <v>-6.7016392935048685E-8</v>
      </c>
      <c r="BY133" s="3">
        <f t="shared" si="84"/>
        <v>0.23823172729579584</v>
      </c>
      <c r="BZ133" s="3">
        <v>9.7434523161493702E-8</v>
      </c>
      <c r="CA133" s="3">
        <f t="shared" si="77"/>
        <v>0.2382317064638424</v>
      </c>
      <c r="CB133" s="3">
        <v>1.5209067751736915E-8</v>
      </c>
      <c r="CC133" s="3">
        <f t="shared" si="78"/>
        <v>-1.0192568606261786E-15</v>
      </c>
      <c r="CD133" s="3">
        <f t="shared" si="79"/>
        <v>1.4818882641213374E-15</v>
      </c>
      <c r="CE133" s="3">
        <f t="shared" si="80"/>
        <v>4.1663906880096135E-8</v>
      </c>
    </row>
    <row r="134" spans="39:83" x14ac:dyDescent="0.2">
      <c r="AM134"/>
      <c r="AN134"/>
      <c r="AO134"/>
      <c r="AP134"/>
      <c r="BB134"/>
      <c r="BC134"/>
      <c r="BD134"/>
      <c r="BE134"/>
      <c r="BF134"/>
      <c r="BG134"/>
      <c r="BH134"/>
      <c r="BI134"/>
      <c r="BJ134"/>
      <c r="BK134" s="3">
        <v>28</v>
      </c>
      <c r="BL134" s="3">
        <f t="shared" si="81"/>
        <v>0.23286885335971319</v>
      </c>
      <c r="BM134" s="3">
        <v>-1.8887291678565399E-8</v>
      </c>
      <c r="BN134" s="3">
        <f t="shared" si="82"/>
        <v>0.23286887419166663</v>
      </c>
      <c r="BO134" s="3">
        <v>4.7562325081879075E-8</v>
      </c>
      <c r="BP134" s="3">
        <f t="shared" si="73"/>
        <v>0.23286886377568991</v>
      </c>
      <c r="BQ134" s="3">
        <v>1.4337517190848859E-8</v>
      </c>
      <c r="BR134" s="3">
        <f t="shared" si="74"/>
        <v>-2.7079686913000801E-16</v>
      </c>
      <c r="BS134" s="3">
        <f t="shared" si="75"/>
        <v>6.8192565349818309E-16</v>
      </c>
      <c r="BT134" s="3">
        <f t="shared" si="76"/>
        <v>2.0831953440048068E-8</v>
      </c>
      <c r="BU134"/>
      <c r="BV134" s="3">
        <v>28</v>
      </c>
      <c r="BW134" s="3">
        <f t="shared" si="83"/>
        <v>0.23823168563188896</v>
      </c>
      <c r="BX134" s="3">
        <v>-6.7016392935048685E-8</v>
      </c>
      <c r="BY134" s="3">
        <f t="shared" si="84"/>
        <v>0.2382317064638424</v>
      </c>
      <c r="BZ134" s="3">
        <v>1.5209067751736915E-8</v>
      </c>
      <c r="CA134" s="3">
        <f t="shared" si="77"/>
        <v>0.23823169604786568</v>
      </c>
      <c r="CB134" s="3">
        <v>-2.590366196542071E-8</v>
      </c>
      <c r="CC134" s="3">
        <f t="shared" si="78"/>
        <v>1.7359699887313098E-15</v>
      </c>
      <c r="CD134" s="3">
        <f t="shared" si="79"/>
        <v>-3.9397054985017423E-16</v>
      </c>
      <c r="CE134" s="3">
        <f t="shared" si="80"/>
        <v>2.0831953440048068E-8</v>
      </c>
    </row>
    <row r="135" spans="39:83" x14ac:dyDescent="0.2">
      <c r="AM135"/>
      <c r="AN135"/>
      <c r="AO135"/>
      <c r="AP135"/>
      <c r="BB135"/>
      <c r="BC135"/>
      <c r="BD135"/>
      <c r="BE135"/>
      <c r="BF135"/>
      <c r="BG135"/>
      <c r="BH135"/>
      <c r="BI135"/>
      <c r="BJ135"/>
      <c r="BK135" s="3">
        <v>29</v>
      </c>
      <c r="BL135" s="3">
        <f t="shared" si="81"/>
        <v>0.23286885335971319</v>
      </c>
      <c r="BM135" s="3">
        <v>-1.8887291678565399E-8</v>
      </c>
      <c r="BN135" s="3">
        <f t="shared" si="82"/>
        <v>0.23286886377568991</v>
      </c>
      <c r="BO135" s="3">
        <v>1.4337517190848859E-8</v>
      </c>
      <c r="BP135" s="3">
        <f t="shared" si="73"/>
        <v>0.23286885856770156</v>
      </c>
      <c r="BQ135" s="3">
        <v>-2.2748870842637103E-9</v>
      </c>
      <c r="BR135" s="3">
        <f t="shared" si="74"/>
        <v>4.2966455896289877E-17</v>
      </c>
      <c r="BS135" s="3">
        <f t="shared" si="75"/>
        <v>-3.2616232677870983E-17</v>
      </c>
      <c r="BT135" s="3">
        <f t="shared" si="76"/>
        <v>1.0415976720024034E-8</v>
      </c>
      <c r="BU135"/>
      <c r="BV135" s="3">
        <v>29</v>
      </c>
      <c r="BW135" s="3">
        <f t="shared" si="83"/>
        <v>0.23823169604786568</v>
      </c>
      <c r="BX135" s="3">
        <v>-2.590366196542071E-8</v>
      </c>
      <c r="BY135" s="3">
        <f t="shared" si="84"/>
        <v>0.2382317064638424</v>
      </c>
      <c r="BZ135" s="3">
        <v>1.5209067751736915E-8</v>
      </c>
      <c r="CA135" s="3">
        <f t="shared" si="77"/>
        <v>0.23823170125585402</v>
      </c>
      <c r="CB135" s="3">
        <v>-5.3472970461265756E-9</v>
      </c>
      <c r="CC135" s="3">
        <f t="shared" si="78"/>
        <v>1.3851457511155548E-16</v>
      </c>
      <c r="CD135" s="3">
        <f t="shared" si="79"/>
        <v>-8.1327403063201765E-17</v>
      </c>
      <c r="CE135" s="3">
        <f t="shared" si="80"/>
        <v>1.0415976720024034E-8</v>
      </c>
    </row>
    <row r="136" spans="39:83" x14ac:dyDescent="0.2">
      <c r="AM136"/>
      <c r="AN136"/>
      <c r="AO136"/>
      <c r="AP136"/>
      <c r="BB136"/>
      <c r="BC136"/>
      <c r="BD136"/>
      <c r="BE136"/>
      <c r="BF136"/>
      <c r="BG136"/>
      <c r="BH136"/>
      <c r="BI136"/>
      <c r="BJ136"/>
      <c r="BK136" s="3">
        <v>30</v>
      </c>
      <c r="BL136" s="3">
        <f t="shared" si="81"/>
        <v>0.23286885856770156</v>
      </c>
      <c r="BM136" s="3">
        <v>-2.2748870842637103E-9</v>
      </c>
      <c r="BN136" s="3">
        <f t="shared" si="82"/>
        <v>0.23286886377568991</v>
      </c>
      <c r="BO136" s="3">
        <v>1.4337517190848859E-8</v>
      </c>
      <c r="BP136" s="13">
        <f t="shared" si="73"/>
        <v>0.23286886117169575</v>
      </c>
      <c r="BQ136" s="3">
        <v>6.0313151035995549E-9</v>
      </c>
      <c r="BR136" s="3">
        <f t="shared" si="74"/>
        <v>-1.3720560830303269E-17</v>
      </c>
      <c r="BS136" s="3">
        <f t="shared" si="75"/>
        <v>8.6474083981284977E-17</v>
      </c>
      <c r="BT136" s="3">
        <f t="shared" si="76"/>
        <v>5.2079883461342291E-9</v>
      </c>
      <c r="BU136"/>
      <c r="BV136" s="3">
        <v>30</v>
      </c>
      <c r="BW136" s="3">
        <f t="shared" si="83"/>
        <v>0.23823170125585402</v>
      </c>
      <c r="BX136" s="3">
        <v>-5.3472970461265756E-9</v>
      </c>
      <c r="BY136" s="3">
        <f t="shared" si="84"/>
        <v>0.2382317064638424</v>
      </c>
      <c r="BZ136" s="3">
        <v>1.5209067751736915E-8</v>
      </c>
      <c r="CA136" s="13">
        <f t="shared" si="77"/>
        <v>0.23823170385984821</v>
      </c>
      <c r="CB136" s="3">
        <v>4.930885345866276E-9</v>
      </c>
      <c r="CC136" s="3">
        <f t="shared" si="78"/>
        <v>-2.6366908644739556E-17</v>
      </c>
      <c r="CD136" s="3">
        <f t="shared" si="79"/>
        <v>7.49941693013269E-17</v>
      </c>
      <c r="CE136" s="3">
        <f t="shared" si="80"/>
        <v>5.2079883738898047E-9</v>
      </c>
    </row>
  </sheetData>
  <mergeCells count="78">
    <mergeCell ref="B1:D1"/>
    <mergeCell ref="B3:D3"/>
    <mergeCell ref="F3:H3"/>
    <mergeCell ref="J3:L3"/>
    <mergeCell ref="N3:P3"/>
    <mergeCell ref="B72:D72"/>
    <mergeCell ref="B20:D20"/>
    <mergeCell ref="B64:D64"/>
    <mergeCell ref="F48:H48"/>
    <mergeCell ref="V3:X3"/>
    <mergeCell ref="F15:H15"/>
    <mergeCell ref="J10:L10"/>
    <mergeCell ref="B59:D59"/>
    <mergeCell ref="N18:P18"/>
    <mergeCell ref="R18:T18"/>
    <mergeCell ref="V18:X18"/>
    <mergeCell ref="R3:T3"/>
    <mergeCell ref="N33:Q33"/>
    <mergeCell ref="B48:D48"/>
    <mergeCell ref="B53:D53"/>
    <mergeCell ref="B27:D27"/>
    <mergeCell ref="BK2:BT2"/>
    <mergeCell ref="BV2:CE2"/>
    <mergeCell ref="B34:D34"/>
    <mergeCell ref="AU2:BA2"/>
    <mergeCell ref="BC2:BI2"/>
    <mergeCell ref="AU3:AW3"/>
    <mergeCell ref="AY3:BA3"/>
    <mergeCell ref="BC3:BE3"/>
    <mergeCell ref="BG3:BI3"/>
    <mergeCell ref="AU12:AW12"/>
    <mergeCell ref="AY12:BA12"/>
    <mergeCell ref="AU21:AW21"/>
    <mergeCell ref="AY21:BA21"/>
    <mergeCell ref="BC22:BE22"/>
    <mergeCell ref="BG22:BI22"/>
    <mergeCell ref="AR25:AS25"/>
    <mergeCell ref="B39:D39"/>
    <mergeCell ref="B45:D45"/>
    <mergeCell ref="AQ9:AS9"/>
    <mergeCell ref="AM2:AO2"/>
    <mergeCell ref="AQ2:AS2"/>
    <mergeCell ref="AM7:AO7"/>
    <mergeCell ref="AM11:AM18"/>
    <mergeCell ref="AQ14:AS14"/>
    <mergeCell ref="AM19:AM26"/>
    <mergeCell ref="AQ22:AS22"/>
    <mergeCell ref="F28:H28"/>
    <mergeCell ref="B16:D16"/>
    <mergeCell ref="F35:H35"/>
    <mergeCell ref="AQ23:AQ29"/>
    <mergeCell ref="AR23:AS23"/>
    <mergeCell ref="AR24:AS24"/>
    <mergeCell ref="AR26:AS26"/>
    <mergeCell ref="AY30:BA30"/>
    <mergeCell ref="AM35:AM42"/>
    <mergeCell ref="BK36:BT36"/>
    <mergeCell ref="BV36:CE36"/>
    <mergeCell ref="AR41:AS41"/>
    <mergeCell ref="BC41:BE41"/>
    <mergeCell ref="BG41:BI41"/>
    <mergeCell ref="AR42:AT42"/>
    <mergeCell ref="AU42:AX42"/>
    <mergeCell ref="AY42:BA42"/>
    <mergeCell ref="AM27:AM34"/>
    <mergeCell ref="AR27:AS27"/>
    <mergeCell ref="AR28:AS28"/>
    <mergeCell ref="AR29:AS29"/>
    <mergeCell ref="AR30:AS30"/>
    <mergeCell ref="AU30:AW30"/>
    <mergeCell ref="BK104:BT104"/>
    <mergeCell ref="BV104:CE104"/>
    <mergeCell ref="AU43:AV43"/>
    <mergeCell ref="AM44:AO44"/>
    <mergeCell ref="BC60:BE60"/>
    <mergeCell ref="BG60:BI60"/>
    <mergeCell ref="BK70:BT70"/>
    <mergeCell ref="BV70:CE70"/>
  </mergeCells>
  <conditionalFormatting sqref="G12">
    <cfRule type="containsText" dxfId="5" priority="1" operator="containsText" text="FALSE">
      <formula>NOT(ISERROR(SEARCH("FALSE",G12)))</formula>
    </cfRule>
    <cfRule type="containsText" dxfId="4" priority="2" operator="containsText" text="TRUE">
      <formula>NOT(ISERROR(SEARCH("TRUE",G12)))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NOT(ISERROR(SEARCH("YES",G12)))</formula>
    </cfRule>
    <cfRule type="cellIs" dxfId="0" priority="6" operator="equal">
      <formula>"""YES"""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multirotor_aerofidelity</vt:lpstr>
      <vt:lpstr>lift+cruise_aerofidelity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2025-01-09T10:27:19Z</dcterms:modified>
</cp:coreProperties>
</file>