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6C55BA06-43D2-E644-A02D-66081A80F984}" xr6:coauthVersionLast="47" xr6:coauthVersionMax="47" xr10:uidLastSave="{00000000-0000-0000-0000-000000000000}"/>
  <bookViews>
    <workbookView xWindow="0" yWindow="740" windowWidth="15080" windowHeight="18900" activeTab="2" xr2:uid="{843CD013-835A-1741-B375-CD508AE79BD2}"/>
  </bookViews>
  <sheets>
    <sheet name="multirotor_aerofidelity1" sheetId="6" r:id="rId1"/>
    <sheet name="multirotor_aerofidelity1 (2)" sheetId="7" r:id="rId2"/>
    <sheet name="lift+cruise_aerofidelity1" sheetId="5" r:id="rId3"/>
    <sheet name="lift+cruise_aerofidelity1 (2)" sheetId="8" r:id="rId4"/>
    <sheet name="multirotor_aerofidelity0" sheetId="3" r:id="rId5"/>
    <sheet name="lift+cruise_aerofidelity0" sheetId="4" r:id="rId6"/>
    <sheet name="multirotor_aerofidelity1_bemt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5" l="1"/>
  <c r="AG4" i="9"/>
  <c r="S4" i="9"/>
  <c r="BC3" i="9"/>
  <c r="BC4" i="9" s="1"/>
  <c r="BG4" i="9"/>
  <c r="BK4" i="9"/>
  <c r="BC5" i="9"/>
  <c r="BO5" i="9"/>
  <c r="BS5" i="9"/>
  <c r="BW5" i="9"/>
  <c r="BY5" i="9"/>
  <c r="CA5" i="9"/>
  <c r="CC5" i="9"/>
  <c r="BW6" i="9" s="1"/>
  <c r="CD5" i="9"/>
  <c r="BY6" i="9" s="1"/>
  <c r="CE5" i="9"/>
  <c r="CH5" i="9"/>
  <c r="CJ5" i="9"/>
  <c r="CN5" i="9"/>
  <c r="CO5" i="9"/>
  <c r="BC6" i="9"/>
  <c r="BC7" i="9" s="1"/>
  <c r="CC6" i="9"/>
  <c r="CD6" i="9"/>
  <c r="CN6" i="9"/>
  <c r="CO6" i="9"/>
  <c r="CC7" i="9"/>
  <c r="CD7" i="9"/>
  <c r="CN7" i="9"/>
  <c r="CO7" i="9"/>
  <c r="BO8" i="9"/>
  <c r="BS8" i="9"/>
  <c r="CC8" i="9"/>
  <c r="CD8" i="9"/>
  <c r="CN8" i="9"/>
  <c r="CO8" i="9"/>
  <c r="CC9" i="9"/>
  <c r="CD9" i="9"/>
  <c r="CN9" i="9"/>
  <c r="CO9" i="9"/>
  <c r="CC10" i="9"/>
  <c r="CD10" i="9"/>
  <c r="CN10" i="9"/>
  <c r="CO10" i="9"/>
  <c r="CC11" i="9"/>
  <c r="CD11" i="9"/>
  <c r="CN11" i="9"/>
  <c r="CO11" i="9"/>
  <c r="CC12" i="9"/>
  <c r="CD12" i="9"/>
  <c r="CN12" i="9"/>
  <c r="CO12" i="9"/>
  <c r="BG13" i="9"/>
  <c r="BK13" i="9"/>
  <c r="CC13" i="9"/>
  <c r="CD13" i="9"/>
  <c r="CN13" i="9"/>
  <c r="CO13" i="9"/>
  <c r="CC14" i="9"/>
  <c r="CD14" i="9"/>
  <c r="CN14" i="9"/>
  <c r="CO14" i="9"/>
  <c r="CC15" i="9"/>
  <c r="CD15" i="9"/>
  <c r="CN15" i="9"/>
  <c r="CO15" i="9"/>
  <c r="CC16" i="9"/>
  <c r="CD16" i="9"/>
  <c r="CN16" i="9"/>
  <c r="CO16" i="9"/>
  <c r="CC17" i="9"/>
  <c r="CD17" i="9"/>
  <c r="CN17" i="9"/>
  <c r="CO17" i="9"/>
  <c r="CC18" i="9"/>
  <c r="CD18" i="9"/>
  <c r="CN18" i="9"/>
  <c r="CO18" i="9"/>
  <c r="CC19" i="9"/>
  <c r="CD19" i="9"/>
  <c r="CN19" i="9"/>
  <c r="CO19" i="9"/>
  <c r="CC20" i="9"/>
  <c r="CD20" i="9"/>
  <c r="CN20" i="9"/>
  <c r="CO20" i="9"/>
  <c r="CC21" i="9"/>
  <c r="CD21" i="9"/>
  <c r="CN21" i="9"/>
  <c r="CO21" i="9"/>
  <c r="BG22" i="9"/>
  <c r="BK22" i="9"/>
  <c r="CC22" i="9"/>
  <c r="CD22" i="9"/>
  <c r="CN22" i="9"/>
  <c r="CO22" i="9"/>
  <c r="CC23" i="9"/>
  <c r="CD23" i="9"/>
  <c r="CN23" i="9"/>
  <c r="CO23" i="9"/>
  <c r="BO24" i="9"/>
  <c r="BS24" i="9"/>
  <c r="CC24" i="9"/>
  <c r="CD24" i="9"/>
  <c r="CN24" i="9"/>
  <c r="CO24" i="9"/>
  <c r="CC25" i="9"/>
  <c r="CD25" i="9"/>
  <c r="CN25" i="9"/>
  <c r="CO25" i="9"/>
  <c r="CC26" i="9"/>
  <c r="CD26" i="9"/>
  <c r="CN26" i="9"/>
  <c r="CO26" i="9"/>
  <c r="BO27" i="9"/>
  <c r="BS27" i="9"/>
  <c r="CC27" i="9"/>
  <c r="CD27" i="9"/>
  <c r="CN27" i="9"/>
  <c r="CO27" i="9"/>
  <c r="CC28" i="9"/>
  <c r="CD28" i="9"/>
  <c r="CN28" i="9"/>
  <c r="CO28" i="9"/>
  <c r="CC29" i="9"/>
  <c r="CD29" i="9"/>
  <c r="CN29" i="9"/>
  <c r="CO29" i="9"/>
  <c r="CC30" i="9"/>
  <c r="CD30" i="9"/>
  <c r="CN30" i="9"/>
  <c r="CO30" i="9"/>
  <c r="BG31" i="9"/>
  <c r="CC31" i="9"/>
  <c r="CD31" i="9"/>
  <c r="CN31" i="9"/>
  <c r="CO31" i="9"/>
  <c r="CC32" i="9"/>
  <c r="CD32" i="9"/>
  <c r="CN32" i="9"/>
  <c r="CO32" i="9"/>
  <c r="CC33" i="9"/>
  <c r="CD33" i="9"/>
  <c r="CN33" i="9"/>
  <c r="CO33" i="9"/>
  <c r="CC34" i="9"/>
  <c r="CD34" i="9"/>
  <c r="CN34" i="9"/>
  <c r="CO34" i="9"/>
  <c r="BW39" i="9"/>
  <c r="CA39" i="9" s="1"/>
  <c r="BY39" i="9"/>
  <c r="CC39" i="9"/>
  <c r="CD39" i="9"/>
  <c r="CH39" i="9"/>
  <c r="CJ39" i="9"/>
  <c r="CL39" i="9"/>
  <c r="CN39" i="9"/>
  <c r="CH40" i="9" s="1"/>
  <c r="CO39" i="9"/>
  <c r="CJ40" i="9" s="1"/>
  <c r="CP39" i="9"/>
  <c r="CC40" i="9"/>
  <c r="CD40" i="9"/>
  <c r="CN40" i="9"/>
  <c r="CO40" i="9"/>
  <c r="CC41" i="9"/>
  <c r="CD41" i="9"/>
  <c r="CN41" i="9"/>
  <c r="CO41" i="9"/>
  <c r="CC42" i="9"/>
  <c r="CD42" i="9"/>
  <c r="CN42" i="9"/>
  <c r="CO42" i="9"/>
  <c r="BO43" i="9"/>
  <c r="BS43" i="9"/>
  <c r="CC43" i="9"/>
  <c r="CD43" i="9"/>
  <c r="CN43" i="9"/>
  <c r="CO43" i="9"/>
  <c r="CC44" i="9"/>
  <c r="CD44" i="9"/>
  <c r="CN44" i="9"/>
  <c r="CO44" i="9"/>
  <c r="CC45" i="9"/>
  <c r="CD45" i="9"/>
  <c r="CN45" i="9"/>
  <c r="CO45" i="9"/>
  <c r="BO46" i="9"/>
  <c r="BS46" i="9"/>
  <c r="CC46" i="9"/>
  <c r="CD46" i="9"/>
  <c r="CN46" i="9"/>
  <c r="CO46" i="9"/>
  <c r="CC47" i="9"/>
  <c r="CD47" i="9"/>
  <c r="CN47" i="9"/>
  <c r="CO47" i="9"/>
  <c r="CC48" i="9"/>
  <c r="CD48" i="9"/>
  <c r="CN48" i="9"/>
  <c r="CO48" i="9"/>
  <c r="CC49" i="9"/>
  <c r="CD49" i="9"/>
  <c r="CN49" i="9"/>
  <c r="CO49" i="9"/>
  <c r="CC50" i="9"/>
  <c r="CD50" i="9"/>
  <c r="CN50" i="9"/>
  <c r="CO50" i="9"/>
  <c r="CC51" i="9"/>
  <c r="CD51" i="9"/>
  <c r="CN51" i="9"/>
  <c r="CO51" i="9"/>
  <c r="CC52" i="9"/>
  <c r="CD52" i="9"/>
  <c r="CN52" i="9"/>
  <c r="CO52" i="9"/>
  <c r="CC53" i="9"/>
  <c r="CD53" i="9"/>
  <c r="CN53" i="9"/>
  <c r="CO53" i="9"/>
  <c r="CC54" i="9"/>
  <c r="CD54" i="9"/>
  <c r="CN54" i="9"/>
  <c r="CO54" i="9"/>
  <c r="CC55" i="9"/>
  <c r="CD55" i="9"/>
  <c r="CN55" i="9"/>
  <c r="CO55" i="9"/>
  <c r="CC56" i="9"/>
  <c r="CD56" i="9"/>
  <c r="CN56" i="9"/>
  <c r="CO56" i="9"/>
  <c r="CC57" i="9"/>
  <c r="CD57" i="9"/>
  <c r="CN57" i="9"/>
  <c r="CO57" i="9"/>
  <c r="CC58" i="9"/>
  <c r="CD58" i="9"/>
  <c r="CN58" i="9"/>
  <c r="CO58" i="9"/>
  <c r="CC59" i="9"/>
  <c r="CD59" i="9"/>
  <c r="CN59" i="9"/>
  <c r="CO59" i="9"/>
  <c r="CC60" i="9"/>
  <c r="CD60" i="9"/>
  <c r="CN60" i="9"/>
  <c r="CO60" i="9"/>
  <c r="CC61" i="9"/>
  <c r="CD61" i="9"/>
  <c r="CN61" i="9"/>
  <c r="CO61" i="9"/>
  <c r="BO62" i="9"/>
  <c r="CC62" i="9"/>
  <c r="CD62" i="9"/>
  <c r="CN62" i="9"/>
  <c r="CO62" i="9"/>
  <c r="CC63" i="9"/>
  <c r="CD63" i="9"/>
  <c r="CN63" i="9"/>
  <c r="CO63" i="9"/>
  <c r="CC64" i="9"/>
  <c r="CD64" i="9"/>
  <c r="CN64" i="9"/>
  <c r="CO64" i="9"/>
  <c r="BO65" i="9"/>
  <c r="CC65" i="9"/>
  <c r="CD65" i="9"/>
  <c r="CN65" i="9"/>
  <c r="CO65" i="9"/>
  <c r="CC66" i="9"/>
  <c r="CD66" i="9"/>
  <c r="CN66" i="9"/>
  <c r="CO66" i="9"/>
  <c r="CC67" i="9"/>
  <c r="CD67" i="9"/>
  <c r="CN67" i="9"/>
  <c r="CO67" i="9"/>
  <c r="CC68" i="9"/>
  <c r="CD68" i="9"/>
  <c r="CN68" i="9"/>
  <c r="CO68" i="9"/>
  <c r="BW73" i="9"/>
  <c r="BY73" i="9"/>
  <c r="CC73" i="9"/>
  <c r="BW74" i="9" s="1"/>
  <c r="CD73" i="9"/>
  <c r="CH73" i="9"/>
  <c r="CJ73" i="9"/>
  <c r="CL73" i="9"/>
  <c r="CN73" i="9"/>
  <c r="CH74" i="9" s="1"/>
  <c r="CO73" i="9"/>
  <c r="CJ74" i="9" s="1"/>
  <c r="CP73" i="9"/>
  <c r="CC74" i="9"/>
  <c r="CD74" i="9"/>
  <c r="CN74" i="9"/>
  <c r="CO74" i="9"/>
  <c r="CC75" i="9"/>
  <c r="CD75" i="9"/>
  <c r="CN75" i="9"/>
  <c r="CO75" i="9"/>
  <c r="CC76" i="9"/>
  <c r="CD76" i="9"/>
  <c r="CN76" i="9"/>
  <c r="CO76" i="9"/>
  <c r="CC77" i="9"/>
  <c r="CD77" i="9"/>
  <c r="CN77" i="9"/>
  <c r="CO77" i="9"/>
  <c r="CC78" i="9"/>
  <c r="CD78" i="9"/>
  <c r="CN78" i="9"/>
  <c r="CO78" i="9"/>
  <c r="CC79" i="9"/>
  <c r="CD79" i="9"/>
  <c r="CN79" i="9"/>
  <c r="CO79" i="9"/>
  <c r="CC80" i="9"/>
  <c r="CD80" i="9"/>
  <c r="CN80" i="9"/>
  <c r="CO80" i="9"/>
  <c r="CC81" i="9"/>
  <c r="CD81" i="9"/>
  <c r="CN81" i="9"/>
  <c r="CO81" i="9"/>
  <c r="CC82" i="9"/>
  <c r="CD82" i="9"/>
  <c r="CN82" i="9"/>
  <c r="CO82" i="9"/>
  <c r="CC83" i="9"/>
  <c r="CD83" i="9"/>
  <c r="CN83" i="9"/>
  <c r="CO83" i="9"/>
  <c r="CC84" i="9"/>
  <c r="CD84" i="9"/>
  <c r="CN84" i="9"/>
  <c r="CO84" i="9"/>
  <c r="CC85" i="9"/>
  <c r="CD85" i="9"/>
  <c r="CN85" i="9"/>
  <c r="CO85" i="9"/>
  <c r="CC86" i="9"/>
  <c r="CD86" i="9"/>
  <c r="CN86" i="9"/>
  <c r="CO86" i="9"/>
  <c r="CC87" i="9"/>
  <c r="CD87" i="9"/>
  <c r="CN87" i="9"/>
  <c r="CO87" i="9"/>
  <c r="CC88" i="9"/>
  <c r="CD88" i="9"/>
  <c r="CN88" i="9"/>
  <c r="CO88" i="9"/>
  <c r="CC89" i="9"/>
  <c r="CD89" i="9"/>
  <c r="CN89" i="9"/>
  <c r="CO89" i="9"/>
  <c r="CC90" i="9"/>
  <c r="CD90" i="9"/>
  <c r="CN90" i="9"/>
  <c r="CO90" i="9"/>
  <c r="CC91" i="9"/>
  <c r="CD91" i="9"/>
  <c r="CN91" i="9"/>
  <c r="CO91" i="9"/>
  <c r="CC92" i="9"/>
  <c r="CD92" i="9"/>
  <c r="CN92" i="9"/>
  <c r="CO92" i="9"/>
  <c r="CC93" i="9"/>
  <c r="CD93" i="9"/>
  <c r="CN93" i="9"/>
  <c r="CO93" i="9"/>
  <c r="CC94" i="9"/>
  <c r="CD94" i="9"/>
  <c r="CN94" i="9"/>
  <c r="CO94" i="9"/>
  <c r="CC95" i="9"/>
  <c r="CD95" i="9"/>
  <c r="CN95" i="9"/>
  <c r="CO95" i="9"/>
  <c r="CC96" i="9"/>
  <c r="CD96" i="9"/>
  <c r="CN96" i="9"/>
  <c r="CO96" i="9"/>
  <c r="CC97" i="9"/>
  <c r="CD97" i="9"/>
  <c r="CN97" i="9"/>
  <c r="CO97" i="9"/>
  <c r="CC98" i="9"/>
  <c r="CD98" i="9"/>
  <c r="CN98" i="9"/>
  <c r="CO98" i="9"/>
  <c r="CC99" i="9"/>
  <c r="CD99" i="9"/>
  <c r="CN99" i="9"/>
  <c r="CO99" i="9"/>
  <c r="CC100" i="9"/>
  <c r="CD100" i="9"/>
  <c r="CN100" i="9"/>
  <c r="CO100" i="9"/>
  <c r="CC101" i="9"/>
  <c r="CD101" i="9"/>
  <c r="CN101" i="9"/>
  <c r="CO101" i="9"/>
  <c r="CC102" i="9"/>
  <c r="CD102" i="9"/>
  <c r="CN102" i="9"/>
  <c r="CO102" i="9"/>
  <c r="BW107" i="9"/>
  <c r="BY107" i="9"/>
  <c r="CA107" i="9"/>
  <c r="CC107" i="9"/>
  <c r="BW108" i="9" s="1"/>
  <c r="CD107" i="9"/>
  <c r="BY108" i="9" s="1"/>
  <c r="CC108" i="9"/>
  <c r="CD108" i="9"/>
  <c r="CC109" i="9"/>
  <c r="CD109" i="9"/>
  <c r="CC110" i="9"/>
  <c r="CD110" i="9"/>
  <c r="CC111" i="9"/>
  <c r="CD111" i="9"/>
  <c r="CC112" i="9"/>
  <c r="CD112" i="9"/>
  <c r="CC113" i="9"/>
  <c r="CD113" i="9"/>
  <c r="CC114" i="9"/>
  <c r="CD114" i="9"/>
  <c r="CC115" i="9"/>
  <c r="CD115" i="9"/>
  <c r="CC116" i="9"/>
  <c r="CD116" i="9"/>
  <c r="CC117" i="9"/>
  <c r="CD117" i="9"/>
  <c r="CC118" i="9"/>
  <c r="CD118" i="9"/>
  <c r="CC119" i="9"/>
  <c r="CD119" i="9"/>
  <c r="CC120" i="9"/>
  <c r="CD120" i="9"/>
  <c r="CC121" i="9"/>
  <c r="CD121" i="9"/>
  <c r="CC122" i="9"/>
  <c r="CD122" i="9"/>
  <c r="CC123" i="9"/>
  <c r="CD123" i="9"/>
  <c r="CC124" i="9"/>
  <c r="CD124" i="9"/>
  <c r="CC125" i="9"/>
  <c r="CD125" i="9"/>
  <c r="CC126" i="9"/>
  <c r="CD126" i="9"/>
  <c r="CC127" i="9"/>
  <c r="CD127" i="9"/>
  <c r="CC128" i="9"/>
  <c r="CD128" i="9"/>
  <c r="CC129" i="9"/>
  <c r="CD129" i="9"/>
  <c r="CC130" i="9"/>
  <c r="CD130" i="9"/>
  <c r="CC131" i="9"/>
  <c r="CD131" i="9"/>
  <c r="CC132" i="9"/>
  <c r="CD132" i="9"/>
  <c r="CC133" i="9"/>
  <c r="CD133" i="9"/>
  <c r="CC134" i="9"/>
  <c r="CD134" i="9"/>
  <c r="CC135" i="9"/>
  <c r="CD135" i="9"/>
  <c r="CC136" i="9"/>
  <c r="CD136" i="9"/>
  <c r="AK74" i="9"/>
  <c r="AG74" i="9"/>
  <c r="G51" i="9"/>
  <c r="G52" i="9" s="1"/>
  <c r="G50" i="9"/>
  <c r="AU44" i="9"/>
  <c r="AT44" i="9"/>
  <c r="AU43" i="9"/>
  <c r="AT43" i="9"/>
  <c r="AU42" i="9"/>
  <c r="AT42" i="9"/>
  <c r="AU41" i="9"/>
  <c r="AT41" i="9"/>
  <c r="G41" i="9"/>
  <c r="AU40" i="9"/>
  <c r="AT40" i="9"/>
  <c r="AU39" i="9"/>
  <c r="AT39" i="9"/>
  <c r="AK39" i="9"/>
  <c r="AG39" i="9"/>
  <c r="AU38" i="9"/>
  <c r="AT38" i="9"/>
  <c r="AU37" i="9"/>
  <c r="AT37" i="9"/>
  <c r="AU36" i="9"/>
  <c r="AT36" i="9"/>
  <c r="AU35" i="9"/>
  <c r="AT35" i="9"/>
  <c r="AU34" i="9"/>
  <c r="AT34" i="9"/>
  <c r="C34" i="9"/>
  <c r="AU33" i="9"/>
  <c r="AT33" i="9"/>
  <c r="G33" i="9"/>
  <c r="W4" i="9" s="1"/>
  <c r="AU32" i="9"/>
  <c r="AT32" i="9"/>
  <c r="AU31" i="9"/>
  <c r="AT31" i="9"/>
  <c r="AU30" i="9"/>
  <c r="AT30" i="9"/>
  <c r="AU29" i="9"/>
  <c r="AT29" i="9"/>
  <c r="AU28" i="9"/>
  <c r="AT28" i="9"/>
  <c r="AU27" i="9"/>
  <c r="AT27" i="9"/>
  <c r="AU26" i="9"/>
  <c r="AT26" i="9"/>
  <c r="AU25" i="9"/>
  <c r="AT25" i="9"/>
  <c r="AU24" i="9"/>
  <c r="AT24" i="9"/>
  <c r="AU23" i="9"/>
  <c r="AT23" i="9"/>
  <c r="C23" i="9"/>
  <c r="AU22" i="9"/>
  <c r="AT22" i="9"/>
  <c r="AU21" i="9"/>
  <c r="AT21" i="9"/>
  <c r="K21" i="9"/>
  <c r="G21" i="9"/>
  <c r="AU20" i="9"/>
  <c r="AT20" i="9"/>
  <c r="K20" i="9"/>
  <c r="AU19" i="9"/>
  <c r="AT19" i="9"/>
  <c r="C19" i="9"/>
  <c r="AU18" i="9"/>
  <c r="AT18" i="9"/>
  <c r="AU17" i="9"/>
  <c r="AT17" i="9"/>
  <c r="AU16" i="9"/>
  <c r="AT16" i="9"/>
  <c r="AU15" i="9"/>
  <c r="AT15" i="9"/>
  <c r="AU14" i="9"/>
  <c r="AT14" i="9"/>
  <c r="AU13" i="9"/>
  <c r="AT13" i="9"/>
  <c r="G13" i="9"/>
  <c r="G16" i="9" s="1"/>
  <c r="G17" i="9" s="1"/>
  <c r="C13" i="9"/>
  <c r="K31" i="9" s="1"/>
  <c r="AU12" i="9"/>
  <c r="AT12" i="9"/>
  <c r="AU11" i="9"/>
  <c r="AT11" i="9"/>
  <c r="AU10" i="9"/>
  <c r="AT10" i="9"/>
  <c r="AU9" i="9"/>
  <c r="AT9" i="9"/>
  <c r="G9" i="9"/>
  <c r="AU8" i="9"/>
  <c r="AT8" i="9"/>
  <c r="G8" i="9"/>
  <c r="AU7" i="9"/>
  <c r="AT7" i="9"/>
  <c r="AU6" i="9"/>
  <c r="AT6" i="9"/>
  <c r="AV5" i="9"/>
  <c r="AU5" i="9"/>
  <c r="AT5" i="9"/>
  <c r="AN6" i="9" s="1"/>
  <c r="AR5" i="9"/>
  <c r="AK4" i="9"/>
  <c r="AR5" i="7"/>
  <c r="CP40" i="9" l="1"/>
  <c r="CA108" i="9"/>
  <c r="BY109" i="9" s="1"/>
  <c r="CE108" i="9"/>
  <c r="BW109" i="9"/>
  <c r="BW110" i="9" s="1"/>
  <c r="CE6" i="9"/>
  <c r="BY40" i="9"/>
  <c r="BW75" i="9"/>
  <c r="BW76" i="9" s="1"/>
  <c r="CL74" i="9"/>
  <c r="CJ75" i="9" s="1"/>
  <c r="CH75" i="9"/>
  <c r="CH76" i="9" s="1"/>
  <c r="O4" i="9"/>
  <c r="CL40" i="9"/>
  <c r="CJ41" i="9" s="1"/>
  <c r="CE73" i="9"/>
  <c r="CA73" i="9"/>
  <c r="BY74" i="9" s="1"/>
  <c r="CE74" i="9" s="1"/>
  <c r="BW40" i="9"/>
  <c r="CP74" i="9"/>
  <c r="CE39" i="9"/>
  <c r="CL5" i="9"/>
  <c r="CJ6" i="9" s="1"/>
  <c r="CP5" i="9"/>
  <c r="CH6" i="9"/>
  <c r="CA6" i="9"/>
  <c r="BY7" i="9" s="1"/>
  <c r="BW7" i="9"/>
  <c r="CH41" i="9"/>
  <c r="CE107" i="9"/>
  <c r="AP6" i="9"/>
  <c r="AV6" i="9" s="1"/>
  <c r="K15" i="9"/>
  <c r="G10" i="9"/>
  <c r="G18" i="9"/>
  <c r="K46" i="9"/>
  <c r="K47" i="9" s="1"/>
  <c r="G36" i="9"/>
  <c r="K15" i="7"/>
  <c r="K31" i="7"/>
  <c r="AK74" i="8"/>
  <c r="AG74" i="8"/>
  <c r="C56" i="8"/>
  <c r="G52" i="8"/>
  <c r="G51" i="8"/>
  <c r="C51" i="8"/>
  <c r="G50" i="8"/>
  <c r="AU44" i="8"/>
  <c r="AT44" i="8"/>
  <c r="AU43" i="8"/>
  <c r="AT43" i="8"/>
  <c r="K43" i="8"/>
  <c r="G43" i="8"/>
  <c r="C43" i="8"/>
  <c r="AU42" i="8"/>
  <c r="AT42" i="8"/>
  <c r="AU41" i="8"/>
  <c r="AT41" i="8"/>
  <c r="G41" i="8"/>
  <c r="AU40" i="8"/>
  <c r="AT40" i="8"/>
  <c r="AU39" i="8"/>
  <c r="AT39" i="8"/>
  <c r="AK39" i="8"/>
  <c r="AG39" i="8"/>
  <c r="AU38" i="8"/>
  <c r="AT38" i="8"/>
  <c r="G38" i="8"/>
  <c r="AU37" i="8"/>
  <c r="AT37" i="8"/>
  <c r="AU36" i="8"/>
  <c r="AT36" i="8"/>
  <c r="G36" i="8"/>
  <c r="G37" i="8" s="1"/>
  <c r="AU35" i="8"/>
  <c r="AT35" i="8"/>
  <c r="AU34" i="8"/>
  <c r="AT34" i="8"/>
  <c r="AU33" i="8"/>
  <c r="AT33" i="8"/>
  <c r="G33" i="8"/>
  <c r="AU32" i="8"/>
  <c r="AT32" i="8"/>
  <c r="AU31" i="8"/>
  <c r="AT31" i="8"/>
  <c r="AU30" i="8"/>
  <c r="AT30" i="8"/>
  <c r="C30" i="8"/>
  <c r="AU29" i="8"/>
  <c r="AT29" i="8"/>
  <c r="AU28" i="8"/>
  <c r="AT28" i="8"/>
  <c r="AU27" i="8"/>
  <c r="AT27" i="8"/>
  <c r="AU26" i="8"/>
  <c r="AT26" i="8"/>
  <c r="AU25" i="8"/>
  <c r="AT25" i="8"/>
  <c r="AU24" i="8"/>
  <c r="AT24" i="8"/>
  <c r="AU23" i="8"/>
  <c r="AT23" i="8"/>
  <c r="C23" i="8"/>
  <c r="AU22" i="8"/>
  <c r="AT22" i="8"/>
  <c r="W22" i="8"/>
  <c r="S22" i="8"/>
  <c r="AU21" i="8"/>
  <c r="AT21" i="8"/>
  <c r="W21" i="8"/>
  <c r="G42" i="8" s="1"/>
  <c r="S21" i="8"/>
  <c r="G29" i="8" s="1"/>
  <c r="G30" i="8" s="1"/>
  <c r="G21" i="8"/>
  <c r="AU20" i="8"/>
  <c r="AT20" i="8"/>
  <c r="AU19" i="8"/>
  <c r="AT19" i="8"/>
  <c r="W19" i="8"/>
  <c r="S19" i="8"/>
  <c r="O19" i="8"/>
  <c r="AU18" i="8"/>
  <c r="AT18" i="8"/>
  <c r="AU17" i="8"/>
  <c r="AT17" i="8"/>
  <c r="C17" i="8"/>
  <c r="AU16" i="8"/>
  <c r="AT16" i="8"/>
  <c r="AU15" i="8"/>
  <c r="AT15" i="8"/>
  <c r="AU14" i="8"/>
  <c r="AT14" i="8"/>
  <c r="AU13" i="8"/>
  <c r="AT13" i="8"/>
  <c r="G13" i="8"/>
  <c r="AU12" i="8"/>
  <c r="AT12" i="8"/>
  <c r="AU11" i="8"/>
  <c r="AT11" i="8"/>
  <c r="W11" i="8"/>
  <c r="S11" i="8"/>
  <c r="O11" i="8"/>
  <c r="AU10" i="8"/>
  <c r="AT10" i="8"/>
  <c r="G10" i="8"/>
  <c r="AU9" i="8"/>
  <c r="AT9" i="8"/>
  <c r="G9" i="8"/>
  <c r="AU8" i="8"/>
  <c r="AT8" i="8"/>
  <c r="G8" i="8"/>
  <c r="AU7" i="8"/>
  <c r="AT7" i="8"/>
  <c r="AU6" i="8"/>
  <c r="AT6" i="8"/>
  <c r="AV5" i="8"/>
  <c r="AU5" i="8"/>
  <c r="AP6" i="8" s="1"/>
  <c r="AT5" i="8"/>
  <c r="AN6" i="8" s="1"/>
  <c r="AR5" i="8"/>
  <c r="W5" i="8"/>
  <c r="S5" i="8"/>
  <c r="O5" i="8"/>
  <c r="AK4" i="8"/>
  <c r="AG4" i="8"/>
  <c r="AK74" i="7"/>
  <c r="AG74" i="7"/>
  <c r="G51" i="7"/>
  <c r="G52" i="7" s="1"/>
  <c r="G50" i="7"/>
  <c r="AU44" i="7"/>
  <c r="AT44" i="7"/>
  <c r="AU43" i="7"/>
  <c r="AT43" i="7"/>
  <c r="AU42" i="7"/>
  <c r="AT42" i="7"/>
  <c r="AU41" i="7"/>
  <c r="AT41" i="7"/>
  <c r="G41" i="7"/>
  <c r="AU40" i="7"/>
  <c r="AT40" i="7"/>
  <c r="AU39" i="7"/>
  <c r="AT39" i="7"/>
  <c r="AK39" i="7"/>
  <c r="AG39" i="7"/>
  <c r="AU38" i="7"/>
  <c r="AT38" i="7"/>
  <c r="AU37" i="7"/>
  <c r="AT37" i="7"/>
  <c r="AU36" i="7"/>
  <c r="AT36" i="7"/>
  <c r="AU35" i="7"/>
  <c r="AT35" i="7"/>
  <c r="AU34" i="7"/>
  <c r="AT34" i="7"/>
  <c r="C34" i="7"/>
  <c r="AU33" i="7"/>
  <c r="AT33" i="7"/>
  <c r="G33" i="7"/>
  <c r="G36" i="7" s="1"/>
  <c r="G38" i="7" s="1"/>
  <c r="AU32" i="7"/>
  <c r="AT32" i="7"/>
  <c r="AU31" i="7"/>
  <c r="AT31" i="7"/>
  <c r="AU30" i="7"/>
  <c r="AT30" i="7"/>
  <c r="AU29" i="7"/>
  <c r="AT29" i="7"/>
  <c r="AU28" i="7"/>
  <c r="AT28" i="7"/>
  <c r="AU27" i="7"/>
  <c r="AT27" i="7"/>
  <c r="AU26" i="7"/>
  <c r="AT26" i="7"/>
  <c r="AU25" i="7"/>
  <c r="AT25" i="7"/>
  <c r="AU24" i="7"/>
  <c r="AT24" i="7"/>
  <c r="AU23" i="7"/>
  <c r="AT23" i="7"/>
  <c r="C23" i="7"/>
  <c r="AU22" i="7"/>
  <c r="AT22" i="7"/>
  <c r="AU21" i="7"/>
  <c r="AT21" i="7"/>
  <c r="G21" i="7"/>
  <c r="AU20" i="7"/>
  <c r="AT20" i="7"/>
  <c r="K21" i="7"/>
  <c r="AU19" i="7"/>
  <c r="AT19" i="7"/>
  <c r="K20" i="7"/>
  <c r="C19" i="7"/>
  <c r="AU18" i="7"/>
  <c r="AT18" i="7"/>
  <c r="AU17" i="7"/>
  <c r="AT17" i="7"/>
  <c r="AU16" i="7"/>
  <c r="AT16" i="7"/>
  <c r="AU15" i="7"/>
  <c r="AT15" i="7"/>
  <c r="AU14" i="7"/>
  <c r="AT14" i="7"/>
  <c r="AU13" i="7"/>
  <c r="AT13" i="7"/>
  <c r="G13" i="7"/>
  <c r="C13" i="7"/>
  <c r="AU12" i="7"/>
  <c r="AT12" i="7"/>
  <c r="AU11" i="7"/>
  <c r="AT11" i="7"/>
  <c r="AU10" i="7"/>
  <c r="AT10" i="7"/>
  <c r="AU9" i="7"/>
  <c r="AT9" i="7"/>
  <c r="G9" i="7"/>
  <c r="AU8" i="7"/>
  <c r="AT8" i="7"/>
  <c r="G8" i="7"/>
  <c r="AU7" i="7"/>
  <c r="AT7" i="7"/>
  <c r="AU6" i="7"/>
  <c r="AT6" i="7"/>
  <c r="AV5" i="7"/>
  <c r="AU5" i="7"/>
  <c r="AT5" i="7"/>
  <c r="AK4" i="7"/>
  <c r="AG4" i="7"/>
  <c r="S4" i="7"/>
  <c r="O4" i="7"/>
  <c r="G9" i="5"/>
  <c r="G10" i="5" s="1"/>
  <c r="C23" i="6"/>
  <c r="G51" i="5"/>
  <c r="G52" i="5" s="1"/>
  <c r="G43" i="5"/>
  <c r="G42" i="5"/>
  <c r="G30" i="5"/>
  <c r="G29" i="5"/>
  <c r="G23" i="5"/>
  <c r="G22" i="5"/>
  <c r="G51" i="6"/>
  <c r="G52" i="6" s="1"/>
  <c r="G9" i="6"/>
  <c r="G10" i="6" s="1"/>
  <c r="C23" i="5"/>
  <c r="C30" i="5"/>
  <c r="C19" i="6"/>
  <c r="C13" i="6"/>
  <c r="C43" i="5"/>
  <c r="C34" i="6"/>
  <c r="CA109" i="9" l="1"/>
  <c r="BY110" i="9" s="1"/>
  <c r="CL6" i="9"/>
  <c r="CJ7" i="9" s="1"/>
  <c r="CL75" i="9"/>
  <c r="CJ76" i="9" s="1"/>
  <c r="CP76" i="9" s="1"/>
  <c r="CA74" i="9"/>
  <c r="BY75" i="9" s="1"/>
  <c r="CE75" i="9" s="1"/>
  <c r="CE40" i="9"/>
  <c r="CE109" i="9"/>
  <c r="CA7" i="9"/>
  <c r="BY8" i="9" s="1"/>
  <c r="BY9" i="9" s="1"/>
  <c r="CH7" i="9"/>
  <c r="CP41" i="9"/>
  <c r="CP75" i="9"/>
  <c r="AR6" i="9"/>
  <c r="AN7" i="9" s="1"/>
  <c r="CA110" i="9"/>
  <c r="BY111" i="9" s="1"/>
  <c r="BW111" i="9"/>
  <c r="CH77" i="9"/>
  <c r="CE7" i="9"/>
  <c r="BW77" i="9"/>
  <c r="BW41" i="9"/>
  <c r="CA40" i="9"/>
  <c r="BY41" i="9" s="1"/>
  <c r="CE41" i="9" s="1"/>
  <c r="BW8" i="9"/>
  <c r="CE110" i="9"/>
  <c r="CA75" i="9"/>
  <c r="BY76" i="9" s="1"/>
  <c r="CE76" i="9" s="1"/>
  <c r="CL41" i="9"/>
  <c r="CJ42" i="9" s="1"/>
  <c r="CH42" i="9"/>
  <c r="CP6" i="9"/>
  <c r="AP7" i="9"/>
  <c r="G38" i="9"/>
  <c r="G37" i="9"/>
  <c r="G28" i="9" s="1"/>
  <c r="K9" i="9" s="1"/>
  <c r="W4" i="7"/>
  <c r="G37" i="7"/>
  <c r="AP6" i="7"/>
  <c r="AN6" i="7"/>
  <c r="AR6" i="8"/>
  <c r="AN7" i="8" s="1"/>
  <c r="AP7" i="8"/>
  <c r="W25" i="8"/>
  <c r="S25" i="8"/>
  <c r="AV6" i="8"/>
  <c r="G16" i="8"/>
  <c r="O21" i="8"/>
  <c r="G10" i="7"/>
  <c r="G16" i="7"/>
  <c r="K46" i="7"/>
  <c r="K47" i="7" s="1"/>
  <c r="K45" i="6"/>
  <c r="K46" i="6" s="1"/>
  <c r="K30" i="6"/>
  <c r="C17" i="5"/>
  <c r="K31" i="3"/>
  <c r="S4" i="6"/>
  <c r="W11" i="5"/>
  <c r="S11" i="5"/>
  <c r="S5" i="5"/>
  <c r="O19" i="5"/>
  <c r="C26" i="4"/>
  <c r="CP7" i="9" l="1"/>
  <c r="CL76" i="9"/>
  <c r="CJ77" i="9" s="1"/>
  <c r="CA8" i="9"/>
  <c r="BW9" i="9" s="1"/>
  <c r="CE9" i="9" s="1"/>
  <c r="CL7" i="9"/>
  <c r="CJ8" i="9" s="1"/>
  <c r="CH8" i="9"/>
  <c r="CH9" i="9" s="1"/>
  <c r="CA111" i="9"/>
  <c r="BW112" i="9" s="1"/>
  <c r="BW113" i="9" s="1"/>
  <c r="CA76" i="9"/>
  <c r="BY77" i="9" s="1"/>
  <c r="CA77" i="9" s="1"/>
  <c r="BW78" i="9" s="1"/>
  <c r="CP77" i="9"/>
  <c r="CJ78" i="9"/>
  <c r="CE111" i="9"/>
  <c r="BY112" i="9"/>
  <c r="CL77" i="9"/>
  <c r="CH78" i="9" s="1"/>
  <c r="CA41" i="9"/>
  <c r="BY42" i="9" s="1"/>
  <c r="BW42" i="9"/>
  <c r="CL42" i="9"/>
  <c r="CJ43" i="9" s="1"/>
  <c r="CH43" i="9"/>
  <c r="CP42" i="9"/>
  <c r="CA9" i="9"/>
  <c r="BY10" i="9" s="1"/>
  <c r="BW10" i="9"/>
  <c r="CE8" i="9"/>
  <c r="AV7" i="9"/>
  <c r="AP8" i="9"/>
  <c r="AR7" i="9"/>
  <c r="AN8" i="9" s="1"/>
  <c r="AR6" i="7"/>
  <c r="AN7" i="7" s="1"/>
  <c r="AP7" i="7"/>
  <c r="AV6" i="7"/>
  <c r="AV7" i="8"/>
  <c r="AR7" i="8"/>
  <c r="AP8" i="8" s="1"/>
  <c r="G22" i="8"/>
  <c r="G23" i="8" s="1"/>
  <c r="O22" i="8"/>
  <c r="G17" i="8"/>
  <c r="G28" i="8" s="1"/>
  <c r="K12" i="8" s="1"/>
  <c r="G18" i="8"/>
  <c r="G17" i="7"/>
  <c r="G28" i="7" s="1"/>
  <c r="K9" i="7" s="1"/>
  <c r="G18" i="7"/>
  <c r="AK74" i="6"/>
  <c r="AG74" i="6"/>
  <c r="AU44" i="6"/>
  <c r="AT44" i="6"/>
  <c r="AU43" i="6"/>
  <c r="AT43" i="6"/>
  <c r="AU42" i="6"/>
  <c r="AT42" i="6"/>
  <c r="G50" i="6"/>
  <c r="AU41" i="6"/>
  <c r="AT41" i="6"/>
  <c r="AU40" i="6"/>
  <c r="AT40" i="6"/>
  <c r="AU39" i="6"/>
  <c r="AT39" i="6"/>
  <c r="AK39" i="6"/>
  <c r="AG39" i="6"/>
  <c r="AU38" i="6"/>
  <c r="AT38" i="6"/>
  <c r="AU37" i="6"/>
  <c r="AT37" i="6"/>
  <c r="AU36" i="6"/>
  <c r="AT36" i="6"/>
  <c r="AU35" i="6"/>
  <c r="AT35" i="6"/>
  <c r="G41" i="6"/>
  <c r="AU34" i="6"/>
  <c r="AT34" i="6"/>
  <c r="AU33" i="6"/>
  <c r="AT33" i="6"/>
  <c r="AU32" i="6"/>
  <c r="AT32" i="6"/>
  <c r="AU31" i="6"/>
  <c r="AT31" i="6"/>
  <c r="AU30" i="6"/>
  <c r="AT30" i="6"/>
  <c r="AU29" i="6"/>
  <c r="AT29" i="6"/>
  <c r="AU28" i="6"/>
  <c r="AT28" i="6"/>
  <c r="AU27" i="6"/>
  <c r="AT27" i="6"/>
  <c r="G33" i="6"/>
  <c r="W4" i="6" s="1"/>
  <c r="AU26" i="6"/>
  <c r="AT26" i="6"/>
  <c r="AU25" i="6"/>
  <c r="AT25" i="6"/>
  <c r="AU24" i="6"/>
  <c r="AT24" i="6"/>
  <c r="AU23" i="6"/>
  <c r="AT23" i="6"/>
  <c r="AU22" i="6"/>
  <c r="AT22" i="6"/>
  <c r="AU21" i="6"/>
  <c r="AT21" i="6"/>
  <c r="K20" i="6"/>
  <c r="AU20" i="6"/>
  <c r="AT20" i="6"/>
  <c r="K19" i="6"/>
  <c r="AU19" i="6"/>
  <c r="AT19" i="6"/>
  <c r="G21" i="6"/>
  <c r="AU18" i="6"/>
  <c r="AT18" i="6"/>
  <c r="AU17" i="6"/>
  <c r="AT17" i="6"/>
  <c r="AU16" i="6"/>
  <c r="AT16" i="6"/>
  <c r="AU15" i="6"/>
  <c r="AT15" i="6"/>
  <c r="AU14" i="6"/>
  <c r="AT14" i="6"/>
  <c r="AU13" i="6"/>
  <c r="AT13" i="6"/>
  <c r="AU12" i="6"/>
  <c r="AT12" i="6"/>
  <c r="AU11" i="6"/>
  <c r="AT11" i="6"/>
  <c r="G13" i="6"/>
  <c r="O4" i="6" s="1"/>
  <c r="AU10" i="6"/>
  <c r="AT10" i="6"/>
  <c r="AU9" i="6"/>
  <c r="AT9" i="6"/>
  <c r="AU8" i="6"/>
  <c r="AT8" i="6"/>
  <c r="G8" i="6"/>
  <c r="AU7" i="6"/>
  <c r="AT7" i="6"/>
  <c r="AU6" i="6"/>
  <c r="AT6" i="6"/>
  <c r="AV5" i="6"/>
  <c r="AU5" i="6"/>
  <c r="AT5" i="6"/>
  <c r="AR5" i="6"/>
  <c r="AK4" i="6"/>
  <c r="AG4" i="6"/>
  <c r="AK74" i="5"/>
  <c r="AG74" i="5"/>
  <c r="C56" i="5"/>
  <c r="C51" i="5"/>
  <c r="AU44" i="5"/>
  <c r="AT44" i="5"/>
  <c r="AU43" i="5"/>
  <c r="AT43" i="5"/>
  <c r="AU42" i="5"/>
  <c r="AT42" i="5"/>
  <c r="G50" i="5"/>
  <c r="AU41" i="5"/>
  <c r="AT41" i="5"/>
  <c r="AU40" i="5"/>
  <c r="AT40" i="5"/>
  <c r="AU39" i="5"/>
  <c r="AT39" i="5"/>
  <c r="AK39" i="5"/>
  <c r="AG39" i="5"/>
  <c r="AU38" i="5"/>
  <c r="AT38" i="5"/>
  <c r="AU37" i="5"/>
  <c r="AT37" i="5"/>
  <c r="AU36" i="5"/>
  <c r="AT36" i="5"/>
  <c r="AU35" i="5"/>
  <c r="AT35" i="5"/>
  <c r="G41" i="5"/>
  <c r="AU34" i="5"/>
  <c r="AT34" i="5"/>
  <c r="AU33" i="5"/>
  <c r="AT33" i="5"/>
  <c r="AU32" i="5"/>
  <c r="AT32" i="5"/>
  <c r="AU31" i="5"/>
  <c r="AT31" i="5"/>
  <c r="AU30" i="5"/>
  <c r="AT30" i="5"/>
  <c r="AU29" i="5"/>
  <c r="AT29" i="5"/>
  <c r="AU28" i="5"/>
  <c r="AT28" i="5"/>
  <c r="AU27" i="5"/>
  <c r="AT27" i="5"/>
  <c r="G33" i="5"/>
  <c r="W5" i="5" s="1"/>
  <c r="AU26" i="5"/>
  <c r="AT26" i="5"/>
  <c r="K43" i="5"/>
  <c r="AU25" i="5"/>
  <c r="AT25" i="5"/>
  <c r="AU24" i="5"/>
  <c r="AT24" i="5"/>
  <c r="AU23" i="5"/>
  <c r="AT23" i="5"/>
  <c r="AU22" i="5"/>
  <c r="AT22" i="5"/>
  <c r="AU21" i="5"/>
  <c r="AT21" i="5"/>
  <c r="AU20" i="5"/>
  <c r="AT20" i="5"/>
  <c r="AU19" i="5"/>
  <c r="AT19" i="5"/>
  <c r="G21" i="5"/>
  <c r="AU18" i="5"/>
  <c r="AT18" i="5"/>
  <c r="S21" i="5"/>
  <c r="AU17" i="5"/>
  <c r="AT17" i="5"/>
  <c r="AU16" i="5"/>
  <c r="AT16" i="5"/>
  <c r="W19" i="5"/>
  <c r="S19" i="5"/>
  <c r="AU15" i="5"/>
  <c r="AT15" i="5"/>
  <c r="AU14" i="5"/>
  <c r="AT14" i="5"/>
  <c r="AU13" i="5"/>
  <c r="AT13" i="5"/>
  <c r="AU12" i="5"/>
  <c r="AT12" i="5"/>
  <c r="AU11" i="5"/>
  <c r="AT11" i="5"/>
  <c r="G13" i="5"/>
  <c r="AU10" i="5"/>
  <c r="AT10" i="5"/>
  <c r="AU9" i="5"/>
  <c r="AT9" i="5"/>
  <c r="AU8" i="5"/>
  <c r="AT8" i="5"/>
  <c r="G8" i="5"/>
  <c r="AU7" i="5"/>
  <c r="AT7" i="5"/>
  <c r="AU6" i="5"/>
  <c r="AT6" i="5"/>
  <c r="AV5" i="5"/>
  <c r="AU5" i="5"/>
  <c r="AT5" i="5"/>
  <c r="AN6" i="5" s="1"/>
  <c r="AR5" i="5"/>
  <c r="AK4" i="5"/>
  <c r="AG4" i="5"/>
  <c r="K43" i="4"/>
  <c r="C63" i="4"/>
  <c r="C58" i="4"/>
  <c r="W9" i="4"/>
  <c r="S18" i="4"/>
  <c r="S9" i="4"/>
  <c r="S5" i="4"/>
  <c r="O17" i="4"/>
  <c r="O10" i="4"/>
  <c r="W16" i="4"/>
  <c r="S16" i="4"/>
  <c r="AK74" i="3"/>
  <c r="AG74" i="3"/>
  <c r="AK39" i="3"/>
  <c r="AG39" i="3"/>
  <c r="G35" i="3"/>
  <c r="G42" i="3"/>
  <c r="G19" i="3"/>
  <c r="G8" i="3"/>
  <c r="G27" i="3"/>
  <c r="W4" i="3" s="1"/>
  <c r="G11" i="3"/>
  <c r="O4" i="3" s="1"/>
  <c r="G27" i="4"/>
  <c r="G30" i="4" s="1"/>
  <c r="G32" i="4" s="1"/>
  <c r="G11" i="4"/>
  <c r="G14" i="4" s="1"/>
  <c r="G16" i="4" s="1"/>
  <c r="G35" i="4"/>
  <c r="AK74" i="4"/>
  <c r="AG74" i="4"/>
  <c r="AU44" i="4"/>
  <c r="AT44" i="4"/>
  <c r="AU43" i="4"/>
  <c r="AT43" i="4"/>
  <c r="AU42" i="4"/>
  <c r="AT42" i="4"/>
  <c r="AU41" i="4"/>
  <c r="AT41" i="4"/>
  <c r="AU40" i="4"/>
  <c r="AT40" i="4"/>
  <c r="G42" i="4"/>
  <c r="AU39" i="4"/>
  <c r="AT39" i="4"/>
  <c r="AK39" i="4"/>
  <c r="AG39" i="4"/>
  <c r="AU38" i="4"/>
  <c r="AT38" i="4"/>
  <c r="AU37" i="4"/>
  <c r="AT37" i="4"/>
  <c r="AU36" i="4"/>
  <c r="AT36" i="4"/>
  <c r="AU35" i="4"/>
  <c r="AT35" i="4"/>
  <c r="AU34" i="4"/>
  <c r="AT34" i="4"/>
  <c r="AU33" i="4"/>
  <c r="AT33" i="4"/>
  <c r="AU32" i="4"/>
  <c r="AT32" i="4"/>
  <c r="AU31" i="4"/>
  <c r="AT31" i="4"/>
  <c r="AU30" i="4"/>
  <c r="AT30" i="4"/>
  <c r="AU29" i="4"/>
  <c r="AT29" i="4"/>
  <c r="AU28" i="4"/>
  <c r="AT28" i="4"/>
  <c r="AU27" i="4"/>
  <c r="AT27" i="4"/>
  <c r="AU26" i="4"/>
  <c r="AT26" i="4"/>
  <c r="AU25" i="4"/>
  <c r="AT25" i="4"/>
  <c r="AU24" i="4"/>
  <c r="AT24" i="4"/>
  <c r="AU23" i="4"/>
  <c r="AT23" i="4"/>
  <c r="AU22" i="4"/>
  <c r="AT22" i="4"/>
  <c r="AU21" i="4"/>
  <c r="AT21" i="4"/>
  <c r="AU20" i="4"/>
  <c r="AT20" i="4"/>
  <c r="AU19" i="4"/>
  <c r="AT19" i="4"/>
  <c r="AU18" i="4"/>
  <c r="AT18" i="4"/>
  <c r="G19" i="4"/>
  <c r="AU17" i="4"/>
  <c r="AT17" i="4"/>
  <c r="AU16" i="4"/>
  <c r="AT16" i="4"/>
  <c r="AU15" i="4"/>
  <c r="AT15" i="4"/>
  <c r="AU14" i="4"/>
  <c r="AT14" i="4"/>
  <c r="AU13" i="4"/>
  <c r="AT13" i="4"/>
  <c r="AU12" i="4"/>
  <c r="AT12" i="4"/>
  <c r="AU11" i="4"/>
  <c r="AT11" i="4"/>
  <c r="AU10" i="4"/>
  <c r="AT10" i="4"/>
  <c r="AU9" i="4"/>
  <c r="AT9" i="4"/>
  <c r="AU8" i="4"/>
  <c r="AT8" i="4"/>
  <c r="G8" i="4"/>
  <c r="AU7" i="4"/>
  <c r="AT7" i="4"/>
  <c r="AU6" i="4"/>
  <c r="AT6" i="4"/>
  <c r="AV5" i="4"/>
  <c r="AU5" i="4"/>
  <c r="AT5" i="4"/>
  <c r="AR5" i="4"/>
  <c r="AK4" i="4"/>
  <c r="AG4" i="4"/>
  <c r="CE112" i="9" l="1"/>
  <c r="CL43" i="9"/>
  <c r="CH44" i="9" s="1"/>
  <c r="BY78" i="9"/>
  <c r="CA78" i="9" s="1"/>
  <c r="BY79" i="9" s="1"/>
  <c r="BY80" i="9" s="1"/>
  <c r="CL8" i="9"/>
  <c r="CJ9" i="9" s="1"/>
  <c r="CL9" i="9" s="1"/>
  <c r="CH10" i="9" s="1"/>
  <c r="CE77" i="9"/>
  <c r="CP8" i="9"/>
  <c r="BW79" i="9"/>
  <c r="CE78" i="9"/>
  <c r="CP78" i="9"/>
  <c r="CJ10" i="9"/>
  <c r="CE10" i="9"/>
  <c r="CP43" i="9"/>
  <c r="CJ44" i="9"/>
  <c r="CA10" i="9"/>
  <c r="BY11" i="9" s="1"/>
  <c r="BW11" i="9"/>
  <c r="BW43" i="9"/>
  <c r="CA42" i="9"/>
  <c r="BY43" i="9" s="1"/>
  <c r="CE42" i="9"/>
  <c r="BW114" i="9"/>
  <c r="CL78" i="9"/>
  <c r="CJ79" i="9" s="1"/>
  <c r="CH79" i="9"/>
  <c r="CA112" i="9"/>
  <c r="BY113" i="9" s="1"/>
  <c r="CE113" i="9" s="1"/>
  <c r="AN9" i="9"/>
  <c r="AR8" i="9"/>
  <c r="AP9" i="9" s="1"/>
  <c r="AV8" i="9"/>
  <c r="AR7" i="7"/>
  <c r="AP8" i="7" s="1"/>
  <c r="AV7" i="7"/>
  <c r="AN8" i="8"/>
  <c r="AR8" i="8" s="1"/>
  <c r="AN9" i="8" s="1"/>
  <c r="O25" i="8"/>
  <c r="O5" i="5"/>
  <c r="O21" i="5"/>
  <c r="O22" i="5" s="1"/>
  <c r="G16" i="6"/>
  <c r="G36" i="6"/>
  <c r="S22" i="5"/>
  <c r="S25" i="5" s="1"/>
  <c r="AN6" i="6"/>
  <c r="G18" i="6"/>
  <c r="G17" i="6"/>
  <c r="AP6" i="6"/>
  <c r="AP6" i="5"/>
  <c r="G38" i="6"/>
  <c r="G37" i="6"/>
  <c r="G16" i="5"/>
  <c r="W21" i="5"/>
  <c r="G36" i="5"/>
  <c r="O19" i="4"/>
  <c r="W5" i="4"/>
  <c r="S19" i="4"/>
  <c r="S22" i="4" s="1"/>
  <c r="W18" i="4"/>
  <c r="W19" i="4" s="1"/>
  <c r="W22" i="4" s="1"/>
  <c r="O5" i="4"/>
  <c r="O20" i="4"/>
  <c r="O23" i="4" s="1"/>
  <c r="G14" i="3"/>
  <c r="G16" i="3" s="1"/>
  <c r="G30" i="3"/>
  <c r="G32" i="3" s="1"/>
  <c r="G15" i="4"/>
  <c r="G31" i="4"/>
  <c r="AN6" i="4"/>
  <c r="AP6" i="4"/>
  <c r="K21" i="3"/>
  <c r="K20" i="3"/>
  <c r="AU6" i="3"/>
  <c r="AU7" i="3"/>
  <c r="AU8" i="3"/>
  <c r="AU9" i="3"/>
  <c r="AU10" i="3"/>
  <c r="AU11" i="3"/>
  <c r="AU12" i="3"/>
  <c r="AU13" i="3"/>
  <c r="AU14" i="3"/>
  <c r="AU15" i="3"/>
  <c r="AU16" i="3"/>
  <c r="AU17" i="3"/>
  <c r="AU18" i="3"/>
  <c r="AU19" i="3"/>
  <c r="AU20" i="3"/>
  <c r="AU21" i="3"/>
  <c r="AU22" i="3"/>
  <c r="AU23" i="3"/>
  <c r="AU24" i="3"/>
  <c r="AU25" i="3"/>
  <c r="AU26" i="3"/>
  <c r="AU27" i="3"/>
  <c r="AU28" i="3"/>
  <c r="AU29" i="3"/>
  <c r="AU30" i="3"/>
  <c r="AU31" i="3"/>
  <c r="AU32" i="3"/>
  <c r="AU33" i="3"/>
  <c r="AU34" i="3"/>
  <c r="AU35" i="3"/>
  <c r="AU36" i="3"/>
  <c r="AU37" i="3"/>
  <c r="AU38" i="3"/>
  <c r="AU39" i="3"/>
  <c r="AU40" i="3"/>
  <c r="AU41" i="3"/>
  <c r="AU42" i="3"/>
  <c r="AU43" i="3"/>
  <c r="AU44" i="3"/>
  <c r="AU5" i="3"/>
  <c r="AT6" i="3"/>
  <c r="AT7" i="3"/>
  <c r="AT8" i="3"/>
  <c r="AT9" i="3"/>
  <c r="AT10" i="3"/>
  <c r="AT11" i="3"/>
  <c r="AT12" i="3"/>
  <c r="AT13" i="3"/>
  <c r="AT14" i="3"/>
  <c r="AT15" i="3"/>
  <c r="AT16" i="3"/>
  <c r="AT17" i="3"/>
  <c r="AT18" i="3"/>
  <c r="AT19" i="3"/>
  <c r="AT20" i="3"/>
  <c r="AT21" i="3"/>
  <c r="AT22" i="3"/>
  <c r="AT23" i="3"/>
  <c r="AT24" i="3"/>
  <c r="AT25" i="3"/>
  <c r="AT26" i="3"/>
  <c r="AT27" i="3"/>
  <c r="AT28" i="3"/>
  <c r="AT29" i="3"/>
  <c r="AT30" i="3"/>
  <c r="AT31" i="3"/>
  <c r="AT32" i="3"/>
  <c r="AT33" i="3"/>
  <c r="AT34" i="3"/>
  <c r="AT35" i="3"/>
  <c r="AT36" i="3"/>
  <c r="AT37" i="3"/>
  <c r="AT38" i="3"/>
  <c r="AT39" i="3"/>
  <c r="AT40" i="3"/>
  <c r="AT41" i="3"/>
  <c r="AT42" i="3"/>
  <c r="AT43" i="3"/>
  <c r="AT44" i="3"/>
  <c r="AT5" i="3"/>
  <c r="AV5" i="3"/>
  <c r="AR5" i="3"/>
  <c r="S4" i="3"/>
  <c r="AK4" i="3"/>
  <c r="AG4" i="3"/>
  <c r="CP9" i="9" l="1"/>
  <c r="CE79" i="9"/>
  <c r="CA79" i="9"/>
  <c r="BW80" i="9" s="1"/>
  <c r="CA80" i="9" s="1"/>
  <c r="BW81" i="9" s="1"/>
  <c r="AV9" i="9"/>
  <c r="CE43" i="9"/>
  <c r="BY44" i="9"/>
  <c r="CP79" i="9"/>
  <c r="CJ11" i="9"/>
  <c r="CP10" i="9"/>
  <c r="CA43" i="9"/>
  <c r="BW44" i="9" s="1"/>
  <c r="CL79" i="9"/>
  <c r="CJ80" i="9" s="1"/>
  <c r="CH80" i="9"/>
  <c r="BY81" i="9"/>
  <c r="CA11" i="9"/>
  <c r="BY12" i="9" s="1"/>
  <c r="BW12" i="9"/>
  <c r="CE11" i="9"/>
  <c r="CP44" i="9"/>
  <c r="CJ45" i="9"/>
  <c r="CL44" i="9"/>
  <c r="CH45" i="9" s="1"/>
  <c r="CA113" i="9"/>
  <c r="BY114" i="9" s="1"/>
  <c r="CL10" i="9"/>
  <c r="CH11" i="9" s="1"/>
  <c r="CL11" i="9" s="1"/>
  <c r="CH12" i="9" s="1"/>
  <c r="AN10" i="9"/>
  <c r="AR9" i="9"/>
  <c r="AP10" i="9" s="1"/>
  <c r="AN8" i="7"/>
  <c r="AV8" i="7" s="1"/>
  <c r="AV8" i="8"/>
  <c r="AP9" i="8"/>
  <c r="G28" i="6"/>
  <c r="K9" i="6" s="1"/>
  <c r="AR6" i="5"/>
  <c r="AN7" i="5" s="1"/>
  <c r="AV6" i="5"/>
  <c r="AV6" i="6"/>
  <c r="AR6" i="6"/>
  <c r="O25" i="5"/>
  <c r="G37" i="5"/>
  <c r="G38" i="5"/>
  <c r="G17" i="5"/>
  <c r="G28" i="5" s="1"/>
  <c r="K12" i="5" s="1"/>
  <c r="G18" i="5"/>
  <c r="W22" i="5"/>
  <c r="G15" i="3"/>
  <c r="G24" i="4"/>
  <c r="K12" i="4" s="1"/>
  <c r="G31" i="3"/>
  <c r="AR6" i="4"/>
  <c r="AN7" i="4" s="1"/>
  <c r="AV6" i="4"/>
  <c r="AP6" i="3"/>
  <c r="AN6" i="3"/>
  <c r="CA44" i="9" l="1"/>
  <c r="BW45" i="9" s="1"/>
  <c r="CE80" i="9"/>
  <c r="CL80" i="9"/>
  <c r="CH81" i="9" s="1"/>
  <c r="CE12" i="9"/>
  <c r="CE81" i="9"/>
  <c r="BY82" i="9"/>
  <c r="CP80" i="9"/>
  <c r="CJ81" i="9"/>
  <c r="CE114" i="9"/>
  <c r="BY115" i="9"/>
  <c r="CH46" i="9"/>
  <c r="CL45" i="9"/>
  <c r="CJ46" i="9" s="1"/>
  <c r="CA114" i="9"/>
  <c r="BW115" i="9" s="1"/>
  <c r="CP11" i="9"/>
  <c r="CJ12" i="9"/>
  <c r="CL12" i="9" s="1"/>
  <c r="CH13" i="9" s="1"/>
  <c r="CP45" i="9"/>
  <c r="CA81" i="9"/>
  <c r="BW82" i="9" s="1"/>
  <c r="CE44" i="9"/>
  <c r="BY45" i="9"/>
  <c r="CA12" i="9"/>
  <c r="BY13" i="9" s="1"/>
  <c r="BW13" i="9"/>
  <c r="AV10" i="9"/>
  <c r="AP11" i="9"/>
  <c r="AR10" i="9"/>
  <c r="AN11" i="9" s="1"/>
  <c r="AR8" i="7"/>
  <c r="AP9" i="7" s="1"/>
  <c r="AV9" i="8"/>
  <c r="AR9" i="8"/>
  <c r="AN10" i="8" s="1"/>
  <c r="AN9" i="7"/>
  <c r="AP7" i="5"/>
  <c r="AR7" i="5" s="1"/>
  <c r="AP8" i="5" s="1"/>
  <c r="AP7" i="6"/>
  <c r="AN7" i="6"/>
  <c r="W25" i="5"/>
  <c r="G24" i="3"/>
  <c r="K10" i="3" s="1"/>
  <c r="AP7" i="4"/>
  <c r="AV7" i="4" s="1"/>
  <c r="AV6" i="3"/>
  <c r="AR6" i="3"/>
  <c r="AP7" i="3" s="1"/>
  <c r="CA115" i="9" l="1"/>
  <c r="BW116" i="9" s="1"/>
  <c r="CP46" i="9"/>
  <c r="CE115" i="9"/>
  <c r="BY116" i="9"/>
  <c r="CA13" i="9"/>
  <c r="BY14" i="9" s="1"/>
  <c r="BW14" i="9"/>
  <c r="CE45" i="9"/>
  <c r="BY46" i="9"/>
  <c r="CP12" i="9"/>
  <c r="CJ13" i="9"/>
  <c r="CA45" i="9"/>
  <c r="BW46" i="9" s="1"/>
  <c r="CA116" i="9"/>
  <c r="BW117" i="9" s="1"/>
  <c r="CL46" i="9"/>
  <c r="CJ47" i="9" s="1"/>
  <c r="CH47" i="9"/>
  <c r="CE13" i="9"/>
  <c r="CP81" i="9"/>
  <c r="CJ82" i="9"/>
  <c r="CA82" i="9"/>
  <c r="BY83" i="9" s="1"/>
  <c r="BW83" i="9"/>
  <c r="CE82" i="9"/>
  <c r="CL81" i="9"/>
  <c r="CH82" i="9" s="1"/>
  <c r="CL82" i="9" s="1"/>
  <c r="CH83" i="9" s="1"/>
  <c r="AV11" i="9"/>
  <c r="AN12" i="9"/>
  <c r="AR11" i="9"/>
  <c r="AP12" i="9" s="1"/>
  <c r="AR9" i="7"/>
  <c r="AP10" i="7" s="1"/>
  <c r="AP10" i="8"/>
  <c r="AR10" i="8" s="1"/>
  <c r="AP11" i="8" s="1"/>
  <c r="AN11" i="8"/>
  <c r="AV9" i="7"/>
  <c r="AN10" i="7"/>
  <c r="AV7" i="5"/>
  <c r="AN8" i="5"/>
  <c r="AR8" i="5" s="1"/>
  <c r="AV7" i="6"/>
  <c r="AR7" i="6"/>
  <c r="AN8" i="6" s="1"/>
  <c r="AR7" i="4"/>
  <c r="AP8" i="4" s="1"/>
  <c r="AN7" i="3"/>
  <c r="CA83" i="9" l="1"/>
  <c r="BW84" i="9" s="1"/>
  <c r="AV12" i="9"/>
  <c r="CP13" i="9"/>
  <c r="CJ14" i="9"/>
  <c r="CA46" i="9"/>
  <c r="BY47" i="9" s="1"/>
  <c r="BW47" i="9"/>
  <c r="CL13" i="9"/>
  <c r="CH14" i="9" s="1"/>
  <c r="CE83" i="9"/>
  <c r="BY84" i="9"/>
  <c r="CP82" i="9"/>
  <c r="CJ83" i="9"/>
  <c r="CL83" i="9" s="1"/>
  <c r="CH84" i="9" s="1"/>
  <c r="CP47" i="9"/>
  <c r="CJ48" i="9"/>
  <c r="CE46" i="9"/>
  <c r="BW15" i="9"/>
  <c r="CA14" i="9"/>
  <c r="BY15" i="9" s="1"/>
  <c r="CE14" i="9"/>
  <c r="CE116" i="9"/>
  <c r="BY117" i="9"/>
  <c r="CL47" i="9"/>
  <c r="CH48" i="9" s="1"/>
  <c r="AR12" i="9"/>
  <c r="AP13" i="9" s="1"/>
  <c r="AN13" i="9"/>
  <c r="AV10" i="8"/>
  <c r="AR11" i="8"/>
  <c r="AN12" i="8" s="1"/>
  <c r="AV11" i="8"/>
  <c r="AR10" i="7"/>
  <c r="AN11" i="7" s="1"/>
  <c r="AV10" i="7"/>
  <c r="AP11" i="7"/>
  <c r="AV8" i="5"/>
  <c r="AN9" i="5"/>
  <c r="AP9" i="5"/>
  <c r="AP8" i="6"/>
  <c r="AV8" i="6" s="1"/>
  <c r="AN8" i="4"/>
  <c r="AR8" i="4" s="1"/>
  <c r="AN9" i="4" s="1"/>
  <c r="AR7" i="3"/>
  <c r="AV7" i="3"/>
  <c r="AR13" i="9" l="1"/>
  <c r="AN14" i="9" s="1"/>
  <c r="AN15" i="9" s="1"/>
  <c r="AN16" i="9" s="1"/>
  <c r="CL48" i="9"/>
  <c r="CH49" i="9" s="1"/>
  <c r="CE117" i="9"/>
  <c r="BY118" i="9"/>
  <c r="CE84" i="9"/>
  <c r="BY85" i="9"/>
  <c r="CL14" i="9"/>
  <c r="CJ15" i="9" s="1"/>
  <c r="CH15" i="9"/>
  <c r="CE15" i="9"/>
  <c r="BY16" i="9"/>
  <c r="CA15" i="9"/>
  <c r="BW16" i="9" s="1"/>
  <c r="CP83" i="9"/>
  <c r="CJ84" i="9"/>
  <c r="CA47" i="9"/>
  <c r="BY48" i="9" s="1"/>
  <c r="BW48" i="9"/>
  <c r="CE47" i="9"/>
  <c r="CA84" i="9"/>
  <c r="BW85" i="9" s="1"/>
  <c r="CP14" i="9"/>
  <c r="CP48" i="9"/>
  <c r="CJ49" i="9"/>
  <c r="CA117" i="9"/>
  <c r="BW118" i="9" s="1"/>
  <c r="AP14" i="9"/>
  <c r="AV13" i="9"/>
  <c r="AP12" i="8"/>
  <c r="AV12" i="8" s="1"/>
  <c r="AR11" i="7"/>
  <c r="AN12" i="7" s="1"/>
  <c r="AV11" i="7"/>
  <c r="AR9" i="5"/>
  <c r="AN10" i="5" s="1"/>
  <c r="AV9" i="5"/>
  <c r="AR8" i="6"/>
  <c r="AN9" i="6" s="1"/>
  <c r="AV8" i="4"/>
  <c r="AP9" i="4"/>
  <c r="AR9" i="4" s="1"/>
  <c r="AN10" i="4" s="1"/>
  <c r="AP8" i="3"/>
  <c r="AN8" i="3"/>
  <c r="CA118" i="9" l="1"/>
  <c r="BW119" i="9" s="1"/>
  <c r="CE85" i="9"/>
  <c r="CA48" i="9"/>
  <c r="BW49" i="9" s="1"/>
  <c r="BW120" i="9"/>
  <c r="CE16" i="9"/>
  <c r="CP49" i="9"/>
  <c r="CJ50" i="9"/>
  <c r="CE118" i="9"/>
  <c r="BY119" i="9"/>
  <c r="CE119" i="9" s="1"/>
  <c r="CP15" i="9"/>
  <c r="CE48" i="9"/>
  <c r="BY49" i="9"/>
  <c r="CE49" i="9" s="1"/>
  <c r="CA16" i="9"/>
  <c r="BY17" i="9" s="1"/>
  <c r="BW17" i="9"/>
  <c r="CL15" i="9"/>
  <c r="CJ16" i="9" s="1"/>
  <c r="CH16" i="9"/>
  <c r="CA85" i="9"/>
  <c r="BY86" i="9" s="1"/>
  <c r="BW86" i="9"/>
  <c r="CL49" i="9"/>
  <c r="CH50" i="9" s="1"/>
  <c r="BW50" i="9"/>
  <c r="CP84" i="9"/>
  <c r="CJ85" i="9"/>
  <c r="CL84" i="9"/>
  <c r="CH85" i="9" s="1"/>
  <c r="AV14" i="9"/>
  <c r="AR14" i="9"/>
  <c r="AP15" i="9" s="1"/>
  <c r="AR12" i="8"/>
  <c r="AP12" i="7"/>
  <c r="AV12" i="7" s="1"/>
  <c r="AP10" i="5"/>
  <c r="AV10" i="5" s="1"/>
  <c r="AP9" i="6"/>
  <c r="AV9" i="6" s="1"/>
  <c r="AP10" i="4"/>
  <c r="AV10" i="4" s="1"/>
  <c r="AV9" i="4"/>
  <c r="AV8" i="3"/>
  <c r="AR8" i="3"/>
  <c r="CL16" i="9" l="1"/>
  <c r="CH17" i="9" s="1"/>
  <c r="CL85" i="9"/>
  <c r="CH86" i="9" s="1"/>
  <c r="CL50" i="9"/>
  <c r="CH51" i="9" s="1"/>
  <c r="CA17" i="9"/>
  <c r="BW18" i="9" s="1"/>
  <c r="BW19" i="9" s="1"/>
  <c r="CH87" i="9"/>
  <c r="CP50" i="9"/>
  <c r="CJ51" i="9"/>
  <c r="CA49" i="9"/>
  <c r="BY50" i="9" s="1"/>
  <c r="CA86" i="9"/>
  <c r="BY87" i="9" s="1"/>
  <c r="BW87" i="9"/>
  <c r="CP85" i="9"/>
  <c r="CJ86" i="9"/>
  <c r="CP86" i="9" s="1"/>
  <c r="CE86" i="9"/>
  <c r="CE17" i="9"/>
  <c r="BY18" i="9"/>
  <c r="CH18" i="9"/>
  <c r="CP16" i="9"/>
  <c r="CJ17" i="9"/>
  <c r="CP17" i="9" s="1"/>
  <c r="CA119" i="9"/>
  <c r="BY120" i="9" s="1"/>
  <c r="AV15" i="9"/>
  <c r="AR15" i="9"/>
  <c r="AP16" i="9" s="1"/>
  <c r="AN13" i="8"/>
  <c r="AP13" i="8"/>
  <c r="AR12" i="7"/>
  <c r="AN13" i="7" s="1"/>
  <c r="AR10" i="5"/>
  <c r="AN11" i="5" s="1"/>
  <c r="AR9" i="6"/>
  <c r="AN10" i="6" s="1"/>
  <c r="AR10" i="4"/>
  <c r="AN11" i="4" s="1"/>
  <c r="AN9" i="3"/>
  <c r="AP9" i="3"/>
  <c r="CL51" i="9" l="1"/>
  <c r="CH52" i="9" s="1"/>
  <c r="CE18" i="9"/>
  <c r="CA18" i="9"/>
  <c r="BY19" i="9" s="1"/>
  <c r="CA19" i="9" s="1"/>
  <c r="BW20" i="9" s="1"/>
  <c r="BW21" i="9" s="1"/>
  <c r="CE87" i="9"/>
  <c r="BY88" i="9"/>
  <c r="CE120" i="9"/>
  <c r="BY121" i="9"/>
  <c r="CA87" i="9"/>
  <c r="BW88" i="9" s="1"/>
  <c r="CE19" i="9"/>
  <c r="BY20" i="9"/>
  <c r="CE50" i="9"/>
  <c r="BY51" i="9"/>
  <c r="CA120" i="9"/>
  <c r="BW121" i="9" s="1"/>
  <c r="CA50" i="9"/>
  <c r="BW51" i="9" s="1"/>
  <c r="CH19" i="9"/>
  <c r="CP51" i="9"/>
  <c r="CJ52" i="9"/>
  <c r="CL17" i="9"/>
  <c r="CJ18" i="9" s="1"/>
  <c r="CP18" i="9" s="1"/>
  <c r="CH88" i="9"/>
  <c r="CL86" i="9"/>
  <c r="CJ87" i="9" s="1"/>
  <c r="CP87" i="9" s="1"/>
  <c r="AR16" i="9"/>
  <c r="AN17" i="9" s="1"/>
  <c r="AP17" i="9"/>
  <c r="AV16" i="9"/>
  <c r="AR13" i="8"/>
  <c r="AP14" i="8" s="1"/>
  <c r="AV13" i="8"/>
  <c r="AP13" i="7"/>
  <c r="AR13" i="7" s="1"/>
  <c r="AN14" i="7" s="1"/>
  <c r="AP11" i="5"/>
  <c r="AR11" i="5" s="1"/>
  <c r="AP12" i="5" s="1"/>
  <c r="AP10" i="6"/>
  <c r="AV10" i="6" s="1"/>
  <c r="AP11" i="4"/>
  <c r="AR11" i="4" s="1"/>
  <c r="AP12" i="4" s="1"/>
  <c r="AV9" i="3"/>
  <c r="AR9" i="3"/>
  <c r="CE20" i="9" l="1"/>
  <c r="CE51" i="9"/>
  <c r="CL87" i="9"/>
  <c r="CJ88" i="9" s="1"/>
  <c r="CP88" i="9" s="1"/>
  <c r="CH89" i="9"/>
  <c r="CE121" i="9"/>
  <c r="BY122" i="9"/>
  <c r="CL18" i="9"/>
  <c r="CJ19" i="9" s="1"/>
  <c r="CA88" i="9"/>
  <c r="BY89" i="9" s="1"/>
  <c r="BW89" i="9"/>
  <c r="CP52" i="9"/>
  <c r="CJ53" i="9"/>
  <c r="CE88" i="9"/>
  <c r="BW52" i="9"/>
  <c r="CA51" i="9"/>
  <c r="BY52" i="9" s="1"/>
  <c r="CA20" i="9"/>
  <c r="BY21" i="9" s="1"/>
  <c r="CA21" i="9" s="1"/>
  <c r="BW22" i="9" s="1"/>
  <c r="CA121" i="9"/>
  <c r="BW122" i="9" s="1"/>
  <c r="CL52" i="9"/>
  <c r="CH53" i="9" s="1"/>
  <c r="AV17" i="9"/>
  <c r="AP18" i="9"/>
  <c r="AR17" i="9"/>
  <c r="AN18" i="9" s="1"/>
  <c r="AN14" i="8"/>
  <c r="AV14" i="8" s="1"/>
  <c r="AV13" i="7"/>
  <c r="AP14" i="7"/>
  <c r="AV14" i="7" s="1"/>
  <c r="AV11" i="5"/>
  <c r="AN12" i="5"/>
  <c r="AR12" i="5" s="1"/>
  <c r="AP13" i="5" s="1"/>
  <c r="AR10" i="6"/>
  <c r="AN11" i="6" s="1"/>
  <c r="AN12" i="4"/>
  <c r="AR12" i="4" s="1"/>
  <c r="AV11" i="4"/>
  <c r="AN10" i="3"/>
  <c r="AP10" i="3"/>
  <c r="AR18" i="9" l="1"/>
  <c r="AN19" i="9" s="1"/>
  <c r="AN20" i="9" s="1"/>
  <c r="CL88" i="9"/>
  <c r="CJ89" i="9" s="1"/>
  <c r="CL89" i="9" s="1"/>
  <c r="CH90" i="9" s="1"/>
  <c r="CA89" i="9"/>
  <c r="BW90" i="9" s="1"/>
  <c r="CA122" i="9"/>
  <c r="BW123" i="9" s="1"/>
  <c r="BW124" i="9" s="1"/>
  <c r="CA52" i="9"/>
  <c r="BY53" i="9" s="1"/>
  <c r="BW53" i="9"/>
  <c r="CP53" i="9"/>
  <c r="CJ54" i="9"/>
  <c r="BW91" i="9"/>
  <c r="CL53" i="9"/>
  <c r="CH54" i="9" s="1"/>
  <c r="CP19" i="9"/>
  <c r="CJ20" i="9"/>
  <c r="CL19" i="9"/>
  <c r="CH20" i="9" s="1"/>
  <c r="CE89" i="9"/>
  <c r="BY90" i="9"/>
  <c r="CE122" i="9"/>
  <c r="BY123" i="9"/>
  <c r="CE123" i="9" s="1"/>
  <c r="BY22" i="9"/>
  <c r="CA22" i="9" s="1"/>
  <c r="BW23" i="9" s="1"/>
  <c r="CE21" i="9"/>
  <c r="CE52" i="9"/>
  <c r="AP19" i="9"/>
  <c r="AV18" i="9"/>
  <c r="AN21" i="9"/>
  <c r="AR14" i="8"/>
  <c r="AP15" i="8" s="1"/>
  <c r="AN15" i="8"/>
  <c r="AR14" i="7"/>
  <c r="AN13" i="5"/>
  <c r="AR13" i="5" s="1"/>
  <c r="AN14" i="5" s="1"/>
  <c r="AV12" i="5"/>
  <c r="AP11" i="6"/>
  <c r="AR11" i="6" s="1"/>
  <c r="AP12" i="6" s="1"/>
  <c r="AP13" i="4"/>
  <c r="AN13" i="4"/>
  <c r="AV12" i="4"/>
  <c r="AV10" i="3"/>
  <c r="AR10" i="3"/>
  <c r="CE90" i="9" l="1"/>
  <c r="CJ90" i="9"/>
  <c r="CP89" i="9"/>
  <c r="CL90" i="9"/>
  <c r="CH91" i="9" s="1"/>
  <c r="CH92" i="9" s="1"/>
  <c r="CA90" i="9"/>
  <c r="BY91" i="9" s="1"/>
  <c r="CE91" i="9" s="1"/>
  <c r="CA53" i="9"/>
  <c r="BW54" i="9" s="1"/>
  <c r="BW55" i="9" s="1"/>
  <c r="CL54" i="9"/>
  <c r="CJ55" i="9" s="1"/>
  <c r="CH55" i="9"/>
  <c r="CP20" i="9"/>
  <c r="BW125" i="9"/>
  <c r="CL20" i="9"/>
  <c r="CJ21" i="9" s="1"/>
  <c r="CH21" i="9"/>
  <c r="CE22" i="9"/>
  <c r="BY23" i="9"/>
  <c r="CE23" i="9" s="1"/>
  <c r="BW92" i="9"/>
  <c r="BW24" i="9"/>
  <c r="CA123" i="9"/>
  <c r="BY124" i="9" s="1"/>
  <c r="CE124" i="9" s="1"/>
  <c r="CP54" i="9"/>
  <c r="CP90" i="9"/>
  <c r="CJ91" i="9"/>
  <c r="CP91" i="9" s="1"/>
  <c r="CE53" i="9"/>
  <c r="BY54" i="9"/>
  <c r="AV19" i="9"/>
  <c r="AR19" i="9"/>
  <c r="AP20" i="9" s="1"/>
  <c r="AN22" i="9"/>
  <c r="AR15" i="8"/>
  <c r="AP16" i="8" s="1"/>
  <c r="AP17" i="8" s="1"/>
  <c r="AV15" i="8"/>
  <c r="AP15" i="7"/>
  <c r="AN15" i="7"/>
  <c r="AV13" i="5"/>
  <c r="AP14" i="5"/>
  <c r="AR14" i="5" s="1"/>
  <c r="AV11" i="6"/>
  <c r="AN12" i="6"/>
  <c r="AV13" i="4"/>
  <c r="AR13" i="4"/>
  <c r="AP14" i="4" s="1"/>
  <c r="AP11" i="3"/>
  <c r="AN11" i="3"/>
  <c r="CE54" i="9" l="1"/>
  <c r="CA91" i="9"/>
  <c r="BY92" i="9" s="1"/>
  <c r="CA92" i="9" s="1"/>
  <c r="BW93" i="9" s="1"/>
  <c r="BW94" i="9" s="1"/>
  <c r="CL91" i="9"/>
  <c r="CJ92" i="9" s="1"/>
  <c r="CP92" i="9" s="1"/>
  <c r="CP21" i="9"/>
  <c r="BW25" i="9"/>
  <c r="BW56" i="9"/>
  <c r="CL21" i="9"/>
  <c r="CJ22" i="9" s="1"/>
  <c r="CH22" i="9"/>
  <c r="CA125" i="9"/>
  <c r="BY126" i="9" s="1"/>
  <c r="BW126" i="9"/>
  <c r="CA23" i="9"/>
  <c r="BY24" i="9" s="1"/>
  <c r="CE24" i="9" s="1"/>
  <c r="CL55" i="9"/>
  <c r="CJ56" i="9" s="1"/>
  <c r="CH56" i="9"/>
  <c r="CH93" i="9"/>
  <c r="CA124" i="9"/>
  <c r="BY125" i="9" s="1"/>
  <c r="CE125" i="9" s="1"/>
  <c r="CA54" i="9"/>
  <c r="BY55" i="9" s="1"/>
  <c r="CE55" i="9" s="1"/>
  <c r="CP55" i="9"/>
  <c r="AR20" i="9"/>
  <c r="AP21" i="9" s="1"/>
  <c r="AV20" i="9"/>
  <c r="AR15" i="7"/>
  <c r="AP16" i="7" s="1"/>
  <c r="AN16" i="8"/>
  <c r="AN16" i="7"/>
  <c r="AV15" i="7"/>
  <c r="AV14" i="5"/>
  <c r="AV12" i="6"/>
  <c r="AR12" i="6"/>
  <c r="AP13" i="6" s="1"/>
  <c r="AN15" i="5"/>
  <c r="AP15" i="5"/>
  <c r="AN14" i="4"/>
  <c r="AR14" i="4" s="1"/>
  <c r="AV11" i="3"/>
  <c r="AR11" i="3"/>
  <c r="BY93" i="9" l="1"/>
  <c r="CE92" i="9"/>
  <c r="CE93" i="9"/>
  <c r="CL92" i="9"/>
  <c r="CJ93" i="9" s="1"/>
  <c r="CA24" i="9"/>
  <c r="BY25" i="9" s="1"/>
  <c r="CE25" i="9" s="1"/>
  <c r="CL56" i="9"/>
  <c r="CH57" i="9" s="1"/>
  <c r="CE126" i="9"/>
  <c r="CA55" i="9"/>
  <c r="BY56" i="9" s="1"/>
  <c r="CE56" i="9" s="1"/>
  <c r="CP22" i="9"/>
  <c r="CL93" i="9"/>
  <c r="CJ94" i="9" s="1"/>
  <c r="CH94" i="9"/>
  <c r="CP56" i="9"/>
  <c r="CJ57" i="9"/>
  <c r="CA93" i="9"/>
  <c r="BY94" i="9" s="1"/>
  <c r="CA94" i="9" s="1"/>
  <c r="BW95" i="9" s="1"/>
  <c r="CA126" i="9"/>
  <c r="BY127" i="9" s="1"/>
  <c r="BW127" i="9"/>
  <c r="CL22" i="9"/>
  <c r="CJ23" i="9" s="1"/>
  <c r="CH23" i="9"/>
  <c r="BW57" i="9"/>
  <c r="CP93" i="9"/>
  <c r="BW26" i="9"/>
  <c r="AR21" i="9"/>
  <c r="AP22" i="9" s="1"/>
  <c r="AV21" i="9"/>
  <c r="AV16" i="7"/>
  <c r="AR16" i="7"/>
  <c r="AN17" i="7" s="1"/>
  <c r="AR16" i="8"/>
  <c r="AN17" i="8" s="1"/>
  <c r="AN18" i="8" s="1"/>
  <c r="AV16" i="8"/>
  <c r="AP17" i="7"/>
  <c r="AN13" i="6"/>
  <c r="AV15" i="5"/>
  <c r="AR15" i="5"/>
  <c r="AN16" i="5" s="1"/>
  <c r="AN15" i="4"/>
  <c r="AP15" i="4"/>
  <c r="AV14" i="4"/>
  <c r="AN12" i="3"/>
  <c r="AP12" i="3"/>
  <c r="CL57" i="9" l="1"/>
  <c r="CH58" i="9" s="1"/>
  <c r="CA25" i="9"/>
  <c r="BY26" i="9" s="1"/>
  <c r="CA26" i="9" s="1"/>
  <c r="BY27" i="9" s="1"/>
  <c r="CL94" i="9"/>
  <c r="CH95" i="9" s="1"/>
  <c r="CA56" i="9"/>
  <c r="BY57" i="9" s="1"/>
  <c r="CA57" i="9" s="1"/>
  <c r="BY58" i="9" s="1"/>
  <c r="BW96" i="9"/>
  <c r="CH59" i="9"/>
  <c r="CL23" i="9"/>
  <c r="CJ24" i="9" s="1"/>
  <c r="CH24" i="9"/>
  <c r="CA127" i="9"/>
  <c r="BY128" i="9" s="1"/>
  <c r="BW128" i="9"/>
  <c r="CP94" i="9"/>
  <c r="CJ95" i="9"/>
  <c r="CL95" i="9" s="1"/>
  <c r="CH96" i="9" s="1"/>
  <c r="CE127" i="9"/>
  <c r="CP57" i="9"/>
  <c r="CJ58" i="9"/>
  <c r="CP58" i="9" s="1"/>
  <c r="BW27" i="9"/>
  <c r="CE26" i="9"/>
  <c r="BW58" i="9"/>
  <c r="CP23" i="9"/>
  <c r="CE94" i="9"/>
  <c r="BY95" i="9"/>
  <c r="CE95" i="9" s="1"/>
  <c r="CE57" i="9"/>
  <c r="AP23" i="9"/>
  <c r="AR22" i="9"/>
  <c r="AN23" i="9" s="1"/>
  <c r="AV22" i="9"/>
  <c r="AV17" i="8"/>
  <c r="AR17" i="8"/>
  <c r="AP18" i="8" s="1"/>
  <c r="AR18" i="8" s="1"/>
  <c r="AP19" i="8" s="1"/>
  <c r="AR17" i="7"/>
  <c r="AP18" i="7" s="1"/>
  <c r="AV17" i="7"/>
  <c r="AP16" i="5"/>
  <c r="AV16" i="5" s="1"/>
  <c r="AR13" i="6"/>
  <c r="AP14" i="6" s="1"/>
  <c r="AV13" i="6"/>
  <c r="AR15" i="4"/>
  <c r="AN16" i="4" s="1"/>
  <c r="AV15" i="4"/>
  <c r="AR12" i="3"/>
  <c r="AN13" i="3" s="1"/>
  <c r="AV12" i="3"/>
  <c r="CL24" i="9" l="1"/>
  <c r="CH25" i="9" s="1"/>
  <c r="CA128" i="9"/>
  <c r="BW129" i="9" s="1"/>
  <c r="CA27" i="9"/>
  <c r="BW28" i="9" s="1"/>
  <c r="CA58" i="9"/>
  <c r="BW59" i="9" s="1"/>
  <c r="CL58" i="9"/>
  <c r="CJ59" i="9" s="1"/>
  <c r="CL59" i="9" s="1"/>
  <c r="CH60" i="9" s="1"/>
  <c r="CH97" i="9"/>
  <c r="CP95" i="9"/>
  <c r="CJ96" i="9"/>
  <c r="CP96" i="9" s="1"/>
  <c r="CE128" i="9"/>
  <c r="BY129" i="9"/>
  <c r="CP24" i="9"/>
  <c r="CJ25" i="9"/>
  <c r="CP25" i="9" s="1"/>
  <c r="CH26" i="9"/>
  <c r="CE27" i="9"/>
  <c r="BY28" i="9"/>
  <c r="BW97" i="9"/>
  <c r="CE58" i="9"/>
  <c r="BY59" i="9"/>
  <c r="CA95" i="9"/>
  <c r="BY96" i="9" s="1"/>
  <c r="CE96" i="9" s="1"/>
  <c r="AN24" i="9"/>
  <c r="AR23" i="9"/>
  <c r="AP24" i="9" s="1"/>
  <c r="AV23" i="9"/>
  <c r="AV18" i="8"/>
  <c r="AN18" i="7"/>
  <c r="AR18" i="7" s="1"/>
  <c r="AN19" i="8"/>
  <c r="AR19" i="8" s="1"/>
  <c r="AP20" i="8" s="1"/>
  <c r="AR16" i="5"/>
  <c r="AP17" i="5" s="1"/>
  <c r="AN14" i="6"/>
  <c r="AR14" i="6" s="1"/>
  <c r="AP16" i="4"/>
  <c r="AV16" i="4" s="1"/>
  <c r="AP13" i="3"/>
  <c r="AR13" i="3" s="1"/>
  <c r="AN14" i="3" s="1"/>
  <c r="CA59" i="9" l="1"/>
  <c r="BW60" i="9" s="1"/>
  <c r="CA28" i="9"/>
  <c r="BW29" i="9" s="1"/>
  <c r="CJ60" i="9"/>
  <c r="CP60" i="9" s="1"/>
  <c r="CP59" i="9"/>
  <c r="CL60" i="9"/>
  <c r="CH61" i="9" s="1"/>
  <c r="CH62" i="9" s="1"/>
  <c r="CE129" i="9"/>
  <c r="BY130" i="9"/>
  <c r="CA129" i="9"/>
  <c r="BW130" i="9" s="1"/>
  <c r="BW30" i="9"/>
  <c r="CE59" i="9"/>
  <c r="BY60" i="9"/>
  <c r="CA97" i="9"/>
  <c r="BY98" i="9" s="1"/>
  <c r="BW98" i="9"/>
  <c r="CL25" i="9"/>
  <c r="CJ26" i="9" s="1"/>
  <c r="CL26" i="9" s="1"/>
  <c r="CH27" i="9" s="1"/>
  <c r="CH98" i="9"/>
  <c r="CA96" i="9"/>
  <c r="BY97" i="9" s="1"/>
  <c r="CE97" i="9" s="1"/>
  <c r="CE28" i="9"/>
  <c r="BY29" i="9"/>
  <c r="CE29" i="9" s="1"/>
  <c r="CL96" i="9"/>
  <c r="CJ97" i="9" s="1"/>
  <c r="CP97" i="9" s="1"/>
  <c r="AP25" i="9"/>
  <c r="AV24" i="9"/>
  <c r="AR24" i="9"/>
  <c r="AN25" i="9" s="1"/>
  <c r="AV18" i="7"/>
  <c r="AP19" i="7"/>
  <c r="AN19" i="7"/>
  <c r="AV19" i="8"/>
  <c r="AN20" i="8"/>
  <c r="AV20" i="8" s="1"/>
  <c r="AN17" i="5"/>
  <c r="AV17" i="5" s="1"/>
  <c r="AN15" i="6"/>
  <c r="AP15" i="6"/>
  <c r="AV14" i="6"/>
  <c r="AR16" i="4"/>
  <c r="AN17" i="4" s="1"/>
  <c r="AV13" i="3"/>
  <c r="AP14" i="3"/>
  <c r="AV14" i="3" s="1"/>
  <c r="CJ61" i="9" l="1"/>
  <c r="CP61" i="9" s="1"/>
  <c r="CA98" i="9"/>
  <c r="BW99" i="9" s="1"/>
  <c r="CE60" i="9"/>
  <c r="BY61" i="9"/>
  <c r="CA130" i="9"/>
  <c r="BY131" i="9" s="1"/>
  <c r="BW131" i="9"/>
  <c r="CL98" i="9"/>
  <c r="CJ99" i="9" s="1"/>
  <c r="CH99" i="9"/>
  <c r="CL61" i="9"/>
  <c r="CJ62" i="9" s="1"/>
  <c r="CL62" i="9" s="1"/>
  <c r="CH63" i="9" s="1"/>
  <c r="CE98" i="9"/>
  <c r="BY99" i="9"/>
  <c r="CH28" i="9"/>
  <c r="CA29" i="9"/>
  <c r="BY30" i="9" s="1"/>
  <c r="CA30" i="9" s="1"/>
  <c r="BW31" i="9" s="1"/>
  <c r="CE130" i="9"/>
  <c r="CL97" i="9"/>
  <c r="CJ98" i="9" s="1"/>
  <c r="CP98" i="9" s="1"/>
  <c r="CP26" i="9"/>
  <c r="CJ27" i="9"/>
  <c r="CP27" i="9" s="1"/>
  <c r="CA60" i="9"/>
  <c r="BW61" i="9" s="1"/>
  <c r="CA61" i="9" s="1"/>
  <c r="BW62" i="9" s="1"/>
  <c r="AN26" i="9"/>
  <c r="AR25" i="9"/>
  <c r="AP26" i="9" s="1"/>
  <c r="AV25" i="9"/>
  <c r="AV19" i="7"/>
  <c r="AR19" i="7"/>
  <c r="AP20" i="7" s="1"/>
  <c r="AN20" i="7"/>
  <c r="AR20" i="8"/>
  <c r="AN21" i="8" s="1"/>
  <c r="AP21" i="8"/>
  <c r="AR17" i="5"/>
  <c r="AP18" i="5" s="1"/>
  <c r="AR15" i="6"/>
  <c r="AV15" i="6"/>
  <c r="AP17" i="4"/>
  <c r="AV17" i="4" s="1"/>
  <c r="AR14" i="3"/>
  <c r="AP15" i="3" s="1"/>
  <c r="CL27" i="9" l="1"/>
  <c r="CJ28" i="9" s="1"/>
  <c r="AV26" i="9"/>
  <c r="CP28" i="9"/>
  <c r="CA131" i="9"/>
  <c r="BW132" i="9" s="1"/>
  <c r="BW133" i="9" s="1"/>
  <c r="CE99" i="9"/>
  <c r="BY100" i="9"/>
  <c r="CP62" i="9"/>
  <c r="CJ63" i="9"/>
  <c r="CL99" i="9"/>
  <c r="CJ100" i="9" s="1"/>
  <c r="CH100" i="9"/>
  <c r="CE61" i="9"/>
  <c r="BY62" i="9"/>
  <c r="CE131" i="9"/>
  <c r="BY132" i="9"/>
  <c r="BW32" i="9"/>
  <c r="CP99" i="9"/>
  <c r="BY31" i="9"/>
  <c r="CE31" i="9" s="1"/>
  <c r="CE30" i="9"/>
  <c r="CL28" i="9"/>
  <c r="CJ29" i="9" s="1"/>
  <c r="CH29" i="9"/>
  <c r="CA99" i="9"/>
  <c r="BW100" i="9" s="1"/>
  <c r="AN27" i="9"/>
  <c r="AR26" i="9"/>
  <c r="AP27" i="9" s="1"/>
  <c r="AR20" i="7"/>
  <c r="AP21" i="7" s="1"/>
  <c r="AV20" i="7"/>
  <c r="AN21" i="7"/>
  <c r="AR21" i="8"/>
  <c r="AP22" i="8" s="1"/>
  <c r="AN22" i="8"/>
  <c r="AV21" i="8"/>
  <c r="AN18" i="5"/>
  <c r="AR18" i="5" s="1"/>
  <c r="AP19" i="5" s="1"/>
  <c r="AN16" i="6"/>
  <c r="AP16" i="6"/>
  <c r="AR17" i="4"/>
  <c r="AN15" i="3"/>
  <c r="AV15" i="3" s="1"/>
  <c r="CA100" i="9" l="1"/>
  <c r="BW101" i="9" s="1"/>
  <c r="CE132" i="9"/>
  <c r="CE62" i="9"/>
  <c r="BY63" i="9"/>
  <c r="CL29" i="9"/>
  <c r="CJ30" i="9" s="1"/>
  <c r="CH30" i="9"/>
  <c r="CP100" i="9"/>
  <c r="CJ101" i="9"/>
  <c r="CA101" i="9"/>
  <c r="BW102" i="9" s="1"/>
  <c r="CP29" i="9"/>
  <c r="CL100" i="9"/>
  <c r="CH101" i="9" s="1"/>
  <c r="CA132" i="9"/>
  <c r="BY133" i="9" s="1"/>
  <c r="CA62" i="9"/>
  <c r="BW63" i="9" s="1"/>
  <c r="CP63" i="9"/>
  <c r="CJ64" i="9"/>
  <c r="CE100" i="9"/>
  <c r="BY101" i="9"/>
  <c r="CA31" i="9"/>
  <c r="BY32" i="9" s="1"/>
  <c r="CA32" i="9" s="1"/>
  <c r="BW33" i="9" s="1"/>
  <c r="CL63" i="9"/>
  <c r="CH64" i="9" s="1"/>
  <c r="AV27" i="9"/>
  <c r="AP28" i="9"/>
  <c r="AR27" i="9"/>
  <c r="AN28" i="9" s="1"/>
  <c r="AV21" i="7"/>
  <c r="AR21" i="7"/>
  <c r="AR22" i="8"/>
  <c r="AN23" i="8" s="1"/>
  <c r="AV22" i="8"/>
  <c r="AV18" i="5"/>
  <c r="AN19" i="5"/>
  <c r="AV19" i="5" s="1"/>
  <c r="AR16" i="6"/>
  <c r="AP17" i="6" s="1"/>
  <c r="AV16" i="6"/>
  <c r="AP18" i="4"/>
  <c r="AN18" i="4"/>
  <c r="AR15" i="3"/>
  <c r="AP16" i="3" s="1"/>
  <c r="CA63" i="9" l="1"/>
  <c r="BW64" i="9" s="1"/>
  <c r="BW65" i="9" s="1"/>
  <c r="CE133" i="9"/>
  <c r="BY134" i="9"/>
  <c r="CL101" i="9"/>
  <c r="CJ102" i="9" s="1"/>
  <c r="CH102" i="9"/>
  <c r="CE32" i="9"/>
  <c r="BY33" i="9"/>
  <c r="CA133" i="9"/>
  <c r="BW134" i="9" s="1"/>
  <c r="CA134" i="9" s="1"/>
  <c r="BW135" i="9" s="1"/>
  <c r="CA102" i="9"/>
  <c r="BO42" i="9" s="1"/>
  <c r="BY64" i="9"/>
  <c r="CE64" i="9" s="1"/>
  <c r="CE63" i="9"/>
  <c r="CL64" i="9"/>
  <c r="CJ65" i="9" s="1"/>
  <c r="CH65" i="9"/>
  <c r="CP101" i="9"/>
  <c r="CE101" i="9"/>
  <c r="BY102" i="9"/>
  <c r="CE102" i="9" s="1"/>
  <c r="CL30" i="9"/>
  <c r="CJ31" i="9" s="1"/>
  <c r="CH31" i="9"/>
  <c r="CP30" i="9"/>
  <c r="CP64" i="9"/>
  <c r="AV28" i="9"/>
  <c r="AR28" i="9"/>
  <c r="AP29" i="9" s="1"/>
  <c r="AN29" i="9"/>
  <c r="AP22" i="7"/>
  <c r="AN22" i="7"/>
  <c r="AP23" i="8"/>
  <c r="AV23" i="8" s="1"/>
  <c r="AR19" i="5"/>
  <c r="AN20" i="5" s="1"/>
  <c r="AN17" i="6"/>
  <c r="AR18" i="4"/>
  <c r="AN19" i="4" s="1"/>
  <c r="AV18" i="4"/>
  <c r="AN16" i="3"/>
  <c r="AR16" i="3" s="1"/>
  <c r="AP17" i="3" s="1"/>
  <c r="CL102" i="9" l="1"/>
  <c r="BS42" i="9" s="1"/>
  <c r="BS47" i="9" s="1"/>
  <c r="CL31" i="9"/>
  <c r="CH32" i="9" s="1"/>
  <c r="CJ32" i="9"/>
  <c r="CP31" i="9"/>
  <c r="BO48" i="9"/>
  <c r="BO47" i="9"/>
  <c r="BO44" i="9"/>
  <c r="BO45" i="9" s="1"/>
  <c r="BY34" i="9"/>
  <c r="CE33" i="9"/>
  <c r="CA33" i="9"/>
  <c r="BW34" i="9" s="1"/>
  <c r="CP65" i="9"/>
  <c r="CA64" i="9"/>
  <c r="BY65" i="9" s="1"/>
  <c r="CP102" i="9"/>
  <c r="CE134" i="9"/>
  <c r="BY135" i="9"/>
  <c r="CL65" i="9"/>
  <c r="CJ66" i="9" s="1"/>
  <c r="CH66" i="9"/>
  <c r="AN30" i="9"/>
  <c r="AR29" i="9"/>
  <c r="AP30" i="9" s="1"/>
  <c r="AV29" i="9"/>
  <c r="AR22" i="7"/>
  <c r="AP23" i="7" s="1"/>
  <c r="AV22" i="7"/>
  <c r="AR23" i="8"/>
  <c r="AP24" i="8" s="1"/>
  <c r="AN24" i="8"/>
  <c r="AP20" i="5"/>
  <c r="AV20" i="5" s="1"/>
  <c r="AR17" i="6"/>
  <c r="AV17" i="6"/>
  <c r="AP19" i="4"/>
  <c r="AV19" i="4" s="1"/>
  <c r="AV16" i="3"/>
  <c r="AN17" i="3"/>
  <c r="AV17" i="3" s="1"/>
  <c r="BO49" i="9" l="1"/>
  <c r="BS44" i="9"/>
  <c r="BS45" i="9" s="1"/>
  <c r="BS48" i="9"/>
  <c r="BS49" i="9" s="1"/>
  <c r="CL32" i="9"/>
  <c r="CH33" i="9" s="1"/>
  <c r="CE34" i="9"/>
  <c r="CP66" i="9"/>
  <c r="BS50" i="9"/>
  <c r="BS51" i="9"/>
  <c r="CJ33" i="9"/>
  <c r="CP32" i="9"/>
  <c r="CL66" i="9"/>
  <c r="CJ67" i="9" s="1"/>
  <c r="CH67" i="9"/>
  <c r="CE135" i="9"/>
  <c r="BY136" i="9"/>
  <c r="BO51" i="9"/>
  <c r="BO50" i="9"/>
  <c r="CE65" i="9"/>
  <c r="BY66" i="9"/>
  <c r="CA34" i="9"/>
  <c r="BO4" i="9" s="1"/>
  <c r="CA65" i="9"/>
  <c r="BW66" i="9" s="1"/>
  <c r="CA135" i="9"/>
  <c r="BW136" i="9" s="1"/>
  <c r="AP31" i="9"/>
  <c r="AV30" i="9"/>
  <c r="AR30" i="9"/>
  <c r="AN31" i="9" s="1"/>
  <c r="AN23" i="7"/>
  <c r="AR23" i="7" s="1"/>
  <c r="AV24" i="8"/>
  <c r="AR24" i="8"/>
  <c r="AR20" i="5"/>
  <c r="AN21" i="5" s="1"/>
  <c r="AN18" i="6"/>
  <c r="AP18" i="6"/>
  <c r="AR19" i="4"/>
  <c r="AN20" i="4" s="1"/>
  <c r="AR17" i="3"/>
  <c r="AN18" i="3" s="1"/>
  <c r="CL67" i="9" l="1"/>
  <c r="CH68" i="9" s="1"/>
  <c r="CA136" i="9"/>
  <c r="BO61" i="9" s="1"/>
  <c r="CA66" i="9"/>
  <c r="BY67" i="9" s="1"/>
  <c r="BW67" i="9"/>
  <c r="BO66" i="9"/>
  <c r="BO67" i="9"/>
  <c r="BO63" i="9"/>
  <c r="BO64" i="9" s="1"/>
  <c r="CP33" i="9"/>
  <c r="CJ34" i="9"/>
  <c r="BO10" i="9"/>
  <c r="BO9" i="9"/>
  <c r="BO6" i="9"/>
  <c r="BO7" i="9" s="1"/>
  <c r="CE66" i="9"/>
  <c r="BO52" i="9"/>
  <c r="BO54" i="9" s="1"/>
  <c r="BO56" i="9" s="1"/>
  <c r="BO53" i="9"/>
  <c r="BO55" i="9" s="1"/>
  <c r="BO57" i="9" s="1"/>
  <c r="BG24" i="9" s="1"/>
  <c r="CP67" i="9"/>
  <c r="CJ68" i="9"/>
  <c r="CP68" i="9" s="1"/>
  <c r="BS52" i="9"/>
  <c r="BS54" i="9" s="1"/>
  <c r="BS56" i="9" s="1"/>
  <c r="BS53" i="9"/>
  <c r="BS55" i="9" s="1"/>
  <c r="BS57" i="9" s="1"/>
  <c r="BK24" i="9" s="1"/>
  <c r="CL33" i="9"/>
  <c r="CH34" i="9" s="1"/>
  <c r="CE136" i="9"/>
  <c r="AN32" i="9"/>
  <c r="AR31" i="9"/>
  <c r="AP32" i="9" s="1"/>
  <c r="AV31" i="9"/>
  <c r="AV23" i="7"/>
  <c r="AP24" i="7"/>
  <c r="AN24" i="7"/>
  <c r="AP25" i="8"/>
  <c r="AN25" i="8"/>
  <c r="AP21" i="5"/>
  <c r="AR21" i="5" s="1"/>
  <c r="AP22" i="5" s="1"/>
  <c r="AV18" i="6"/>
  <c r="AR18" i="6"/>
  <c r="AP20" i="4"/>
  <c r="AP18" i="3"/>
  <c r="AV18" i="3" s="1"/>
  <c r="AV32" i="9" l="1"/>
  <c r="CA67" i="9"/>
  <c r="BW68" i="9" s="1"/>
  <c r="BO11" i="9"/>
  <c r="CL34" i="9"/>
  <c r="BS4" i="9" s="1"/>
  <c r="BS10" i="9" s="1"/>
  <c r="BO68" i="9"/>
  <c r="BO13" i="9"/>
  <c r="BO12" i="9"/>
  <c r="BK23" i="9"/>
  <c r="BK25" i="9" s="1"/>
  <c r="BS58" i="9"/>
  <c r="BO70" i="9"/>
  <c r="BO69" i="9"/>
  <c r="CP34" i="9"/>
  <c r="BG23" i="9"/>
  <c r="BG25" i="9" s="1"/>
  <c r="BO58" i="9"/>
  <c r="CL68" i="9"/>
  <c r="BS23" i="9" s="1"/>
  <c r="CE67" i="9"/>
  <c r="BY68" i="9"/>
  <c r="CE68" i="9" s="1"/>
  <c r="AN33" i="9"/>
  <c r="AR32" i="9"/>
  <c r="AP33" i="9" s="1"/>
  <c r="AR24" i="7"/>
  <c r="AN25" i="7" s="1"/>
  <c r="AV24" i="7"/>
  <c r="AR25" i="8"/>
  <c r="AN26" i="8" s="1"/>
  <c r="AP26" i="8"/>
  <c r="AV25" i="8"/>
  <c r="AV21" i="5"/>
  <c r="AN22" i="5"/>
  <c r="AR22" i="5" s="1"/>
  <c r="AN23" i="5" s="1"/>
  <c r="AN19" i="6"/>
  <c r="AP19" i="6"/>
  <c r="AV20" i="4"/>
  <c r="AR20" i="4"/>
  <c r="AR18" i="3"/>
  <c r="AN19" i="3" s="1"/>
  <c r="BS6" i="9" l="1"/>
  <c r="BS7" i="9" s="1"/>
  <c r="BS13" i="9" s="1"/>
  <c r="BS9" i="9"/>
  <c r="BS11" i="9" s="1"/>
  <c r="BS12" i="9"/>
  <c r="BO14" i="9"/>
  <c r="BO16" i="9" s="1"/>
  <c r="BO18" i="9" s="1"/>
  <c r="BO15" i="9"/>
  <c r="BO17" i="9" s="1"/>
  <c r="BO19" i="9" s="1"/>
  <c r="BG6" i="9" s="1"/>
  <c r="BG26" i="9"/>
  <c r="BG27" i="9"/>
  <c r="BG28" i="9"/>
  <c r="BK26" i="9"/>
  <c r="BK27" i="9"/>
  <c r="BK28" i="9"/>
  <c r="BS29" i="9"/>
  <c r="BS28" i="9"/>
  <c r="BS25" i="9"/>
  <c r="BS26" i="9" s="1"/>
  <c r="BX72" i="9"/>
  <c r="BZ72" i="9"/>
  <c r="CB72" i="9"/>
  <c r="BC27" i="9"/>
  <c r="CA68" i="9"/>
  <c r="BO23" i="9" s="1"/>
  <c r="BO71" i="9"/>
  <c r="BO73" i="9" s="1"/>
  <c r="BO75" i="9" s="1"/>
  <c r="BO72" i="9"/>
  <c r="BO74" i="9" s="1"/>
  <c r="BO76" i="9" s="1"/>
  <c r="BG33" i="9" s="1"/>
  <c r="BC28" i="9"/>
  <c r="CI72" i="9"/>
  <c r="CK72" i="9"/>
  <c r="CM72" i="9"/>
  <c r="AV33" i="9"/>
  <c r="AP34" i="9"/>
  <c r="AR33" i="9"/>
  <c r="AN34" i="9" s="1"/>
  <c r="AP25" i="7"/>
  <c r="AV25" i="7" s="1"/>
  <c r="AV26" i="8"/>
  <c r="AR26" i="8"/>
  <c r="AV22" i="5"/>
  <c r="AP23" i="5"/>
  <c r="AR23" i="5" s="1"/>
  <c r="AP24" i="5" s="1"/>
  <c r="AV19" i="6"/>
  <c r="AR19" i="6"/>
  <c r="AP21" i="4"/>
  <c r="AN21" i="4"/>
  <c r="AP19" i="3"/>
  <c r="AR19" i="3" s="1"/>
  <c r="BS30" i="9" l="1"/>
  <c r="BG5" i="9"/>
  <c r="BG7" i="9" s="1"/>
  <c r="BO20" i="9"/>
  <c r="BS14" i="9"/>
  <c r="BS16" i="9" s="1"/>
  <c r="BS18" i="9" s="1"/>
  <c r="BS15" i="9"/>
  <c r="BS17" i="9" s="1"/>
  <c r="BS19" i="9" s="1"/>
  <c r="BK6" i="9" s="1"/>
  <c r="BS31" i="9"/>
  <c r="BS32" i="9"/>
  <c r="BG32" i="9"/>
  <c r="BG34" i="9" s="1"/>
  <c r="BO77" i="9"/>
  <c r="BO28" i="9"/>
  <c r="BO29" i="9"/>
  <c r="BO25" i="9"/>
  <c r="BO26" i="9" s="1"/>
  <c r="AR34" i="9"/>
  <c r="AP35" i="9" s="1"/>
  <c r="AN35" i="9"/>
  <c r="AV34" i="9"/>
  <c r="AR25" i="7"/>
  <c r="AN26" i="7" s="1"/>
  <c r="AP27" i="8"/>
  <c r="AN27" i="8"/>
  <c r="AV23" i="5"/>
  <c r="AN24" i="5"/>
  <c r="AV24" i="5" s="1"/>
  <c r="AN20" i="6"/>
  <c r="AP20" i="6"/>
  <c r="AV21" i="4"/>
  <c r="AR21" i="4"/>
  <c r="AN20" i="3"/>
  <c r="AP20" i="3"/>
  <c r="AV19" i="3"/>
  <c r="BO30" i="9" l="1"/>
  <c r="BS33" i="9"/>
  <c r="BS35" i="9" s="1"/>
  <c r="BS37" i="9" s="1"/>
  <c r="BS34" i="9"/>
  <c r="BS36" i="9" s="1"/>
  <c r="BS38" i="9" s="1"/>
  <c r="BK15" i="9" s="1"/>
  <c r="BG35" i="9"/>
  <c r="BG37" i="9"/>
  <c r="BG36" i="9"/>
  <c r="AR35" i="9"/>
  <c r="AN36" i="9" s="1"/>
  <c r="AN37" i="9" s="1"/>
  <c r="AN38" i="9" s="1"/>
  <c r="BG8" i="9"/>
  <c r="BG9" i="9"/>
  <c r="BG10" i="9"/>
  <c r="BK5" i="9"/>
  <c r="BK7" i="9" s="1"/>
  <c r="BS20" i="9"/>
  <c r="BO31" i="9"/>
  <c r="BO32" i="9"/>
  <c r="BC29" i="9"/>
  <c r="CB106" i="9"/>
  <c r="BX106" i="9"/>
  <c r="BZ106" i="9"/>
  <c r="BC23" i="9"/>
  <c r="BX4" i="9"/>
  <c r="BZ4" i="9"/>
  <c r="CB4" i="9"/>
  <c r="AV35" i="9"/>
  <c r="AP36" i="9"/>
  <c r="AP26" i="7"/>
  <c r="AR26" i="7" s="1"/>
  <c r="AP27" i="7" s="1"/>
  <c r="AR27" i="8"/>
  <c r="AP28" i="8" s="1"/>
  <c r="AN28" i="8"/>
  <c r="AV27" i="8"/>
  <c r="AR24" i="5"/>
  <c r="AN25" i="5" s="1"/>
  <c r="AV20" i="6"/>
  <c r="AR20" i="6"/>
  <c r="AP22" i="4"/>
  <c r="AN22" i="4"/>
  <c r="AV20" i="3"/>
  <c r="AR20" i="3"/>
  <c r="AN21" i="3" s="1"/>
  <c r="BK8" i="9" l="1"/>
  <c r="BK9" i="9"/>
  <c r="BK10" i="9"/>
  <c r="BK14" i="9"/>
  <c r="BK16" i="9" s="1"/>
  <c r="BS39" i="9"/>
  <c r="BO33" i="9"/>
  <c r="BO35" i="9" s="1"/>
  <c r="BO37" i="9" s="1"/>
  <c r="BO34" i="9"/>
  <c r="BO36" i="9" s="1"/>
  <c r="BO38" i="9" s="1"/>
  <c r="BG15" i="9" s="1"/>
  <c r="CI4" i="9"/>
  <c r="CK4" i="9"/>
  <c r="CM4" i="9"/>
  <c r="BC24" i="9"/>
  <c r="AV36" i="9"/>
  <c r="AR36" i="9"/>
  <c r="AP37" i="9" s="1"/>
  <c r="AN27" i="7"/>
  <c r="AR27" i="7" s="1"/>
  <c r="AN28" i="7" s="1"/>
  <c r="AV26" i="7"/>
  <c r="AP28" i="7"/>
  <c r="AV28" i="8"/>
  <c r="AR28" i="8"/>
  <c r="AP25" i="5"/>
  <c r="AR25" i="5" s="1"/>
  <c r="AN26" i="5" s="1"/>
  <c r="AN21" i="6"/>
  <c r="AP21" i="6"/>
  <c r="AV22" i="4"/>
  <c r="AR22" i="4"/>
  <c r="AP21" i="3"/>
  <c r="AV21" i="3" s="1"/>
  <c r="CI38" i="9" l="1"/>
  <c r="BC26" i="9"/>
  <c r="CK38" i="9"/>
  <c r="CM38" i="9"/>
  <c r="BG14" i="9"/>
  <c r="BG16" i="9" s="1"/>
  <c r="BO39" i="9"/>
  <c r="BK19" i="9"/>
  <c r="BK17" i="9"/>
  <c r="BK18" i="9"/>
  <c r="AV37" i="9"/>
  <c r="AR37" i="9"/>
  <c r="AP38" i="9" s="1"/>
  <c r="AV27" i="7"/>
  <c r="AV28" i="7"/>
  <c r="AR28" i="7"/>
  <c r="AN29" i="8"/>
  <c r="AP29" i="8"/>
  <c r="AV25" i="5"/>
  <c r="AP26" i="5"/>
  <c r="AR26" i="5" s="1"/>
  <c r="AN27" i="5" s="1"/>
  <c r="AV21" i="6"/>
  <c r="AR21" i="6"/>
  <c r="AP23" i="4"/>
  <c r="AN23" i="4"/>
  <c r="AR21" i="3"/>
  <c r="AP22" i="3" s="1"/>
  <c r="BZ38" i="9" l="1"/>
  <c r="CB38" i="9"/>
  <c r="BX38" i="9"/>
  <c r="BC25" i="9"/>
  <c r="BC30" i="9" s="1"/>
  <c r="BG17" i="9"/>
  <c r="BG18" i="9"/>
  <c r="BC10" i="9" s="1"/>
  <c r="BG19" i="9"/>
  <c r="BC11" i="9" s="1"/>
  <c r="AP39" i="9"/>
  <c r="AR38" i="9"/>
  <c r="AN39" i="9" s="1"/>
  <c r="AV38" i="9"/>
  <c r="AP29" i="7"/>
  <c r="AN29" i="7"/>
  <c r="AV29" i="8"/>
  <c r="AR29" i="8"/>
  <c r="AP27" i="5"/>
  <c r="AV27" i="5" s="1"/>
  <c r="AV26" i="5"/>
  <c r="AP22" i="6"/>
  <c r="AN22" i="6"/>
  <c r="AR23" i="4"/>
  <c r="AN24" i="4" s="1"/>
  <c r="AV23" i="4"/>
  <c r="AN22" i="3"/>
  <c r="AV22" i="3" s="1"/>
  <c r="AR39" i="9" l="1"/>
  <c r="AN40" i="9" s="1"/>
  <c r="BC18" i="9"/>
  <c r="BC19" i="9" s="1"/>
  <c r="BC12" i="9"/>
  <c r="BC17" i="9"/>
  <c r="BC15" i="9"/>
  <c r="AV39" i="9"/>
  <c r="AP40" i="9"/>
  <c r="AR29" i="7"/>
  <c r="AP30" i="7" s="1"/>
  <c r="AN30" i="7"/>
  <c r="AV29" i="7"/>
  <c r="AN30" i="8"/>
  <c r="AP30" i="8"/>
  <c r="AR27" i="5"/>
  <c r="AP28" i="5" s="1"/>
  <c r="AR22" i="6"/>
  <c r="AN23" i="6" s="1"/>
  <c r="AV22" i="6"/>
  <c r="AP24" i="4"/>
  <c r="AV24" i="4" s="1"/>
  <c r="AR22" i="3"/>
  <c r="AP23" i="3" s="1"/>
  <c r="BC20" i="9" l="1"/>
  <c r="BC16" i="9"/>
  <c r="AV40" i="9"/>
  <c r="AP41" i="9"/>
  <c r="AR40" i="9"/>
  <c r="AN41" i="9" s="1"/>
  <c r="AR41" i="9" s="1"/>
  <c r="AN42" i="9" s="1"/>
  <c r="AN43" i="9" s="1"/>
  <c r="AV30" i="7"/>
  <c r="AR30" i="7"/>
  <c r="AV30" i="8"/>
  <c r="AR30" i="8"/>
  <c r="AN28" i="5"/>
  <c r="AV28" i="5" s="1"/>
  <c r="AP23" i="6"/>
  <c r="AV23" i="6" s="1"/>
  <c r="AR24" i="4"/>
  <c r="AP25" i="4" s="1"/>
  <c r="AN23" i="3"/>
  <c r="AV23" i="3" s="1"/>
  <c r="AV41" i="9" l="1"/>
  <c r="AP42" i="9"/>
  <c r="AN31" i="7"/>
  <c r="AP31" i="7"/>
  <c r="AP31" i="8"/>
  <c r="AN31" i="8"/>
  <c r="AR28" i="5"/>
  <c r="AP29" i="5" s="1"/>
  <c r="AR23" i="6"/>
  <c r="AP24" i="6" s="1"/>
  <c r="AN25" i="4"/>
  <c r="AR25" i="4" s="1"/>
  <c r="AN26" i="4" s="1"/>
  <c r="AR23" i="3"/>
  <c r="AP24" i="3" s="1"/>
  <c r="AV42" i="9" l="1"/>
  <c r="AR42" i="9"/>
  <c r="AP43" i="9" s="1"/>
  <c r="AV31" i="7"/>
  <c r="AR31" i="7"/>
  <c r="AR31" i="8"/>
  <c r="AN32" i="8" s="1"/>
  <c r="AP32" i="8"/>
  <c r="AV31" i="8"/>
  <c r="AN29" i="5"/>
  <c r="AV29" i="5" s="1"/>
  <c r="AN24" i="6"/>
  <c r="AR24" i="6" s="1"/>
  <c r="AN25" i="6" s="1"/>
  <c r="AV25" i="4"/>
  <c r="AP26" i="4"/>
  <c r="AV26" i="4" s="1"/>
  <c r="AN24" i="3"/>
  <c r="AR24" i="3" s="1"/>
  <c r="AP25" i="3" s="1"/>
  <c r="AV43" i="9" l="1"/>
  <c r="AP44" i="9"/>
  <c r="AR43" i="9"/>
  <c r="AN44" i="9" s="1"/>
  <c r="AN32" i="7"/>
  <c r="AP32" i="7"/>
  <c r="AV32" i="8"/>
  <c r="AR32" i="8"/>
  <c r="AR29" i="5"/>
  <c r="AP30" i="5" s="1"/>
  <c r="AV24" i="6"/>
  <c r="AP25" i="6"/>
  <c r="AV25" i="6" s="1"/>
  <c r="AR26" i="4"/>
  <c r="AN27" i="4" s="1"/>
  <c r="AV24" i="3"/>
  <c r="AN25" i="3"/>
  <c r="AV25" i="3" s="1"/>
  <c r="AR44" i="9" l="1"/>
  <c r="C5" i="9" s="1"/>
  <c r="G6" i="9" s="1"/>
  <c r="K22" i="9" s="1"/>
  <c r="AV44" i="9"/>
  <c r="G49" i="9"/>
  <c r="O5" i="9"/>
  <c r="O6" i="9" s="1"/>
  <c r="O8" i="9" s="1"/>
  <c r="K24" i="9"/>
  <c r="K12" i="9"/>
  <c r="K19" i="9"/>
  <c r="W5" i="9"/>
  <c r="W6" i="9" s="1"/>
  <c r="W8" i="9" s="1"/>
  <c r="G48" i="9"/>
  <c r="G7" i="9"/>
  <c r="K39" i="9"/>
  <c r="K23" i="9"/>
  <c r="K25" i="9"/>
  <c r="AV32" i="7"/>
  <c r="AR32" i="7"/>
  <c r="AN33" i="8"/>
  <c r="AP33" i="8"/>
  <c r="AN30" i="5"/>
  <c r="AV30" i="5" s="1"/>
  <c r="AR25" i="6"/>
  <c r="AN26" i="6" s="1"/>
  <c r="AP27" i="4"/>
  <c r="AR27" i="4" s="1"/>
  <c r="AP28" i="4" s="1"/>
  <c r="AR25" i="3"/>
  <c r="AN26" i="3" s="1"/>
  <c r="K26" i="9" l="1"/>
  <c r="S5" i="9"/>
  <c r="S6" i="9" s="1"/>
  <c r="S8" i="9" s="1"/>
  <c r="K18" i="9"/>
  <c r="K42" i="9" s="1"/>
  <c r="W11" i="9"/>
  <c r="W9" i="9"/>
  <c r="W10" i="9" s="1"/>
  <c r="W14" i="9" s="1"/>
  <c r="W19" i="9" s="1"/>
  <c r="O9" i="9"/>
  <c r="O10" i="9" s="1"/>
  <c r="O14" i="9" s="1"/>
  <c r="O19" i="9" s="1"/>
  <c r="O11" i="9"/>
  <c r="S9" i="9"/>
  <c r="S10" i="9" s="1"/>
  <c r="S14" i="9" s="1"/>
  <c r="S15" i="9" s="1"/>
  <c r="S18" i="9" s="1"/>
  <c r="S11" i="9"/>
  <c r="K43" i="9"/>
  <c r="K35" i="9"/>
  <c r="K34" i="9"/>
  <c r="AN33" i="7"/>
  <c r="AP33" i="7"/>
  <c r="AV33" i="8"/>
  <c r="AR33" i="8"/>
  <c r="AR30" i="5"/>
  <c r="AP26" i="6"/>
  <c r="AR26" i="6" s="1"/>
  <c r="AN27" i="6" s="1"/>
  <c r="AV27" i="4"/>
  <c r="AN28" i="4"/>
  <c r="AR28" i="4" s="1"/>
  <c r="AP26" i="3"/>
  <c r="AV26" i="3" s="1"/>
  <c r="O15" i="9" l="1"/>
  <c r="O18" i="9" s="1"/>
  <c r="O20" i="9" s="1"/>
  <c r="O21" i="9" s="1"/>
  <c r="S20" i="9"/>
  <c r="W15" i="9"/>
  <c r="W18" i="9" s="1"/>
  <c r="S19" i="9"/>
  <c r="G22" i="9"/>
  <c r="G23" i="9" s="1"/>
  <c r="O23" i="9"/>
  <c r="AH39" i="9"/>
  <c r="W20" i="9"/>
  <c r="AD39" i="9"/>
  <c r="AF39" i="9"/>
  <c r="AV33" i="7"/>
  <c r="AR33" i="7"/>
  <c r="AN34" i="8"/>
  <c r="AP34" i="8"/>
  <c r="AN31" i="5"/>
  <c r="AP31" i="5"/>
  <c r="AV26" i="6"/>
  <c r="AP27" i="6"/>
  <c r="AV27" i="6" s="1"/>
  <c r="AN29" i="4"/>
  <c r="AP29" i="4"/>
  <c r="AV28" i="4"/>
  <c r="AR26" i="3"/>
  <c r="AN27" i="3" s="1"/>
  <c r="K14" i="9" l="1"/>
  <c r="S21" i="9"/>
  <c r="S23" i="9"/>
  <c r="S26" i="9" s="1"/>
  <c r="S28" i="9" s="1"/>
  <c r="G29" i="9"/>
  <c r="G30" i="9" s="1"/>
  <c r="AH4" i="9"/>
  <c r="AJ39" i="9"/>
  <c r="AE40" i="9" s="1"/>
  <c r="AF40" i="9" s="1"/>
  <c r="AI39" i="9"/>
  <c r="AC40" i="9" s="1"/>
  <c r="AD40" i="9" s="1"/>
  <c r="O26" i="9"/>
  <c r="O28" i="9" s="1"/>
  <c r="G42" i="9"/>
  <c r="G43" i="9" s="1"/>
  <c r="W23" i="9"/>
  <c r="W21" i="9"/>
  <c r="AN34" i="7"/>
  <c r="AP34" i="7"/>
  <c r="AV34" i="8"/>
  <c r="AR34" i="8"/>
  <c r="AR31" i="5"/>
  <c r="AP32" i="5" s="1"/>
  <c r="AV31" i="5"/>
  <c r="AR27" i="6"/>
  <c r="AN28" i="6" s="1"/>
  <c r="AR29" i="4"/>
  <c r="AV29" i="4"/>
  <c r="AP27" i="3"/>
  <c r="AR27" i="3" s="1"/>
  <c r="AN28" i="3" s="1"/>
  <c r="AF4" i="9" l="1"/>
  <c r="AJ4" i="9" s="1"/>
  <c r="AE5" i="9" s="1"/>
  <c r="AF5" i="9" s="1"/>
  <c r="AD4" i="9"/>
  <c r="AI4" i="9" s="1"/>
  <c r="AC5" i="9" s="1"/>
  <c r="AD5" i="9" s="1"/>
  <c r="AG40" i="9"/>
  <c r="AH40" i="9" s="1"/>
  <c r="AI40" i="9" s="1"/>
  <c r="AC41" i="9" s="1"/>
  <c r="AD41" i="9" s="1"/>
  <c r="AK40" i="9"/>
  <c r="AH74" i="9"/>
  <c r="AD74" i="9"/>
  <c r="AF74" i="9"/>
  <c r="W26" i="9"/>
  <c r="W28" i="9" s="1"/>
  <c r="AV34" i="7"/>
  <c r="AR34" i="7"/>
  <c r="AN35" i="8"/>
  <c r="AP35" i="8"/>
  <c r="AN32" i="5"/>
  <c r="AR32" i="5" s="1"/>
  <c r="AP33" i="5" s="1"/>
  <c r="AP28" i="6"/>
  <c r="AV28" i="6" s="1"/>
  <c r="AN30" i="4"/>
  <c r="AP30" i="4"/>
  <c r="AP28" i="3"/>
  <c r="AR28" i="3" s="1"/>
  <c r="AN29" i="3" s="1"/>
  <c r="AV27" i="3"/>
  <c r="AJ74" i="9" l="1"/>
  <c r="AE75" i="9" s="1"/>
  <c r="AJ40" i="9"/>
  <c r="AE41" i="9" s="1"/>
  <c r="AG5" i="9"/>
  <c r="AH5" i="9" s="1"/>
  <c r="AI5" i="9" s="1"/>
  <c r="AC6" i="9" s="1"/>
  <c r="AD6" i="9" s="1"/>
  <c r="AK5" i="9"/>
  <c r="AI74" i="9"/>
  <c r="AC75" i="9" s="1"/>
  <c r="AG75" i="9" s="1"/>
  <c r="AH75" i="9" s="1"/>
  <c r="AF75" i="9"/>
  <c r="AP35" i="7"/>
  <c r="AN35" i="7"/>
  <c r="AV35" i="8"/>
  <c r="AR35" i="8"/>
  <c r="AV32" i="5"/>
  <c r="AN33" i="5"/>
  <c r="AR33" i="5" s="1"/>
  <c r="AR28" i="6"/>
  <c r="AP29" i="6" s="1"/>
  <c r="AR30" i="4"/>
  <c r="AP31" i="4" s="1"/>
  <c r="AV30" i="4"/>
  <c r="AV28" i="3"/>
  <c r="AP29" i="3"/>
  <c r="AV29" i="3" s="1"/>
  <c r="AK75" i="9" l="1"/>
  <c r="AD75" i="9"/>
  <c r="AI75" i="9" s="1"/>
  <c r="AC76" i="9" s="1"/>
  <c r="AD76" i="9" s="1"/>
  <c r="AJ5" i="9"/>
  <c r="AE6" i="9" s="1"/>
  <c r="AF6" i="9" s="1"/>
  <c r="AF41" i="9"/>
  <c r="AK41" i="9"/>
  <c r="AG41" i="9"/>
  <c r="AH41" i="9" s="1"/>
  <c r="AI41" i="9" s="1"/>
  <c r="AC42" i="9" s="1"/>
  <c r="AD42" i="9" s="1"/>
  <c r="AJ75" i="9"/>
  <c r="AE76" i="9" s="1"/>
  <c r="AR35" i="7"/>
  <c r="AN36" i="7" s="1"/>
  <c r="AV35" i="7"/>
  <c r="AN36" i="8"/>
  <c r="AP36" i="8"/>
  <c r="AV33" i="5"/>
  <c r="AP34" i="5"/>
  <c r="AN34" i="5"/>
  <c r="AN29" i="6"/>
  <c r="AR29" i="6" s="1"/>
  <c r="AN30" i="6" s="1"/>
  <c r="AN31" i="4"/>
  <c r="AR31" i="4" s="1"/>
  <c r="AR29" i="3"/>
  <c r="AN30" i="3" s="1"/>
  <c r="AK6" i="9" l="1"/>
  <c r="AG6" i="9"/>
  <c r="AH6" i="9" s="1"/>
  <c r="AI6" i="9" s="1"/>
  <c r="AC7" i="9" s="1"/>
  <c r="AD7" i="9" s="1"/>
  <c r="AG76" i="9"/>
  <c r="AH76" i="9" s="1"/>
  <c r="AI76" i="9" s="1"/>
  <c r="AC77" i="9" s="1"/>
  <c r="AD77" i="9" s="1"/>
  <c r="AK76" i="9"/>
  <c r="AJ6" i="9"/>
  <c r="AE7" i="9" s="1"/>
  <c r="AK7" i="9" s="1"/>
  <c r="AF76" i="9"/>
  <c r="AJ76" i="9" s="1"/>
  <c r="AE77" i="9" s="1"/>
  <c r="AJ41" i="9"/>
  <c r="AE42" i="9" s="1"/>
  <c r="AF7" i="9"/>
  <c r="AG7" i="9"/>
  <c r="AH7" i="9" s="1"/>
  <c r="AI7" i="9" s="1"/>
  <c r="AC8" i="9" s="1"/>
  <c r="AP36" i="7"/>
  <c r="AV36" i="7" s="1"/>
  <c r="AV36" i="8"/>
  <c r="AR36" i="8"/>
  <c r="AR34" i="5"/>
  <c r="AN35" i="5" s="1"/>
  <c r="AV34" i="5"/>
  <c r="AV29" i="6"/>
  <c r="AP30" i="6"/>
  <c r="AR30" i="6" s="1"/>
  <c r="AN31" i="6" s="1"/>
  <c r="AP32" i="4"/>
  <c r="AN32" i="4"/>
  <c r="AV31" i="4"/>
  <c r="AP30" i="3"/>
  <c r="AR30" i="3" s="1"/>
  <c r="AF42" i="9" l="1"/>
  <c r="AK42" i="9"/>
  <c r="AG42" i="9"/>
  <c r="AH42" i="9" s="1"/>
  <c r="AI42" i="9" s="1"/>
  <c r="AC43" i="9" s="1"/>
  <c r="AD8" i="9"/>
  <c r="AK77" i="9"/>
  <c r="AF77" i="9"/>
  <c r="AG77" i="9"/>
  <c r="AH77" i="9" s="1"/>
  <c r="AI77" i="9" s="1"/>
  <c r="AC78" i="9" s="1"/>
  <c r="AJ7" i="9"/>
  <c r="AE8" i="9" s="1"/>
  <c r="AR36" i="7"/>
  <c r="AP37" i="7" s="1"/>
  <c r="AN37" i="7"/>
  <c r="AP37" i="8"/>
  <c r="AN37" i="8"/>
  <c r="AP35" i="5"/>
  <c r="AV30" i="6"/>
  <c r="AP31" i="6"/>
  <c r="AV31" i="6" s="1"/>
  <c r="AR32" i="4"/>
  <c r="AN33" i="4" s="1"/>
  <c r="AV32" i="4"/>
  <c r="AV30" i="3"/>
  <c r="AP31" i="3"/>
  <c r="AN31" i="3"/>
  <c r="AD43" i="9" l="1"/>
  <c r="AJ42" i="9"/>
  <c r="AE43" i="9" s="1"/>
  <c r="AD78" i="9"/>
  <c r="AK8" i="9"/>
  <c r="AF8" i="9"/>
  <c r="AJ77" i="9"/>
  <c r="AE78" i="9" s="1"/>
  <c r="AG8" i="9"/>
  <c r="AH8" i="9" s="1"/>
  <c r="AI8" i="9" s="1"/>
  <c r="AC9" i="9" s="1"/>
  <c r="AR37" i="7"/>
  <c r="AP38" i="7" s="1"/>
  <c r="AV37" i="7"/>
  <c r="AR37" i="8"/>
  <c r="AN38" i="8" s="1"/>
  <c r="AV37" i="8"/>
  <c r="AR35" i="5"/>
  <c r="AV35" i="5"/>
  <c r="AR31" i="6"/>
  <c r="AP32" i="6" s="1"/>
  <c r="AP33" i="4"/>
  <c r="AV33" i="4" s="1"/>
  <c r="AR31" i="3"/>
  <c r="AP32" i="3" s="1"/>
  <c r="AV31" i="3"/>
  <c r="AF43" i="9" l="1"/>
  <c r="AK43" i="9"/>
  <c r="AG43" i="9"/>
  <c r="AH43" i="9" s="1"/>
  <c r="AI43" i="9" s="1"/>
  <c r="AC44" i="9" s="1"/>
  <c r="AD9" i="9"/>
  <c r="AK78" i="9"/>
  <c r="AF78" i="9"/>
  <c r="AJ8" i="9"/>
  <c r="AE9" i="9" s="1"/>
  <c r="AG78" i="9"/>
  <c r="AH78" i="9" s="1"/>
  <c r="AI78" i="9" s="1"/>
  <c r="AC79" i="9" s="1"/>
  <c r="AN38" i="7"/>
  <c r="AR38" i="7" s="1"/>
  <c r="AP38" i="8"/>
  <c r="AR38" i="8" s="1"/>
  <c r="AN39" i="8" s="1"/>
  <c r="AP36" i="5"/>
  <c r="AN36" i="5"/>
  <c r="AN32" i="6"/>
  <c r="AR32" i="6" s="1"/>
  <c r="AN33" i="6" s="1"/>
  <c r="AR33" i="4"/>
  <c r="AP34" i="4" s="1"/>
  <c r="AN32" i="3"/>
  <c r="AR32" i="3" s="1"/>
  <c r="AN33" i="3" s="1"/>
  <c r="AD44" i="9" l="1"/>
  <c r="AJ43" i="9"/>
  <c r="AE44" i="9" s="1"/>
  <c r="AD79" i="9"/>
  <c r="AK9" i="9"/>
  <c r="AF9" i="9"/>
  <c r="AJ78" i="9"/>
  <c r="AE79" i="9" s="1"/>
  <c r="AG9" i="9"/>
  <c r="AH9" i="9" s="1"/>
  <c r="AI9" i="9" s="1"/>
  <c r="AC10" i="9" s="1"/>
  <c r="AV38" i="7"/>
  <c r="AP39" i="7"/>
  <c r="AN39" i="7"/>
  <c r="AV38" i="8"/>
  <c r="AP39" i="8"/>
  <c r="AR39" i="8" s="1"/>
  <c r="AN40" i="8" s="1"/>
  <c r="AR36" i="5"/>
  <c r="AV36" i="5"/>
  <c r="AV32" i="6"/>
  <c r="AP33" i="6"/>
  <c r="AV33" i="6" s="1"/>
  <c r="AN34" i="4"/>
  <c r="AR34" i="4" s="1"/>
  <c r="AV32" i="3"/>
  <c r="AP33" i="3"/>
  <c r="AV33" i="3" s="1"/>
  <c r="AF44" i="9" l="1"/>
  <c r="AK44" i="9"/>
  <c r="AG44" i="9"/>
  <c r="AH44" i="9" s="1"/>
  <c r="AI44" i="9" s="1"/>
  <c r="AC45" i="9" s="1"/>
  <c r="AD45" i="9" s="1"/>
  <c r="AD10" i="9"/>
  <c r="AK79" i="9"/>
  <c r="AF79" i="9"/>
  <c r="AJ9" i="9"/>
  <c r="AE10" i="9" s="1"/>
  <c r="AG79" i="9"/>
  <c r="AH79" i="9" s="1"/>
  <c r="AI79" i="9" s="1"/>
  <c r="AC80" i="9" s="1"/>
  <c r="AR39" i="7"/>
  <c r="AN40" i="7" s="1"/>
  <c r="AV39" i="7"/>
  <c r="AP40" i="7"/>
  <c r="AV39" i="8"/>
  <c r="AP40" i="8"/>
  <c r="AV40" i="8" s="1"/>
  <c r="AP37" i="5"/>
  <c r="AN37" i="5"/>
  <c r="AR33" i="6"/>
  <c r="AN34" i="6" s="1"/>
  <c r="AV34" i="4"/>
  <c r="AN35" i="4"/>
  <c r="AP35" i="4"/>
  <c r="AR33" i="3"/>
  <c r="AN34" i="3" s="1"/>
  <c r="AJ44" i="9" l="1"/>
  <c r="AE45" i="9" s="1"/>
  <c r="AD80" i="9"/>
  <c r="AK10" i="9"/>
  <c r="AF10" i="9"/>
  <c r="AJ79" i="9"/>
  <c r="AE80" i="9" s="1"/>
  <c r="AG10" i="9"/>
  <c r="AH10" i="9" s="1"/>
  <c r="AI10" i="9" s="1"/>
  <c r="AC11" i="9" s="1"/>
  <c r="AV40" i="7"/>
  <c r="AR40" i="7"/>
  <c r="AN41" i="7" s="1"/>
  <c r="AR40" i="8"/>
  <c r="AP41" i="8" s="1"/>
  <c r="AN41" i="8"/>
  <c r="AR37" i="5"/>
  <c r="AN38" i="5" s="1"/>
  <c r="AV37" i="5"/>
  <c r="AP34" i="6"/>
  <c r="AR34" i="6" s="1"/>
  <c r="AP35" i="6" s="1"/>
  <c r="AR35" i="4"/>
  <c r="AN36" i="4" s="1"/>
  <c r="AV35" i="4"/>
  <c r="AP34" i="3"/>
  <c r="AR34" i="3" s="1"/>
  <c r="AG45" i="9" l="1"/>
  <c r="AH45" i="9" s="1"/>
  <c r="AI45" i="9" s="1"/>
  <c r="AC46" i="9" s="1"/>
  <c r="AK45" i="9"/>
  <c r="AF45" i="9"/>
  <c r="AD11" i="9"/>
  <c r="AK80" i="9"/>
  <c r="AF80" i="9"/>
  <c r="AJ10" i="9"/>
  <c r="AE11" i="9" s="1"/>
  <c r="AG80" i="9"/>
  <c r="AH80" i="9" s="1"/>
  <c r="AI80" i="9" s="1"/>
  <c r="AC81" i="9" s="1"/>
  <c r="AP41" i="7"/>
  <c r="AV41" i="7" s="1"/>
  <c r="AR41" i="8"/>
  <c r="AN42" i="8" s="1"/>
  <c r="AP42" i="8"/>
  <c r="AV41" i="8"/>
  <c r="AP38" i="5"/>
  <c r="AV38" i="5" s="1"/>
  <c r="AV34" i="6"/>
  <c r="AN35" i="6"/>
  <c r="AV35" i="6" s="1"/>
  <c r="AP36" i="4"/>
  <c r="AV36" i="4" s="1"/>
  <c r="AV34" i="3"/>
  <c r="AN35" i="3"/>
  <c r="AP35" i="3"/>
  <c r="AJ45" i="9" l="1"/>
  <c r="AE46" i="9" s="1"/>
  <c r="AF46" i="9" s="1"/>
  <c r="AG46" i="9"/>
  <c r="AH46" i="9" s="1"/>
  <c r="AD46" i="9"/>
  <c r="AD81" i="9"/>
  <c r="AK11" i="9"/>
  <c r="AF11" i="9"/>
  <c r="AJ80" i="9"/>
  <c r="AE81" i="9" s="1"/>
  <c r="AG11" i="9"/>
  <c r="AH11" i="9" s="1"/>
  <c r="AI11" i="9" s="1"/>
  <c r="AC12" i="9" s="1"/>
  <c r="AR41" i="7"/>
  <c r="AN42" i="7" s="1"/>
  <c r="AP42" i="7"/>
  <c r="AR42" i="8"/>
  <c r="AP43" i="8" s="1"/>
  <c r="AN43" i="8"/>
  <c r="AV42" i="8"/>
  <c r="AR38" i="5"/>
  <c r="AR35" i="6"/>
  <c r="AP36" i="6" s="1"/>
  <c r="AR36" i="4"/>
  <c r="AP37" i="4" s="1"/>
  <c r="AV35" i="3"/>
  <c r="AR35" i="3"/>
  <c r="AP36" i="3" s="1"/>
  <c r="AK46" i="9" l="1"/>
  <c r="AI46" i="9"/>
  <c r="AC47" i="9" s="1"/>
  <c r="AD47" i="9" s="1"/>
  <c r="AJ46" i="9"/>
  <c r="AE47" i="9" s="1"/>
  <c r="AD12" i="9"/>
  <c r="AK81" i="9"/>
  <c r="AF81" i="9"/>
  <c r="AJ11" i="9"/>
  <c r="AE12" i="9" s="1"/>
  <c r="AG81" i="9"/>
  <c r="AH81" i="9" s="1"/>
  <c r="AI81" i="9" s="1"/>
  <c r="AC82" i="9" s="1"/>
  <c r="AR42" i="7"/>
  <c r="AP43" i="7" s="1"/>
  <c r="AN43" i="7"/>
  <c r="AV42" i="7"/>
  <c r="AR43" i="8"/>
  <c r="AN44" i="8" s="1"/>
  <c r="AV43" i="8"/>
  <c r="AP39" i="5"/>
  <c r="AN39" i="5"/>
  <c r="AN36" i="6"/>
  <c r="AV36" i="6" s="1"/>
  <c r="AN37" i="4"/>
  <c r="AV37" i="4" s="1"/>
  <c r="AN36" i="3"/>
  <c r="AR36" i="3" s="1"/>
  <c r="AK47" i="9" l="1"/>
  <c r="AF47" i="9"/>
  <c r="AG47" i="9"/>
  <c r="AH47" i="9" s="1"/>
  <c r="AI47" i="9" s="1"/>
  <c r="AC48" i="9" s="1"/>
  <c r="AD48" i="9" s="1"/>
  <c r="AD82" i="9"/>
  <c r="AK12" i="9"/>
  <c r="AF12" i="9"/>
  <c r="AJ81" i="9"/>
  <c r="AE82" i="9" s="1"/>
  <c r="AG12" i="9"/>
  <c r="AH12" i="9" s="1"/>
  <c r="AI12" i="9" s="1"/>
  <c r="AC13" i="9" s="1"/>
  <c r="AR43" i="7"/>
  <c r="AV43" i="7"/>
  <c r="AP44" i="8"/>
  <c r="AV44" i="8" s="1"/>
  <c r="AV39" i="5"/>
  <c r="AR39" i="5"/>
  <c r="AR36" i="6"/>
  <c r="AN37" i="6" s="1"/>
  <c r="AR37" i="4"/>
  <c r="AN38" i="4" s="1"/>
  <c r="AP37" i="3"/>
  <c r="AN37" i="3"/>
  <c r="AV36" i="3"/>
  <c r="AJ47" i="9" l="1"/>
  <c r="AE48" i="9" s="1"/>
  <c r="AD13" i="9"/>
  <c r="AK82" i="9"/>
  <c r="AF82" i="9"/>
  <c r="AJ12" i="9"/>
  <c r="AE13" i="9" s="1"/>
  <c r="AG82" i="9"/>
  <c r="AH82" i="9" s="1"/>
  <c r="AI82" i="9" s="1"/>
  <c r="AC83" i="9" s="1"/>
  <c r="AP44" i="7"/>
  <c r="AN44" i="7"/>
  <c r="AR44" i="8"/>
  <c r="C5" i="8" s="1"/>
  <c r="K25" i="8" s="1"/>
  <c r="AP40" i="5"/>
  <c r="AN40" i="5"/>
  <c r="AP37" i="6"/>
  <c r="AV37" i="6" s="1"/>
  <c r="AP38" i="4"/>
  <c r="AV38" i="4" s="1"/>
  <c r="AV37" i="3"/>
  <c r="AR37" i="3"/>
  <c r="AG48" i="9" l="1"/>
  <c r="AH48" i="9" s="1"/>
  <c r="AI48" i="9" s="1"/>
  <c r="AC49" i="9" s="1"/>
  <c r="AK48" i="9"/>
  <c r="AF48" i="9"/>
  <c r="AJ48" i="9" s="1"/>
  <c r="AE49" i="9" s="1"/>
  <c r="AD83" i="9"/>
  <c r="AK13" i="9"/>
  <c r="AF13" i="9"/>
  <c r="AJ82" i="9"/>
  <c r="AE83" i="9" s="1"/>
  <c r="AG13" i="9"/>
  <c r="AH13" i="9" s="1"/>
  <c r="AI13" i="9" s="1"/>
  <c r="AC14" i="9" s="1"/>
  <c r="AR44" i="7"/>
  <c r="C5" i="7" s="1"/>
  <c r="W4" i="8"/>
  <c r="W12" i="8" s="1"/>
  <c r="G6" i="8"/>
  <c r="K26" i="8" s="1"/>
  <c r="K35" i="8"/>
  <c r="O6" i="8"/>
  <c r="O7" i="8" s="1"/>
  <c r="O9" i="8" s="1"/>
  <c r="O10" i="8" s="1"/>
  <c r="S6" i="8"/>
  <c r="S7" i="8" s="1"/>
  <c r="S9" i="8" s="1"/>
  <c r="S10" i="8" s="1"/>
  <c r="G49" i="8"/>
  <c r="G48" i="8"/>
  <c r="K23" i="8"/>
  <c r="W6" i="8"/>
  <c r="W7" i="8" s="1"/>
  <c r="W9" i="8" s="1"/>
  <c r="W10" i="8" s="1"/>
  <c r="K29" i="8"/>
  <c r="K16" i="8"/>
  <c r="K21" i="8"/>
  <c r="AV44" i="7"/>
  <c r="S4" i="8"/>
  <c r="S12" i="8" s="1"/>
  <c r="K27" i="8"/>
  <c r="G7" i="8"/>
  <c r="K22" i="8"/>
  <c r="O4" i="8"/>
  <c r="O12" i="8" s="1"/>
  <c r="K30" i="8"/>
  <c r="K24" i="8"/>
  <c r="K28" i="8"/>
  <c r="AR40" i="5"/>
  <c r="AN41" i="5" s="1"/>
  <c r="AV40" i="5"/>
  <c r="AR37" i="6"/>
  <c r="AN38" i="6" s="1"/>
  <c r="AR38" i="4"/>
  <c r="AN39" i="4" s="1"/>
  <c r="AN38" i="3"/>
  <c r="AP38" i="3"/>
  <c r="AK49" i="9" l="1"/>
  <c r="AF49" i="9"/>
  <c r="AD49" i="9"/>
  <c r="AG49" i="9"/>
  <c r="AH49" i="9" s="1"/>
  <c r="AD14" i="9"/>
  <c r="AK83" i="9"/>
  <c r="AF83" i="9"/>
  <c r="AJ13" i="9"/>
  <c r="AE14" i="9" s="1"/>
  <c r="AG83" i="9"/>
  <c r="AH83" i="9" s="1"/>
  <c r="AI83" i="9" s="1"/>
  <c r="AC84" i="9" s="1"/>
  <c r="K4" i="8"/>
  <c r="K5" i="8" s="1"/>
  <c r="K12" i="7"/>
  <c r="O5" i="7"/>
  <c r="O6" i="7" s="1"/>
  <c r="O8" i="7" s="1"/>
  <c r="O11" i="7" s="1"/>
  <c r="G49" i="7"/>
  <c r="K39" i="7"/>
  <c r="K24" i="7"/>
  <c r="G6" i="7"/>
  <c r="K22" i="7" s="1"/>
  <c r="K23" i="7"/>
  <c r="K25" i="7"/>
  <c r="K19" i="7"/>
  <c r="K18" i="7"/>
  <c r="O13" i="8"/>
  <c r="O16" i="8" s="1"/>
  <c r="S5" i="7"/>
  <c r="S6" i="7" s="1"/>
  <c r="S8" i="7" s="1"/>
  <c r="S9" i="7" s="1"/>
  <c r="S10" i="7" s="1"/>
  <c r="S14" i="7" s="1"/>
  <c r="W5" i="7"/>
  <c r="W6" i="7" s="1"/>
  <c r="W8" i="7" s="1"/>
  <c r="W11" i="7" s="1"/>
  <c r="G48" i="7"/>
  <c r="K26" i="7"/>
  <c r="S13" i="8"/>
  <c r="S16" i="8" s="1"/>
  <c r="K39" i="8"/>
  <c r="W13" i="8"/>
  <c r="W14" i="8" s="1"/>
  <c r="K38" i="8"/>
  <c r="K47" i="8"/>
  <c r="K46" i="8"/>
  <c r="AP41" i="5"/>
  <c r="AR41" i="5" s="1"/>
  <c r="AN42" i="5" s="1"/>
  <c r="AP38" i="6"/>
  <c r="AV38" i="6" s="1"/>
  <c r="AP39" i="4"/>
  <c r="AV39" i="4" s="1"/>
  <c r="AR38" i="3"/>
  <c r="AV38" i="3"/>
  <c r="AJ49" i="9" l="1"/>
  <c r="AE50" i="9" s="1"/>
  <c r="AI49" i="9"/>
  <c r="AC50" i="9" s="1"/>
  <c r="AD84" i="9"/>
  <c r="AK14" i="9"/>
  <c r="AF14" i="9"/>
  <c r="AJ83" i="9"/>
  <c r="AE84" i="9" s="1"/>
  <c r="AG14" i="9"/>
  <c r="AH14" i="9" s="1"/>
  <c r="AI14" i="9" s="1"/>
  <c r="AC15" i="9" s="1"/>
  <c r="O9" i="7"/>
  <c r="O10" i="7" s="1"/>
  <c r="O14" i="7" s="1"/>
  <c r="O19" i="7" s="1"/>
  <c r="G7" i="7"/>
  <c r="K34" i="7"/>
  <c r="K35" i="7"/>
  <c r="K42" i="7"/>
  <c r="K43" i="7"/>
  <c r="O14" i="8"/>
  <c r="O20" i="8" s="1"/>
  <c r="S11" i="7"/>
  <c r="S14" i="8"/>
  <c r="S20" i="8" s="1"/>
  <c r="W9" i="7"/>
  <c r="W10" i="7" s="1"/>
  <c r="W14" i="7" s="1"/>
  <c r="W19" i="7" s="1"/>
  <c r="W16" i="8"/>
  <c r="S19" i="7"/>
  <c r="S15" i="7"/>
  <c r="S18" i="7" s="1"/>
  <c r="W20" i="8"/>
  <c r="W15" i="8"/>
  <c r="AP42" i="5"/>
  <c r="AR42" i="5" s="1"/>
  <c r="AV41" i="5"/>
  <c r="AR38" i="6"/>
  <c r="AP39" i="6" s="1"/>
  <c r="AR39" i="4"/>
  <c r="AN40" i="4" s="1"/>
  <c r="AN39" i="3"/>
  <c r="AP39" i="3"/>
  <c r="AD50" i="9" l="1"/>
  <c r="AG50" i="9"/>
  <c r="AH50" i="9" s="1"/>
  <c r="AF50" i="9"/>
  <c r="AK50" i="9"/>
  <c r="AD15" i="9"/>
  <c r="AK84" i="9"/>
  <c r="AF84" i="9"/>
  <c r="AJ14" i="9"/>
  <c r="AE15" i="9" s="1"/>
  <c r="AG84" i="9"/>
  <c r="AH84" i="9" s="1"/>
  <c r="AI84" i="9" s="1"/>
  <c r="AC85" i="9" s="1"/>
  <c r="S20" i="7"/>
  <c r="S21" i="7" s="1"/>
  <c r="AF4" i="7" s="1"/>
  <c r="K14" i="7"/>
  <c r="O15" i="8"/>
  <c r="S15" i="8"/>
  <c r="O15" i="7"/>
  <c r="O18" i="7" s="1"/>
  <c r="O20" i="7" s="1"/>
  <c r="W15" i="7"/>
  <c r="W18" i="7" s="1"/>
  <c r="W20" i="7" s="1"/>
  <c r="K18" i="8"/>
  <c r="S23" i="8"/>
  <c r="S28" i="8"/>
  <c r="S30" i="8" s="1"/>
  <c r="O23" i="8"/>
  <c r="O28" i="8"/>
  <c r="O30" i="8" s="1"/>
  <c r="W23" i="8"/>
  <c r="W28" i="8"/>
  <c r="W30" i="8" s="1"/>
  <c r="AV42" i="5"/>
  <c r="AN43" i="5"/>
  <c r="AP43" i="5"/>
  <c r="AN39" i="6"/>
  <c r="AV39" i="6" s="1"/>
  <c r="AP40" i="4"/>
  <c r="AV40" i="4" s="1"/>
  <c r="AV39" i="3"/>
  <c r="AR39" i="3"/>
  <c r="AP40" i="3" s="1"/>
  <c r="AJ50" i="9" l="1"/>
  <c r="AE51" i="9" s="1"/>
  <c r="AF51" i="9" s="1"/>
  <c r="AI50" i="9"/>
  <c r="AC51" i="9" s="1"/>
  <c r="AD51" i="9" s="1"/>
  <c r="AD85" i="9"/>
  <c r="AK15" i="9"/>
  <c r="AF15" i="9"/>
  <c r="AJ84" i="9"/>
  <c r="AE85" i="9" s="1"/>
  <c r="AG15" i="9"/>
  <c r="AH15" i="9" s="1"/>
  <c r="AI15" i="9" s="1"/>
  <c r="AC16" i="9" s="1"/>
  <c r="AD4" i="7"/>
  <c r="G22" i="7"/>
  <c r="G23" i="7" s="1"/>
  <c r="O21" i="7"/>
  <c r="AH39" i="7" s="1"/>
  <c r="O23" i="7"/>
  <c r="O26" i="7" s="1"/>
  <c r="O28" i="7" s="1"/>
  <c r="W21" i="7"/>
  <c r="G42" i="7"/>
  <c r="G43" i="7" s="1"/>
  <c r="W23" i="7"/>
  <c r="W26" i="7" s="1"/>
  <c r="W28" i="7" s="1"/>
  <c r="S23" i="7"/>
  <c r="S26" i="7" s="1"/>
  <c r="S28" i="7" s="1"/>
  <c r="G29" i="7"/>
  <c r="G30" i="7" s="1"/>
  <c r="AF74" i="8"/>
  <c r="AH74" i="8"/>
  <c r="AD74" i="8"/>
  <c r="AH39" i="8"/>
  <c r="AF39" i="8"/>
  <c r="AD39" i="8"/>
  <c r="AH4" i="8"/>
  <c r="AD4" i="8"/>
  <c r="AF4" i="8"/>
  <c r="AV43" i="5"/>
  <c r="AR43" i="5"/>
  <c r="AR39" i="6"/>
  <c r="AP40" i="6" s="1"/>
  <c r="AR40" i="4"/>
  <c r="AN41" i="4" s="1"/>
  <c r="AN40" i="3"/>
  <c r="AR40" i="3" s="1"/>
  <c r="AN41" i="3" s="1"/>
  <c r="AK51" i="9" l="1"/>
  <c r="AG51" i="9"/>
  <c r="AH51" i="9" s="1"/>
  <c r="AI51" i="9" s="1"/>
  <c r="AC52" i="9" s="1"/>
  <c r="AD16" i="9"/>
  <c r="AK85" i="9"/>
  <c r="AF85" i="9"/>
  <c r="AJ15" i="9"/>
  <c r="AE16" i="9" s="1"/>
  <c r="AG85" i="9"/>
  <c r="AH85" i="9" s="1"/>
  <c r="AI85" i="9" s="1"/>
  <c r="AC86" i="9" s="1"/>
  <c r="AF39" i="7"/>
  <c r="AJ39" i="7" s="1"/>
  <c r="AE40" i="7" s="1"/>
  <c r="AF40" i="7" s="1"/>
  <c r="AD39" i="7"/>
  <c r="AI39" i="7" s="1"/>
  <c r="AC40" i="7" s="1"/>
  <c r="AD40" i="7" s="1"/>
  <c r="AH4" i="7"/>
  <c r="AH74" i="7"/>
  <c r="AD74" i="7"/>
  <c r="AF74" i="7"/>
  <c r="AI39" i="8"/>
  <c r="AC40" i="8" s="1"/>
  <c r="AD40" i="8" s="1"/>
  <c r="AJ39" i="8"/>
  <c r="AE40" i="8" s="1"/>
  <c r="AI74" i="8"/>
  <c r="AC75" i="8" s="1"/>
  <c r="AD75" i="8" s="1"/>
  <c r="AJ4" i="8"/>
  <c r="AE5" i="8" s="1"/>
  <c r="AI4" i="8"/>
  <c r="AC5" i="8" s="1"/>
  <c r="AJ74" i="8"/>
  <c r="AE75" i="8" s="1"/>
  <c r="AN44" i="5"/>
  <c r="AP44" i="5"/>
  <c r="AN40" i="6"/>
  <c r="AV40" i="6" s="1"/>
  <c r="AP41" i="4"/>
  <c r="AR41" i="4" s="1"/>
  <c r="AP41" i="3"/>
  <c r="AR41" i="3" s="1"/>
  <c r="AV40" i="3"/>
  <c r="AD52" i="9" l="1"/>
  <c r="AJ51" i="9"/>
  <c r="AE52" i="9" s="1"/>
  <c r="AG52" i="9" s="1"/>
  <c r="AH52" i="9" s="1"/>
  <c r="AD86" i="9"/>
  <c r="AJ85" i="9"/>
  <c r="AE86" i="9" s="1"/>
  <c r="AK16" i="9"/>
  <c r="AF16" i="9"/>
  <c r="AG16" i="9"/>
  <c r="AH16" i="9" s="1"/>
  <c r="AI16" i="9" s="1"/>
  <c r="AC17" i="9" s="1"/>
  <c r="AK40" i="7"/>
  <c r="AG40" i="7"/>
  <c r="AH40" i="7" s="1"/>
  <c r="AJ74" i="7"/>
  <c r="AE75" i="7" s="1"/>
  <c r="AF75" i="7" s="1"/>
  <c r="AI74" i="7"/>
  <c r="AC75" i="7" s="1"/>
  <c r="AJ4" i="7"/>
  <c r="AE5" i="7" s="1"/>
  <c r="AI4" i="7"/>
  <c r="AC5" i="7" s="1"/>
  <c r="AG40" i="8"/>
  <c r="AH40" i="8" s="1"/>
  <c r="AI40" i="8" s="1"/>
  <c r="AC41" i="8" s="1"/>
  <c r="AD41" i="8" s="1"/>
  <c r="AF40" i="8"/>
  <c r="AK40" i="8"/>
  <c r="AG75" i="8"/>
  <c r="AH75" i="8" s="1"/>
  <c r="AI75" i="8" s="1"/>
  <c r="AC76" i="8" s="1"/>
  <c r="AK75" i="8"/>
  <c r="AF75" i="8"/>
  <c r="AK5" i="8"/>
  <c r="AF5" i="8"/>
  <c r="AG5" i="8"/>
  <c r="AH5" i="8" s="1"/>
  <c r="AD5" i="8"/>
  <c r="AV44" i="5"/>
  <c r="AR44" i="5"/>
  <c r="C5" i="5" s="1"/>
  <c r="G7" i="5" s="1"/>
  <c r="AR40" i="6"/>
  <c r="AN41" i="6" s="1"/>
  <c r="AV41" i="4"/>
  <c r="AP42" i="4"/>
  <c r="AN42" i="4"/>
  <c r="AV41" i="3"/>
  <c r="AN42" i="3"/>
  <c r="AP42" i="3"/>
  <c r="AF52" i="9" l="1"/>
  <c r="AJ52" i="9" s="1"/>
  <c r="AE53" i="9" s="1"/>
  <c r="AK52" i="9"/>
  <c r="AI52" i="9"/>
  <c r="AC53" i="9" s="1"/>
  <c r="AD17" i="9"/>
  <c r="AJ16" i="9"/>
  <c r="AE17" i="9" s="1"/>
  <c r="AK86" i="9"/>
  <c r="AF86" i="9"/>
  <c r="AG86" i="9"/>
  <c r="AH86" i="9" s="1"/>
  <c r="AI86" i="9" s="1"/>
  <c r="AC87" i="9" s="1"/>
  <c r="AG75" i="7"/>
  <c r="AH75" i="7" s="1"/>
  <c r="AJ75" i="7" s="1"/>
  <c r="AE76" i="7" s="1"/>
  <c r="AD75" i="7"/>
  <c r="AI40" i="7"/>
  <c r="AC41" i="7" s="1"/>
  <c r="AJ40" i="7"/>
  <c r="AE41" i="7" s="1"/>
  <c r="AK75" i="7"/>
  <c r="AD5" i="7"/>
  <c r="AG5" i="7"/>
  <c r="AH5" i="7" s="1"/>
  <c r="AK5" i="7"/>
  <c r="AF5" i="7"/>
  <c r="AJ40" i="8"/>
  <c r="AE41" i="8" s="1"/>
  <c r="AG41" i="8" s="1"/>
  <c r="AH41" i="8" s="1"/>
  <c r="AI41" i="8" s="1"/>
  <c r="AC42" i="8" s="1"/>
  <c r="AD42" i="8" s="1"/>
  <c r="AJ75" i="8"/>
  <c r="AE76" i="8" s="1"/>
  <c r="AK76" i="8" s="1"/>
  <c r="AI5" i="8"/>
  <c r="AC6" i="8" s="1"/>
  <c r="AD6" i="8" s="1"/>
  <c r="AJ5" i="8"/>
  <c r="AE6" i="8" s="1"/>
  <c r="AD76" i="8"/>
  <c r="K22" i="5"/>
  <c r="G6" i="5"/>
  <c r="K26" i="5" s="1"/>
  <c r="G49" i="5"/>
  <c r="W4" i="5"/>
  <c r="W6" i="5"/>
  <c r="W7" i="5" s="1"/>
  <c r="W9" i="5" s="1"/>
  <c r="S6" i="5"/>
  <c r="S7" i="5" s="1"/>
  <c r="S9" i="5" s="1"/>
  <c r="S10" i="5" s="1"/>
  <c r="O6" i="5"/>
  <c r="S4" i="5"/>
  <c r="S12" i="5" s="1"/>
  <c r="O4" i="5"/>
  <c r="O12" i="5" s="1"/>
  <c r="G48" i="5"/>
  <c r="K30" i="5"/>
  <c r="K24" i="5"/>
  <c r="K29" i="5"/>
  <c r="K27" i="5"/>
  <c r="K23" i="5"/>
  <c r="K16" i="5"/>
  <c r="K35" i="5"/>
  <c r="K25" i="5"/>
  <c r="K28" i="5"/>
  <c r="K21" i="5"/>
  <c r="AP41" i="6"/>
  <c r="AR41" i="6" s="1"/>
  <c r="AN42" i="6" s="1"/>
  <c r="AR42" i="4"/>
  <c r="AP43" i="4" s="1"/>
  <c r="AV42" i="4"/>
  <c r="AV42" i="3"/>
  <c r="AR42" i="3"/>
  <c r="O7" i="5" l="1"/>
  <c r="O9" i="5" s="1"/>
  <c r="AD53" i="9"/>
  <c r="AG53" i="9"/>
  <c r="AH53" i="9" s="1"/>
  <c r="AF53" i="9"/>
  <c r="AK53" i="9"/>
  <c r="AD87" i="9"/>
  <c r="AK17" i="9"/>
  <c r="AF17" i="9"/>
  <c r="AJ86" i="9"/>
  <c r="AE87" i="9" s="1"/>
  <c r="AG17" i="9"/>
  <c r="AH17" i="9" s="1"/>
  <c r="AI17" i="9" s="1"/>
  <c r="AC18" i="9" s="1"/>
  <c r="AI75" i="7"/>
  <c r="AC76" i="7" s="1"/>
  <c r="AD76" i="7" s="1"/>
  <c r="AF41" i="8"/>
  <c r="AJ41" i="8" s="1"/>
  <c r="AE42" i="8" s="1"/>
  <c r="AK42" i="8" s="1"/>
  <c r="AJ5" i="7"/>
  <c r="AE6" i="7" s="1"/>
  <c r="AF6" i="7" s="1"/>
  <c r="AK41" i="7"/>
  <c r="AF41" i="7"/>
  <c r="AD41" i="7"/>
  <c r="AG41" i="7"/>
  <c r="AH41" i="7" s="1"/>
  <c r="AI5" i="7"/>
  <c r="AC6" i="7" s="1"/>
  <c r="AD6" i="7" s="1"/>
  <c r="AF76" i="7"/>
  <c r="AK41" i="8"/>
  <c r="AF76" i="8"/>
  <c r="AG76" i="8"/>
  <c r="AH76" i="8" s="1"/>
  <c r="AI76" i="8" s="1"/>
  <c r="AC77" i="8" s="1"/>
  <c r="AD77" i="8" s="1"/>
  <c r="AK6" i="8"/>
  <c r="AF6" i="8"/>
  <c r="AG6" i="8"/>
  <c r="AH6" i="8" s="1"/>
  <c r="AI6" i="8" s="1"/>
  <c r="AC7" i="8" s="1"/>
  <c r="W12" i="5"/>
  <c r="W13" i="5" s="1"/>
  <c r="W10" i="5"/>
  <c r="S13" i="5"/>
  <c r="K47" i="5"/>
  <c r="K46" i="5"/>
  <c r="K38" i="5"/>
  <c r="K4" i="5"/>
  <c r="K39" i="5"/>
  <c r="AV41" i="6"/>
  <c r="AP42" i="6"/>
  <c r="AR42" i="6" s="1"/>
  <c r="AN43" i="6" s="1"/>
  <c r="AN43" i="4"/>
  <c r="AR43" i="4" s="1"/>
  <c r="AP44" i="4" s="1"/>
  <c r="AN43" i="3"/>
  <c r="AP43" i="3"/>
  <c r="O10" i="5" l="1"/>
  <c r="O13" i="5"/>
  <c r="O16" i="5" s="1"/>
  <c r="AI53" i="9"/>
  <c r="AC54" i="9" s="1"/>
  <c r="AD54" i="9" s="1"/>
  <c r="AJ53" i="9"/>
  <c r="AE54" i="9" s="1"/>
  <c r="AF54" i="9" s="1"/>
  <c r="AG76" i="7"/>
  <c r="AH76" i="7" s="1"/>
  <c r="AI76" i="7" s="1"/>
  <c r="AC77" i="7" s="1"/>
  <c r="AD77" i="7" s="1"/>
  <c r="AK76" i="7"/>
  <c r="AD18" i="9"/>
  <c r="AK87" i="9"/>
  <c r="AF87" i="9"/>
  <c r="AJ17" i="9"/>
  <c r="AE18" i="9" s="1"/>
  <c r="AG87" i="9"/>
  <c r="AH87" i="9" s="1"/>
  <c r="AI87" i="9" s="1"/>
  <c r="AC88" i="9" s="1"/>
  <c r="AK6" i="7"/>
  <c r="AG6" i="7"/>
  <c r="AH6" i="7" s="1"/>
  <c r="AI6" i="7" s="1"/>
  <c r="AC7" i="7" s="1"/>
  <c r="AD7" i="7" s="1"/>
  <c r="AJ41" i="7"/>
  <c r="AE42" i="7" s="1"/>
  <c r="AI41" i="7"/>
  <c r="AC42" i="7" s="1"/>
  <c r="AG42" i="8"/>
  <c r="AH42" i="8" s="1"/>
  <c r="AI42" i="8" s="1"/>
  <c r="AC43" i="8" s="1"/>
  <c r="AD43" i="8" s="1"/>
  <c r="AF42" i="8"/>
  <c r="AJ76" i="8"/>
  <c r="AE77" i="8" s="1"/>
  <c r="AG77" i="8" s="1"/>
  <c r="AH77" i="8" s="1"/>
  <c r="AI77" i="8" s="1"/>
  <c r="AC78" i="8" s="1"/>
  <c r="AJ6" i="8"/>
  <c r="AE7" i="8" s="1"/>
  <c r="AG7" i="8" s="1"/>
  <c r="AH7" i="8" s="1"/>
  <c r="AD7" i="8"/>
  <c r="K5" i="5"/>
  <c r="W14" i="5"/>
  <c r="W16" i="5"/>
  <c r="S14" i="5"/>
  <c r="S16" i="5"/>
  <c r="AP43" i="6"/>
  <c r="AR43" i="6" s="1"/>
  <c r="AN44" i="6" s="1"/>
  <c r="AV42" i="6"/>
  <c r="AV43" i="4"/>
  <c r="AN44" i="4"/>
  <c r="AV44" i="4" s="1"/>
  <c r="AR43" i="3"/>
  <c r="AV43" i="3"/>
  <c r="O14" i="5" l="1"/>
  <c r="AG54" i="9"/>
  <c r="AH54" i="9" s="1"/>
  <c r="AK54" i="9"/>
  <c r="AJ76" i="7"/>
  <c r="AE77" i="7" s="1"/>
  <c r="AG77" i="7" s="1"/>
  <c r="AH77" i="7" s="1"/>
  <c r="AI77" i="7" s="1"/>
  <c r="AC78" i="7" s="1"/>
  <c r="AI54" i="9"/>
  <c r="AC55" i="9" s="1"/>
  <c r="AD55" i="9" s="1"/>
  <c r="AJ54" i="9"/>
  <c r="AE55" i="9" s="1"/>
  <c r="AD88" i="9"/>
  <c r="AK18" i="9"/>
  <c r="AF18" i="9"/>
  <c r="AJ87" i="9"/>
  <c r="AE88" i="9" s="1"/>
  <c r="AG18" i="9"/>
  <c r="AH18" i="9" s="1"/>
  <c r="AI18" i="9" s="1"/>
  <c r="AC19" i="9" s="1"/>
  <c r="AJ6" i="7"/>
  <c r="AE7" i="7" s="1"/>
  <c r="AK7" i="7" s="1"/>
  <c r="AJ42" i="8"/>
  <c r="AE43" i="8" s="1"/>
  <c r="AF43" i="8" s="1"/>
  <c r="AG42" i="7"/>
  <c r="AH42" i="7" s="1"/>
  <c r="AD42" i="7"/>
  <c r="AF42" i="7"/>
  <c r="AK42" i="7"/>
  <c r="AF77" i="7"/>
  <c r="AK77" i="7"/>
  <c r="AF77" i="8"/>
  <c r="AJ77" i="8" s="1"/>
  <c r="AE78" i="8" s="1"/>
  <c r="AK77" i="8"/>
  <c r="AK7" i="8"/>
  <c r="AF7" i="8"/>
  <c r="AJ7" i="8" s="1"/>
  <c r="AE8" i="8" s="1"/>
  <c r="AD78" i="8"/>
  <c r="AI7" i="8"/>
  <c r="AC8" i="8" s="1"/>
  <c r="AD8" i="8" s="1"/>
  <c r="O15" i="5"/>
  <c r="O20" i="5"/>
  <c r="S15" i="5"/>
  <c r="S20" i="5"/>
  <c r="W15" i="5"/>
  <c r="W20" i="5"/>
  <c r="AV43" i="6"/>
  <c r="AP44" i="6"/>
  <c r="AV44" i="6" s="1"/>
  <c r="AR44" i="4"/>
  <c r="AP44" i="3"/>
  <c r="AN44" i="3"/>
  <c r="AJ77" i="7" l="1"/>
  <c r="AE78" i="7" s="1"/>
  <c r="AK55" i="9"/>
  <c r="AF55" i="9"/>
  <c r="AG55" i="9"/>
  <c r="AH55" i="9" s="1"/>
  <c r="AI55" i="9" s="1"/>
  <c r="AC56" i="9" s="1"/>
  <c r="AD19" i="9"/>
  <c r="AK88" i="9"/>
  <c r="AF88" i="9"/>
  <c r="AJ18" i="9"/>
  <c r="AE19" i="9" s="1"/>
  <c r="AG88" i="9"/>
  <c r="AH88" i="9" s="1"/>
  <c r="AI88" i="9" s="1"/>
  <c r="AC89" i="9" s="1"/>
  <c r="AF7" i="7"/>
  <c r="AG7" i="7"/>
  <c r="AH7" i="7" s="1"/>
  <c r="AK43" i="8"/>
  <c r="AI42" i="7"/>
  <c r="AC43" i="7" s="1"/>
  <c r="AD43" i="7" s="1"/>
  <c r="AG43" i="8"/>
  <c r="AH43" i="8" s="1"/>
  <c r="AI43" i="8" s="1"/>
  <c r="AC44" i="8" s="1"/>
  <c r="AD44" i="8" s="1"/>
  <c r="AJ42" i="7"/>
  <c r="AE43" i="7" s="1"/>
  <c r="AF78" i="7"/>
  <c r="AK78" i="7"/>
  <c r="AD78" i="7"/>
  <c r="AG78" i="7"/>
  <c r="AH78" i="7" s="1"/>
  <c r="AK78" i="8"/>
  <c r="AG78" i="8"/>
  <c r="AH78" i="8" s="1"/>
  <c r="AI78" i="8" s="1"/>
  <c r="AC79" i="8" s="1"/>
  <c r="AF78" i="8"/>
  <c r="O28" i="5"/>
  <c r="O30" i="5" s="1"/>
  <c r="AG8" i="8"/>
  <c r="AH8" i="8" s="1"/>
  <c r="AI8" i="8" s="1"/>
  <c r="AC9" i="8" s="1"/>
  <c r="AK8" i="8"/>
  <c r="AF8" i="8"/>
  <c r="W23" i="5"/>
  <c r="AF74" i="5" s="1"/>
  <c r="W28" i="5"/>
  <c r="W30" i="5" s="1"/>
  <c r="S23" i="5"/>
  <c r="AH4" i="5" s="1"/>
  <c r="S28" i="5"/>
  <c r="S30" i="5" s="1"/>
  <c r="O23" i="5"/>
  <c r="AD39" i="5" s="1"/>
  <c r="AR44" i="6"/>
  <c r="C5" i="6" s="1"/>
  <c r="G6" i="6" s="1"/>
  <c r="C17" i="4"/>
  <c r="O6" i="4" s="1"/>
  <c r="AR44" i="3"/>
  <c r="C15" i="3" s="1"/>
  <c r="O5" i="3" s="1"/>
  <c r="AV44" i="3"/>
  <c r="AJ55" i="9" l="1"/>
  <c r="AE56" i="9" s="1"/>
  <c r="AD56" i="9"/>
  <c r="AG56" i="9"/>
  <c r="AH56" i="9" s="1"/>
  <c r="AI56" i="9" s="1"/>
  <c r="AC57" i="9" s="1"/>
  <c r="AD89" i="9"/>
  <c r="AK19" i="9"/>
  <c r="AF19" i="9"/>
  <c r="AJ88" i="9"/>
  <c r="AE89" i="9" s="1"/>
  <c r="AG19" i="9"/>
  <c r="AH19" i="9" s="1"/>
  <c r="AI19" i="9" s="1"/>
  <c r="AC20" i="9" s="1"/>
  <c r="AI7" i="7"/>
  <c r="AC8" i="7" s="1"/>
  <c r="AJ7" i="7"/>
  <c r="AE8" i="7" s="1"/>
  <c r="AJ43" i="8"/>
  <c r="AE44" i="8" s="1"/>
  <c r="AF44" i="8" s="1"/>
  <c r="AF43" i="7"/>
  <c r="AG43" i="7"/>
  <c r="AH43" i="7" s="1"/>
  <c r="AK43" i="7"/>
  <c r="AI78" i="7"/>
  <c r="AC79" i="7" s="1"/>
  <c r="AD79" i="7" s="1"/>
  <c r="AJ78" i="7"/>
  <c r="AE79" i="7" s="1"/>
  <c r="AJ78" i="8"/>
  <c r="AE79" i="8" s="1"/>
  <c r="AF79" i="8" s="1"/>
  <c r="AD79" i="8"/>
  <c r="AJ8" i="8"/>
  <c r="AE9" i="8" s="1"/>
  <c r="AG9" i="8" s="1"/>
  <c r="AH9" i="8" s="1"/>
  <c r="AD9" i="8"/>
  <c r="AD4" i="5"/>
  <c r="AI4" i="5" s="1"/>
  <c r="AC5" i="5" s="1"/>
  <c r="AD5" i="5" s="1"/>
  <c r="AD74" i="5"/>
  <c r="AH74" i="5"/>
  <c r="AJ74" i="5" s="1"/>
  <c r="AE75" i="5" s="1"/>
  <c r="AF75" i="5" s="1"/>
  <c r="K18" i="6"/>
  <c r="G7" i="6"/>
  <c r="AF4" i="5"/>
  <c r="AJ4" i="5" s="1"/>
  <c r="AE5" i="5" s="1"/>
  <c r="AF5" i="5" s="1"/>
  <c r="W5" i="6"/>
  <c r="W6" i="6" s="1"/>
  <c r="W8" i="6" s="1"/>
  <c r="W9" i="6" s="1"/>
  <c r="W10" i="6" s="1"/>
  <c r="AH39" i="5"/>
  <c r="AI39" i="5" s="1"/>
  <c r="AC40" i="5" s="1"/>
  <c r="AD40" i="5" s="1"/>
  <c r="AF39" i="5"/>
  <c r="O5" i="6"/>
  <c r="O6" i="6" s="1"/>
  <c r="O8" i="6" s="1"/>
  <c r="O9" i="6" s="1"/>
  <c r="O10" i="6" s="1"/>
  <c r="S5" i="6"/>
  <c r="S6" i="6" s="1"/>
  <c r="S8" i="6" s="1"/>
  <c r="K21" i="6"/>
  <c r="G48" i="6"/>
  <c r="K38" i="6"/>
  <c r="O6" i="3"/>
  <c r="W6" i="4"/>
  <c r="W7" i="4" s="1"/>
  <c r="W8" i="4" s="1"/>
  <c r="O8" i="4"/>
  <c r="S6" i="4"/>
  <c r="S7" i="4" s="1"/>
  <c r="S5" i="3"/>
  <c r="S7" i="3" s="1"/>
  <c r="S8" i="3" s="1"/>
  <c r="S12" i="3" s="1"/>
  <c r="S13" i="3" s="1"/>
  <c r="W5" i="3"/>
  <c r="W6" i="3" s="1"/>
  <c r="S29" i="3"/>
  <c r="K19" i="3"/>
  <c r="K17" i="6"/>
  <c r="K21" i="4"/>
  <c r="K22" i="4"/>
  <c r="K18" i="3"/>
  <c r="K24" i="6"/>
  <c r="K23" i="6"/>
  <c r="K25" i="6"/>
  <c r="K12" i="6"/>
  <c r="G49" i="6"/>
  <c r="K22" i="6"/>
  <c r="K25" i="4"/>
  <c r="K28" i="4"/>
  <c r="G41" i="4"/>
  <c r="S4" i="4"/>
  <c r="S10" i="4" s="1"/>
  <c r="G7" i="4"/>
  <c r="K30" i="4"/>
  <c r="O4" i="4"/>
  <c r="O11" i="4" s="1"/>
  <c r="K27" i="4"/>
  <c r="K35" i="4"/>
  <c r="W4" i="4"/>
  <c r="W10" i="4" s="1"/>
  <c r="K16" i="4"/>
  <c r="K23" i="4"/>
  <c r="K24" i="4"/>
  <c r="K29" i="4"/>
  <c r="G40" i="4"/>
  <c r="G6" i="4"/>
  <c r="K26" i="4" s="1"/>
  <c r="G40" i="3"/>
  <c r="K23" i="3"/>
  <c r="G6" i="3"/>
  <c r="K22" i="3" s="1"/>
  <c r="G41" i="3"/>
  <c r="K25" i="3"/>
  <c r="K26" i="3"/>
  <c r="K24" i="3"/>
  <c r="G7" i="3"/>
  <c r="K13" i="3"/>
  <c r="K39" i="3"/>
  <c r="AD57" i="9" l="1"/>
  <c r="AK56" i="9"/>
  <c r="AF56" i="9"/>
  <c r="AJ56" i="9" s="1"/>
  <c r="AE57" i="9" s="1"/>
  <c r="AD20" i="9"/>
  <c r="AK89" i="9"/>
  <c r="AF89" i="9"/>
  <c r="AJ19" i="9"/>
  <c r="AE20" i="9" s="1"/>
  <c r="AG89" i="9"/>
  <c r="AH89" i="9" s="1"/>
  <c r="AI89" i="9" s="1"/>
  <c r="AC90" i="9" s="1"/>
  <c r="AK44" i="8"/>
  <c r="AG44" i="8"/>
  <c r="AH44" i="8" s="1"/>
  <c r="AI44" i="8" s="1"/>
  <c r="AC45" i="8" s="1"/>
  <c r="AD45" i="8" s="1"/>
  <c r="AK8" i="7"/>
  <c r="AF8" i="7"/>
  <c r="AD8" i="7"/>
  <c r="AG8" i="7"/>
  <c r="AH8" i="7" s="1"/>
  <c r="AJ43" i="7"/>
  <c r="AE44" i="7" s="1"/>
  <c r="AF44" i="7" s="1"/>
  <c r="AI43" i="7"/>
  <c r="AC44" i="7" s="1"/>
  <c r="AF79" i="7"/>
  <c r="AK79" i="7"/>
  <c r="AG79" i="7"/>
  <c r="AH79" i="7" s="1"/>
  <c r="AI79" i="7" s="1"/>
  <c r="AC80" i="7" s="1"/>
  <c r="AG79" i="8"/>
  <c r="AH79" i="8" s="1"/>
  <c r="AJ79" i="8" s="1"/>
  <c r="AE80" i="8" s="1"/>
  <c r="AF80" i="8" s="1"/>
  <c r="AK79" i="8"/>
  <c r="AF9" i="8"/>
  <c r="AJ9" i="8" s="1"/>
  <c r="AE10" i="8" s="1"/>
  <c r="AF10" i="8" s="1"/>
  <c r="AK9" i="8"/>
  <c r="AI9" i="8"/>
  <c r="AC10" i="8" s="1"/>
  <c r="AD10" i="8" s="1"/>
  <c r="AI74" i="5"/>
  <c r="AC75" i="5" s="1"/>
  <c r="AK75" i="5" s="1"/>
  <c r="AK5" i="5"/>
  <c r="AG5" i="5"/>
  <c r="AH5" i="5" s="1"/>
  <c r="AJ5" i="5" s="1"/>
  <c r="AE6" i="5" s="1"/>
  <c r="AF6" i="5" s="1"/>
  <c r="AJ39" i="5"/>
  <c r="AE40" i="5" s="1"/>
  <c r="AF40" i="5" s="1"/>
  <c r="O7" i="3"/>
  <c r="K35" i="3"/>
  <c r="K34" i="3"/>
  <c r="W11" i="6"/>
  <c r="O11" i="6"/>
  <c r="S9" i="6"/>
  <c r="S10" i="6" s="1"/>
  <c r="S14" i="6" s="1"/>
  <c r="S15" i="6" s="1"/>
  <c r="S18" i="6" s="1"/>
  <c r="S20" i="6" s="1"/>
  <c r="S11" i="6"/>
  <c r="O14" i="6"/>
  <c r="O19" i="6" s="1"/>
  <c r="W14" i="6"/>
  <c r="W19" i="6" s="1"/>
  <c r="K34" i="6"/>
  <c r="K33" i="6"/>
  <c r="O7" i="4"/>
  <c r="O9" i="4" s="1"/>
  <c r="O8" i="3"/>
  <c r="O9" i="3" s="1"/>
  <c r="K38" i="4"/>
  <c r="K42" i="3"/>
  <c r="K41" i="6"/>
  <c r="K42" i="6"/>
  <c r="K47" i="4"/>
  <c r="K46" i="4"/>
  <c r="S11" i="4"/>
  <c r="S12" i="4" s="1"/>
  <c r="S17" i="4" s="1"/>
  <c r="S25" i="4" s="1"/>
  <c r="W11" i="4"/>
  <c r="W12" i="4" s="1"/>
  <c r="W13" i="4" s="1"/>
  <c r="K39" i="4"/>
  <c r="S8" i="4"/>
  <c r="K4" i="4"/>
  <c r="K5" i="4" s="1"/>
  <c r="W7" i="3"/>
  <c r="W8" i="3" s="1"/>
  <c r="W12" i="3" s="1"/>
  <c r="S6" i="3"/>
  <c r="K43" i="3"/>
  <c r="S18" i="3"/>
  <c r="S17" i="3"/>
  <c r="AK57" i="9" l="1"/>
  <c r="AF57" i="9"/>
  <c r="AG57" i="9"/>
  <c r="AH57" i="9" s="1"/>
  <c r="AI57" i="9" s="1"/>
  <c r="AC58" i="9" s="1"/>
  <c r="AD90" i="9"/>
  <c r="AK20" i="9"/>
  <c r="AF20" i="9"/>
  <c r="AJ89" i="9"/>
  <c r="AE90" i="9" s="1"/>
  <c r="AG20" i="9"/>
  <c r="AH20" i="9" s="1"/>
  <c r="AI20" i="9" s="1"/>
  <c r="AC21" i="9" s="1"/>
  <c r="AI8" i="7"/>
  <c r="AC9" i="7" s="1"/>
  <c r="AD9" i="7" s="1"/>
  <c r="AJ44" i="8"/>
  <c r="AE45" i="8" s="1"/>
  <c r="AG45" i="8" s="1"/>
  <c r="AH45" i="8" s="1"/>
  <c r="AI45" i="8" s="1"/>
  <c r="AC46" i="8" s="1"/>
  <c r="AD46" i="8" s="1"/>
  <c r="AJ8" i="7"/>
  <c r="AE9" i="7" s="1"/>
  <c r="AI79" i="8"/>
  <c r="AC80" i="8" s="1"/>
  <c r="AK80" i="8" s="1"/>
  <c r="AK44" i="7"/>
  <c r="AG44" i="7"/>
  <c r="AH44" i="7" s="1"/>
  <c r="AJ44" i="7" s="1"/>
  <c r="AE45" i="7" s="1"/>
  <c r="AF45" i="7" s="1"/>
  <c r="AD44" i="7"/>
  <c r="AD80" i="7"/>
  <c r="AJ79" i="7"/>
  <c r="AE80" i="7" s="1"/>
  <c r="AG10" i="8"/>
  <c r="AH10" i="8" s="1"/>
  <c r="AJ10" i="8" s="1"/>
  <c r="AE11" i="8" s="1"/>
  <c r="AF11" i="8" s="1"/>
  <c r="AK10" i="8"/>
  <c r="AG75" i="5"/>
  <c r="AH75" i="5" s="1"/>
  <c r="AJ75" i="5" s="1"/>
  <c r="AE76" i="5" s="1"/>
  <c r="AF76" i="5" s="1"/>
  <c r="AD75" i="5"/>
  <c r="AI5" i="5"/>
  <c r="AC6" i="5" s="1"/>
  <c r="AD6" i="5" s="1"/>
  <c r="AG40" i="5"/>
  <c r="AH40" i="5" s="1"/>
  <c r="AJ40" i="5" s="1"/>
  <c r="AE41" i="5" s="1"/>
  <c r="AF41" i="5" s="1"/>
  <c r="S23" i="6"/>
  <c r="G29" i="6"/>
  <c r="G30" i="6" s="1"/>
  <c r="AK40" i="5"/>
  <c r="W15" i="6"/>
  <c r="W18" i="6" s="1"/>
  <c r="W20" i="6" s="1"/>
  <c r="S19" i="6"/>
  <c r="S21" i="6" s="1"/>
  <c r="AD4" i="6" s="1"/>
  <c r="O15" i="6"/>
  <c r="O18" i="6" s="1"/>
  <c r="O20" i="6" s="1"/>
  <c r="O12" i="4"/>
  <c r="O13" i="4" s="1"/>
  <c r="O14" i="4" s="1"/>
  <c r="S20" i="4"/>
  <c r="S13" i="4"/>
  <c r="W17" i="4"/>
  <c r="W20" i="4" s="1"/>
  <c r="S19" i="3"/>
  <c r="S22" i="3" s="1"/>
  <c r="W13" i="3"/>
  <c r="W17" i="3" s="1"/>
  <c r="O13" i="3"/>
  <c r="O14" i="3" s="1"/>
  <c r="S27" i="4"/>
  <c r="AJ57" i="9" l="1"/>
  <c r="AE58" i="9" s="1"/>
  <c r="AD58" i="9"/>
  <c r="AG58" i="9"/>
  <c r="AH58" i="9" s="1"/>
  <c r="AD21" i="9"/>
  <c r="AK90" i="9"/>
  <c r="AF90" i="9"/>
  <c r="AJ20" i="9"/>
  <c r="AE21" i="9" s="1"/>
  <c r="AG90" i="9"/>
  <c r="AH90" i="9" s="1"/>
  <c r="AI90" i="9" s="1"/>
  <c r="AC91" i="9" s="1"/>
  <c r="AF45" i="8"/>
  <c r="AJ45" i="8" s="1"/>
  <c r="AE46" i="8" s="1"/>
  <c r="AF46" i="8" s="1"/>
  <c r="AK45" i="8"/>
  <c r="AF9" i="7"/>
  <c r="AG9" i="7"/>
  <c r="AH9" i="7" s="1"/>
  <c r="AK9" i="7"/>
  <c r="AG80" i="8"/>
  <c r="AH80" i="8" s="1"/>
  <c r="AJ80" i="8" s="1"/>
  <c r="AE81" i="8" s="1"/>
  <c r="AD80" i="8"/>
  <c r="AI44" i="7"/>
  <c r="AC45" i="7" s="1"/>
  <c r="AF80" i="7"/>
  <c r="AK80" i="7"/>
  <c r="AG80" i="7"/>
  <c r="AH80" i="7" s="1"/>
  <c r="AI80" i="7" s="1"/>
  <c r="AC81" i="7" s="1"/>
  <c r="AI10" i="8"/>
  <c r="AC11" i="8" s="1"/>
  <c r="AG11" i="8" s="1"/>
  <c r="AH11" i="8" s="1"/>
  <c r="AJ11" i="8" s="1"/>
  <c r="AE12" i="8" s="1"/>
  <c r="AI75" i="5"/>
  <c r="AC76" i="5" s="1"/>
  <c r="AD76" i="5" s="1"/>
  <c r="AG6" i="5"/>
  <c r="AH6" i="5" s="1"/>
  <c r="AI6" i="5" s="1"/>
  <c r="AC7" i="5" s="1"/>
  <c r="AD7" i="5" s="1"/>
  <c r="AK6" i="5"/>
  <c r="AI40" i="5"/>
  <c r="AC41" i="5" s="1"/>
  <c r="AD41" i="5" s="1"/>
  <c r="G22" i="6"/>
  <c r="G23" i="6" s="1"/>
  <c r="W23" i="6"/>
  <c r="W26" i="6" s="1"/>
  <c r="W28" i="6" s="1"/>
  <c r="G42" i="6"/>
  <c r="G43" i="6" s="1"/>
  <c r="O21" i="6"/>
  <c r="AD39" i="6" s="1"/>
  <c r="W21" i="6"/>
  <c r="AD74" i="6" s="1"/>
  <c r="S26" i="6"/>
  <c r="S28" i="6" s="1"/>
  <c r="O23" i="6"/>
  <c r="O26" i="6" s="1"/>
  <c r="O28" i="6" s="1"/>
  <c r="O18" i="4"/>
  <c r="O21" i="4" s="1"/>
  <c r="AH39" i="4" s="1"/>
  <c r="AH4" i="6"/>
  <c r="AI4" i="6" s="1"/>
  <c r="AC5" i="6" s="1"/>
  <c r="AF4" i="6"/>
  <c r="W25" i="4"/>
  <c r="W27" i="4" s="1"/>
  <c r="W19" i="3"/>
  <c r="W18" i="3"/>
  <c r="O18" i="3"/>
  <c r="O19" i="3"/>
  <c r="AH74" i="4"/>
  <c r="AF74" i="4"/>
  <c r="AD74" i="4"/>
  <c r="AH4" i="4"/>
  <c r="AF4" i="4"/>
  <c r="AD4" i="4"/>
  <c r="S25" i="3"/>
  <c r="S27" i="3" s="1"/>
  <c r="S20" i="3"/>
  <c r="AI58" i="9" l="1"/>
  <c r="AC59" i="9" s="1"/>
  <c r="AD59" i="9" s="1"/>
  <c r="AF58" i="9"/>
  <c r="AJ58" i="9" s="1"/>
  <c r="AE59" i="9" s="1"/>
  <c r="AK58" i="9"/>
  <c r="AD91" i="9"/>
  <c r="AK21" i="9"/>
  <c r="AF21" i="9"/>
  <c r="AJ90" i="9"/>
  <c r="AE91" i="9" s="1"/>
  <c r="AG21" i="9"/>
  <c r="AH21" i="9" s="1"/>
  <c r="AI21" i="9" s="1"/>
  <c r="AC22" i="9" s="1"/>
  <c r="AK46" i="8"/>
  <c r="AG46" i="8"/>
  <c r="AH46" i="8" s="1"/>
  <c r="AI46" i="8" s="1"/>
  <c r="AC47" i="8" s="1"/>
  <c r="AD47" i="8" s="1"/>
  <c r="AJ9" i="7"/>
  <c r="AE10" i="7" s="1"/>
  <c r="AI9" i="7"/>
  <c r="AC10" i="7" s="1"/>
  <c r="AI80" i="8"/>
  <c r="AC81" i="8" s="1"/>
  <c r="AD81" i="8" s="1"/>
  <c r="AK45" i="7"/>
  <c r="AG45" i="7"/>
  <c r="AH45" i="7" s="1"/>
  <c r="AJ45" i="7" s="1"/>
  <c r="AE46" i="7" s="1"/>
  <c r="AF46" i="7" s="1"/>
  <c r="AD45" i="7"/>
  <c r="AD81" i="7"/>
  <c r="AJ80" i="7"/>
  <c r="AE81" i="7" s="1"/>
  <c r="AF81" i="8"/>
  <c r="AK11" i="8"/>
  <c r="AD11" i="8"/>
  <c r="AI11" i="8" s="1"/>
  <c r="AC12" i="8" s="1"/>
  <c r="AD12" i="8" s="1"/>
  <c r="AF12" i="8"/>
  <c r="AK76" i="5"/>
  <c r="AG76" i="5"/>
  <c r="AH76" i="5" s="1"/>
  <c r="AJ76" i="5" s="1"/>
  <c r="AE77" i="5" s="1"/>
  <c r="AF77" i="5" s="1"/>
  <c r="AK41" i="5"/>
  <c r="AG41" i="5"/>
  <c r="AH41" i="5" s="1"/>
  <c r="AI41" i="5" s="1"/>
  <c r="AC42" i="5" s="1"/>
  <c r="AD42" i="5" s="1"/>
  <c r="AJ6" i="5"/>
  <c r="AE7" i="5" s="1"/>
  <c r="AK7" i="5" s="1"/>
  <c r="AF39" i="6"/>
  <c r="AH39" i="6"/>
  <c r="AH74" i="6"/>
  <c r="AI74" i="6" s="1"/>
  <c r="AC75" i="6" s="1"/>
  <c r="AF74" i="6"/>
  <c r="AF39" i="4"/>
  <c r="AJ39" i="4" s="1"/>
  <c r="AE40" i="4" s="1"/>
  <c r="AF40" i="4" s="1"/>
  <c r="AD39" i="4"/>
  <c r="AI39" i="4" s="1"/>
  <c r="AC40" i="4" s="1"/>
  <c r="AD40" i="4" s="1"/>
  <c r="O26" i="4"/>
  <c r="O28" i="4" s="1"/>
  <c r="AJ4" i="6"/>
  <c r="AE5" i="6" s="1"/>
  <c r="AF5" i="6" s="1"/>
  <c r="AD5" i="6"/>
  <c r="AH4" i="3"/>
  <c r="AF4" i="3"/>
  <c r="AD4" i="3"/>
  <c r="O20" i="3"/>
  <c r="O21" i="3" s="1"/>
  <c r="W22" i="3"/>
  <c r="AJ74" i="4"/>
  <c r="AE75" i="4" s="1"/>
  <c r="AF75" i="4" s="1"/>
  <c r="AI4" i="4"/>
  <c r="AC5" i="4" s="1"/>
  <c r="AD5" i="4" s="1"/>
  <c r="AI74" i="4"/>
  <c r="AC75" i="4" s="1"/>
  <c r="AD75" i="4" s="1"/>
  <c r="AJ4" i="4"/>
  <c r="AE5" i="4" s="1"/>
  <c r="AF5" i="4" s="1"/>
  <c r="AF59" i="9" l="1"/>
  <c r="AK59" i="9"/>
  <c r="AG59" i="9"/>
  <c r="AH59" i="9" s="1"/>
  <c r="AI59" i="9" s="1"/>
  <c r="AC60" i="9" s="1"/>
  <c r="AD60" i="9" s="1"/>
  <c r="AD22" i="9"/>
  <c r="AJ21" i="9"/>
  <c r="AE22" i="9" s="1"/>
  <c r="AK91" i="9"/>
  <c r="AF91" i="9"/>
  <c r="AG91" i="9"/>
  <c r="AH91" i="9" s="1"/>
  <c r="AI91" i="9" s="1"/>
  <c r="AC92" i="9" s="1"/>
  <c r="AJ46" i="8"/>
  <c r="AE47" i="8" s="1"/>
  <c r="AF47" i="8" s="1"/>
  <c r="AG81" i="8"/>
  <c r="AH81" i="8" s="1"/>
  <c r="AI81" i="8" s="1"/>
  <c r="AC82" i="8" s="1"/>
  <c r="AD82" i="8" s="1"/>
  <c r="AK81" i="8"/>
  <c r="AD10" i="7"/>
  <c r="AG10" i="7"/>
  <c r="AH10" i="7" s="1"/>
  <c r="AF10" i="7"/>
  <c r="AK10" i="7"/>
  <c r="AI45" i="7"/>
  <c r="AC46" i="7" s="1"/>
  <c r="AF81" i="7"/>
  <c r="AK81" i="7"/>
  <c r="AG81" i="7"/>
  <c r="AH81" i="7" s="1"/>
  <c r="AI81" i="7" s="1"/>
  <c r="AC82" i="7" s="1"/>
  <c r="AG12" i="8"/>
  <c r="AH12" i="8" s="1"/>
  <c r="AI12" i="8" s="1"/>
  <c r="AC13" i="8" s="1"/>
  <c r="AD13" i="8" s="1"/>
  <c r="AK12" i="8"/>
  <c r="AI76" i="5"/>
  <c r="AC77" i="5" s="1"/>
  <c r="AD77" i="5" s="1"/>
  <c r="AF7" i="5"/>
  <c r="AG7" i="5"/>
  <c r="AH7" i="5" s="1"/>
  <c r="AI7" i="5" s="1"/>
  <c r="AC8" i="5" s="1"/>
  <c r="AD8" i="5" s="1"/>
  <c r="AJ41" i="5"/>
  <c r="AE42" i="5" s="1"/>
  <c r="AG42" i="5" s="1"/>
  <c r="AH42" i="5" s="1"/>
  <c r="AI42" i="5" s="1"/>
  <c r="AC43" i="5" s="1"/>
  <c r="AD43" i="5" s="1"/>
  <c r="AJ39" i="6"/>
  <c r="AE40" i="6" s="1"/>
  <c r="AF40" i="6" s="1"/>
  <c r="AI39" i="6"/>
  <c r="AC40" i="6" s="1"/>
  <c r="AJ74" i="6"/>
  <c r="AE75" i="6" s="1"/>
  <c r="AF75" i="6" s="1"/>
  <c r="AG5" i="6"/>
  <c r="AH5" i="6" s="1"/>
  <c r="AJ5" i="6" s="1"/>
  <c r="AE6" i="6" s="1"/>
  <c r="AF6" i="6" s="1"/>
  <c r="AK5" i="6"/>
  <c r="AD75" i="6"/>
  <c r="W25" i="3"/>
  <c r="W27" i="3" s="1"/>
  <c r="O23" i="3"/>
  <c r="W20" i="3"/>
  <c r="AJ4" i="3"/>
  <c r="AE5" i="3" s="1"/>
  <c r="AF5" i="3" s="1"/>
  <c r="AK75" i="4"/>
  <c r="AG75" i="4"/>
  <c r="AG5" i="4"/>
  <c r="AH5" i="4" s="1"/>
  <c r="AK5" i="4"/>
  <c r="AG40" i="4"/>
  <c r="AK40" i="4"/>
  <c r="AI4" i="3"/>
  <c r="AC5" i="3" s="1"/>
  <c r="AD5" i="3" s="1"/>
  <c r="AJ59" i="9" l="1"/>
  <c r="AE60" i="9" s="1"/>
  <c r="AG47" i="8"/>
  <c r="AH47" i="8" s="1"/>
  <c r="AI47" i="8" s="1"/>
  <c r="AC48" i="8" s="1"/>
  <c r="AD48" i="8" s="1"/>
  <c r="AK47" i="8"/>
  <c r="AD92" i="9"/>
  <c r="AK22" i="9"/>
  <c r="AF22" i="9"/>
  <c r="AJ91" i="9"/>
  <c r="AE92" i="9" s="1"/>
  <c r="AG22" i="9"/>
  <c r="AH22" i="9" s="1"/>
  <c r="AI22" i="9" s="1"/>
  <c r="AC23" i="9" s="1"/>
  <c r="AJ81" i="8"/>
  <c r="AE82" i="8" s="1"/>
  <c r="AK82" i="8" s="1"/>
  <c r="AJ10" i="7"/>
  <c r="AE11" i="7" s="1"/>
  <c r="AF11" i="7" s="1"/>
  <c r="AI10" i="7"/>
  <c r="AC11" i="7" s="1"/>
  <c r="AJ47" i="8"/>
  <c r="AE48" i="8" s="1"/>
  <c r="AK48" i="8" s="1"/>
  <c r="AD46" i="7"/>
  <c r="AG46" i="7"/>
  <c r="AH46" i="7" s="1"/>
  <c r="AK46" i="7"/>
  <c r="AD82" i="7"/>
  <c r="AJ81" i="7"/>
  <c r="AE82" i="7" s="1"/>
  <c r="AJ12" i="8"/>
  <c r="AE13" i="8" s="1"/>
  <c r="AK13" i="8" s="1"/>
  <c r="AK77" i="5"/>
  <c r="AG77" i="5"/>
  <c r="AH77" i="5" s="1"/>
  <c r="AJ77" i="5" s="1"/>
  <c r="AE78" i="5" s="1"/>
  <c r="AF78" i="5" s="1"/>
  <c r="AJ7" i="5"/>
  <c r="AE8" i="5" s="1"/>
  <c r="AF8" i="5" s="1"/>
  <c r="AK42" i="5"/>
  <c r="AF42" i="5"/>
  <c r="AJ42" i="5" s="1"/>
  <c r="AE43" i="5" s="1"/>
  <c r="AF43" i="5" s="1"/>
  <c r="AK40" i="6"/>
  <c r="AG40" i="6"/>
  <c r="AH40" i="6" s="1"/>
  <c r="AJ40" i="6" s="1"/>
  <c r="AE41" i="6" s="1"/>
  <c r="AF41" i="6" s="1"/>
  <c r="AD40" i="6"/>
  <c r="AK75" i="6"/>
  <c r="AG75" i="6"/>
  <c r="AH75" i="6" s="1"/>
  <c r="AJ75" i="6" s="1"/>
  <c r="AE76" i="6" s="1"/>
  <c r="AF76" i="6" s="1"/>
  <c r="AI5" i="6"/>
  <c r="AC6" i="6" s="1"/>
  <c r="AD6" i="6" s="1"/>
  <c r="O26" i="3"/>
  <c r="O28" i="3" s="1"/>
  <c r="AH74" i="3"/>
  <c r="AF74" i="3"/>
  <c r="AD74" i="3"/>
  <c r="AH39" i="3"/>
  <c r="AF39" i="3"/>
  <c r="AD39" i="3"/>
  <c r="AH75" i="4"/>
  <c r="AJ75" i="4" s="1"/>
  <c r="AE76" i="4" s="1"/>
  <c r="AF76" i="4" s="1"/>
  <c r="AH40" i="4"/>
  <c r="AI40" i="4" s="1"/>
  <c r="AC41" i="4" s="1"/>
  <c r="AD41" i="4" s="1"/>
  <c r="AJ5" i="4"/>
  <c r="AE6" i="4" s="1"/>
  <c r="AF6" i="4" s="1"/>
  <c r="AI5" i="4"/>
  <c r="AC6" i="4" s="1"/>
  <c r="AD6" i="4" s="1"/>
  <c r="AK5" i="3"/>
  <c r="AG5" i="3"/>
  <c r="AK60" i="9" l="1"/>
  <c r="AF60" i="9"/>
  <c r="AG60" i="9"/>
  <c r="AH60" i="9" s="1"/>
  <c r="AI60" i="9" s="1"/>
  <c r="AC61" i="9" s="1"/>
  <c r="AD61" i="9" s="1"/>
  <c r="AF82" i="8"/>
  <c r="AG82" i="8"/>
  <c r="AH82" i="8" s="1"/>
  <c r="AI82" i="8" s="1"/>
  <c r="AC83" i="8" s="1"/>
  <c r="AD83" i="8" s="1"/>
  <c r="AD23" i="9"/>
  <c r="AJ22" i="9"/>
  <c r="AE23" i="9" s="1"/>
  <c r="AK92" i="9"/>
  <c r="AF92" i="9"/>
  <c r="AG92" i="9"/>
  <c r="AH92" i="9" s="1"/>
  <c r="AI92" i="9" s="1"/>
  <c r="AC93" i="9" s="1"/>
  <c r="AF48" i="8"/>
  <c r="AG48" i="8"/>
  <c r="AH48" i="8" s="1"/>
  <c r="AI48" i="8" s="1"/>
  <c r="AC49" i="8" s="1"/>
  <c r="AD49" i="8" s="1"/>
  <c r="AK11" i="7"/>
  <c r="AD11" i="7"/>
  <c r="AG11" i="7"/>
  <c r="AH11" i="7" s="1"/>
  <c r="AJ11" i="7" s="1"/>
  <c r="AE12" i="7" s="1"/>
  <c r="AF12" i="7" s="1"/>
  <c r="AI46" i="7"/>
  <c r="AC47" i="7" s="1"/>
  <c r="AJ46" i="7"/>
  <c r="AE47" i="7" s="1"/>
  <c r="AF82" i="7"/>
  <c r="AK82" i="7"/>
  <c r="AG82" i="7"/>
  <c r="AH82" i="7" s="1"/>
  <c r="AG13" i="8"/>
  <c r="AH13" i="8" s="1"/>
  <c r="AI13" i="8" s="1"/>
  <c r="AC14" i="8" s="1"/>
  <c r="AD14" i="8" s="1"/>
  <c r="AF13" i="8"/>
  <c r="AI77" i="5"/>
  <c r="AC78" i="5" s="1"/>
  <c r="AG78" i="5" s="1"/>
  <c r="AH78" i="5" s="1"/>
  <c r="AJ78" i="5" s="1"/>
  <c r="AE79" i="5" s="1"/>
  <c r="AF79" i="5" s="1"/>
  <c r="AG8" i="5"/>
  <c r="AH8" i="5" s="1"/>
  <c r="AI8" i="5" s="1"/>
  <c r="AC9" i="5" s="1"/>
  <c r="AD9" i="5" s="1"/>
  <c r="AK8" i="5"/>
  <c r="AI40" i="6"/>
  <c r="AC41" i="6" s="1"/>
  <c r="AG41" i="6" s="1"/>
  <c r="AH41" i="6" s="1"/>
  <c r="AJ41" i="6" s="1"/>
  <c r="AE42" i="6" s="1"/>
  <c r="AK43" i="5"/>
  <c r="AG43" i="5"/>
  <c r="AH43" i="5" s="1"/>
  <c r="AI75" i="6"/>
  <c r="AC76" i="6" s="1"/>
  <c r="AD76" i="6" s="1"/>
  <c r="AK6" i="6"/>
  <c r="AG6" i="6"/>
  <c r="AH6" i="6" s="1"/>
  <c r="AI6" i="6" s="1"/>
  <c r="AC7" i="6" s="1"/>
  <c r="AD7" i="6" s="1"/>
  <c r="AI39" i="3"/>
  <c r="AC40" i="3" s="1"/>
  <c r="AD40" i="3" s="1"/>
  <c r="AJ39" i="3"/>
  <c r="AE40" i="3" s="1"/>
  <c r="AF40" i="3" s="1"/>
  <c r="AH5" i="3"/>
  <c r="AI5" i="3" s="1"/>
  <c r="AC6" i="3" s="1"/>
  <c r="AD6" i="3" s="1"/>
  <c r="AI75" i="4"/>
  <c r="AC76" i="4" s="1"/>
  <c r="AD76" i="4" s="1"/>
  <c r="AJ40" i="4"/>
  <c r="AE41" i="4" s="1"/>
  <c r="AF41" i="4" s="1"/>
  <c r="AJ74" i="3"/>
  <c r="AE75" i="3" s="1"/>
  <c r="AF75" i="3" s="1"/>
  <c r="AI74" i="3"/>
  <c r="AC75" i="3" s="1"/>
  <c r="AD75" i="3" s="1"/>
  <c r="AG6" i="4"/>
  <c r="AH6" i="4" s="1"/>
  <c r="AK6" i="4"/>
  <c r="AJ82" i="8" l="1"/>
  <c r="AE83" i="8" s="1"/>
  <c r="AG83" i="8" s="1"/>
  <c r="AH83" i="8" s="1"/>
  <c r="AI83" i="8" s="1"/>
  <c r="AC84" i="8" s="1"/>
  <c r="AD84" i="8" s="1"/>
  <c r="AJ60" i="9"/>
  <c r="AE61" i="9" s="1"/>
  <c r="AG61" i="9" s="1"/>
  <c r="AH61" i="9" s="1"/>
  <c r="AI61" i="9" s="1"/>
  <c r="AC62" i="9" s="1"/>
  <c r="AD62" i="9" s="1"/>
  <c r="AJ48" i="8"/>
  <c r="AE49" i="8" s="1"/>
  <c r="AG49" i="8" s="1"/>
  <c r="AH49" i="8" s="1"/>
  <c r="AI49" i="8" s="1"/>
  <c r="AC50" i="8" s="1"/>
  <c r="AD50" i="8" s="1"/>
  <c r="AD93" i="9"/>
  <c r="AJ92" i="9"/>
  <c r="AE93" i="9" s="1"/>
  <c r="AK23" i="9"/>
  <c r="AF23" i="9"/>
  <c r="AG23" i="9"/>
  <c r="AH23" i="9" s="1"/>
  <c r="AI23" i="9" s="1"/>
  <c r="AC24" i="9" s="1"/>
  <c r="AJ82" i="7"/>
  <c r="AE83" i="7" s="1"/>
  <c r="AF83" i="7" s="1"/>
  <c r="AI11" i="7"/>
  <c r="AC12" i="7" s="1"/>
  <c r="AF47" i="7"/>
  <c r="AK47" i="7"/>
  <c r="AD47" i="7"/>
  <c r="AG47" i="7"/>
  <c r="AH47" i="7" s="1"/>
  <c r="AI82" i="7"/>
  <c r="AC83" i="7" s="1"/>
  <c r="AD83" i="7" s="1"/>
  <c r="AK83" i="8"/>
  <c r="AF83" i="8"/>
  <c r="AF49" i="8"/>
  <c r="AJ13" i="8"/>
  <c r="AE14" i="8" s="1"/>
  <c r="AG14" i="8" s="1"/>
  <c r="AH14" i="8" s="1"/>
  <c r="AI14" i="8" s="1"/>
  <c r="AC15" i="8" s="1"/>
  <c r="AK78" i="5"/>
  <c r="AD78" i="5"/>
  <c r="AI78" i="5" s="1"/>
  <c r="AC79" i="5" s="1"/>
  <c r="AG79" i="5" s="1"/>
  <c r="AH79" i="5" s="1"/>
  <c r="AJ79" i="5" s="1"/>
  <c r="AE80" i="5" s="1"/>
  <c r="AF80" i="5" s="1"/>
  <c r="AJ8" i="5"/>
  <c r="AE9" i="5" s="1"/>
  <c r="AK9" i="5" s="1"/>
  <c r="AK41" i="6"/>
  <c r="AD41" i="6"/>
  <c r="AI41" i="6" s="1"/>
  <c r="AC42" i="6" s="1"/>
  <c r="AD42" i="6" s="1"/>
  <c r="AK76" i="6"/>
  <c r="AG76" i="6"/>
  <c r="AH76" i="6" s="1"/>
  <c r="AI76" i="6" s="1"/>
  <c r="AC77" i="6" s="1"/>
  <c r="AI43" i="5"/>
  <c r="AC44" i="5" s="1"/>
  <c r="AJ43" i="5"/>
  <c r="AE44" i="5" s="1"/>
  <c r="AJ6" i="6"/>
  <c r="AE7" i="6" s="1"/>
  <c r="AF7" i="6" s="1"/>
  <c r="AF42" i="6"/>
  <c r="AJ5" i="3"/>
  <c r="AE6" i="3" s="1"/>
  <c r="AF6" i="3" s="1"/>
  <c r="AK40" i="3"/>
  <c r="AG40" i="3"/>
  <c r="AG41" i="4"/>
  <c r="AH41" i="4" s="1"/>
  <c r="AI41" i="4" s="1"/>
  <c r="AC42" i="4" s="1"/>
  <c r="AD42" i="4" s="1"/>
  <c r="AK41" i="4"/>
  <c r="AK76" i="4"/>
  <c r="AG76" i="4"/>
  <c r="AH76" i="4" s="1"/>
  <c r="AJ76" i="4" s="1"/>
  <c r="AE77" i="4" s="1"/>
  <c r="AF77" i="4" s="1"/>
  <c r="AG75" i="3"/>
  <c r="AH75" i="3" s="1"/>
  <c r="AK75" i="3"/>
  <c r="AI6" i="4"/>
  <c r="AC7" i="4" s="1"/>
  <c r="AD7" i="4" s="1"/>
  <c r="AJ6" i="4"/>
  <c r="AE7" i="4" s="1"/>
  <c r="AF7" i="4" s="1"/>
  <c r="AJ49" i="8" l="1"/>
  <c r="AE50" i="8" s="1"/>
  <c r="AK50" i="8" s="1"/>
  <c r="AK49" i="8"/>
  <c r="AJ83" i="8"/>
  <c r="AE84" i="8" s="1"/>
  <c r="AK84" i="8" s="1"/>
  <c r="AK61" i="9"/>
  <c r="AF61" i="9"/>
  <c r="AJ61" i="9" s="1"/>
  <c r="AE62" i="9" s="1"/>
  <c r="AK62" i="9" s="1"/>
  <c r="AD24" i="9"/>
  <c r="AJ23" i="9"/>
  <c r="AE24" i="9" s="1"/>
  <c r="AK93" i="9"/>
  <c r="AF93" i="9"/>
  <c r="AG93" i="9"/>
  <c r="AH93" i="9" s="1"/>
  <c r="AI93" i="9" s="1"/>
  <c r="AC94" i="9" s="1"/>
  <c r="AG62" i="9"/>
  <c r="AH62" i="9" s="1"/>
  <c r="AI62" i="9" s="1"/>
  <c r="AC63" i="9" s="1"/>
  <c r="AD12" i="7"/>
  <c r="AG12" i="7"/>
  <c r="AH12" i="7" s="1"/>
  <c r="AK12" i="7"/>
  <c r="AI47" i="7"/>
  <c r="AC48" i="7" s="1"/>
  <c r="AD48" i="7" s="1"/>
  <c r="AJ47" i="7"/>
  <c r="AE48" i="7" s="1"/>
  <c r="AG83" i="7"/>
  <c r="AH83" i="7" s="1"/>
  <c r="AI83" i="7" s="1"/>
  <c r="AC84" i="7" s="1"/>
  <c r="AD84" i="7" s="1"/>
  <c r="AK83" i="7"/>
  <c r="AG84" i="8"/>
  <c r="AH84" i="8" s="1"/>
  <c r="AI84" i="8" s="1"/>
  <c r="AC85" i="8" s="1"/>
  <c r="AF84" i="8"/>
  <c r="AF50" i="8"/>
  <c r="AG50" i="8"/>
  <c r="AH50" i="8" s="1"/>
  <c r="AK14" i="8"/>
  <c r="AF14" i="8"/>
  <c r="AJ14" i="8" s="1"/>
  <c r="AE15" i="8" s="1"/>
  <c r="AF15" i="8" s="1"/>
  <c r="AD15" i="8"/>
  <c r="AG9" i="5"/>
  <c r="AH9" i="5" s="1"/>
  <c r="AI9" i="5" s="1"/>
  <c r="AC10" i="5" s="1"/>
  <c r="AD10" i="5" s="1"/>
  <c r="AF9" i="5"/>
  <c r="AK79" i="5"/>
  <c r="AD79" i="5"/>
  <c r="AI79" i="5" s="1"/>
  <c r="AC80" i="5" s="1"/>
  <c r="AK80" i="5" s="1"/>
  <c r="AJ76" i="6"/>
  <c r="AE77" i="6" s="1"/>
  <c r="AG77" i="6" s="1"/>
  <c r="AH77" i="6" s="1"/>
  <c r="AK44" i="5"/>
  <c r="AF44" i="5"/>
  <c r="AD44" i="5"/>
  <c r="AG44" i="5"/>
  <c r="AH44" i="5" s="1"/>
  <c r="AK42" i="6"/>
  <c r="AG7" i="6"/>
  <c r="AH7" i="6" s="1"/>
  <c r="AK7" i="6"/>
  <c r="AG42" i="6"/>
  <c r="AH42" i="6" s="1"/>
  <c r="AI42" i="6" s="1"/>
  <c r="AC43" i="6" s="1"/>
  <c r="AD43" i="6" s="1"/>
  <c r="AD77" i="6"/>
  <c r="AG6" i="3"/>
  <c r="AH6" i="3" s="1"/>
  <c r="AI6" i="3" s="1"/>
  <c r="AC7" i="3" s="1"/>
  <c r="AK6" i="3"/>
  <c r="AH40" i="3"/>
  <c r="AJ40" i="3" s="1"/>
  <c r="AE41" i="3" s="1"/>
  <c r="AF41" i="3" s="1"/>
  <c r="AI76" i="4"/>
  <c r="AC77" i="4" s="1"/>
  <c r="AD77" i="4" s="1"/>
  <c r="AJ41" i="4"/>
  <c r="AE42" i="4" s="1"/>
  <c r="AF42" i="4" s="1"/>
  <c r="AI75" i="3"/>
  <c r="AC76" i="3" s="1"/>
  <c r="AD76" i="3" s="1"/>
  <c r="AJ75" i="3"/>
  <c r="AE76" i="3" s="1"/>
  <c r="AF76" i="3" s="1"/>
  <c r="AG7" i="4"/>
  <c r="AH7" i="4" s="1"/>
  <c r="AK7" i="4"/>
  <c r="AF62" i="9" l="1"/>
  <c r="AD63" i="9"/>
  <c r="AD94" i="9"/>
  <c r="AJ93" i="9"/>
  <c r="AE94" i="9" s="1"/>
  <c r="AK24" i="9"/>
  <c r="AF24" i="9"/>
  <c r="AJ62" i="9"/>
  <c r="AE63" i="9" s="1"/>
  <c r="AG24" i="9"/>
  <c r="AH24" i="9" s="1"/>
  <c r="AI24" i="9" s="1"/>
  <c r="AC25" i="9" s="1"/>
  <c r="AI12" i="7"/>
  <c r="AC13" i="7" s="1"/>
  <c r="AD13" i="7" s="1"/>
  <c r="AJ12" i="7"/>
  <c r="AE13" i="7" s="1"/>
  <c r="AG48" i="7"/>
  <c r="AH48" i="7" s="1"/>
  <c r="AI48" i="7" s="1"/>
  <c r="AC49" i="7" s="1"/>
  <c r="AK48" i="7"/>
  <c r="AF48" i="7"/>
  <c r="AJ83" i="7"/>
  <c r="AE84" i="7" s="1"/>
  <c r="AF84" i="7" s="1"/>
  <c r="AJ84" i="8"/>
  <c r="AE85" i="8" s="1"/>
  <c r="AF85" i="8" s="1"/>
  <c r="AD85" i="8"/>
  <c r="AI50" i="8"/>
  <c r="AC51" i="8" s="1"/>
  <c r="AJ50" i="8"/>
  <c r="AE51" i="8" s="1"/>
  <c r="AG15" i="8"/>
  <c r="AH15" i="8" s="1"/>
  <c r="AI15" i="8" s="1"/>
  <c r="AC16" i="8" s="1"/>
  <c r="AD16" i="8" s="1"/>
  <c r="AK15" i="8"/>
  <c r="AJ9" i="5"/>
  <c r="AE10" i="5" s="1"/>
  <c r="AG10" i="5" s="1"/>
  <c r="AH10" i="5" s="1"/>
  <c r="AI10" i="5" s="1"/>
  <c r="AC11" i="5" s="1"/>
  <c r="AD11" i="5" s="1"/>
  <c r="AF77" i="6"/>
  <c r="AJ77" i="6" s="1"/>
  <c r="AE78" i="6" s="1"/>
  <c r="AK77" i="6"/>
  <c r="AI44" i="5"/>
  <c r="AC45" i="5" s="1"/>
  <c r="AJ44" i="5"/>
  <c r="AE45" i="5" s="1"/>
  <c r="AD80" i="5"/>
  <c r="AG80" i="5"/>
  <c r="AH80" i="5" s="1"/>
  <c r="AJ42" i="6"/>
  <c r="AE43" i="6" s="1"/>
  <c r="AK43" i="6" s="1"/>
  <c r="AJ7" i="6"/>
  <c r="AE8" i="6" s="1"/>
  <c r="AI7" i="6"/>
  <c r="AC8" i="6" s="1"/>
  <c r="AI77" i="6"/>
  <c r="AC78" i="6" s="1"/>
  <c r="AD78" i="6" s="1"/>
  <c r="AI40" i="3"/>
  <c r="AC41" i="3" s="1"/>
  <c r="AD7" i="3"/>
  <c r="AJ6" i="3"/>
  <c r="AE7" i="3" s="1"/>
  <c r="AG77" i="4"/>
  <c r="AH77" i="4" s="1"/>
  <c r="AJ77" i="4" s="1"/>
  <c r="AE78" i="4" s="1"/>
  <c r="AF78" i="4" s="1"/>
  <c r="AK77" i="4"/>
  <c r="AG42" i="4"/>
  <c r="AH42" i="4" s="1"/>
  <c r="AI42" i="4" s="1"/>
  <c r="AC43" i="4" s="1"/>
  <c r="AD43" i="4" s="1"/>
  <c r="AK42" i="4"/>
  <c r="AG76" i="3"/>
  <c r="AK76" i="3"/>
  <c r="AI7" i="4"/>
  <c r="AC8" i="4" s="1"/>
  <c r="AD8" i="4" s="1"/>
  <c r="AD25" i="9" l="1"/>
  <c r="AK63" i="9"/>
  <c r="AF63" i="9"/>
  <c r="AK94" i="9"/>
  <c r="AF94" i="9"/>
  <c r="AJ24" i="9"/>
  <c r="AE25" i="9" s="1"/>
  <c r="AG94" i="9"/>
  <c r="AH94" i="9" s="1"/>
  <c r="AI94" i="9" s="1"/>
  <c r="AC95" i="9" s="1"/>
  <c r="AG63" i="9"/>
  <c r="AH63" i="9" s="1"/>
  <c r="AI63" i="9" s="1"/>
  <c r="AC64" i="9" s="1"/>
  <c r="AG13" i="7"/>
  <c r="AH13" i="7" s="1"/>
  <c r="AI13" i="7" s="1"/>
  <c r="AC14" i="7" s="1"/>
  <c r="AF13" i="7"/>
  <c r="AK13" i="7"/>
  <c r="AJ48" i="7"/>
  <c r="AE49" i="7" s="1"/>
  <c r="AK49" i="7" s="1"/>
  <c r="AG84" i="7"/>
  <c r="AH84" i="7" s="1"/>
  <c r="AI84" i="7" s="1"/>
  <c r="AC85" i="7" s="1"/>
  <c r="AK84" i="7"/>
  <c r="AD49" i="7"/>
  <c r="AG85" i="8"/>
  <c r="AH85" i="8" s="1"/>
  <c r="AI85" i="8" s="1"/>
  <c r="AC86" i="8" s="1"/>
  <c r="AD86" i="8" s="1"/>
  <c r="AK85" i="8"/>
  <c r="AF51" i="8"/>
  <c r="AK51" i="8"/>
  <c r="AD51" i="8"/>
  <c r="AG51" i="8"/>
  <c r="AH51" i="8" s="1"/>
  <c r="AJ15" i="8"/>
  <c r="AE16" i="8" s="1"/>
  <c r="AG16" i="8" s="1"/>
  <c r="AH16" i="8" s="1"/>
  <c r="AI16" i="8" s="1"/>
  <c r="AC17" i="8" s="1"/>
  <c r="AK10" i="5"/>
  <c r="AF10" i="5"/>
  <c r="AJ10" i="5" s="1"/>
  <c r="AE11" i="5" s="1"/>
  <c r="AF11" i="5" s="1"/>
  <c r="AF45" i="5"/>
  <c r="AK45" i="5"/>
  <c r="AD45" i="5"/>
  <c r="AG45" i="5"/>
  <c r="AH45" i="5" s="1"/>
  <c r="AI80" i="5"/>
  <c r="AC81" i="5" s="1"/>
  <c r="AJ80" i="5"/>
  <c r="AE81" i="5" s="1"/>
  <c r="AG43" i="6"/>
  <c r="AH43" i="6" s="1"/>
  <c r="AI43" i="6" s="1"/>
  <c r="AC44" i="6" s="1"/>
  <c r="AD44" i="6" s="1"/>
  <c r="AF43" i="6"/>
  <c r="AD8" i="6"/>
  <c r="AG8" i="6"/>
  <c r="AH8" i="6" s="1"/>
  <c r="AF8" i="6"/>
  <c r="AK8" i="6"/>
  <c r="AF78" i="6"/>
  <c r="AG78" i="6"/>
  <c r="AH78" i="6" s="1"/>
  <c r="AK78" i="6"/>
  <c r="AH76" i="3"/>
  <c r="AI76" i="3" s="1"/>
  <c r="AC77" i="3" s="1"/>
  <c r="AD77" i="3" s="1"/>
  <c r="AD41" i="3"/>
  <c r="AG41" i="3"/>
  <c r="AH41" i="3" s="1"/>
  <c r="AJ41" i="3" s="1"/>
  <c r="AE42" i="3" s="1"/>
  <c r="AF42" i="3" s="1"/>
  <c r="AK41" i="3"/>
  <c r="AF7" i="3"/>
  <c r="AK7" i="3"/>
  <c r="AG7" i="3"/>
  <c r="AI77" i="4"/>
  <c r="AC78" i="4" s="1"/>
  <c r="AD78" i="4" s="1"/>
  <c r="AJ42" i="4"/>
  <c r="AE43" i="4" s="1"/>
  <c r="AF43" i="4" s="1"/>
  <c r="AJ7" i="4"/>
  <c r="AE8" i="4" s="1"/>
  <c r="AF8" i="4" s="1"/>
  <c r="AD64" i="9" l="1"/>
  <c r="AD95" i="9"/>
  <c r="AJ94" i="9"/>
  <c r="AE95" i="9" s="1"/>
  <c r="AK25" i="9"/>
  <c r="AF25" i="9"/>
  <c r="AJ63" i="9"/>
  <c r="AE64" i="9" s="1"/>
  <c r="AG25" i="9"/>
  <c r="AH25" i="9" s="1"/>
  <c r="AI25" i="9" s="1"/>
  <c r="AC26" i="9" s="1"/>
  <c r="AG49" i="7"/>
  <c r="AH49" i="7" s="1"/>
  <c r="AI49" i="7" s="1"/>
  <c r="AC50" i="7" s="1"/>
  <c r="AD50" i="7" s="1"/>
  <c r="AJ13" i="7"/>
  <c r="AE14" i="7" s="1"/>
  <c r="AF14" i="7" s="1"/>
  <c r="AD14" i="7"/>
  <c r="AJ84" i="7"/>
  <c r="AE85" i="7" s="1"/>
  <c r="AF85" i="7" s="1"/>
  <c r="AF49" i="7"/>
  <c r="AJ85" i="8"/>
  <c r="AE86" i="8" s="1"/>
  <c r="AG86" i="8" s="1"/>
  <c r="AH86" i="8" s="1"/>
  <c r="AI86" i="8" s="1"/>
  <c r="AC87" i="8" s="1"/>
  <c r="AD87" i="8" s="1"/>
  <c r="AD85" i="7"/>
  <c r="AF16" i="8"/>
  <c r="AJ16" i="8" s="1"/>
  <c r="AE17" i="8" s="1"/>
  <c r="AI51" i="8"/>
  <c r="AC52" i="8" s="1"/>
  <c r="AD52" i="8" s="1"/>
  <c r="AK16" i="8"/>
  <c r="AJ51" i="8"/>
  <c r="AE52" i="8" s="1"/>
  <c r="AG11" i="5"/>
  <c r="AH11" i="5" s="1"/>
  <c r="AI11" i="5" s="1"/>
  <c r="AC12" i="5" s="1"/>
  <c r="AD12" i="5" s="1"/>
  <c r="AK11" i="5"/>
  <c r="AD17" i="8"/>
  <c r="AI45" i="5"/>
  <c r="AC46" i="5" s="1"/>
  <c r="AD46" i="5" s="1"/>
  <c r="AJ45" i="5"/>
  <c r="AE46" i="5" s="1"/>
  <c r="AF81" i="5"/>
  <c r="AK81" i="5"/>
  <c r="AD81" i="5"/>
  <c r="AG81" i="5"/>
  <c r="AH81" i="5" s="1"/>
  <c r="AJ43" i="6"/>
  <c r="AE44" i="6" s="1"/>
  <c r="AK44" i="6" s="1"/>
  <c r="AJ8" i="6"/>
  <c r="AE9" i="6" s="1"/>
  <c r="AI8" i="6"/>
  <c r="AC9" i="6" s="1"/>
  <c r="AJ78" i="6"/>
  <c r="AE79" i="6" s="1"/>
  <c r="AF79" i="6" s="1"/>
  <c r="AI78" i="6"/>
  <c r="AC79" i="6" s="1"/>
  <c r="AJ76" i="3"/>
  <c r="AE77" i="3" s="1"/>
  <c r="AF77" i="3" s="1"/>
  <c r="AI41" i="3"/>
  <c r="AC42" i="3" s="1"/>
  <c r="AH7" i="3"/>
  <c r="AI7" i="3" s="1"/>
  <c r="AC8" i="3" s="1"/>
  <c r="AK78" i="4"/>
  <c r="AG78" i="4"/>
  <c r="AH78" i="4" s="1"/>
  <c r="AJ78" i="4" s="1"/>
  <c r="AE79" i="4" s="1"/>
  <c r="AF79" i="4" s="1"/>
  <c r="AG43" i="4"/>
  <c r="AH43" i="4" s="1"/>
  <c r="AI43" i="4" s="1"/>
  <c r="AC44" i="4" s="1"/>
  <c r="AD44" i="4" s="1"/>
  <c r="AK43" i="4"/>
  <c r="AG8" i="4"/>
  <c r="AK8" i="4"/>
  <c r="AD26" i="9" l="1"/>
  <c r="AK95" i="9"/>
  <c r="AF95" i="9"/>
  <c r="AK64" i="9"/>
  <c r="AF64" i="9"/>
  <c r="AJ25" i="9"/>
  <c r="AE26" i="9" s="1"/>
  <c r="AG95" i="9"/>
  <c r="AH95" i="9" s="1"/>
  <c r="AI95" i="9" s="1"/>
  <c r="AC96" i="9" s="1"/>
  <c r="AG64" i="9"/>
  <c r="AH64" i="9" s="1"/>
  <c r="AI64" i="9" s="1"/>
  <c r="AC65" i="9" s="1"/>
  <c r="AJ49" i="7"/>
  <c r="AE50" i="7" s="1"/>
  <c r="AG50" i="7" s="1"/>
  <c r="AH50" i="7" s="1"/>
  <c r="AI50" i="7" s="1"/>
  <c r="AC51" i="7" s="1"/>
  <c r="AD51" i="7" s="1"/>
  <c r="AG14" i="7"/>
  <c r="AH14" i="7" s="1"/>
  <c r="AI14" i="7" s="1"/>
  <c r="AC15" i="7" s="1"/>
  <c r="AD15" i="7" s="1"/>
  <c r="AK14" i="7"/>
  <c r="AK85" i="7"/>
  <c r="AG85" i="7"/>
  <c r="AH85" i="7" s="1"/>
  <c r="AJ85" i="7" s="1"/>
  <c r="AE86" i="7" s="1"/>
  <c r="AF86" i="7" s="1"/>
  <c r="AK86" i="8"/>
  <c r="AF86" i="8"/>
  <c r="AJ86" i="8" s="1"/>
  <c r="AE87" i="8" s="1"/>
  <c r="AK52" i="8"/>
  <c r="AF52" i="8"/>
  <c r="AG52" i="8"/>
  <c r="AH52" i="8" s="1"/>
  <c r="AI52" i="8" s="1"/>
  <c r="AC53" i="8" s="1"/>
  <c r="AD53" i="8" s="1"/>
  <c r="AJ11" i="5"/>
  <c r="AE12" i="5" s="1"/>
  <c r="AG12" i="5" s="1"/>
  <c r="AH12" i="5" s="1"/>
  <c r="AI12" i="5" s="1"/>
  <c r="AC13" i="5" s="1"/>
  <c r="AD13" i="5" s="1"/>
  <c r="AK17" i="8"/>
  <c r="AF17" i="8"/>
  <c r="AG17" i="8"/>
  <c r="AH17" i="8" s="1"/>
  <c r="AI17" i="8" s="1"/>
  <c r="AC18" i="8" s="1"/>
  <c r="AG46" i="5"/>
  <c r="AH46" i="5" s="1"/>
  <c r="AI46" i="5" s="1"/>
  <c r="AC47" i="5" s="1"/>
  <c r="AD47" i="5" s="1"/>
  <c r="AF46" i="5"/>
  <c r="AK46" i="5"/>
  <c r="AI81" i="5"/>
  <c r="AC82" i="5" s="1"/>
  <c r="AD82" i="5" s="1"/>
  <c r="AJ81" i="5"/>
  <c r="AE82" i="5" s="1"/>
  <c r="AG44" i="6"/>
  <c r="AH44" i="6" s="1"/>
  <c r="AI44" i="6" s="1"/>
  <c r="AC45" i="6" s="1"/>
  <c r="AD45" i="6" s="1"/>
  <c r="AF44" i="6"/>
  <c r="AD9" i="6"/>
  <c r="AG9" i="6"/>
  <c r="AH9" i="6" s="1"/>
  <c r="AF9" i="6"/>
  <c r="AK9" i="6"/>
  <c r="AK79" i="6"/>
  <c r="AG79" i="6"/>
  <c r="AH79" i="6" s="1"/>
  <c r="AJ79" i="6" s="1"/>
  <c r="AE80" i="6" s="1"/>
  <c r="AF80" i="6" s="1"/>
  <c r="AD79" i="6"/>
  <c r="AG77" i="3"/>
  <c r="AH77" i="3" s="1"/>
  <c r="AI77" i="3" s="1"/>
  <c r="AC78" i="3" s="1"/>
  <c r="AD78" i="3" s="1"/>
  <c r="AK77" i="3"/>
  <c r="AD42" i="3"/>
  <c r="AG42" i="3"/>
  <c r="AH42" i="3" s="1"/>
  <c r="AK42" i="3"/>
  <c r="AD8" i="3"/>
  <c r="AJ7" i="3"/>
  <c r="AE8" i="3" s="1"/>
  <c r="AI78" i="4"/>
  <c r="AC79" i="4" s="1"/>
  <c r="AG79" i="4" s="1"/>
  <c r="AJ43" i="4"/>
  <c r="AE44" i="4" s="1"/>
  <c r="AK44" i="4" s="1"/>
  <c r="AH8" i="4"/>
  <c r="AI8" i="4" s="1"/>
  <c r="AC9" i="4" s="1"/>
  <c r="AD9" i="4" s="1"/>
  <c r="AD65" i="9" l="1"/>
  <c r="AD96" i="9"/>
  <c r="AK26" i="9"/>
  <c r="AF26" i="9"/>
  <c r="AJ64" i="9"/>
  <c r="AE65" i="9" s="1"/>
  <c r="AJ95" i="9"/>
  <c r="AE96" i="9" s="1"/>
  <c r="AG26" i="9"/>
  <c r="AH26" i="9" s="1"/>
  <c r="AI26" i="9" s="1"/>
  <c r="AC27" i="9" s="1"/>
  <c r="AF50" i="7"/>
  <c r="AJ50" i="7" s="1"/>
  <c r="AE51" i="7" s="1"/>
  <c r="AK51" i="7" s="1"/>
  <c r="AK50" i="7"/>
  <c r="AJ14" i="7"/>
  <c r="AE15" i="7" s="1"/>
  <c r="AK15" i="7" s="1"/>
  <c r="AI85" i="7"/>
  <c r="AC86" i="7" s="1"/>
  <c r="AG86" i="7" s="1"/>
  <c r="AH86" i="7" s="1"/>
  <c r="AJ86" i="7" s="1"/>
  <c r="AE87" i="7" s="1"/>
  <c r="AF12" i="5"/>
  <c r="AJ12" i="5" s="1"/>
  <c r="AE13" i="5" s="1"/>
  <c r="AK12" i="5"/>
  <c r="AG87" i="8"/>
  <c r="AH87" i="8" s="1"/>
  <c r="AI87" i="8" s="1"/>
  <c r="AC88" i="8" s="1"/>
  <c r="AK87" i="8"/>
  <c r="AF87" i="8"/>
  <c r="AJ52" i="8"/>
  <c r="AE53" i="8" s="1"/>
  <c r="AD18" i="8"/>
  <c r="AJ17" i="8"/>
  <c r="AE18" i="8" s="1"/>
  <c r="AJ46" i="5"/>
  <c r="AE47" i="5" s="1"/>
  <c r="AG47" i="5" s="1"/>
  <c r="AH47" i="5" s="1"/>
  <c r="AI47" i="5" s="1"/>
  <c r="AC48" i="5" s="1"/>
  <c r="AK82" i="5"/>
  <c r="AF82" i="5"/>
  <c r="AG82" i="5"/>
  <c r="AH82" i="5" s="1"/>
  <c r="AI82" i="5" s="1"/>
  <c r="AC83" i="5" s="1"/>
  <c r="AJ44" i="6"/>
  <c r="AE45" i="6" s="1"/>
  <c r="AF45" i="6" s="1"/>
  <c r="AI9" i="6"/>
  <c r="AC10" i="6" s="1"/>
  <c r="AD10" i="6" s="1"/>
  <c r="AJ9" i="6"/>
  <c r="AE10" i="6" s="1"/>
  <c r="AI79" i="6"/>
  <c r="AC80" i="6" s="1"/>
  <c r="AG80" i="6" s="1"/>
  <c r="AH80" i="6" s="1"/>
  <c r="AJ80" i="6" s="1"/>
  <c r="AE81" i="6" s="1"/>
  <c r="AF81" i="6" s="1"/>
  <c r="AI42" i="3"/>
  <c r="AC43" i="3" s="1"/>
  <c r="AD43" i="3" s="1"/>
  <c r="AJ42" i="3"/>
  <c r="AE43" i="3" s="1"/>
  <c r="AK8" i="3"/>
  <c r="AF8" i="3"/>
  <c r="AG8" i="3"/>
  <c r="AG44" i="4"/>
  <c r="AH44" i="4" s="1"/>
  <c r="AI44" i="4" s="1"/>
  <c r="AC45" i="4" s="1"/>
  <c r="AD45" i="4" s="1"/>
  <c r="AK79" i="4"/>
  <c r="AD79" i="4"/>
  <c r="AF44" i="4"/>
  <c r="AH79" i="4"/>
  <c r="AJ8" i="4"/>
  <c r="AE9" i="4" s="1"/>
  <c r="AK9" i="4" s="1"/>
  <c r="AJ77" i="3"/>
  <c r="AE78" i="3" s="1"/>
  <c r="AF78" i="3" s="1"/>
  <c r="AD27" i="9" l="1"/>
  <c r="AK65" i="9"/>
  <c r="AF65" i="9"/>
  <c r="AJ26" i="9"/>
  <c r="AE27" i="9" s="1"/>
  <c r="AK96" i="9"/>
  <c r="AF96" i="9"/>
  <c r="AG96" i="9"/>
  <c r="AH96" i="9" s="1"/>
  <c r="AI96" i="9" s="1"/>
  <c r="AC97" i="9" s="1"/>
  <c r="AG65" i="9"/>
  <c r="AH65" i="9" s="1"/>
  <c r="AI65" i="9" s="1"/>
  <c r="AC66" i="9" s="1"/>
  <c r="AF15" i="7"/>
  <c r="AG15" i="7"/>
  <c r="AH15" i="7" s="1"/>
  <c r="AI15" i="7" s="1"/>
  <c r="AC16" i="7" s="1"/>
  <c r="AD16" i="7" s="1"/>
  <c r="AF51" i="7"/>
  <c r="AG51" i="7"/>
  <c r="AH51" i="7" s="1"/>
  <c r="AI51" i="7" s="1"/>
  <c r="AC52" i="7" s="1"/>
  <c r="AD52" i="7" s="1"/>
  <c r="AK86" i="7"/>
  <c r="AD86" i="7"/>
  <c r="AI86" i="7" s="1"/>
  <c r="AC87" i="7" s="1"/>
  <c r="AK87" i="7" s="1"/>
  <c r="AF87" i="7"/>
  <c r="AG13" i="5"/>
  <c r="AH13" i="5" s="1"/>
  <c r="AI13" i="5" s="1"/>
  <c r="AC14" i="5" s="1"/>
  <c r="AD14" i="5" s="1"/>
  <c r="AF13" i="5"/>
  <c r="AK13" i="5"/>
  <c r="AJ87" i="8"/>
  <c r="AE88" i="8" s="1"/>
  <c r="AK88" i="8" s="1"/>
  <c r="AD88" i="8"/>
  <c r="AK53" i="8"/>
  <c r="AF53" i="8"/>
  <c r="AG53" i="8"/>
  <c r="AH53" i="8" s="1"/>
  <c r="AI53" i="8" s="1"/>
  <c r="AC54" i="8" s="1"/>
  <c r="AD54" i="8" s="1"/>
  <c r="AF18" i="8"/>
  <c r="AK18" i="8"/>
  <c r="AG18" i="8"/>
  <c r="AH18" i="8" s="1"/>
  <c r="AI18" i="8" s="1"/>
  <c r="AC19" i="8" s="1"/>
  <c r="AF47" i="5"/>
  <c r="AJ47" i="5" s="1"/>
  <c r="AE48" i="5" s="1"/>
  <c r="AK47" i="5"/>
  <c r="AD48" i="5"/>
  <c r="AD83" i="5"/>
  <c r="AJ82" i="5"/>
  <c r="AE83" i="5" s="1"/>
  <c r="AK45" i="6"/>
  <c r="AG45" i="6"/>
  <c r="AH45" i="6" s="1"/>
  <c r="AI45" i="6" s="1"/>
  <c r="AC46" i="6" s="1"/>
  <c r="AD46" i="6" s="1"/>
  <c r="AK10" i="6"/>
  <c r="AG10" i="6"/>
  <c r="AH10" i="6" s="1"/>
  <c r="AI10" i="6" s="1"/>
  <c r="AC11" i="6" s="1"/>
  <c r="AD11" i="6" s="1"/>
  <c r="AF10" i="6"/>
  <c r="AD80" i="6"/>
  <c r="AI80" i="6" s="1"/>
  <c r="AC81" i="6" s="1"/>
  <c r="AK80" i="6"/>
  <c r="AF43" i="3"/>
  <c r="AK43" i="3"/>
  <c r="AG43" i="3"/>
  <c r="AH43" i="3" s="1"/>
  <c r="AI43" i="3" s="1"/>
  <c r="AC44" i="3" s="1"/>
  <c r="AD44" i="3" s="1"/>
  <c r="AH8" i="3"/>
  <c r="AI8" i="3" s="1"/>
  <c r="AC9" i="3" s="1"/>
  <c r="AI79" i="4"/>
  <c r="AC80" i="4" s="1"/>
  <c r="AD80" i="4" s="1"/>
  <c r="AG9" i="4"/>
  <c r="AH9" i="4" s="1"/>
  <c r="AI9" i="4" s="1"/>
  <c r="AC10" i="4" s="1"/>
  <c r="AD10" i="4" s="1"/>
  <c r="AF9" i="4"/>
  <c r="AJ79" i="4"/>
  <c r="AE80" i="4" s="1"/>
  <c r="AJ44" i="4"/>
  <c r="AE45" i="4" s="1"/>
  <c r="AG45" i="4" s="1"/>
  <c r="AK78" i="3"/>
  <c r="AG78" i="3"/>
  <c r="AH78" i="3" s="1"/>
  <c r="AJ15" i="7" l="1"/>
  <c r="AE16" i="7" s="1"/>
  <c r="AD97" i="9"/>
  <c r="AD66" i="9"/>
  <c r="AK27" i="9"/>
  <c r="AF27" i="9"/>
  <c r="AJ96" i="9"/>
  <c r="AE97" i="9" s="1"/>
  <c r="AJ65" i="9"/>
  <c r="AE66" i="9" s="1"/>
  <c r="AG27" i="9"/>
  <c r="AH27" i="9" s="1"/>
  <c r="AI27" i="9" s="1"/>
  <c r="AC28" i="9" s="1"/>
  <c r="AJ51" i="7"/>
  <c r="AE52" i="7" s="1"/>
  <c r="AK52" i="7" s="1"/>
  <c r="AG87" i="7"/>
  <c r="AH87" i="7" s="1"/>
  <c r="AJ87" i="7" s="1"/>
  <c r="AE88" i="7" s="1"/>
  <c r="AD87" i="7"/>
  <c r="AG16" i="7"/>
  <c r="AH16" i="7" s="1"/>
  <c r="AI16" i="7" s="1"/>
  <c r="AC17" i="7" s="1"/>
  <c r="AK16" i="7"/>
  <c r="AF16" i="7"/>
  <c r="AF88" i="8"/>
  <c r="AJ13" i="5"/>
  <c r="AE14" i="5" s="1"/>
  <c r="AF14" i="5" s="1"/>
  <c r="AG88" i="8"/>
  <c r="AH88" i="8" s="1"/>
  <c r="AI88" i="8" s="1"/>
  <c r="AC89" i="8" s="1"/>
  <c r="AD89" i="8" s="1"/>
  <c r="AJ53" i="8"/>
  <c r="AE54" i="8" s="1"/>
  <c r="AD19" i="8"/>
  <c r="AJ18" i="8"/>
  <c r="AE19" i="8" s="1"/>
  <c r="AK48" i="5"/>
  <c r="AG48" i="5"/>
  <c r="AH48" i="5" s="1"/>
  <c r="AI48" i="5" s="1"/>
  <c r="AC49" i="5" s="1"/>
  <c r="AF48" i="5"/>
  <c r="AK83" i="5"/>
  <c r="AF83" i="5"/>
  <c r="AG83" i="5"/>
  <c r="AH83" i="5" s="1"/>
  <c r="AI83" i="5" s="1"/>
  <c r="AC84" i="5" s="1"/>
  <c r="AJ45" i="6"/>
  <c r="AE46" i="6" s="1"/>
  <c r="AK46" i="6" s="1"/>
  <c r="AJ10" i="6"/>
  <c r="AE11" i="6" s="1"/>
  <c r="AG81" i="6"/>
  <c r="AH81" i="6" s="1"/>
  <c r="AJ81" i="6" s="1"/>
  <c r="AE82" i="6" s="1"/>
  <c r="AF82" i="6" s="1"/>
  <c r="AD81" i="6"/>
  <c r="AK81" i="6"/>
  <c r="AJ43" i="3"/>
  <c r="AE44" i="3" s="1"/>
  <c r="AD9" i="3"/>
  <c r="AJ8" i="3"/>
  <c r="AE9" i="3" s="1"/>
  <c r="AF80" i="4"/>
  <c r="AK80" i="4"/>
  <c r="AG80" i="4"/>
  <c r="AK45" i="4"/>
  <c r="AF45" i="4"/>
  <c r="AH45" i="4"/>
  <c r="AJ9" i="4"/>
  <c r="AE10" i="4" s="1"/>
  <c r="AK10" i="4" s="1"/>
  <c r="AI78" i="3"/>
  <c r="AC79" i="3" s="1"/>
  <c r="AD79" i="3" s="1"/>
  <c r="AD28" i="9" l="1"/>
  <c r="AK97" i="9"/>
  <c r="AF97" i="9"/>
  <c r="AK66" i="9"/>
  <c r="AF66" i="9"/>
  <c r="AJ27" i="9"/>
  <c r="AE28" i="9" s="1"/>
  <c r="AG66" i="9"/>
  <c r="AH66" i="9" s="1"/>
  <c r="AI66" i="9" s="1"/>
  <c r="AC67" i="9" s="1"/>
  <c r="AG97" i="9"/>
  <c r="AH97" i="9" s="1"/>
  <c r="AI97" i="9" s="1"/>
  <c r="AC98" i="9" s="1"/>
  <c r="AG52" i="7"/>
  <c r="AH52" i="7" s="1"/>
  <c r="AI52" i="7" s="1"/>
  <c r="AC53" i="7" s="1"/>
  <c r="AD53" i="7" s="1"/>
  <c r="AF52" i="7"/>
  <c r="AI87" i="7"/>
  <c r="AC88" i="7" s="1"/>
  <c r="AD88" i="7" s="1"/>
  <c r="AJ16" i="7"/>
  <c r="AE17" i="7" s="1"/>
  <c r="AK17" i="7" s="1"/>
  <c r="AG14" i="5"/>
  <c r="AH14" i="5" s="1"/>
  <c r="AI14" i="5" s="1"/>
  <c r="AC15" i="5" s="1"/>
  <c r="AD15" i="5" s="1"/>
  <c r="AK14" i="5"/>
  <c r="AD17" i="7"/>
  <c r="AJ88" i="8"/>
  <c r="AE89" i="8" s="1"/>
  <c r="AK89" i="8" s="1"/>
  <c r="AF88" i="7"/>
  <c r="AK54" i="8"/>
  <c r="AG54" i="8"/>
  <c r="AH54" i="8" s="1"/>
  <c r="AI54" i="8" s="1"/>
  <c r="AC55" i="8" s="1"/>
  <c r="AF54" i="8"/>
  <c r="AK19" i="8"/>
  <c r="AF19" i="8"/>
  <c r="AG19" i="8"/>
  <c r="AH19" i="8" s="1"/>
  <c r="AI19" i="8" s="1"/>
  <c r="AC20" i="8" s="1"/>
  <c r="AJ48" i="5"/>
  <c r="AE49" i="5" s="1"/>
  <c r="AK49" i="5" s="1"/>
  <c r="AD49" i="5"/>
  <c r="AD84" i="5"/>
  <c r="AJ83" i="5"/>
  <c r="AE84" i="5" s="1"/>
  <c r="AG46" i="6"/>
  <c r="AH46" i="6" s="1"/>
  <c r="AI46" i="6" s="1"/>
  <c r="AC47" i="6" s="1"/>
  <c r="AD47" i="6" s="1"/>
  <c r="AF46" i="6"/>
  <c r="AG11" i="6"/>
  <c r="AH11" i="6" s="1"/>
  <c r="AI11" i="6" s="1"/>
  <c r="AC12" i="6" s="1"/>
  <c r="AF11" i="6"/>
  <c r="AK11" i="6"/>
  <c r="AI81" i="6"/>
  <c r="AC82" i="6" s="1"/>
  <c r="AK82" i="6" s="1"/>
  <c r="AG44" i="3"/>
  <c r="AH44" i="3" s="1"/>
  <c r="AI44" i="3" s="1"/>
  <c r="AC45" i="3" s="1"/>
  <c r="AD45" i="3" s="1"/>
  <c r="AF44" i="3"/>
  <c r="AK44" i="3"/>
  <c r="AF9" i="3"/>
  <c r="AK9" i="3"/>
  <c r="AG9" i="3"/>
  <c r="AJ45" i="4"/>
  <c r="AE46" i="4" s="1"/>
  <c r="AF46" i="4" s="1"/>
  <c r="AH80" i="4"/>
  <c r="AI80" i="4" s="1"/>
  <c r="AC81" i="4" s="1"/>
  <c r="AI45" i="4"/>
  <c r="AC46" i="4" s="1"/>
  <c r="AG10" i="4"/>
  <c r="AH10" i="4" s="1"/>
  <c r="AI10" i="4" s="1"/>
  <c r="AC11" i="4" s="1"/>
  <c r="AD11" i="4" s="1"/>
  <c r="AF10" i="4"/>
  <c r="AJ78" i="3"/>
  <c r="AE79" i="3" s="1"/>
  <c r="AJ52" i="7" l="1"/>
  <c r="AE53" i="7" s="1"/>
  <c r="AK53" i="7" s="1"/>
  <c r="AG88" i="7"/>
  <c r="AH88" i="7" s="1"/>
  <c r="AI88" i="7" s="1"/>
  <c r="AC89" i="7" s="1"/>
  <c r="AD89" i="7" s="1"/>
  <c r="AK88" i="7"/>
  <c r="AD67" i="9"/>
  <c r="AD98" i="9"/>
  <c r="AK28" i="9"/>
  <c r="AF28" i="9"/>
  <c r="AJ66" i="9"/>
  <c r="AE67" i="9" s="1"/>
  <c r="AJ97" i="9"/>
  <c r="AE98" i="9" s="1"/>
  <c r="AG28" i="9"/>
  <c r="AH28" i="9" s="1"/>
  <c r="AI28" i="9" s="1"/>
  <c r="AC29" i="9" s="1"/>
  <c r="AG17" i="7"/>
  <c r="AH17" i="7" s="1"/>
  <c r="AI17" i="7" s="1"/>
  <c r="AC18" i="7" s="1"/>
  <c r="AD18" i="7" s="1"/>
  <c r="AF17" i="7"/>
  <c r="AG53" i="7"/>
  <c r="AH53" i="7" s="1"/>
  <c r="AI53" i="7" s="1"/>
  <c r="AC54" i="7" s="1"/>
  <c r="AD54" i="7" s="1"/>
  <c r="AJ14" i="5"/>
  <c r="AE15" i="5" s="1"/>
  <c r="AG15" i="5" s="1"/>
  <c r="AH15" i="5" s="1"/>
  <c r="AI15" i="5" s="1"/>
  <c r="AC16" i="5" s="1"/>
  <c r="AD16" i="5" s="1"/>
  <c r="AG89" i="8"/>
  <c r="AH89" i="8" s="1"/>
  <c r="AI89" i="8" s="1"/>
  <c r="AC90" i="8" s="1"/>
  <c r="AD90" i="8" s="1"/>
  <c r="AF89" i="8"/>
  <c r="AJ88" i="7"/>
  <c r="AE89" i="7" s="1"/>
  <c r="AF89" i="7" s="1"/>
  <c r="AF53" i="7"/>
  <c r="AJ54" i="8"/>
  <c r="AE55" i="8" s="1"/>
  <c r="AF55" i="8" s="1"/>
  <c r="AD55" i="8"/>
  <c r="AJ19" i="8"/>
  <c r="AE20" i="8" s="1"/>
  <c r="AG20" i="8" s="1"/>
  <c r="AH20" i="8" s="1"/>
  <c r="AD20" i="8"/>
  <c r="AG49" i="5"/>
  <c r="AH49" i="5" s="1"/>
  <c r="AI49" i="5" s="1"/>
  <c r="AC50" i="5" s="1"/>
  <c r="AD50" i="5" s="1"/>
  <c r="AF49" i="5"/>
  <c r="AK84" i="5"/>
  <c r="AF84" i="5"/>
  <c r="AG84" i="5"/>
  <c r="AH84" i="5" s="1"/>
  <c r="AI84" i="5" s="1"/>
  <c r="AC85" i="5" s="1"/>
  <c r="AD85" i="5" s="1"/>
  <c r="AJ46" i="6"/>
  <c r="AE47" i="6" s="1"/>
  <c r="AG47" i="6" s="1"/>
  <c r="AH47" i="6" s="1"/>
  <c r="AI47" i="6" s="1"/>
  <c r="AC48" i="6" s="1"/>
  <c r="AJ11" i="6"/>
  <c r="AE12" i="6" s="1"/>
  <c r="AK12" i="6" s="1"/>
  <c r="AG82" i="6"/>
  <c r="AH82" i="6" s="1"/>
  <c r="AJ82" i="6" s="1"/>
  <c r="AE83" i="6" s="1"/>
  <c r="AF83" i="6" s="1"/>
  <c r="AD12" i="6"/>
  <c r="AD82" i="6"/>
  <c r="AJ44" i="3"/>
  <c r="AE45" i="3" s="1"/>
  <c r="AF45" i="3" s="1"/>
  <c r="AG79" i="3"/>
  <c r="AF79" i="3"/>
  <c r="AH9" i="3"/>
  <c r="AI9" i="3" s="1"/>
  <c r="AC10" i="3" s="1"/>
  <c r="AD81" i="4"/>
  <c r="AJ80" i="4"/>
  <c r="AE81" i="4" s="1"/>
  <c r="AD46" i="4"/>
  <c r="AG46" i="4"/>
  <c r="AK46" i="4"/>
  <c r="AJ10" i="4"/>
  <c r="AE11" i="4" s="1"/>
  <c r="AK11" i="4" s="1"/>
  <c r="AK79" i="3"/>
  <c r="AD29" i="9" l="1"/>
  <c r="AJ28" i="9"/>
  <c r="AE29" i="9" s="1"/>
  <c r="AK67" i="9"/>
  <c r="AF67" i="9"/>
  <c r="AK98" i="9"/>
  <c r="AF98" i="9"/>
  <c r="AG98" i="9"/>
  <c r="AH98" i="9" s="1"/>
  <c r="AI98" i="9" s="1"/>
  <c r="AC99" i="9" s="1"/>
  <c r="AG67" i="9"/>
  <c r="AH67" i="9" s="1"/>
  <c r="AI67" i="9" s="1"/>
  <c r="AC68" i="9" s="1"/>
  <c r="AF15" i="5"/>
  <c r="AJ15" i="5" s="1"/>
  <c r="AE16" i="5" s="1"/>
  <c r="AK15" i="5"/>
  <c r="AJ17" i="7"/>
  <c r="AE18" i="7" s="1"/>
  <c r="AG18" i="7" s="1"/>
  <c r="AH18" i="7" s="1"/>
  <c r="AI18" i="7" s="1"/>
  <c r="AC19" i="7" s="1"/>
  <c r="AD19" i="7" s="1"/>
  <c r="AJ53" i="7"/>
  <c r="AE54" i="7" s="1"/>
  <c r="AK54" i="7" s="1"/>
  <c r="AJ89" i="8"/>
  <c r="AE90" i="8" s="1"/>
  <c r="AK90" i="8" s="1"/>
  <c r="AK89" i="7"/>
  <c r="AG89" i="7"/>
  <c r="AH89" i="7" s="1"/>
  <c r="AI89" i="7" s="1"/>
  <c r="AC90" i="7" s="1"/>
  <c r="AD90" i="7" s="1"/>
  <c r="AG55" i="8"/>
  <c r="AH55" i="8" s="1"/>
  <c r="AI55" i="8" s="1"/>
  <c r="AC56" i="8" s="1"/>
  <c r="AD56" i="8" s="1"/>
  <c r="AK55" i="8"/>
  <c r="AI20" i="8"/>
  <c r="AC21" i="8" s="1"/>
  <c r="AD21" i="8" s="1"/>
  <c r="AK20" i="8"/>
  <c r="AF20" i="8"/>
  <c r="AJ20" i="8" s="1"/>
  <c r="AE21" i="8" s="1"/>
  <c r="AJ49" i="5"/>
  <c r="AE50" i="5" s="1"/>
  <c r="AF50" i="5" s="1"/>
  <c r="AJ84" i="5"/>
  <c r="AE85" i="5" s="1"/>
  <c r="AF47" i="6"/>
  <c r="AJ47" i="6" s="1"/>
  <c r="AE48" i="6" s="1"/>
  <c r="AG48" i="6" s="1"/>
  <c r="AH48" i="6" s="1"/>
  <c r="AK47" i="6"/>
  <c r="AI82" i="6"/>
  <c r="AC83" i="6" s="1"/>
  <c r="AD83" i="6" s="1"/>
  <c r="AG12" i="6"/>
  <c r="AH12" i="6" s="1"/>
  <c r="AI12" i="6" s="1"/>
  <c r="AC13" i="6" s="1"/>
  <c r="AD13" i="6" s="1"/>
  <c r="AF12" i="6"/>
  <c r="AD48" i="6"/>
  <c r="AG45" i="3"/>
  <c r="AH45" i="3" s="1"/>
  <c r="AJ45" i="3" s="1"/>
  <c r="AE46" i="3" s="1"/>
  <c r="AF46" i="3" s="1"/>
  <c r="AK45" i="3"/>
  <c r="AH79" i="3"/>
  <c r="AI79" i="3" s="1"/>
  <c r="AC80" i="3" s="1"/>
  <c r="AD80" i="3" s="1"/>
  <c r="AJ9" i="3"/>
  <c r="AE10" i="3" s="1"/>
  <c r="AG10" i="3" s="1"/>
  <c r="AD10" i="3"/>
  <c r="AG11" i="4"/>
  <c r="AH11" i="4" s="1"/>
  <c r="AI11" i="4" s="1"/>
  <c r="AC12" i="4" s="1"/>
  <c r="AD12" i="4" s="1"/>
  <c r="AF11" i="4"/>
  <c r="AF81" i="4"/>
  <c r="AK81" i="4"/>
  <c r="AG81" i="4"/>
  <c r="AH46" i="4"/>
  <c r="AJ46" i="4" s="1"/>
  <c r="AE47" i="4" s="1"/>
  <c r="AK18" i="7" l="1"/>
  <c r="AF18" i="7"/>
  <c r="AF54" i="7"/>
  <c r="AD68" i="9"/>
  <c r="AD99" i="9"/>
  <c r="AJ98" i="9"/>
  <c r="AE99" i="9" s="1"/>
  <c r="AG99" i="9" s="1"/>
  <c r="AH99" i="9" s="1"/>
  <c r="AJ67" i="9"/>
  <c r="AE68" i="9" s="1"/>
  <c r="AK29" i="9"/>
  <c r="AF29" i="9"/>
  <c r="AG29" i="9"/>
  <c r="AH29" i="9" s="1"/>
  <c r="AI29" i="9" s="1"/>
  <c r="AC30" i="9" s="1"/>
  <c r="AG16" i="5"/>
  <c r="AH16" i="5" s="1"/>
  <c r="AI16" i="5" s="1"/>
  <c r="AC17" i="5" s="1"/>
  <c r="AD17" i="5" s="1"/>
  <c r="AK16" i="5"/>
  <c r="AF16" i="5"/>
  <c r="AG54" i="7"/>
  <c r="AH54" i="7" s="1"/>
  <c r="AI54" i="7" s="1"/>
  <c r="AC55" i="7" s="1"/>
  <c r="AD55" i="7" s="1"/>
  <c r="AJ18" i="7"/>
  <c r="AE19" i="7" s="1"/>
  <c r="AG19" i="7" s="1"/>
  <c r="AH19" i="7" s="1"/>
  <c r="AI19" i="7" s="1"/>
  <c r="AC20" i="7" s="1"/>
  <c r="AG90" i="8"/>
  <c r="AH90" i="8" s="1"/>
  <c r="AI90" i="8" s="1"/>
  <c r="AC91" i="8" s="1"/>
  <c r="AD91" i="8" s="1"/>
  <c r="AF90" i="8"/>
  <c r="AJ89" i="7"/>
  <c r="AE90" i="7" s="1"/>
  <c r="AK90" i="7" s="1"/>
  <c r="AF19" i="7"/>
  <c r="AJ55" i="8"/>
  <c r="AE56" i="8" s="1"/>
  <c r="AG56" i="8" s="1"/>
  <c r="AH56" i="8" s="1"/>
  <c r="AI56" i="8" s="1"/>
  <c r="AC57" i="8" s="1"/>
  <c r="AD57" i="8" s="1"/>
  <c r="AF21" i="8"/>
  <c r="AK21" i="8"/>
  <c r="AG21" i="8"/>
  <c r="AH21" i="8" s="1"/>
  <c r="AI21" i="8" s="1"/>
  <c r="AC22" i="8" s="1"/>
  <c r="AG50" i="5"/>
  <c r="AH50" i="5" s="1"/>
  <c r="AI50" i="5" s="1"/>
  <c r="AC51" i="5" s="1"/>
  <c r="AD51" i="5" s="1"/>
  <c r="AK50" i="5"/>
  <c r="AG85" i="5"/>
  <c r="AH85" i="5" s="1"/>
  <c r="AI85" i="5" s="1"/>
  <c r="AC86" i="5" s="1"/>
  <c r="AK85" i="5"/>
  <c r="AF85" i="5"/>
  <c r="AJ12" i="6"/>
  <c r="AE13" i="6" s="1"/>
  <c r="AK13" i="6" s="1"/>
  <c r="AG83" i="6"/>
  <c r="AH83" i="6" s="1"/>
  <c r="AI83" i="6" s="1"/>
  <c r="AC84" i="6" s="1"/>
  <c r="AK83" i="6"/>
  <c r="AK48" i="6"/>
  <c r="AI48" i="6"/>
  <c r="AC49" i="6" s="1"/>
  <c r="AD49" i="6" s="1"/>
  <c r="AF48" i="6"/>
  <c r="AJ48" i="6" s="1"/>
  <c r="AE49" i="6" s="1"/>
  <c r="AF10" i="3"/>
  <c r="AI45" i="3"/>
  <c r="AC46" i="3" s="1"/>
  <c r="AD46" i="3" s="1"/>
  <c r="AK10" i="3"/>
  <c r="AJ79" i="3"/>
  <c r="AE80" i="3" s="1"/>
  <c r="AF80" i="3" s="1"/>
  <c r="AH10" i="3"/>
  <c r="AH81" i="4"/>
  <c r="AI81" i="4" s="1"/>
  <c r="AC82" i="4" s="1"/>
  <c r="AF47" i="4"/>
  <c r="AI46" i="4"/>
  <c r="AC47" i="4" s="1"/>
  <c r="AJ11" i="4"/>
  <c r="AE12" i="4" s="1"/>
  <c r="AF12" i="4" s="1"/>
  <c r="AJ16" i="5" l="1"/>
  <c r="AE17" i="5" s="1"/>
  <c r="AJ29" i="9"/>
  <c r="AE30" i="9" s="1"/>
  <c r="AG30" i="9" s="1"/>
  <c r="AH30" i="9" s="1"/>
  <c r="AD30" i="9"/>
  <c r="AK99" i="9"/>
  <c r="AF99" i="9"/>
  <c r="AJ99" i="9" s="1"/>
  <c r="AE100" i="9" s="1"/>
  <c r="AK68" i="9"/>
  <c r="AF68" i="9"/>
  <c r="AI99" i="9"/>
  <c r="AC100" i="9" s="1"/>
  <c r="AG68" i="9"/>
  <c r="AH68" i="9" s="1"/>
  <c r="AI68" i="9" s="1"/>
  <c r="AC69" i="9" s="1"/>
  <c r="AK19" i="7"/>
  <c r="AJ54" i="7"/>
  <c r="AE55" i="7" s="1"/>
  <c r="AF55" i="7" s="1"/>
  <c r="AJ90" i="8"/>
  <c r="AE91" i="8" s="1"/>
  <c r="AK91" i="8" s="1"/>
  <c r="AG90" i="7"/>
  <c r="AH90" i="7" s="1"/>
  <c r="AI90" i="7" s="1"/>
  <c r="AC91" i="7" s="1"/>
  <c r="AD91" i="7" s="1"/>
  <c r="AF90" i="7"/>
  <c r="AJ19" i="7"/>
  <c r="AE20" i="7" s="1"/>
  <c r="AK20" i="7" s="1"/>
  <c r="AD20" i="7"/>
  <c r="AG17" i="5"/>
  <c r="AH17" i="5" s="1"/>
  <c r="AI17" i="5" s="1"/>
  <c r="AC18" i="5" s="1"/>
  <c r="AF17" i="5"/>
  <c r="AK17" i="5"/>
  <c r="AK56" i="8"/>
  <c r="AF56" i="8"/>
  <c r="AJ56" i="8" s="1"/>
  <c r="AE57" i="8" s="1"/>
  <c r="AG57" i="8" s="1"/>
  <c r="AH57" i="8" s="1"/>
  <c r="AI57" i="8" s="1"/>
  <c r="AC58" i="8" s="1"/>
  <c r="AD58" i="8" s="1"/>
  <c r="AD22" i="8"/>
  <c r="AJ21" i="8"/>
  <c r="AE22" i="8" s="1"/>
  <c r="AJ50" i="5"/>
  <c r="AE51" i="5" s="1"/>
  <c r="AK51" i="5" s="1"/>
  <c r="AJ85" i="5"/>
  <c r="AE86" i="5" s="1"/>
  <c r="AK86" i="5" s="1"/>
  <c r="AD86" i="5"/>
  <c r="AF13" i="6"/>
  <c r="AG13" i="6"/>
  <c r="AH13" i="6" s="1"/>
  <c r="AI13" i="6" s="1"/>
  <c r="AC14" i="6" s="1"/>
  <c r="AD14" i="6" s="1"/>
  <c r="AJ83" i="6"/>
  <c r="AE84" i="6" s="1"/>
  <c r="AF84" i="6" s="1"/>
  <c r="AD84" i="6"/>
  <c r="AG49" i="6"/>
  <c r="AH49" i="6" s="1"/>
  <c r="AI49" i="6" s="1"/>
  <c r="AC50" i="6" s="1"/>
  <c r="AD50" i="6" s="1"/>
  <c r="AK49" i="6"/>
  <c r="AF49" i="6"/>
  <c r="AK80" i="3"/>
  <c r="AG80" i="3"/>
  <c r="AH80" i="3" s="1"/>
  <c r="AI80" i="3" s="1"/>
  <c r="AC81" i="3" s="1"/>
  <c r="AD81" i="3" s="1"/>
  <c r="AJ10" i="3"/>
  <c r="AE11" i="3" s="1"/>
  <c r="AF11" i="3" s="1"/>
  <c r="AG46" i="3"/>
  <c r="AH46" i="3" s="1"/>
  <c r="AJ46" i="3" s="1"/>
  <c r="AE47" i="3" s="1"/>
  <c r="AF47" i="3" s="1"/>
  <c r="AK46" i="3"/>
  <c r="AI10" i="3"/>
  <c r="AC11" i="3" s="1"/>
  <c r="AG12" i="4"/>
  <c r="AH12" i="4" s="1"/>
  <c r="AI12" i="4" s="1"/>
  <c r="AC13" i="4" s="1"/>
  <c r="AD13" i="4" s="1"/>
  <c r="AD82" i="4"/>
  <c r="AJ81" i="4"/>
  <c r="AE82" i="4" s="1"/>
  <c r="AD47" i="4"/>
  <c r="AG47" i="4"/>
  <c r="AK47" i="4"/>
  <c r="AK12" i="4"/>
  <c r="AF30" i="9" l="1"/>
  <c r="AJ30" i="9" s="1"/>
  <c r="AE31" i="9" s="1"/>
  <c r="AK30" i="9"/>
  <c r="AI30" i="9"/>
  <c r="AC31" i="9" s="1"/>
  <c r="AD31" i="9" s="1"/>
  <c r="AD69" i="9"/>
  <c r="AG100" i="9"/>
  <c r="AH100" i="9" s="1"/>
  <c r="AD100" i="9"/>
  <c r="AK100" i="9"/>
  <c r="AF100" i="9"/>
  <c r="AJ68" i="9"/>
  <c r="AE69" i="9" s="1"/>
  <c r="AK55" i="7"/>
  <c r="AG55" i="7"/>
  <c r="AH55" i="7" s="1"/>
  <c r="AI55" i="7" s="1"/>
  <c r="AC56" i="7" s="1"/>
  <c r="AD56" i="7" s="1"/>
  <c r="AF91" i="8"/>
  <c r="AJ90" i="7"/>
  <c r="AE91" i="7" s="1"/>
  <c r="AK91" i="7" s="1"/>
  <c r="AG91" i="8"/>
  <c r="AH91" i="8" s="1"/>
  <c r="AI91" i="8" s="1"/>
  <c r="AC92" i="8" s="1"/>
  <c r="AD92" i="8" s="1"/>
  <c r="AG20" i="7"/>
  <c r="AH20" i="7" s="1"/>
  <c r="AI20" i="7" s="1"/>
  <c r="AC21" i="7" s="1"/>
  <c r="AD21" i="7" s="1"/>
  <c r="AF20" i="7"/>
  <c r="AJ17" i="5"/>
  <c r="AE18" i="5" s="1"/>
  <c r="AF18" i="5" s="1"/>
  <c r="AD18" i="5"/>
  <c r="AK57" i="8"/>
  <c r="AF57" i="8"/>
  <c r="AJ57" i="8" s="1"/>
  <c r="AE58" i="8" s="1"/>
  <c r="AK22" i="8"/>
  <c r="AF22" i="8"/>
  <c r="AG22" i="8"/>
  <c r="AH22" i="8" s="1"/>
  <c r="AI22" i="8" s="1"/>
  <c r="AC23" i="8" s="1"/>
  <c r="AF51" i="5"/>
  <c r="AG51" i="5"/>
  <c r="AH51" i="5" s="1"/>
  <c r="AI51" i="5" s="1"/>
  <c r="AC52" i="5" s="1"/>
  <c r="AD52" i="5" s="1"/>
  <c r="AG86" i="5"/>
  <c r="AH86" i="5" s="1"/>
  <c r="AI86" i="5" s="1"/>
  <c r="AC87" i="5" s="1"/>
  <c r="AD87" i="5" s="1"/>
  <c r="AF86" i="5"/>
  <c r="AJ13" i="6"/>
  <c r="AE14" i="6" s="1"/>
  <c r="AK14" i="6" s="1"/>
  <c r="AG84" i="6"/>
  <c r="AH84" i="6" s="1"/>
  <c r="AI84" i="6" s="1"/>
  <c r="AC85" i="6" s="1"/>
  <c r="AD85" i="6" s="1"/>
  <c r="AK84" i="6"/>
  <c r="AJ49" i="6"/>
  <c r="AE50" i="6" s="1"/>
  <c r="AG50" i="6" s="1"/>
  <c r="AH50" i="6" s="1"/>
  <c r="AI50" i="6" s="1"/>
  <c r="AC51" i="6" s="1"/>
  <c r="AD51" i="6" s="1"/>
  <c r="AI46" i="3"/>
  <c r="AC47" i="3" s="1"/>
  <c r="AD47" i="3" s="1"/>
  <c r="AD11" i="3"/>
  <c r="AG11" i="3"/>
  <c r="AK11" i="3"/>
  <c r="AF82" i="4"/>
  <c r="AK82" i="4"/>
  <c r="AG82" i="4"/>
  <c r="AH47" i="4"/>
  <c r="AJ47" i="4" s="1"/>
  <c r="AE48" i="4" s="1"/>
  <c r="AJ12" i="4"/>
  <c r="AE13" i="4" s="1"/>
  <c r="AG13" i="4" s="1"/>
  <c r="AJ80" i="3"/>
  <c r="AE81" i="3" s="1"/>
  <c r="AJ100" i="9" l="1"/>
  <c r="AE101" i="9" s="1"/>
  <c r="AI100" i="9"/>
  <c r="AC101" i="9" s="1"/>
  <c r="AD101" i="9" s="1"/>
  <c r="AF31" i="9"/>
  <c r="AK31" i="9"/>
  <c r="AG31" i="9"/>
  <c r="AH31" i="9" s="1"/>
  <c r="AI31" i="9" s="1"/>
  <c r="AC32" i="9" s="1"/>
  <c r="AD32" i="9" s="1"/>
  <c r="AJ55" i="7"/>
  <c r="AE56" i="7" s="1"/>
  <c r="AG56" i="7" s="1"/>
  <c r="AH56" i="7" s="1"/>
  <c r="AI56" i="7" s="1"/>
  <c r="AC57" i="7" s="1"/>
  <c r="AD57" i="7" s="1"/>
  <c r="AF101" i="9"/>
  <c r="AK69" i="9"/>
  <c r="AF69" i="9"/>
  <c r="AG69" i="9"/>
  <c r="AF91" i="7"/>
  <c r="AG91" i="7"/>
  <c r="AH91" i="7" s="1"/>
  <c r="AI91" i="7" s="1"/>
  <c r="AC92" i="7" s="1"/>
  <c r="AD92" i="7" s="1"/>
  <c r="AJ91" i="8"/>
  <c r="AE92" i="8" s="1"/>
  <c r="AF92" i="8" s="1"/>
  <c r="AG18" i="5"/>
  <c r="AH18" i="5" s="1"/>
  <c r="AI18" i="5" s="1"/>
  <c r="AC19" i="5" s="1"/>
  <c r="AD19" i="5" s="1"/>
  <c r="AJ20" i="7"/>
  <c r="AE21" i="7" s="1"/>
  <c r="AG21" i="7" s="1"/>
  <c r="AH21" i="7" s="1"/>
  <c r="AI21" i="7" s="1"/>
  <c r="AC22" i="7" s="1"/>
  <c r="AD22" i="7" s="1"/>
  <c r="AK18" i="5"/>
  <c r="AG58" i="8"/>
  <c r="AH58" i="8" s="1"/>
  <c r="AI58" i="8" s="1"/>
  <c r="AC59" i="8" s="1"/>
  <c r="AD59" i="8" s="1"/>
  <c r="AK58" i="8"/>
  <c r="AF58" i="8"/>
  <c r="AD23" i="8"/>
  <c r="AJ22" i="8"/>
  <c r="AE23" i="8" s="1"/>
  <c r="AJ51" i="5"/>
  <c r="AE52" i="5" s="1"/>
  <c r="AG52" i="5" s="1"/>
  <c r="AH52" i="5" s="1"/>
  <c r="AI52" i="5" s="1"/>
  <c r="AC53" i="5" s="1"/>
  <c r="AD53" i="5" s="1"/>
  <c r="AJ86" i="5"/>
  <c r="AE87" i="5" s="1"/>
  <c r="AG87" i="5" s="1"/>
  <c r="AH87" i="5" s="1"/>
  <c r="AI87" i="5" s="1"/>
  <c r="AC88" i="5" s="1"/>
  <c r="AJ84" i="6"/>
  <c r="AE85" i="6" s="1"/>
  <c r="AF85" i="6" s="1"/>
  <c r="AF14" i="6"/>
  <c r="AG14" i="6"/>
  <c r="AH14" i="6" s="1"/>
  <c r="AI14" i="6" s="1"/>
  <c r="AC15" i="6" s="1"/>
  <c r="AD15" i="6" s="1"/>
  <c r="AF50" i="6"/>
  <c r="AJ50" i="6" s="1"/>
  <c r="AE51" i="6" s="1"/>
  <c r="AF51" i="6" s="1"/>
  <c r="AK50" i="6"/>
  <c r="AK47" i="3"/>
  <c r="AG47" i="3"/>
  <c r="AH47" i="3" s="1"/>
  <c r="AJ47" i="3" s="1"/>
  <c r="AE48" i="3" s="1"/>
  <c r="AF48" i="3" s="1"/>
  <c r="AG81" i="3"/>
  <c r="AH81" i="3" s="1"/>
  <c r="AF81" i="3"/>
  <c r="AH11" i="3"/>
  <c r="AJ11" i="3" s="1"/>
  <c r="AE12" i="3" s="1"/>
  <c r="AK13" i="4"/>
  <c r="AH82" i="4"/>
  <c r="AI82" i="4" s="1"/>
  <c r="AC83" i="4" s="1"/>
  <c r="AF13" i="4"/>
  <c r="AF48" i="4"/>
  <c r="AI47" i="4"/>
  <c r="AC48" i="4" s="1"/>
  <c r="AH13" i="4"/>
  <c r="AK81" i="3"/>
  <c r="AK101" i="9" l="1"/>
  <c r="AG101" i="9"/>
  <c r="AH101" i="9" s="1"/>
  <c r="AJ101" i="9" s="1"/>
  <c r="AE102" i="9" s="1"/>
  <c r="AJ31" i="9"/>
  <c r="AE32" i="9" s="1"/>
  <c r="AG32" i="9" s="1"/>
  <c r="AH32" i="9" s="1"/>
  <c r="AI32" i="9" s="1"/>
  <c r="AC33" i="9" s="1"/>
  <c r="AK56" i="7"/>
  <c r="AF56" i="7"/>
  <c r="AJ56" i="7" s="1"/>
  <c r="AE57" i="7" s="1"/>
  <c r="AF57" i="7" s="1"/>
  <c r="AI101" i="9"/>
  <c r="AC102" i="9" s="1"/>
  <c r="AD102" i="9" s="1"/>
  <c r="AG92" i="8"/>
  <c r="AH92" i="8" s="1"/>
  <c r="AI92" i="8" s="1"/>
  <c r="AC93" i="8" s="1"/>
  <c r="AD93" i="8" s="1"/>
  <c r="AK92" i="8"/>
  <c r="O24" i="9"/>
  <c r="O25" i="9" s="1"/>
  <c r="G19" i="9" s="1"/>
  <c r="G20" i="9" s="1"/>
  <c r="AH69" i="9"/>
  <c r="AI69" i="9" s="1"/>
  <c r="AJ91" i="7"/>
  <c r="AE92" i="7" s="1"/>
  <c r="AF92" i="7" s="1"/>
  <c r="AJ18" i="5"/>
  <c r="AE19" i="5" s="1"/>
  <c r="AG19" i="5" s="1"/>
  <c r="AH19" i="5" s="1"/>
  <c r="AI19" i="5" s="1"/>
  <c r="AC20" i="5" s="1"/>
  <c r="AD20" i="5" s="1"/>
  <c r="AF21" i="7"/>
  <c r="AJ21" i="7" s="1"/>
  <c r="AE22" i="7" s="1"/>
  <c r="AK21" i="7"/>
  <c r="AJ58" i="8"/>
  <c r="AE59" i="8" s="1"/>
  <c r="AF59" i="8" s="1"/>
  <c r="AK23" i="8"/>
  <c r="AF23" i="8"/>
  <c r="AG23" i="8"/>
  <c r="AH23" i="8" s="1"/>
  <c r="AI23" i="8" s="1"/>
  <c r="AC24" i="8" s="1"/>
  <c r="AF52" i="5"/>
  <c r="AJ52" i="5" s="1"/>
  <c r="AE53" i="5" s="1"/>
  <c r="AK53" i="5" s="1"/>
  <c r="AK52" i="5"/>
  <c r="AK87" i="5"/>
  <c r="AF87" i="5"/>
  <c r="AJ87" i="5" s="1"/>
  <c r="AE88" i="5" s="1"/>
  <c r="AD88" i="5"/>
  <c r="AK85" i="6"/>
  <c r="AG85" i="6"/>
  <c r="AH85" i="6" s="1"/>
  <c r="AI85" i="6" s="1"/>
  <c r="AC86" i="6" s="1"/>
  <c r="AD86" i="6" s="1"/>
  <c r="AJ14" i="6"/>
  <c r="AE15" i="6" s="1"/>
  <c r="AF15" i="6" s="1"/>
  <c r="AK51" i="6"/>
  <c r="AG51" i="6"/>
  <c r="AH51" i="6" s="1"/>
  <c r="AI51" i="6" s="1"/>
  <c r="AC52" i="6" s="1"/>
  <c r="AD52" i="6" s="1"/>
  <c r="AF12" i="3"/>
  <c r="AI11" i="3"/>
  <c r="AC12" i="3" s="1"/>
  <c r="AJ13" i="4"/>
  <c r="AE14" i="4" s="1"/>
  <c r="AF14" i="4" s="1"/>
  <c r="AD83" i="4"/>
  <c r="AJ82" i="4"/>
  <c r="AE83" i="4" s="1"/>
  <c r="AG83" i="4" s="1"/>
  <c r="AD48" i="4"/>
  <c r="AG48" i="4"/>
  <c r="AK48" i="4"/>
  <c r="AI13" i="4"/>
  <c r="AC14" i="4" s="1"/>
  <c r="AJ81" i="3"/>
  <c r="AE82" i="3" s="1"/>
  <c r="AF82" i="3" s="1"/>
  <c r="AI81" i="3"/>
  <c r="AC82" i="3" s="1"/>
  <c r="AD82" i="3" s="1"/>
  <c r="AI47" i="3"/>
  <c r="AC48" i="3" s="1"/>
  <c r="AD48" i="3" s="1"/>
  <c r="AG57" i="7" l="1"/>
  <c r="AH57" i="7" s="1"/>
  <c r="AI57" i="7" s="1"/>
  <c r="AC58" i="7" s="1"/>
  <c r="AK57" i="7"/>
  <c r="AJ92" i="8"/>
  <c r="AE93" i="8" s="1"/>
  <c r="AG93" i="8" s="1"/>
  <c r="AH93" i="8" s="1"/>
  <c r="AI93" i="8" s="1"/>
  <c r="AC94" i="8" s="1"/>
  <c r="AD94" i="8" s="1"/>
  <c r="AK102" i="9"/>
  <c r="AF102" i="9"/>
  <c r="AF32" i="9"/>
  <c r="AJ32" i="9" s="1"/>
  <c r="AE33" i="9" s="1"/>
  <c r="AK32" i="9"/>
  <c r="AG102" i="9"/>
  <c r="AH102" i="9" s="1"/>
  <c r="AI102" i="9" s="1"/>
  <c r="AC103" i="9" s="1"/>
  <c r="AD103" i="9" s="1"/>
  <c r="AJ69" i="9"/>
  <c r="AD33" i="9"/>
  <c r="AF19" i="5"/>
  <c r="AJ19" i="5" s="1"/>
  <c r="AE20" i="5" s="1"/>
  <c r="AG20" i="5" s="1"/>
  <c r="AH20" i="5" s="1"/>
  <c r="AI20" i="5" s="1"/>
  <c r="AC21" i="5" s="1"/>
  <c r="AK19" i="5"/>
  <c r="AK92" i="7"/>
  <c r="AG92" i="7"/>
  <c r="AH92" i="7" s="1"/>
  <c r="AI92" i="7" s="1"/>
  <c r="AC93" i="7" s="1"/>
  <c r="AD93" i="7" s="1"/>
  <c r="AG22" i="7"/>
  <c r="AH22" i="7" s="1"/>
  <c r="AI22" i="7" s="1"/>
  <c r="AC23" i="7" s="1"/>
  <c r="AD23" i="7" s="1"/>
  <c r="AF22" i="7"/>
  <c r="AK22" i="7"/>
  <c r="AD58" i="7"/>
  <c r="AJ57" i="7"/>
  <c r="AE58" i="7" s="1"/>
  <c r="AK59" i="8"/>
  <c r="AG59" i="8"/>
  <c r="AH59" i="8" s="1"/>
  <c r="AK93" i="8"/>
  <c r="AD24" i="8"/>
  <c r="AJ23" i="8"/>
  <c r="AE24" i="8" s="1"/>
  <c r="AF53" i="5"/>
  <c r="AG53" i="5"/>
  <c r="AH53" i="5" s="1"/>
  <c r="AI53" i="5" s="1"/>
  <c r="AC54" i="5" s="1"/>
  <c r="AD54" i="5" s="1"/>
  <c r="AK88" i="5"/>
  <c r="AF88" i="5"/>
  <c r="AG88" i="5"/>
  <c r="AH88" i="5" s="1"/>
  <c r="AI88" i="5" s="1"/>
  <c r="AC89" i="5" s="1"/>
  <c r="AJ85" i="6"/>
  <c r="AE86" i="6" s="1"/>
  <c r="AK86" i="6" s="1"/>
  <c r="AG15" i="6"/>
  <c r="AH15" i="6" s="1"/>
  <c r="AI15" i="6" s="1"/>
  <c r="AC16" i="6" s="1"/>
  <c r="AK15" i="6"/>
  <c r="AJ51" i="6"/>
  <c r="AE52" i="6" s="1"/>
  <c r="AK52" i="6" s="1"/>
  <c r="AD12" i="3"/>
  <c r="AG12" i="3"/>
  <c r="AK12" i="3"/>
  <c r="AH83" i="4"/>
  <c r="AI83" i="4" s="1"/>
  <c r="AC84" i="4" s="1"/>
  <c r="AF83" i="4"/>
  <c r="AK83" i="4"/>
  <c r="AH48" i="4"/>
  <c r="AJ48" i="4" s="1"/>
  <c r="AE49" i="4" s="1"/>
  <c r="AD14" i="4"/>
  <c r="AG14" i="4"/>
  <c r="AK14" i="4"/>
  <c r="AG82" i="3"/>
  <c r="AH82" i="3" s="1"/>
  <c r="AK82" i="3"/>
  <c r="AG48" i="3"/>
  <c r="AH48" i="3" s="1"/>
  <c r="AK48" i="3"/>
  <c r="AJ102" i="9" l="1"/>
  <c r="AE103" i="9" s="1"/>
  <c r="AF93" i="8"/>
  <c r="AK103" i="9"/>
  <c r="AF103" i="9"/>
  <c r="AK33" i="9"/>
  <c r="AF33" i="9"/>
  <c r="AG103" i="9"/>
  <c r="AH103" i="9" s="1"/>
  <c r="AI103" i="9" s="1"/>
  <c r="AC104" i="9" s="1"/>
  <c r="AG33" i="9"/>
  <c r="AH33" i="9" s="1"/>
  <c r="AI33" i="9" s="1"/>
  <c r="AC34" i="9" s="1"/>
  <c r="AJ92" i="7"/>
  <c r="AE93" i="7" s="1"/>
  <c r="AJ22" i="7"/>
  <c r="AE23" i="7" s="1"/>
  <c r="AG23" i="7" s="1"/>
  <c r="AH23" i="7" s="1"/>
  <c r="AI23" i="7" s="1"/>
  <c r="AC24" i="7" s="1"/>
  <c r="AK20" i="5"/>
  <c r="AF20" i="5"/>
  <c r="AJ20" i="5" s="1"/>
  <c r="AE21" i="5" s="1"/>
  <c r="AG21" i="5" s="1"/>
  <c r="AH21" i="5" s="1"/>
  <c r="AD21" i="5"/>
  <c r="AK58" i="7"/>
  <c r="AF58" i="7"/>
  <c r="AG58" i="7"/>
  <c r="AH58" i="7" s="1"/>
  <c r="AI58" i="7" s="1"/>
  <c r="AC59" i="7" s="1"/>
  <c r="AI59" i="8"/>
  <c r="AC60" i="8" s="1"/>
  <c r="AD60" i="8" s="1"/>
  <c r="AJ59" i="8"/>
  <c r="AE60" i="8" s="1"/>
  <c r="AJ93" i="8"/>
  <c r="AE94" i="8" s="1"/>
  <c r="AK94" i="8" s="1"/>
  <c r="AK24" i="8"/>
  <c r="AF24" i="8"/>
  <c r="AG24" i="8"/>
  <c r="AH24" i="8" s="1"/>
  <c r="AI24" i="8" s="1"/>
  <c r="AC25" i="8" s="1"/>
  <c r="AJ53" i="5"/>
  <c r="AE54" i="5" s="1"/>
  <c r="AG54" i="5" s="1"/>
  <c r="AH54" i="5" s="1"/>
  <c r="AI54" i="5" s="1"/>
  <c r="AC55" i="5" s="1"/>
  <c r="AD55" i="5" s="1"/>
  <c r="AD89" i="5"/>
  <c r="AJ88" i="5"/>
  <c r="AE89" i="5" s="1"/>
  <c r="AG86" i="6"/>
  <c r="AH86" i="6" s="1"/>
  <c r="AI86" i="6" s="1"/>
  <c r="AC87" i="6" s="1"/>
  <c r="AD87" i="6" s="1"/>
  <c r="AF86" i="6"/>
  <c r="AJ15" i="6"/>
  <c r="AE16" i="6" s="1"/>
  <c r="AF16" i="6" s="1"/>
  <c r="AD16" i="6"/>
  <c r="AG52" i="6"/>
  <c r="AH52" i="6" s="1"/>
  <c r="AI52" i="6" s="1"/>
  <c r="AC53" i="6" s="1"/>
  <c r="AD53" i="6" s="1"/>
  <c r="AF52" i="6"/>
  <c r="AH12" i="3"/>
  <c r="AJ12" i="3" s="1"/>
  <c r="AE13" i="3" s="1"/>
  <c r="AJ83" i="4"/>
  <c r="AE84" i="4" s="1"/>
  <c r="AG84" i="4" s="1"/>
  <c r="AH84" i="4" s="1"/>
  <c r="AD84" i="4"/>
  <c r="AF49" i="4"/>
  <c r="AI48" i="4"/>
  <c r="AC49" i="4" s="1"/>
  <c r="AH14" i="4"/>
  <c r="AJ14" i="4" s="1"/>
  <c r="AE15" i="4" s="1"/>
  <c r="AJ82" i="3"/>
  <c r="AE83" i="3" s="1"/>
  <c r="AF83" i="3" s="1"/>
  <c r="AJ48" i="3"/>
  <c r="AE49" i="3" s="1"/>
  <c r="AF49" i="3" s="1"/>
  <c r="AD34" i="9" l="1"/>
  <c r="AD104" i="9"/>
  <c r="AJ103" i="9"/>
  <c r="AE104" i="9" s="1"/>
  <c r="AJ33" i="9"/>
  <c r="AE34" i="9" s="1"/>
  <c r="AF93" i="7"/>
  <c r="AG93" i="7"/>
  <c r="AH93" i="7" s="1"/>
  <c r="AI93" i="7" s="1"/>
  <c r="AC94" i="7" s="1"/>
  <c r="AD94" i="7" s="1"/>
  <c r="AK93" i="7"/>
  <c r="AF23" i="7"/>
  <c r="AJ23" i="7" s="1"/>
  <c r="AE24" i="7" s="1"/>
  <c r="AF24" i="7" s="1"/>
  <c r="AK23" i="7"/>
  <c r="AD24" i="7"/>
  <c r="AI21" i="5"/>
  <c r="AC22" i="5" s="1"/>
  <c r="AD22" i="5" s="1"/>
  <c r="AK21" i="5"/>
  <c r="AF21" i="5"/>
  <c r="AJ21" i="5" s="1"/>
  <c r="AE22" i="5" s="1"/>
  <c r="AD59" i="7"/>
  <c r="AJ58" i="7"/>
  <c r="AE59" i="7" s="1"/>
  <c r="AG94" i="8"/>
  <c r="AH94" i="8" s="1"/>
  <c r="AI94" i="8" s="1"/>
  <c r="AC95" i="8" s="1"/>
  <c r="AD95" i="8" s="1"/>
  <c r="AF94" i="8"/>
  <c r="AG60" i="8"/>
  <c r="AH60" i="8" s="1"/>
  <c r="AI60" i="8" s="1"/>
  <c r="AC61" i="8" s="1"/>
  <c r="AK60" i="8"/>
  <c r="AF60" i="8"/>
  <c r="AJ24" i="8"/>
  <c r="AE25" i="8" s="1"/>
  <c r="AG25" i="8" s="1"/>
  <c r="AH25" i="8" s="1"/>
  <c r="AD25" i="8"/>
  <c r="AK54" i="5"/>
  <c r="AF54" i="5"/>
  <c r="AJ54" i="5" s="1"/>
  <c r="AE55" i="5" s="1"/>
  <c r="AK89" i="5"/>
  <c r="AF89" i="5"/>
  <c r="AG89" i="5"/>
  <c r="AH89" i="5" s="1"/>
  <c r="AI89" i="5" s="1"/>
  <c r="AC90" i="5" s="1"/>
  <c r="AJ86" i="6"/>
  <c r="AE87" i="6" s="1"/>
  <c r="AF87" i="6" s="1"/>
  <c r="AG16" i="6"/>
  <c r="AH16" i="6" s="1"/>
  <c r="AJ16" i="6" s="1"/>
  <c r="AE17" i="6" s="1"/>
  <c r="AK16" i="6"/>
  <c r="AJ52" i="6"/>
  <c r="AE53" i="6" s="1"/>
  <c r="AF53" i="6" s="1"/>
  <c r="AF13" i="3"/>
  <c r="AI12" i="3"/>
  <c r="AC13" i="3" s="1"/>
  <c r="AK84" i="4"/>
  <c r="AF84" i="4"/>
  <c r="AJ84" i="4" s="1"/>
  <c r="AE85" i="4" s="1"/>
  <c r="AF85" i="4" s="1"/>
  <c r="AI84" i="4"/>
  <c r="AC85" i="4" s="1"/>
  <c r="AD49" i="4"/>
  <c r="AG49" i="4"/>
  <c r="AK49" i="4"/>
  <c r="AF15" i="4"/>
  <c r="AI14" i="4"/>
  <c r="AC15" i="4" s="1"/>
  <c r="AK15" i="4" s="1"/>
  <c r="AI82" i="3"/>
  <c r="AC83" i="3" s="1"/>
  <c r="AD83" i="3" s="1"/>
  <c r="AI48" i="3"/>
  <c r="AC49" i="3" s="1"/>
  <c r="AD49" i="3" s="1"/>
  <c r="AK104" i="9" l="1"/>
  <c r="AF104" i="9"/>
  <c r="AK34" i="9"/>
  <c r="AF34" i="9"/>
  <c r="AG104" i="9"/>
  <c r="AG34" i="9"/>
  <c r="S24" i="9" s="1"/>
  <c r="AJ93" i="7"/>
  <c r="AE94" i="7" s="1"/>
  <c r="AG24" i="7"/>
  <c r="AH24" i="7" s="1"/>
  <c r="AI24" i="7" s="1"/>
  <c r="AC25" i="7" s="1"/>
  <c r="AD25" i="7" s="1"/>
  <c r="AK24" i="7"/>
  <c r="AG22" i="5"/>
  <c r="AH22" i="5" s="1"/>
  <c r="AI22" i="5" s="1"/>
  <c r="AC23" i="5" s="1"/>
  <c r="AD23" i="5" s="1"/>
  <c r="AK22" i="5"/>
  <c r="AF22" i="5"/>
  <c r="AJ94" i="8"/>
  <c r="AE95" i="8" s="1"/>
  <c r="AG95" i="8" s="1"/>
  <c r="AH95" i="8" s="1"/>
  <c r="AI95" i="8" s="1"/>
  <c r="AC96" i="8" s="1"/>
  <c r="AD96" i="8" s="1"/>
  <c r="AF59" i="7"/>
  <c r="AK59" i="7"/>
  <c r="AG59" i="7"/>
  <c r="AH59" i="7" s="1"/>
  <c r="AI59" i="7" s="1"/>
  <c r="AC60" i="7" s="1"/>
  <c r="AJ60" i="8"/>
  <c r="AE61" i="8" s="1"/>
  <c r="AF61" i="8" s="1"/>
  <c r="AD61" i="8"/>
  <c r="AI25" i="8"/>
  <c r="AC26" i="8" s="1"/>
  <c r="AD26" i="8" s="1"/>
  <c r="AK25" i="8"/>
  <c r="AF25" i="8"/>
  <c r="AJ25" i="8" s="1"/>
  <c r="AE26" i="8" s="1"/>
  <c r="AF55" i="5"/>
  <c r="AG55" i="5"/>
  <c r="AH55" i="5" s="1"/>
  <c r="AI55" i="5" s="1"/>
  <c r="AC56" i="5" s="1"/>
  <c r="AD56" i="5" s="1"/>
  <c r="AK55" i="5"/>
  <c r="AD90" i="5"/>
  <c r="AJ89" i="5"/>
  <c r="AE90" i="5" s="1"/>
  <c r="AK87" i="6"/>
  <c r="AG87" i="6"/>
  <c r="AH87" i="6" s="1"/>
  <c r="AI87" i="6" s="1"/>
  <c r="AC88" i="6" s="1"/>
  <c r="AD88" i="6" s="1"/>
  <c r="AI16" i="6"/>
  <c r="AC17" i="6" s="1"/>
  <c r="AD17" i="6" s="1"/>
  <c r="AK53" i="6"/>
  <c r="AG53" i="6"/>
  <c r="AH53" i="6" s="1"/>
  <c r="AI53" i="6" s="1"/>
  <c r="AC54" i="6" s="1"/>
  <c r="AD54" i="6" s="1"/>
  <c r="AF17" i="6"/>
  <c r="AD13" i="3"/>
  <c r="AG13" i="3"/>
  <c r="AK13" i="3"/>
  <c r="AK85" i="4"/>
  <c r="AD85" i="4"/>
  <c r="AG85" i="4"/>
  <c r="AH49" i="4"/>
  <c r="AJ49" i="4" s="1"/>
  <c r="AE50" i="4" s="1"/>
  <c r="AD15" i="4"/>
  <c r="AG15" i="4"/>
  <c r="AG83" i="3"/>
  <c r="AH83" i="3" s="1"/>
  <c r="AK83" i="3"/>
  <c r="AG49" i="3"/>
  <c r="AH49" i="3" s="1"/>
  <c r="AK49" i="3"/>
  <c r="S25" i="9" l="1"/>
  <c r="G26" i="9" s="1"/>
  <c r="G27" i="9" s="1"/>
  <c r="AH34" i="9"/>
  <c r="AI34" i="9" s="1"/>
  <c r="W24" i="9"/>
  <c r="W25" i="9" s="1"/>
  <c r="G39" i="9" s="1"/>
  <c r="G40" i="9" s="1"/>
  <c r="AH104" i="9"/>
  <c r="AI104" i="9" s="1"/>
  <c r="AF94" i="7"/>
  <c r="AK94" i="7"/>
  <c r="AG94" i="7"/>
  <c r="AH94" i="7" s="1"/>
  <c r="AI94" i="7" s="1"/>
  <c r="AC95" i="7" s="1"/>
  <c r="AD95" i="7" s="1"/>
  <c r="AJ24" i="7"/>
  <c r="AE25" i="7" s="1"/>
  <c r="AF25" i="7" s="1"/>
  <c r="AJ22" i="5"/>
  <c r="AE23" i="5" s="1"/>
  <c r="AF23" i="5" s="1"/>
  <c r="AF95" i="8"/>
  <c r="AJ95" i="8" s="1"/>
  <c r="AE96" i="8" s="1"/>
  <c r="AK96" i="8" s="1"/>
  <c r="AK95" i="8"/>
  <c r="AG61" i="8"/>
  <c r="AH61" i="8" s="1"/>
  <c r="AI61" i="8" s="1"/>
  <c r="AC62" i="8" s="1"/>
  <c r="AD62" i="8" s="1"/>
  <c r="AK61" i="8"/>
  <c r="AD60" i="7"/>
  <c r="AJ59" i="7"/>
  <c r="AE60" i="7" s="1"/>
  <c r="AG26" i="8"/>
  <c r="AH26" i="8" s="1"/>
  <c r="AI26" i="8" s="1"/>
  <c r="AC27" i="8" s="1"/>
  <c r="AD27" i="8" s="1"/>
  <c r="AK26" i="8"/>
  <c r="AF26" i="8"/>
  <c r="AJ55" i="5"/>
  <c r="AE56" i="5" s="1"/>
  <c r="AF90" i="5"/>
  <c r="AK90" i="5"/>
  <c r="AG90" i="5"/>
  <c r="AH90" i="5" s="1"/>
  <c r="AI90" i="5" s="1"/>
  <c r="AC91" i="5" s="1"/>
  <c r="AJ87" i="6"/>
  <c r="AE88" i="6" s="1"/>
  <c r="AG88" i="6" s="1"/>
  <c r="AH88" i="6" s="1"/>
  <c r="AI88" i="6" s="1"/>
  <c r="AC89" i="6" s="1"/>
  <c r="AD89" i="6" s="1"/>
  <c r="AG17" i="6"/>
  <c r="AH17" i="6" s="1"/>
  <c r="AI17" i="6" s="1"/>
  <c r="AC18" i="6" s="1"/>
  <c r="AD18" i="6" s="1"/>
  <c r="AK17" i="6"/>
  <c r="AJ53" i="6"/>
  <c r="AE54" i="6" s="1"/>
  <c r="AK54" i="6" s="1"/>
  <c r="AH13" i="3"/>
  <c r="AJ13" i="3" s="1"/>
  <c r="AE14" i="3" s="1"/>
  <c r="AH85" i="4"/>
  <c r="AJ85" i="4" s="1"/>
  <c r="AE86" i="4" s="1"/>
  <c r="AF50" i="4"/>
  <c r="AI49" i="4"/>
  <c r="AC50" i="4" s="1"/>
  <c r="AH15" i="4"/>
  <c r="AJ15" i="4" s="1"/>
  <c r="AE16" i="4" s="1"/>
  <c r="AJ83" i="3"/>
  <c r="AE84" i="3" s="1"/>
  <c r="AF84" i="3" s="1"/>
  <c r="AJ49" i="3"/>
  <c r="AE50" i="3" s="1"/>
  <c r="AF50" i="3" s="1"/>
  <c r="AJ34" i="9" l="1"/>
  <c r="AJ104" i="9"/>
  <c r="K8" i="9"/>
  <c r="K13" i="9" s="1"/>
  <c r="K4" i="9"/>
  <c r="AG25" i="7"/>
  <c r="AH25" i="7" s="1"/>
  <c r="AI25" i="7" s="1"/>
  <c r="AC26" i="7" s="1"/>
  <c r="AD26" i="7" s="1"/>
  <c r="AK25" i="7"/>
  <c r="AJ94" i="7"/>
  <c r="AE95" i="7" s="1"/>
  <c r="AK23" i="5"/>
  <c r="AG23" i="5"/>
  <c r="AH23" i="5" s="1"/>
  <c r="AI23" i="5" s="1"/>
  <c r="AC24" i="5" s="1"/>
  <c r="AD24" i="5" s="1"/>
  <c r="AF96" i="8"/>
  <c r="AG96" i="8"/>
  <c r="AH96" i="8" s="1"/>
  <c r="AI96" i="8" s="1"/>
  <c r="AC97" i="8" s="1"/>
  <c r="AD97" i="8" s="1"/>
  <c r="AJ25" i="7"/>
  <c r="AE26" i="7" s="1"/>
  <c r="AJ61" i="8"/>
  <c r="AE62" i="8" s="1"/>
  <c r="AF62" i="8" s="1"/>
  <c r="AK60" i="7"/>
  <c r="AF60" i="7"/>
  <c r="AG60" i="7"/>
  <c r="AH60" i="7" s="1"/>
  <c r="AI60" i="7" s="1"/>
  <c r="AC61" i="7" s="1"/>
  <c r="AD61" i="7" s="1"/>
  <c r="AJ26" i="8"/>
  <c r="AE27" i="8" s="1"/>
  <c r="AK27" i="8" s="1"/>
  <c r="AG56" i="5"/>
  <c r="AH56" i="5" s="1"/>
  <c r="AI56" i="5" s="1"/>
  <c r="AC57" i="5" s="1"/>
  <c r="AF56" i="5"/>
  <c r="AK56" i="5"/>
  <c r="AJ90" i="5"/>
  <c r="AE91" i="5" s="1"/>
  <c r="AG91" i="5" s="1"/>
  <c r="AH91" i="5" s="1"/>
  <c r="AD91" i="5"/>
  <c r="AF88" i="6"/>
  <c r="AJ88" i="6" s="1"/>
  <c r="AE89" i="6" s="1"/>
  <c r="AK88" i="6"/>
  <c r="AJ17" i="6"/>
  <c r="AE18" i="6" s="1"/>
  <c r="AF18" i="6" s="1"/>
  <c r="AF54" i="6"/>
  <c r="AG54" i="6"/>
  <c r="AH54" i="6" s="1"/>
  <c r="AI54" i="6" s="1"/>
  <c r="AC55" i="6" s="1"/>
  <c r="AD55" i="6" s="1"/>
  <c r="AF14" i="3"/>
  <c r="AI13" i="3"/>
  <c r="AC14" i="3" s="1"/>
  <c r="AF86" i="4"/>
  <c r="AI85" i="4"/>
  <c r="AC86" i="4" s="1"/>
  <c r="AK86" i="4" s="1"/>
  <c r="AD50" i="4"/>
  <c r="AG50" i="4"/>
  <c r="AK50" i="4"/>
  <c r="AF16" i="4"/>
  <c r="AI15" i="4"/>
  <c r="AC16" i="4" s="1"/>
  <c r="AK16" i="4" s="1"/>
  <c r="AI83" i="3"/>
  <c r="AC84" i="3" s="1"/>
  <c r="AD84" i="3" s="1"/>
  <c r="AI49" i="3"/>
  <c r="AC50" i="3" s="1"/>
  <c r="AD50" i="3" s="1"/>
  <c r="K17" i="9" l="1"/>
  <c r="K16" i="9"/>
  <c r="K27" i="9" s="1"/>
  <c r="K5" i="9"/>
  <c r="K32" i="9"/>
  <c r="K40" i="9"/>
  <c r="AG95" i="7"/>
  <c r="AH95" i="7" s="1"/>
  <c r="AI95" i="7" s="1"/>
  <c r="AC96" i="7" s="1"/>
  <c r="AK95" i="7"/>
  <c r="AF95" i="7"/>
  <c r="AJ96" i="8"/>
  <c r="AE97" i="8" s="1"/>
  <c r="AK97" i="8" s="1"/>
  <c r="AG62" i="8"/>
  <c r="AH62" i="8" s="1"/>
  <c r="AI62" i="8" s="1"/>
  <c r="AC63" i="8" s="1"/>
  <c r="AD63" i="8" s="1"/>
  <c r="AK62" i="8"/>
  <c r="AJ23" i="5"/>
  <c r="AE24" i="5" s="1"/>
  <c r="AF24" i="5" s="1"/>
  <c r="AF26" i="7"/>
  <c r="AG26" i="7"/>
  <c r="AH26" i="7" s="1"/>
  <c r="AI26" i="7" s="1"/>
  <c r="AC27" i="7" s="1"/>
  <c r="AD27" i="7" s="1"/>
  <c r="AK26" i="7"/>
  <c r="AJ60" i="7"/>
  <c r="AE61" i="7" s="1"/>
  <c r="AG27" i="8"/>
  <c r="AH27" i="8" s="1"/>
  <c r="AI27" i="8" s="1"/>
  <c r="AC28" i="8" s="1"/>
  <c r="AD28" i="8" s="1"/>
  <c r="AF27" i="8"/>
  <c r="AJ56" i="5"/>
  <c r="AE57" i="5" s="1"/>
  <c r="AF57" i="5" s="1"/>
  <c r="AD57" i="5"/>
  <c r="AI91" i="5"/>
  <c r="AC92" i="5" s="1"/>
  <c r="AF91" i="5"/>
  <c r="AJ91" i="5" s="1"/>
  <c r="AE92" i="5" s="1"/>
  <c r="AF92" i="5" s="1"/>
  <c r="AK91" i="5"/>
  <c r="AG18" i="6"/>
  <c r="AH18" i="6" s="1"/>
  <c r="AI18" i="6" s="1"/>
  <c r="AC19" i="6" s="1"/>
  <c r="AD19" i="6" s="1"/>
  <c r="AK18" i="6"/>
  <c r="AJ54" i="6"/>
  <c r="AE55" i="6" s="1"/>
  <c r="AG55" i="6" s="1"/>
  <c r="AH55" i="6" s="1"/>
  <c r="AI55" i="6" s="1"/>
  <c r="AC56" i="6" s="1"/>
  <c r="AD56" i="6" s="1"/>
  <c r="AF89" i="6"/>
  <c r="AG89" i="6"/>
  <c r="AH89" i="6" s="1"/>
  <c r="AI89" i="6" s="1"/>
  <c r="AC90" i="6" s="1"/>
  <c r="AD90" i="6" s="1"/>
  <c r="AK89" i="6"/>
  <c r="AG14" i="3"/>
  <c r="AD14" i="3"/>
  <c r="AK14" i="3"/>
  <c r="AD86" i="4"/>
  <c r="AG86" i="4"/>
  <c r="AH50" i="4"/>
  <c r="AJ50" i="4" s="1"/>
  <c r="AE51" i="4" s="1"/>
  <c r="AD16" i="4"/>
  <c r="AG16" i="4"/>
  <c r="AG84" i="3"/>
  <c r="AH84" i="3" s="1"/>
  <c r="AK84" i="3"/>
  <c r="AG50" i="3"/>
  <c r="AH50" i="3" s="1"/>
  <c r="AK50" i="3"/>
  <c r="AG97" i="8" l="1"/>
  <c r="AH97" i="8" s="1"/>
  <c r="AI97" i="8" s="1"/>
  <c r="AC98" i="8" s="1"/>
  <c r="AD98" i="8" s="1"/>
  <c r="AQ4" i="9"/>
  <c r="AO4" i="9"/>
  <c r="K28" i="9"/>
  <c r="AS4" i="9"/>
  <c r="K33" i="9"/>
  <c r="K36" i="9" s="1"/>
  <c r="K41" i="9"/>
  <c r="K44" i="9" s="1"/>
  <c r="AJ95" i="7"/>
  <c r="AE96" i="7" s="1"/>
  <c r="AK96" i="7" s="1"/>
  <c r="AD96" i="7"/>
  <c r="AJ62" i="8"/>
  <c r="AE63" i="8" s="1"/>
  <c r="AG63" i="8" s="1"/>
  <c r="AH63" i="8" s="1"/>
  <c r="AI63" i="8" s="1"/>
  <c r="AC64" i="8" s="1"/>
  <c r="AD64" i="8" s="1"/>
  <c r="AF97" i="8"/>
  <c r="AJ97" i="8" s="1"/>
  <c r="AE98" i="8" s="1"/>
  <c r="AK24" i="5"/>
  <c r="AG24" i="5"/>
  <c r="AH24" i="5" s="1"/>
  <c r="AI24" i="5" s="1"/>
  <c r="AC25" i="5" s="1"/>
  <c r="AD25" i="5" s="1"/>
  <c r="AJ26" i="7"/>
  <c r="AE27" i="7" s="1"/>
  <c r="AG61" i="7"/>
  <c r="AH61" i="7" s="1"/>
  <c r="AI61" i="7" s="1"/>
  <c r="AC62" i="7" s="1"/>
  <c r="AK61" i="7"/>
  <c r="AF61" i="7"/>
  <c r="AJ27" i="8"/>
  <c r="AE28" i="8" s="1"/>
  <c r="AF28" i="8" s="1"/>
  <c r="AG57" i="5"/>
  <c r="AH57" i="5" s="1"/>
  <c r="AI57" i="5" s="1"/>
  <c r="AC58" i="5" s="1"/>
  <c r="AD58" i="5" s="1"/>
  <c r="AK57" i="5"/>
  <c r="AK92" i="5"/>
  <c r="AG92" i="5"/>
  <c r="AH92" i="5" s="1"/>
  <c r="AJ92" i="5" s="1"/>
  <c r="AE93" i="5" s="1"/>
  <c r="AF93" i="5" s="1"/>
  <c r="AD92" i="5"/>
  <c r="AJ18" i="6"/>
  <c r="AE19" i="6" s="1"/>
  <c r="AG19" i="6" s="1"/>
  <c r="AH19" i="6" s="1"/>
  <c r="AI19" i="6" s="1"/>
  <c r="AC20" i="6" s="1"/>
  <c r="AK55" i="6"/>
  <c r="AF55" i="6"/>
  <c r="AJ55" i="6" s="1"/>
  <c r="AE56" i="6" s="1"/>
  <c r="AJ89" i="6"/>
  <c r="AE90" i="6" s="1"/>
  <c r="AH14" i="3"/>
  <c r="AI14" i="3" s="1"/>
  <c r="AC15" i="3" s="1"/>
  <c r="AH86" i="4"/>
  <c r="AJ86" i="4" s="1"/>
  <c r="AE87" i="4" s="1"/>
  <c r="AF51" i="4"/>
  <c r="AI50" i="4"/>
  <c r="AC51" i="4" s="1"/>
  <c r="AH16" i="4"/>
  <c r="AJ16" i="4" s="1"/>
  <c r="AE17" i="4" s="1"/>
  <c r="AJ84" i="3"/>
  <c r="AE85" i="3" s="1"/>
  <c r="AF85" i="3" s="1"/>
  <c r="AJ50" i="3"/>
  <c r="AE51" i="3" s="1"/>
  <c r="AF51" i="3" s="1"/>
  <c r="AG96" i="7" l="1"/>
  <c r="AH96" i="7" s="1"/>
  <c r="AI96" i="7" s="1"/>
  <c r="AC97" i="7" s="1"/>
  <c r="AD97" i="7" s="1"/>
  <c r="AF96" i="7"/>
  <c r="AK63" i="8"/>
  <c r="AF63" i="8"/>
  <c r="AJ63" i="8" s="1"/>
  <c r="AE64" i="8" s="1"/>
  <c r="AG64" i="8" s="1"/>
  <c r="AH64" i="8" s="1"/>
  <c r="AI64" i="8" s="1"/>
  <c r="AC65" i="8" s="1"/>
  <c r="AD65" i="8" s="1"/>
  <c r="AJ96" i="7"/>
  <c r="AE97" i="7" s="1"/>
  <c r="AK98" i="8"/>
  <c r="AG98" i="8"/>
  <c r="AH98" i="8" s="1"/>
  <c r="AI98" i="8" s="1"/>
  <c r="AC99" i="8" s="1"/>
  <c r="AD99" i="8" s="1"/>
  <c r="AF98" i="8"/>
  <c r="AJ24" i="5"/>
  <c r="AE25" i="5" s="1"/>
  <c r="AG27" i="7"/>
  <c r="AH27" i="7" s="1"/>
  <c r="AI27" i="7" s="1"/>
  <c r="AC28" i="7" s="1"/>
  <c r="AD28" i="7" s="1"/>
  <c r="AK27" i="7"/>
  <c r="AF27" i="7"/>
  <c r="AJ61" i="7"/>
  <c r="AE62" i="7" s="1"/>
  <c r="AK62" i="7" s="1"/>
  <c r="AK28" i="8"/>
  <c r="AG28" i="8"/>
  <c r="AH28" i="8" s="1"/>
  <c r="AI28" i="8" s="1"/>
  <c r="AC29" i="8" s="1"/>
  <c r="AD29" i="8" s="1"/>
  <c r="AD62" i="7"/>
  <c r="AJ57" i="5"/>
  <c r="AE58" i="5" s="1"/>
  <c r="AF58" i="5" s="1"/>
  <c r="AI92" i="5"/>
  <c r="AC93" i="5" s="1"/>
  <c r="AK19" i="6"/>
  <c r="AF19" i="6"/>
  <c r="AJ19" i="6" s="1"/>
  <c r="AE20" i="6" s="1"/>
  <c r="AK20" i="6" s="1"/>
  <c r="AD20" i="6"/>
  <c r="AK90" i="6"/>
  <c r="AF90" i="6"/>
  <c r="AG90" i="6"/>
  <c r="AH90" i="6" s="1"/>
  <c r="AI90" i="6" s="1"/>
  <c r="AC91" i="6" s="1"/>
  <c r="AD91" i="6" s="1"/>
  <c r="AK56" i="6"/>
  <c r="AG56" i="6"/>
  <c r="AH56" i="6" s="1"/>
  <c r="AI56" i="6" s="1"/>
  <c r="AC57" i="6" s="1"/>
  <c r="AD57" i="6" s="1"/>
  <c r="AF56" i="6"/>
  <c r="AD15" i="3"/>
  <c r="AJ14" i="3"/>
  <c r="AE15" i="3" s="1"/>
  <c r="AF87" i="4"/>
  <c r="AI86" i="4"/>
  <c r="AC87" i="4" s="1"/>
  <c r="AK87" i="4" s="1"/>
  <c r="AD51" i="4"/>
  <c r="AG51" i="4"/>
  <c r="AK51" i="4"/>
  <c r="AF17" i="4"/>
  <c r="AI16" i="4"/>
  <c r="AC17" i="4" s="1"/>
  <c r="AK17" i="4" s="1"/>
  <c r="AI84" i="3"/>
  <c r="AC85" i="3" s="1"/>
  <c r="AD85" i="3" s="1"/>
  <c r="AI50" i="3"/>
  <c r="AC51" i="3" s="1"/>
  <c r="AD51" i="3" s="1"/>
  <c r="AF64" i="8" l="1"/>
  <c r="AJ64" i="8" s="1"/>
  <c r="AE65" i="8" s="1"/>
  <c r="AK64" i="8"/>
  <c r="AJ98" i="8"/>
  <c r="AE99" i="8" s="1"/>
  <c r="AK99" i="8" s="1"/>
  <c r="AK97" i="7"/>
  <c r="AF97" i="7"/>
  <c r="AG97" i="7"/>
  <c r="AH97" i="7" s="1"/>
  <c r="AI97" i="7" s="1"/>
  <c r="AC98" i="7" s="1"/>
  <c r="AD98" i="7" s="1"/>
  <c r="AG25" i="5"/>
  <c r="AH25" i="5" s="1"/>
  <c r="AI25" i="5" s="1"/>
  <c r="AC26" i="5" s="1"/>
  <c r="AD26" i="5" s="1"/>
  <c r="AK25" i="5"/>
  <c r="AF25" i="5"/>
  <c r="AF62" i="7"/>
  <c r="AG62" i="7"/>
  <c r="AH62" i="7" s="1"/>
  <c r="AI62" i="7" s="1"/>
  <c r="AC63" i="7" s="1"/>
  <c r="AD63" i="7" s="1"/>
  <c r="AJ27" i="7"/>
  <c r="AE28" i="7" s="1"/>
  <c r="AF28" i="7" s="1"/>
  <c r="AJ28" i="8"/>
  <c r="AE29" i="8" s="1"/>
  <c r="AF29" i="8" s="1"/>
  <c r="AG58" i="5"/>
  <c r="AH58" i="5" s="1"/>
  <c r="AI58" i="5" s="1"/>
  <c r="AC59" i="5" s="1"/>
  <c r="AD59" i="5" s="1"/>
  <c r="AK58" i="5"/>
  <c r="AD93" i="5"/>
  <c r="AK93" i="5"/>
  <c r="AG93" i="5"/>
  <c r="AH93" i="5" s="1"/>
  <c r="AJ93" i="5" s="1"/>
  <c r="AE94" i="5" s="1"/>
  <c r="AF94" i="5" s="1"/>
  <c r="AG20" i="6"/>
  <c r="AH20" i="6" s="1"/>
  <c r="AI20" i="6" s="1"/>
  <c r="AC21" i="6" s="1"/>
  <c r="AD21" i="6" s="1"/>
  <c r="AF20" i="6"/>
  <c r="AJ90" i="6"/>
  <c r="AE91" i="6" s="1"/>
  <c r="AJ56" i="6"/>
  <c r="AE57" i="6" s="1"/>
  <c r="AF15" i="3"/>
  <c r="AK15" i="3"/>
  <c r="AG15" i="3"/>
  <c r="AD87" i="4"/>
  <c r="AG87" i="4"/>
  <c r="AH51" i="4"/>
  <c r="AJ51" i="4" s="1"/>
  <c r="AE52" i="4" s="1"/>
  <c r="AD17" i="4"/>
  <c r="AG17" i="4"/>
  <c r="AG85" i="3"/>
  <c r="AH85" i="3" s="1"/>
  <c r="AK85" i="3"/>
  <c r="AG51" i="3"/>
  <c r="AH51" i="3" s="1"/>
  <c r="AK51" i="3"/>
  <c r="AF99" i="8" l="1"/>
  <c r="AG99" i="8"/>
  <c r="AH99" i="8" s="1"/>
  <c r="AI99" i="8" s="1"/>
  <c r="AC100" i="8" s="1"/>
  <c r="AD100" i="8" s="1"/>
  <c r="AJ97" i="7"/>
  <c r="AE98" i="7" s="1"/>
  <c r="AG98" i="7" s="1"/>
  <c r="AH98" i="7" s="1"/>
  <c r="AI98" i="7" s="1"/>
  <c r="AC99" i="7" s="1"/>
  <c r="AD99" i="7" s="1"/>
  <c r="AJ25" i="5"/>
  <c r="AE26" i="5" s="1"/>
  <c r="AG26" i="5" s="1"/>
  <c r="AH26" i="5" s="1"/>
  <c r="AI26" i="5" s="1"/>
  <c r="AC27" i="5" s="1"/>
  <c r="AD27" i="5" s="1"/>
  <c r="AJ62" i="7"/>
  <c r="AE63" i="7" s="1"/>
  <c r="AG63" i="7" s="1"/>
  <c r="AH63" i="7" s="1"/>
  <c r="AI63" i="7" s="1"/>
  <c r="AC64" i="7" s="1"/>
  <c r="AK29" i="8"/>
  <c r="AG29" i="8"/>
  <c r="AH29" i="8" s="1"/>
  <c r="AI29" i="8" s="1"/>
  <c r="AC30" i="8" s="1"/>
  <c r="AD30" i="8" s="1"/>
  <c r="AK28" i="7"/>
  <c r="AG28" i="7"/>
  <c r="AH28" i="7" s="1"/>
  <c r="AI28" i="7" s="1"/>
  <c r="AC29" i="7" s="1"/>
  <c r="AD29" i="7" s="1"/>
  <c r="AG65" i="8"/>
  <c r="AH65" i="8" s="1"/>
  <c r="AI65" i="8" s="1"/>
  <c r="AC66" i="8" s="1"/>
  <c r="AD66" i="8" s="1"/>
  <c r="AF65" i="8"/>
  <c r="AK65" i="8"/>
  <c r="AJ58" i="5"/>
  <c r="AE59" i="5" s="1"/>
  <c r="AF59" i="5" s="1"/>
  <c r="AI93" i="5"/>
  <c r="AC94" i="5" s="1"/>
  <c r="AJ20" i="6"/>
  <c r="AE21" i="6" s="1"/>
  <c r="AK21" i="6" s="1"/>
  <c r="AK91" i="6"/>
  <c r="AG91" i="6"/>
  <c r="AH91" i="6" s="1"/>
  <c r="AI91" i="6" s="1"/>
  <c r="AC92" i="6" s="1"/>
  <c r="AD92" i="6" s="1"/>
  <c r="AF91" i="6"/>
  <c r="AK57" i="6"/>
  <c r="AG57" i="6"/>
  <c r="AH57" i="6" s="1"/>
  <c r="AI57" i="6" s="1"/>
  <c r="AC58" i="6" s="1"/>
  <c r="AD58" i="6" s="1"/>
  <c r="AF57" i="6"/>
  <c r="AH15" i="3"/>
  <c r="AI15" i="3" s="1"/>
  <c r="AC16" i="3" s="1"/>
  <c r="AH87" i="4"/>
  <c r="AJ87" i="4" s="1"/>
  <c r="AE88" i="4" s="1"/>
  <c r="AF52" i="4"/>
  <c r="AI51" i="4"/>
  <c r="AC52" i="4" s="1"/>
  <c r="AH17" i="4"/>
  <c r="AJ17" i="4" s="1"/>
  <c r="AE18" i="4" s="1"/>
  <c r="AJ85" i="3"/>
  <c r="AE86" i="3" s="1"/>
  <c r="AF86" i="3" s="1"/>
  <c r="AJ51" i="3"/>
  <c r="AE52" i="3" s="1"/>
  <c r="AF52" i="3" s="1"/>
  <c r="AK63" i="7" l="1"/>
  <c r="AJ99" i="8"/>
  <c r="AE100" i="8" s="1"/>
  <c r="AG100" i="8" s="1"/>
  <c r="AH100" i="8" s="1"/>
  <c r="AI100" i="8" s="1"/>
  <c r="AC101" i="8" s="1"/>
  <c r="AD101" i="8" s="1"/>
  <c r="AF63" i="7"/>
  <c r="AJ63" i="7" s="1"/>
  <c r="AE64" i="7" s="1"/>
  <c r="AK98" i="7"/>
  <c r="AF98" i="7"/>
  <c r="AJ98" i="7" s="1"/>
  <c r="AE99" i="7" s="1"/>
  <c r="AK99" i="7" s="1"/>
  <c r="AF26" i="5"/>
  <c r="AJ26" i="5" s="1"/>
  <c r="AE27" i="5" s="1"/>
  <c r="AG27" i="5" s="1"/>
  <c r="AH27" i="5" s="1"/>
  <c r="AI27" i="5" s="1"/>
  <c r="AC28" i="5" s="1"/>
  <c r="AD28" i="5" s="1"/>
  <c r="AK26" i="5"/>
  <c r="AJ29" i="8"/>
  <c r="AE30" i="8" s="1"/>
  <c r="AK30" i="8" s="1"/>
  <c r="AF100" i="8"/>
  <c r="AK100" i="8"/>
  <c r="AJ28" i="7"/>
  <c r="AE29" i="7" s="1"/>
  <c r="AD64" i="7"/>
  <c r="AJ65" i="8"/>
  <c r="AE66" i="8" s="1"/>
  <c r="AK59" i="5"/>
  <c r="AG59" i="5"/>
  <c r="AH59" i="5" s="1"/>
  <c r="AI59" i="5" s="1"/>
  <c r="AC60" i="5" s="1"/>
  <c r="AD60" i="5" s="1"/>
  <c r="AD94" i="5"/>
  <c r="AK94" i="5"/>
  <c r="AG94" i="5"/>
  <c r="AH94" i="5" s="1"/>
  <c r="AG21" i="6"/>
  <c r="AH21" i="6" s="1"/>
  <c r="AI21" i="6" s="1"/>
  <c r="AC22" i="6" s="1"/>
  <c r="AD22" i="6" s="1"/>
  <c r="AF21" i="6"/>
  <c r="AJ91" i="6"/>
  <c r="AE92" i="6" s="1"/>
  <c r="AJ57" i="6"/>
  <c r="AE58" i="6" s="1"/>
  <c r="AK58" i="6" s="1"/>
  <c r="AD16" i="3"/>
  <c r="AJ15" i="3"/>
  <c r="AE16" i="3" s="1"/>
  <c r="AG16" i="3" s="1"/>
  <c r="AF88" i="4"/>
  <c r="AI87" i="4"/>
  <c r="AC88" i="4" s="1"/>
  <c r="AK88" i="4" s="1"/>
  <c r="AD52" i="4"/>
  <c r="AG52" i="4"/>
  <c r="AK52" i="4"/>
  <c r="AF18" i="4"/>
  <c r="AI17" i="4"/>
  <c r="AC18" i="4" s="1"/>
  <c r="AK18" i="4" s="1"/>
  <c r="AI85" i="3"/>
  <c r="AC86" i="3" s="1"/>
  <c r="AD86" i="3" s="1"/>
  <c r="AI51" i="3"/>
  <c r="AC52" i="3" s="1"/>
  <c r="AD52" i="3" s="1"/>
  <c r="AJ100" i="8" l="1"/>
  <c r="AE101" i="8" s="1"/>
  <c r="AF101" i="8" s="1"/>
  <c r="AF30" i="8"/>
  <c r="AF27" i="5"/>
  <c r="AJ27" i="5" s="1"/>
  <c r="AE28" i="5" s="1"/>
  <c r="AF28" i="5" s="1"/>
  <c r="AF99" i="7"/>
  <c r="AG99" i="7"/>
  <c r="AH99" i="7" s="1"/>
  <c r="AI99" i="7" s="1"/>
  <c r="AC100" i="7" s="1"/>
  <c r="AD100" i="7" s="1"/>
  <c r="AG30" i="8"/>
  <c r="AH30" i="8" s="1"/>
  <c r="AI30" i="8" s="1"/>
  <c r="AC31" i="8" s="1"/>
  <c r="AD31" i="8" s="1"/>
  <c r="AK27" i="5"/>
  <c r="AG101" i="8"/>
  <c r="AH101" i="8" s="1"/>
  <c r="AI101" i="8" s="1"/>
  <c r="AC102" i="8" s="1"/>
  <c r="AD102" i="8" s="1"/>
  <c r="AK101" i="8"/>
  <c r="AG29" i="7"/>
  <c r="AH29" i="7" s="1"/>
  <c r="AI29" i="7" s="1"/>
  <c r="AC30" i="7" s="1"/>
  <c r="AK29" i="7"/>
  <c r="AF29" i="7"/>
  <c r="AF64" i="7"/>
  <c r="AK64" i="7"/>
  <c r="AG64" i="7"/>
  <c r="AH64" i="7" s="1"/>
  <c r="AI64" i="7" s="1"/>
  <c r="AC65" i="7" s="1"/>
  <c r="AG66" i="8"/>
  <c r="AH66" i="8" s="1"/>
  <c r="AI66" i="8" s="1"/>
  <c r="AC67" i="8" s="1"/>
  <c r="AF66" i="8"/>
  <c r="AK66" i="8"/>
  <c r="AJ59" i="5"/>
  <c r="AE60" i="5" s="1"/>
  <c r="AK60" i="5" s="1"/>
  <c r="AI94" i="5"/>
  <c r="AC95" i="5" s="1"/>
  <c r="AD95" i="5" s="1"/>
  <c r="AJ94" i="5"/>
  <c r="AE95" i="5" s="1"/>
  <c r="AJ21" i="6"/>
  <c r="AE22" i="6" s="1"/>
  <c r="AF22" i="6" s="1"/>
  <c r="AG92" i="6"/>
  <c r="AH92" i="6" s="1"/>
  <c r="AI92" i="6" s="1"/>
  <c r="AC93" i="6" s="1"/>
  <c r="AD93" i="6" s="1"/>
  <c r="AF92" i="6"/>
  <c r="AK92" i="6"/>
  <c r="AF58" i="6"/>
  <c r="AG58" i="6"/>
  <c r="AH58" i="6" s="1"/>
  <c r="AI58" i="6" s="1"/>
  <c r="AC59" i="6" s="1"/>
  <c r="AD59" i="6" s="1"/>
  <c r="AF16" i="3"/>
  <c r="AK16" i="3"/>
  <c r="AH16" i="3"/>
  <c r="AI16" i="3" s="1"/>
  <c r="AC17" i="3" s="1"/>
  <c r="AD88" i="4"/>
  <c r="AG88" i="4"/>
  <c r="AH88" i="4" s="1"/>
  <c r="AJ88" i="4" s="1"/>
  <c r="AE89" i="4" s="1"/>
  <c r="AH52" i="4"/>
  <c r="AJ52" i="4" s="1"/>
  <c r="AE53" i="4" s="1"/>
  <c r="AD18" i="4"/>
  <c r="AG18" i="4"/>
  <c r="AG86" i="3"/>
  <c r="AH86" i="3" s="1"/>
  <c r="AK86" i="3"/>
  <c r="AG52" i="3"/>
  <c r="AH52" i="3" s="1"/>
  <c r="AK52" i="3"/>
  <c r="AK28" i="5" l="1"/>
  <c r="AG28" i="5"/>
  <c r="AH28" i="5" s="1"/>
  <c r="AI28" i="5" s="1"/>
  <c r="AC29" i="5" s="1"/>
  <c r="AD29" i="5" s="1"/>
  <c r="AJ30" i="8"/>
  <c r="AE31" i="8" s="1"/>
  <c r="AF31" i="8" s="1"/>
  <c r="AJ99" i="7"/>
  <c r="AE100" i="7" s="1"/>
  <c r="AK100" i="7" s="1"/>
  <c r="AJ101" i="8"/>
  <c r="AE102" i="8" s="1"/>
  <c r="AF102" i="8" s="1"/>
  <c r="AJ29" i="7"/>
  <c r="AE30" i="7" s="1"/>
  <c r="AK30" i="7" s="1"/>
  <c r="AD30" i="7"/>
  <c r="AG100" i="7"/>
  <c r="AH100" i="7" s="1"/>
  <c r="AI100" i="7" s="1"/>
  <c r="AC101" i="7" s="1"/>
  <c r="AD101" i="7" s="1"/>
  <c r="AF100" i="7"/>
  <c r="AD65" i="7"/>
  <c r="AJ64" i="7"/>
  <c r="AE65" i="7" s="1"/>
  <c r="AJ66" i="8"/>
  <c r="AE67" i="8" s="1"/>
  <c r="AF67" i="8" s="1"/>
  <c r="AD67" i="8"/>
  <c r="AG60" i="5"/>
  <c r="AH60" i="5" s="1"/>
  <c r="AI60" i="5" s="1"/>
  <c r="AC61" i="5" s="1"/>
  <c r="AD61" i="5" s="1"/>
  <c r="AF60" i="5"/>
  <c r="AG95" i="5"/>
  <c r="AH95" i="5" s="1"/>
  <c r="AI95" i="5" s="1"/>
  <c r="AC96" i="5" s="1"/>
  <c r="AF95" i="5"/>
  <c r="AK95" i="5"/>
  <c r="AK22" i="6"/>
  <c r="AG22" i="6"/>
  <c r="AH22" i="6" s="1"/>
  <c r="AI22" i="6" s="1"/>
  <c r="AC23" i="6" s="1"/>
  <c r="AD23" i="6" s="1"/>
  <c r="AJ92" i="6"/>
  <c r="AE93" i="6" s="1"/>
  <c r="AJ58" i="6"/>
  <c r="AE59" i="6" s="1"/>
  <c r="AG59" i="6" s="1"/>
  <c r="AH59" i="6" s="1"/>
  <c r="AI59" i="6" s="1"/>
  <c r="AC60" i="6" s="1"/>
  <c r="AD17" i="3"/>
  <c r="AJ16" i="3"/>
  <c r="AE17" i="3" s="1"/>
  <c r="AF89" i="4"/>
  <c r="AI88" i="4"/>
  <c r="AC89" i="4" s="1"/>
  <c r="AK89" i="4" s="1"/>
  <c r="AF53" i="4"/>
  <c r="AI52" i="4"/>
  <c r="AC53" i="4" s="1"/>
  <c r="AH18" i="4"/>
  <c r="AJ18" i="4" s="1"/>
  <c r="AE19" i="4" s="1"/>
  <c r="AJ86" i="3"/>
  <c r="AE87" i="3" s="1"/>
  <c r="AF87" i="3" s="1"/>
  <c r="AJ52" i="3"/>
  <c r="AE53" i="3" s="1"/>
  <c r="AF53" i="3" s="1"/>
  <c r="AG31" i="8" l="1"/>
  <c r="AH31" i="8" s="1"/>
  <c r="AI31" i="8" s="1"/>
  <c r="AC32" i="8" s="1"/>
  <c r="AD32" i="8" s="1"/>
  <c r="AK31" i="8"/>
  <c r="AJ28" i="5"/>
  <c r="AE29" i="5" s="1"/>
  <c r="AF29" i="5" s="1"/>
  <c r="AK102" i="8"/>
  <c r="AG102" i="8"/>
  <c r="AH102" i="8" s="1"/>
  <c r="AI102" i="8" s="1"/>
  <c r="AC103" i="8" s="1"/>
  <c r="AD103" i="8" s="1"/>
  <c r="AG30" i="7"/>
  <c r="AH30" i="7" s="1"/>
  <c r="AI30" i="7" s="1"/>
  <c r="AC31" i="7" s="1"/>
  <c r="AD31" i="7" s="1"/>
  <c r="AF30" i="7"/>
  <c r="AJ100" i="7"/>
  <c r="AE101" i="7" s="1"/>
  <c r="AG101" i="7" s="1"/>
  <c r="AH101" i="7" s="1"/>
  <c r="AI101" i="7" s="1"/>
  <c r="AC102" i="7" s="1"/>
  <c r="AD102" i="7" s="1"/>
  <c r="AG67" i="8"/>
  <c r="AH67" i="8" s="1"/>
  <c r="AJ67" i="8" s="1"/>
  <c r="AE68" i="8" s="1"/>
  <c r="AF68" i="8" s="1"/>
  <c r="AK67" i="8"/>
  <c r="AK65" i="7"/>
  <c r="AF65" i="7"/>
  <c r="AG65" i="7"/>
  <c r="AH65" i="7" s="1"/>
  <c r="AI65" i="7" s="1"/>
  <c r="AC66" i="7" s="1"/>
  <c r="AJ60" i="5"/>
  <c r="AE61" i="5" s="1"/>
  <c r="AK61" i="5" s="1"/>
  <c r="AJ95" i="5"/>
  <c r="AE96" i="5" s="1"/>
  <c r="AG96" i="5" s="1"/>
  <c r="AH96" i="5" s="1"/>
  <c r="AD96" i="5"/>
  <c r="AJ22" i="6"/>
  <c r="AE23" i="6" s="1"/>
  <c r="AK23" i="6" s="1"/>
  <c r="AF93" i="6"/>
  <c r="AK93" i="6"/>
  <c r="AG93" i="6"/>
  <c r="AH93" i="6" s="1"/>
  <c r="AI93" i="6" s="1"/>
  <c r="AC94" i="6" s="1"/>
  <c r="AK59" i="6"/>
  <c r="AF59" i="6"/>
  <c r="AJ59" i="6" s="1"/>
  <c r="AE60" i="6" s="1"/>
  <c r="AD60" i="6"/>
  <c r="AF17" i="3"/>
  <c r="AK17" i="3"/>
  <c r="AG17" i="3"/>
  <c r="AH17" i="3" s="1"/>
  <c r="AI17" i="3" s="1"/>
  <c r="AC18" i="3" s="1"/>
  <c r="AD89" i="4"/>
  <c r="AG89" i="4"/>
  <c r="AD53" i="4"/>
  <c r="AG53" i="4"/>
  <c r="AK53" i="4"/>
  <c r="AF19" i="4"/>
  <c r="AI18" i="4"/>
  <c r="AC19" i="4" s="1"/>
  <c r="AK19" i="4" s="1"/>
  <c r="AI86" i="3"/>
  <c r="AC87" i="3" s="1"/>
  <c r="AD87" i="3" s="1"/>
  <c r="AI52" i="3"/>
  <c r="AC53" i="3" s="1"/>
  <c r="AD53" i="3" s="1"/>
  <c r="AJ31" i="8" l="1"/>
  <c r="AE32" i="8" s="1"/>
  <c r="AK32" i="8" s="1"/>
  <c r="AG29" i="5"/>
  <c r="AH29" i="5" s="1"/>
  <c r="AI29" i="5" s="1"/>
  <c r="AC30" i="5" s="1"/>
  <c r="AD30" i="5" s="1"/>
  <c r="AK29" i="5"/>
  <c r="AI67" i="8"/>
  <c r="AC68" i="8" s="1"/>
  <c r="AG68" i="8" s="1"/>
  <c r="AH68" i="8" s="1"/>
  <c r="AJ68" i="8" s="1"/>
  <c r="AE69" i="8" s="1"/>
  <c r="AJ102" i="8"/>
  <c r="AE103" i="8" s="1"/>
  <c r="AK103" i="8" s="1"/>
  <c r="AJ30" i="7"/>
  <c r="AE31" i="7" s="1"/>
  <c r="AG31" i="7" s="1"/>
  <c r="AH31" i="7" s="1"/>
  <c r="AI31" i="7" s="1"/>
  <c r="AC32" i="7" s="1"/>
  <c r="AD32" i="7" s="1"/>
  <c r="AF101" i="7"/>
  <c r="AJ101" i="7" s="1"/>
  <c r="AE102" i="7" s="1"/>
  <c r="AK102" i="7" s="1"/>
  <c r="AK101" i="7"/>
  <c r="AF32" i="8"/>
  <c r="AG32" i="8"/>
  <c r="AH32" i="8" s="1"/>
  <c r="AI32" i="8" s="1"/>
  <c r="AC33" i="8" s="1"/>
  <c r="AD33" i="8" s="1"/>
  <c r="AD66" i="7"/>
  <c r="AJ65" i="7"/>
  <c r="AE66" i="7" s="1"/>
  <c r="AG66" i="7" s="1"/>
  <c r="AH66" i="7" s="1"/>
  <c r="AG61" i="5"/>
  <c r="AH61" i="5" s="1"/>
  <c r="AI61" i="5" s="1"/>
  <c r="AC62" i="5" s="1"/>
  <c r="AD62" i="5" s="1"/>
  <c r="AF61" i="5"/>
  <c r="AF96" i="5"/>
  <c r="AJ96" i="5" s="1"/>
  <c r="AE97" i="5" s="1"/>
  <c r="AK96" i="5"/>
  <c r="AI96" i="5"/>
  <c r="AC97" i="5" s="1"/>
  <c r="AD97" i="5" s="1"/>
  <c r="AF23" i="6"/>
  <c r="AG23" i="6"/>
  <c r="AH23" i="6" s="1"/>
  <c r="AI23" i="6" s="1"/>
  <c r="AC24" i="6" s="1"/>
  <c r="AD24" i="6" s="1"/>
  <c r="AD94" i="6"/>
  <c r="AJ93" i="6"/>
  <c r="AE94" i="6" s="1"/>
  <c r="AG94" i="6" s="1"/>
  <c r="AH94" i="6" s="1"/>
  <c r="AK60" i="6"/>
  <c r="AF60" i="6"/>
  <c r="AG60" i="6"/>
  <c r="AH60" i="6" s="1"/>
  <c r="AI60" i="6" s="1"/>
  <c r="AC61" i="6" s="1"/>
  <c r="AD18" i="3"/>
  <c r="AJ17" i="3"/>
  <c r="AE18" i="3" s="1"/>
  <c r="AH89" i="4"/>
  <c r="AJ89" i="4" s="1"/>
  <c r="AE90" i="4" s="1"/>
  <c r="AH53" i="4"/>
  <c r="AJ53" i="4" s="1"/>
  <c r="AE54" i="4" s="1"/>
  <c r="AD19" i="4"/>
  <c r="AG19" i="4"/>
  <c r="AG87" i="3"/>
  <c r="AH87" i="3" s="1"/>
  <c r="AK87" i="3"/>
  <c r="AG53" i="3"/>
  <c r="AH53" i="3" s="1"/>
  <c r="AK53" i="3"/>
  <c r="AK68" i="8" l="1"/>
  <c r="AF31" i="7"/>
  <c r="AJ31" i="7" s="1"/>
  <c r="AE32" i="7" s="1"/>
  <c r="AK32" i="7" s="1"/>
  <c r="AJ29" i="5"/>
  <c r="AE30" i="5" s="1"/>
  <c r="AG30" i="5" s="1"/>
  <c r="AH30" i="5" s="1"/>
  <c r="AI30" i="5" s="1"/>
  <c r="AC31" i="5" s="1"/>
  <c r="AD31" i="5" s="1"/>
  <c r="AD68" i="8"/>
  <c r="AI68" i="8" s="1"/>
  <c r="AC69" i="8" s="1"/>
  <c r="AK69" i="8" s="1"/>
  <c r="AK31" i="7"/>
  <c r="AG103" i="8"/>
  <c r="AH103" i="8" s="1"/>
  <c r="AI103" i="8" s="1"/>
  <c r="AC104" i="8" s="1"/>
  <c r="AD104" i="8" s="1"/>
  <c r="AF103" i="8"/>
  <c r="AG102" i="7"/>
  <c r="AH102" i="7" s="1"/>
  <c r="AI102" i="7" s="1"/>
  <c r="AC103" i="7" s="1"/>
  <c r="AD103" i="7" s="1"/>
  <c r="AF102" i="7"/>
  <c r="AJ32" i="8"/>
  <c r="AE33" i="8" s="1"/>
  <c r="AF33" i="8" s="1"/>
  <c r="AI66" i="7"/>
  <c r="AC67" i="7" s="1"/>
  <c r="AD67" i="7" s="1"/>
  <c r="AF66" i="7"/>
  <c r="AJ66" i="7" s="1"/>
  <c r="AE67" i="7" s="1"/>
  <c r="AK66" i="7"/>
  <c r="AF69" i="8"/>
  <c r="AJ61" i="5"/>
  <c r="AE62" i="5" s="1"/>
  <c r="AK62" i="5" s="1"/>
  <c r="AK97" i="5"/>
  <c r="AF97" i="5"/>
  <c r="AG97" i="5"/>
  <c r="AH97" i="5" s="1"/>
  <c r="AI97" i="5" s="1"/>
  <c r="AC98" i="5" s="1"/>
  <c r="AD98" i="5" s="1"/>
  <c r="AJ23" i="6"/>
  <c r="AE24" i="6" s="1"/>
  <c r="AI94" i="6"/>
  <c r="AC95" i="6" s="1"/>
  <c r="AD95" i="6" s="1"/>
  <c r="AF94" i="6"/>
  <c r="AJ94" i="6" s="1"/>
  <c r="AE95" i="6" s="1"/>
  <c r="AK94" i="6"/>
  <c r="AJ60" i="6"/>
  <c r="AE61" i="6" s="1"/>
  <c r="AF61" i="6" s="1"/>
  <c r="AD61" i="6"/>
  <c r="AK18" i="3"/>
  <c r="AF18" i="3"/>
  <c r="AG18" i="3"/>
  <c r="AH18" i="3" s="1"/>
  <c r="AI18" i="3" s="1"/>
  <c r="AC19" i="3" s="1"/>
  <c r="AF90" i="4"/>
  <c r="AI89" i="4"/>
  <c r="AC90" i="4" s="1"/>
  <c r="AK90" i="4" s="1"/>
  <c r="AF54" i="4"/>
  <c r="AI53" i="4"/>
  <c r="AC54" i="4" s="1"/>
  <c r="AH19" i="4"/>
  <c r="AJ19" i="4" s="1"/>
  <c r="AE20" i="4" s="1"/>
  <c r="AJ87" i="3"/>
  <c r="AE88" i="3" s="1"/>
  <c r="AF88" i="3" s="1"/>
  <c r="AJ53" i="3"/>
  <c r="AE54" i="3" s="1"/>
  <c r="AF54" i="3" s="1"/>
  <c r="AK30" i="5" l="1"/>
  <c r="AF30" i="5"/>
  <c r="AJ30" i="5" s="1"/>
  <c r="AE31" i="5" s="1"/>
  <c r="AF32" i="7"/>
  <c r="AJ103" i="8"/>
  <c r="AE104" i="8" s="1"/>
  <c r="AG104" i="8" s="1"/>
  <c r="AH104" i="8" s="1"/>
  <c r="AI104" i="8" s="1"/>
  <c r="AG32" i="7"/>
  <c r="AH32" i="7" s="1"/>
  <c r="AI32" i="7" s="1"/>
  <c r="AC33" i="7" s="1"/>
  <c r="AD33" i="7" s="1"/>
  <c r="AJ102" i="7"/>
  <c r="AE103" i="7" s="1"/>
  <c r="AF103" i="7" s="1"/>
  <c r="AK33" i="8"/>
  <c r="AG33" i="8"/>
  <c r="AH33" i="8" s="1"/>
  <c r="AI33" i="8" s="1"/>
  <c r="AC34" i="8" s="1"/>
  <c r="AD34" i="8" s="1"/>
  <c r="AG67" i="7"/>
  <c r="AH67" i="7" s="1"/>
  <c r="AI67" i="7" s="1"/>
  <c r="AC68" i="7" s="1"/>
  <c r="AD68" i="7" s="1"/>
  <c r="AF104" i="8"/>
  <c r="AK104" i="8"/>
  <c r="AK67" i="7"/>
  <c r="AF67" i="7"/>
  <c r="AD69" i="8"/>
  <c r="AG69" i="8"/>
  <c r="AF62" i="5"/>
  <c r="AG62" i="5"/>
  <c r="AH62" i="5" s="1"/>
  <c r="AI62" i="5" s="1"/>
  <c r="AC63" i="5" s="1"/>
  <c r="AD63" i="5" s="1"/>
  <c r="AJ97" i="5"/>
  <c r="AE98" i="5" s="1"/>
  <c r="AK24" i="6"/>
  <c r="AG24" i="6"/>
  <c r="AH24" i="6" s="1"/>
  <c r="AI24" i="6" s="1"/>
  <c r="AC25" i="6" s="1"/>
  <c r="AD25" i="6" s="1"/>
  <c r="AF24" i="6"/>
  <c r="AF95" i="6"/>
  <c r="AK95" i="6"/>
  <c r="AG95" i="6"/>
  <c r="AH95" i="6" s="1"/>
  <c r="AI95" i="6" s="1"/>
  <c r="AC96" i="6" s="1"/>
  <c r="AK61" i="6"/>
  <c r="AG61" i="6"/>
  <c r="AH61" i="6" s="1"/>
  <c r="AI61" i="6" s="1"/>
  <c r="AC62" i="6" s="1"/>
  <c r="AD62" i="6" s="1"/>
  <c r="AD19" i="3"/>
  <c r="AJ18" i="3"/>
  <c r="AE19" i="3" s="1"/>
  <c r="AD90" i="4"/>
  <c r="AG90" i="4"/>
  <c r="AD54" i="4"/>
  <c r="AG54" i="4"/>
  <c r="AK54" i="4"/>
  <c r="AF20" i="4"/>
  <c r="AI19" i="4"/>
  <c r="AC20" i="4" s="1"/>
  <c r="AK20" i="4" s="1"/>
  <c r="AI87" i="3"/>
  <c r="AC88" i="3" s="1"/>
  <c r="AD88" i="3" s="1"/>
  <c r="AI53" i="3"/>
  <c r="AC54" i="3" s="1"/>
  <c r="AD54" i="3" s="1"/>
  <c r="AG31" i="5" l="1"/>
  <c r="AH31" i="5" s="1"/>
  <c r="AI31" i="5" s="1"/>
  <c r="AC32" i="5" s="1"/>
  <c r="AF31" i="5"/>
  <c r="AK31" i="5"/>
  <c r="W26" i="8"/>
  <c r="W27" i="8" s="1"/>
  <c r="G39" i="8" s="1"/>
  <c r="G40" i="8" s="1"/>
  <c r="AJ33" i="8"/>
  <c r="AE34" i="8" s="1"/>
  <c r="AG34" i="8" s="1"/>
  <c r="AH34" i="8" s="1"/>
  <c r="AI34" i="8" s="1"/>
  <c r="AG103" i="7"/>
  <c r="AH103" i="7" s="1"/>
  <c r="AI103" i="7" s="1"/>
  <c r="AC104" i="7" s="1"/>
  <c r="AD104" i="7" s="1"/>
  <c r="AK103" i="7"/>
  <c r="AJ32" i="7"/>
  <c r="AE33" i="7" s="1"/>
  <c r="AF33" i="7" s="1"/>
  <c r="AJ67" i="7"/>
  <c r="AE68" i="7" s="1"/>
  <c r="AK68" i="7" s="1"/>
  <c r="O26" i="8"/>
  <c r="O27" i="8" s="1"/>
  <c r="G19" i="8" s="1"/>
  <c r="G20" i="8" s="1"/>
  <c r="AH69" i="8"/>
  <c r="AJ104" i="8"/>
  <c r="AJ62" i="5"/>
  <c r="AE63" i="5" s="1"/>
  <c r="AF63" i="5" s="1"/>
  <c r="AJ31" i="5"/>
  <c r="AE32" i="5" s="1"/>
  <c r="AF32" i="5" s="1"/>
  <c r="AD32" i="5"/>
  <c r="AG98" i="5"/>
  <c r="AH98" i="5" s="1"/>
  <c r="AI98" i="5" s="1"/>
  <c r="AC99" i="5" s="1"/>
  <c r="AD99" i="5" s="1"/>
  <c r="AF98" i="5"/>
  <c r="AK98" i="5"/>
  <c r="AJ24" i="6"/>
  <c r="AE25" i="6" s="1"/>
  <c r="AD96" i="6"/>
  <c r="AJ95" i="6"/>
  <c r="AE96" i="6" s="1"/>
  <c r="AG96" i="6" s="1"/>
  <c r="AH96" i="6" s="1"/>
  <c r="AJ61" i="6"/>
  <c r="AE62" i="6" s="1"/>
  <c r="AF62" i="6" s="1"/>
  <c r="AF19" i="3"/>
  <c r="AK19" i="3"/>
  <c r="AG19" i="3"/>
  <c r="AH19" i="3" s="1"/>
  <c r="AI19" i="3" s="1"/>
  <c r="AC20" i="3" s="1"/>
  <c r="AH90" i="4"/>
  <c r="AJ90" i="4" s="1"/>
  <c r="AE91" i="4" s="1"/>
  <c r="AH54" i="4"/>
  <c r="AJ54" i="4" s="1"/>
  <c r="AE55" i="4" s="1"/>
  <c r="AD20" i="4"/>
  <c r="AG20" i="4"/>
  <c r="AG88" i="3"/>
  <c r="AH88" i="3" s="1"/>
  <c r="AK88" i="3"/>
  <c r="AG54" i="3"/>
  <c r="AH54" i="3" s="1"/>
  <c r="AK54" i="3"/>
  <c r="AK34" i="8" l="1"/>
  <c r="AF34" i="8"/>
  <c r="AJ34" i="8" s="1"/>
  <c r="AJ103" i="7"/>
  <c r="AE104" i="7" s="1"/>
  <c r="AK104" i="7" s="1"/>
  <c r="AG33" i="7"/>
  <c r="AH33" i="7" s="1"/>
  <c r="AI33" i="7" s="1"/>
  <c r="AC34" i="7" s="1"/>
  <c r="AD34" i="7" s="1"/>
  <c r="AK33" i="7"/>
  <c r="AF104" i="7"/>
  <c r="S26" i="8"/>
  <c r="S27" i="8" s="1"/>
  <c r="G26" i="8" s="1"/>
  <c r="G27" i="8" s="1"/>
  <c r="K6" i="8" s="1"/>
  <c r="K19" i="8" s="1"/>
  <c r="AF68" i="7"/>
  <c r="AG68" i="7"/>
  <c r="AH68" i="7" s="1"/>
  <c r="AI68" i="7" s="1"/>
  <c r="AC69" i="7" s="1"/>
  <c r="AD69" i="7" s="1"/>
  <c r="AI69" i="8"/>
  <c r="AJ69" i="8"/>
  <c r="AK63" i="5"/>
  <c r="AG63" i="5"/>
  <c r="AH63" i="5" s="1"/>
  <c r="AI63" i="5" s="1"/>
  <c r="AC64" i="5" s="1"/>
  <c r="AD64" i="5" s="1"/>
  <c r="AK32" i="5"/>
  <c r="AG32" i="5"/>
  <c r="AH32" i="5" s="1"/>
  <c r="AI32" i="5" s="1"/>
  <c r="AC33" i="5" s="1"/>
  <c r="AD33" i="5" s="1"/>
  <c r="AJ98" i="5"/>
  <c r="AE99" i="5" s="1"/>
  <c r="AK25" i="6"/>
  <c r="AF25" i="6"/>
  <c r="AG25" i="6"/>
  <c r="AH25" i="6" s="1"/>
  <c r="AI25" i="6" s="1"/>
  <c r="AC26" i="6" s="1"/>
  <c r="AD26" i="6" s="1"/>
  <c r="AK62" i="6"/>
  <c r="AG62" i="6"/>
  <c r="AH62" i="6" s="1"/>
  <c r="AI62" i="6" s="1"/>
  <c r="AC63" i="6" s="1"/>
  <c r="AD63" i="6" s="1"/>
  <c r="AI96" i="6"/>
  <c r="AC97" i="6" s="1"/>
  <c r="AD97" i="6" s="1"/>
  <c r="AK96" i="6"/>
  <c r="AF96" i="6"/>
  <c r="AJ96" i="6" s="1"/>
  <c r="AE97" i="6" s="1"/>
  <c r="AD20" i="3"/>
  <c r="AJ19" i="3"/>
  <c r="AE20" i="3" s="1"/>
  <c r="AF91" i="4"/>
  <c r="AI90" i="4"/>
  <c r="AC91" i="4" s="1"/>
  <c r="AK91" i="4" s="1"/>
  <c r="AF55" i="4"/>
  <c r="AI54" i="4"/>
  <c r="AC55" i="4" s="1"/>
  <c r="AH20" i="4"/>
  <c r="AJ20" i="4" s="1"/>
  <c r="AE21" i="4" s="1"/>
  <c r="AJ88" i="3"/>
  <c r="AE89" i="3" s="1"/>
  <c r="AF89" i="3" s="1"/>
  <c r="AJ54" i="3"/>
  <c r="AE55" i="3" s="1"/>
  <c r="AF55" i="3" s="1"/>
  <c r="AG104" i="7" l="1"/>
  <c r="AH104" i="7" s="1"/>
  <c r="AI104" i="7" s="1"/>
  <c r="AJ33" i="7"/>
  <c r="AE34" i="7" s="1"/>
  <c r="AF34" i="7" s="1"/>
  <c r="W24" i="7"/>
  <c r="W25" i="7" s="1"/>
  <c r="G39" i="7" s="1"/>
  <c r="G40" i="7" s="1"/>
  <c r="K11" i="8"/>
  <c r="K17" i="8" s="1"/>
  <c r="K44" i="8" s="1"/>
  <c r="AJ68" i="7"/>
  <c r="AE69" i="7" s="1"/>
  <c r="AG69" i="7" s="1"/>
  <c r="O24" i="7" s="1"/>
  <c r="O25" i="7" s="1"/>
  <c r="G19" i="7" s="1"/>
  <c r="G20" i="7" s="1"/>
  <c r="AJ104" i="7"/>
  <c r="K7" i="8"/>
  <c r="K20" i="8"/>
  <c r="AJ63" i="5"/>
  <c r="AE64" i="5" s="1"/>
  <c r="AK64" i="5" s="1"/>
  <c r="AJ32" i="5"/>
  <c r="AE33" i="5" s="1"/>
  <c r="AG33" i="5" s="1"/>
  <c r="AH33" i="5" s="1"/>
  <c r="AI33" i="5" s="1"/>
  <c r="AC34" i="5" s="1"/>
  <c r="AG99" i="5"/>
  <c r="AH99" i="5" s="1"/>
  <c r="AI99" i="5" s="1"/>
  <c r="AC100" i="5" s="1"/>
  <c r="AD100" i="5" s="1"/>
  <c r="AF99" i="5"/>
  <c r="AK99" i="5"/>
  <c r="AJ25" i="6"/>
  <c r="AE26" i="6" s="1"/>
  <c r="AJ62" i="6"/>
  <c r="AE63" i="6" s="1"/>
  <c r="AK63" i="6" s="1"/>
  <c r="AG97" i="6"/>
  <c r="AH97" i="6" s="1"/>
  <c r="AI97" i="6" s="1"/>
  <c r="AC98" i="6" s="1"/>
  <c r="AK97" i="6"/>
  <c r="AF97" i="6"/>
  <c r="AF20" i="3"/>
  <c r="AK20" i="3"/>
  <c r="AG20" i="3"/>
  <c r="AH20" i="3" s="1"/>
  <c r="AI20" i="3" s="1"/>
  <c r="AC21" i="3" s="1"/>
  <c r="AD91" i="4"/>
  <c r="AG91" i="4"/>
  <c r="AD55" i="4"/>
  <c r="AG55" i="4"/>
  <c r="AK55" i="4"/>
  <c r="AF21" i="4"/>
  <c r="AI20" i="4"/>
  <c r="AC21" i="4" s="1"/>
  <c r="AI88" i="3"/>
  <c r="AC89" i="3" s="1"/>
  <c r="AD89" i="3" s="1"/>
  <c r="AI54" i="3"/>
  <c r="AC55" i="3" s="1"/>
  <c r="AD55" i="3" s="1"/>
  <c r="AG34" i="7" l="1"/>
  <c r="AK34" i="7"/>
  <c r="AK69" i="7"/>
  <c r="AH69" i="7"/>
  <c r="AI69" i="7" s="1"/>
  <c r="AF69" i="7"/>
  <c r="K31" i="8"/>
  <c r="AS4" i="8" s="1"/>
  <c r="K36" i="8"/>
  <c r="K37" i="8"/>
  <c r="K45" i="8"/>
  <c r="K48" i="8" s="1"/>
  <c r="AG64" i="5"/>
  <c r="AH64" i="5" s="1"/>
  <c r="AI64" i="5" s="1"/>
  <c r="AC65" i="5" s="1"/>
  <c r="AD65" i="5" s="1"/>
  <c r="AF64" i="5"/>
  <c r="AK33" i="5"/>
  <c r="AF33" i="5"/>
  <c r="AJ33" i="5" s="1"/>
  <c r="AE34" i="5" s="1"/>
  <c r="AF34" i="5" s="1"/>
  <c r="AD34" i="5"/>
  <c r="AJ99" i="5"/>
  <c r="AE100" i="5" s="1"/>
  <c r="AG26" i="6"/>
  <c r="AH26" i="6" s="1"/>
  <c r="AI26" i="6" s="1"/>
  <c r="AC27" i="6" s="1"/>
  <c r="AD27" i="6" s="1"/>
  <c r="AF26" i="6"/>
  <c r="AK26" i="6"/>
  <c r="AG63" i="6"/>
  <c r="AH63" i="6" s="1"/>
  <c r="AI63" i="6" s="1"/>
  <c r="AC64" i="6" s="1"/>
  <c r="AD64" i="6" s="1"/>
  <c r="AF63" i="6"/>
  <c r="AJ97" i="6"/>
  <c r="AE98" i="6" s="1"/>
  <c r="AK98" i="6" s="1"/>
  <c r="AD98" i="6"/>
  <c r="AD21" i="3"/>
  <c r="AJ20" i="3"/>
  <c r="AE21" i="3" s="1"/>
  <c r="AH91" i="4"/>
  <c r="AJ91" i="4" s="1"/>
  <c r="AE92" i="4" s="1"/>
  <c r="AH55" i="4"/>
  <c r="AJ55" i="4" s="1"/>
  <c r="AE56" i="4" s="1"/>
  <c r="AD21" i="4"/>
  <c r="AG21" i="4"/>
  <c r="AK21" i="4"/>
  <c r="AG89" i="3"/>
  <c r="AH89" i="3" s="1"/>
  <c r="AK89" i="3"/>
  <c r="AG55" i="3"/>
  <c r="AH55" i="3" s="1"/>
  <c r="AK55" i="3"/>
  <c r="AH34" i="7" l="1"/>
  <c r="S24" i="7"/>
  <c r="S25" i="7" s="1"/>
  <c r="G26" i="7" s="1"/>
  <c r="G27" i="7" s="1"/>
  <c r="AO4" i="8"/>
  <c r="AQ4" i="8"/>
  <c r="K32" i="8"/>
  <c r="AJ69" i="7"/>
  <c r="K40" i="8"/>
  <c r="AJ64" i="5"/>
  <c r="AE65" i="5" s="1"/>
  <c r="AG65" i="5" s="1"/>
  <c r="AH65" i="5" s="1"/>
  <c r="AI65" i="5" s="1"/>
  <c r="AC66" i="5" s="1"/>
  <c r="AD66" i="5" s="1"/>
  <c r="AG34" i="5"/>
  <c r="S26" i="5" s="1"/>
  <c r="S27" i="5" s="1"/>
  <c r="G26" i="5" s="1"/>
  <c r="G27" i="5" s="1"/>
  <c r="AK34" i="5"/>
  <c r="AF100" i="5"/>
  <c r="AK100" i="5"/>
  <c r="AG100" i="5"/>
  <c r="AH100" i="5" s="1"/>
  <c r="AI100" i="5" s="1"/>
  <c r="AC101" i="5" s="1"/>
  <c r="AD101" i="5" s="1"/>
  <c r="AJ26" i="6"/>
  <c r="AE27" i="6" s="1"/>
  <c r="AJ63" i="6"/>
  <c r="AE64" i="6" s="1"/>
  <c r="AK64" i="6" s="1"/>
  <c r="AG98" i="6"/>
  <c r="AH98" i="6" s="1"/>
  <c r="AI98" i="6" s="1"/>
  <c r="AC99" i="6" s="1"/>
  <c r="AD99" i="6" s="1"/>
  <c r="AF98" i="6"/>
  <c r="AF21" i="3"/>
  <c r="AK21" i="3"/>
  <c r="AG21" i="3"/>
  <c r="AF92" i="4"/>
  <c r="AI91" i="4"/>
  <c r="AC92" i="4" s="1"/>
  <c r="AF56" i="4"/>
  <c r="AI55" i="4"/>
  <c r="AC56" i="4" s="1"/>
  <c r="AH21" i="4"/>
  <c r="AJ21" i="4" s="1"/>
  <c r="AE22" i="4" s="1"/>
  <c r="AJ89" i="3"/>
  <c r="AE90" i="3" s="1"/>
  <c r="AF90" i="3" s="1"/>
  <c r="AJ55" i="3"/>
  <c r="AE56" i="3" s="1"/>
  <c r="AF56" i="3" s="1"/>
  <c r="K8" i="7" l="1"/>
  <c r="K13" i="7" s="1"/>
  <c r="K4" i="7"/>
  <c r="AI34" i="7"/>
  <c r="AJ34" i="7"/>
  <c r="AF65" i="5"/>
  <c r="AJ65" i="5" s="1"/>
  <c r="AE66" i="5" s="1"/>
  <c r="AF66" i="5" s="1"/>
  <c r="AK65" i="5"/>
  <c r="AH34" i="5"/>
  <c r="AI34" i="5" s="1"/>
  <c r="AJ100" i="5"/>
  <c r="AE101" i="5" s="1"/>
  <c r="AG64" i="6"/>
  <c r="AH64" i="6" s="1"/>
  <c r="AI64" i="6" s="1"/>
  <c r="AC65" i="6" s="1"/>
  <c r="AD65" i="6" s="1"/>
  <c r="AF64" i="6"/>
  <c r="AK27" i="6"/>
  <c r="AF27" i="6"/>
  <c r="AG27" i="6"/>
  <c r="AH27" i="6" s="1"/>
  <c r="AI27" i="6" s="1"/>
  <c r="AC28" i="6" s="1"/>
  <c r="AD28" i="6" s="1"/>
  <c r="AJ98" i="6"/>
  <c r="AE99" i="6" s="1"/>
  <c r="AK99" i="6" s="1"/>
  <c r="AH21" i="3"/>
  <c r="AI21" i="3" s="1"/>
  <c r="AC22" i="3" s="1"/>
  <c r="AD92" i="4"/>
  <c r="AG92" i="4"/>
  <c r="AK92" i="4"/>
  <c r="AD56" i="4"/>
  <c r="AG56" i="4"/>
  <c r="AK56" i="4"/>
  <c r="AI21" i="4"/>
  <c r="AC22" i="4" s="1"/>
  <c r="AK22" i="4" s="1"/>
  <c r="AF22" i="4"/>
  <c r="AI89" i="3"/>
  <c r="AC90" i="3" s="1"/>
  <c r="AD90" i="3" s="1"/>
  <c r="AI55" i="3"/>
  <c r="AC56" i="3" s="1"/>
  <c r="AD56" i="3" s="1"/>
  <c r="K17" i="7" l="1"/>
  <c r="K5" i="7"/>
  <c r="K16" i="7"/>
  <c r="K32" i="7"/>
  <c r="K40" i="7"/>
  <c r="K27" i="7"/>
  <c r="AO4" i="7" s="1"/>
  <c r="AG66" i="5"/>
  <c r="AH66" i="5" s="1"/>
  <c r="AJ66" i="5" s="1"/>
  <c r="AE67" i="5" s="1"/>
  <c r="AF67" i="5" s="1"/>
  <c r="AK66" i="5"/>
  <c r="AJ34" i="5"/>
  <c r="AG101" i="5"/>
  <c r="AH101" i="5" s="1"/>
  <c r="AI101" i="5" s="1"/>
  <c r="AC102" i="5" s="1"/>
  <c r="AF101" i="5"/>
  <c r="AK101" i="5"/>
  <c r="AJ64" i="6"/>
  <c r="AE65" i="6" s="1"/>
  <c r="AK65" i="6" s="1"/>
  <c r="AJ27" i="6"/>
  <c r="AE28" i="6" s="1"/>
  <c r="AF99" i="6"/>
  <c r="AG99" i="6"/>
  <c r="AH99" i="6" s="1"/>
  <c r="AI99" i="6" s="1"/>
  <c r="AC100" i="6" s="1"/>
  <c r="AD100" i="6" s="1"/>
  <c r="AD22" i="3"/>
  <c r="AJ21" i="3"/>
  <c r="AE22" i="3" s="1"/>
  <c r="AG22" i="3" s="1"/>
  <c r="AG22" i="4"/>
  <c r="AH22" i="4" s="1"/>
  <c r="AD22" i="4"/>
  <c r="AH92" i="4"/>
  <c r="AJ92" i="4" s="1"/>
  <c r="AE93" i="4" s="1"/>
  <c r="AH56" i="4"/>
  <c r="AJ56" i="4" s="1"/>
  <c r="AE57" i="4" s="1"/>
  <c r="AG90" i="3"/>
  <c r="AH90" i="3" s="1"/>
  <c r="AK90" i="3"/>
  <c r="AG56" i="3"/>
  <c r="AK56" i="3"/>
  <c r="K28" i="7" l="1"/>
  <c r="AS4" i="7"/>
  <c r="AQ4" i="7"/>
  <c r="K41" i="7"/>
  <c r="K44" i="7" s="1"/>
  <c r="K33" i="7"/>
  <c r="K36" i="7" s="1"/>
  <c r="AI66" i="5"/>
  <c r="AC67" i="5" s="1"/>
  <c r="AD67" i="5" s="1"/>
  <c r="AJ101" i="5"/>
  <c r="AE102" i="5" s="1"/>
  <c r="AF102" i="5" s="1"/>
  <c r="AD102" i="5"/>
  <c r="AF65" i="6"/>
  <c r="AG65" i="6"/>
  <c r="AH65" i="6" s="1"/>
  <c r="AI65" i="6" s="1"/>
  <c r="AC66" i="6" s="1"/>
  <c r="AD66" i="6" s="1"/>
  <c r="AG28" i="6"/>
  <c r="AH28" i="6" s="1"/>
  <c r="AI28" i="6" s="1"/>
  <c r="AC29" i="6" s="1"/>
  <c r="AD29" i="6" s="1"/>
  <c r="AF28" i="6"/>
  <c r="AK28" i="6"/>
  <c r="AJ99" i="6"/>
  <c r="AE100" i="6" s="1"/>
  <c r="AF100" i="6" s="1"/>
  <c r="AH56" i="3"/>
  <c r="AJ56" i="3" s="1"/>
  <c r="AE57" i="3" s="1"/>
  <c r="AF57" i="3" s="1"/>
  <c r="AH22" i="3"/>
  <c r="AI22" i="3" s="1"/>
  <c r="AC23" i="3" s="1"/>
  <c r="AF22" i="3"/>
  <c r="AK22" i="3"/>
  <c r="AI22" i="4"/>
  <c r="AC23" i="4" s="1"/>
  <c r="AD23" i="4" s="1"/>
  <c r="AF93" i="4"/>
  <c r="AI92" i="4"/>
  <c r="AC93" i="4" s="1"/>
  <c r="AF57" i="4"/>
  <c r="AI56" i="4"/>
  <c r="AC57" i="4" s="1"/>
  <c r="AJ22" i="4"/>
  <c r="AE23" i="4" s="1"/>
  <c r="AJ90" i="3"/>
  <c r="AE91" i="3" s="1"/>
  <c r="AF91" i="3" s="1"/>
  <c r="AK67" i="5" l="1"/>
  <c r="AG67" i="5"/>
  <c r="AH67" i="5" s="1"/>
  <c r="AI67" i="5" s="1"/>
  <c r="AC68" i="5" s="1"/>
  <c r="AD68" i="5" s="1"/>
  <c r="AG102" i="5"/>
  <c r="AH102" i="5" s="1"/>
  <c r="AI102" i="5" s="1"/>
  <c r="AC103" i="5" s="1"/>
  <c r="AD103" i="5" s="1"/>
  <c r="AK102" i="5"/>
  <c r="AJ65" i="6"/>
  <c r="AE66" i="6" s="1"/>
  <c r="AF66" i="6" s="1"/>
  <c r="AJ28" i="6"/>
  <c r="AE29" i="6" s="1"/>
  <c r="AF29" i="6" s="1"/>
  <c r="AG100" i="6"/>
  <c r="AH100" i="6" s="1"/>
  <c r="AI100" i="6" s="1"/>
  <c r="AC101" i="6" s="1"/>
  <c r="AD101" i="6" s="1"/>
  <c r="AK100" i="6"/>
  <c r="AJ22" i="3"/>
  <c r="AE23" i="3" s="1"/>
  <c r="AG23" i="3" s="1"/>
  <c r="AH23" i="3" s="1"/>
  <c r="AI56" i="3"/>
  <c r="AC57" i="3" s="1"/>
  <c r="AK57" i="3" s="1"/>
  <c r="AD23" i="3"/>
  <c r="AD93" i="4"/>
  <c r="AG93" i="4"/>
  <c r="AK93" i="4"/>
  <c r="AD57" i="4"/>
  <c r="AG57" i="4"/>
  <c r="AK57" i="4"/>
  <c r="AK23" i="4"/>
  <c r="AF23" i="4"/>
  <c r="AG23" i="4"/>
  <c r="AI90" i="3"/>
  <c r="AC91" i="3" s="1"/>
  <c r="AJ67" i="5" l="1"/>
  <c r="AE68" i="5" s="1"/>
  <c r="AJ102" i="5"/>
  <c r="AE103" i="5" s="1"/>
  <c r="AK103" i="5" s="1"/>
  <c r="AG66" i="6"/>
  <c r="AH66" i="6" s="1"/>
  <c r="AI66" i="6" s="1"/>
  <c r="AC67" i="6" s="1"/>
  <c r="AD67" i="6" s="1"/>
  <c r="AK66" i="6"/>
  <c r="AJ100" i="6"/>
  <c r="AE101" i="6" s="1"/>
  <c r="AK101" i="6" s="1"/>
  <c r="AG29" i="6"/>
  <c r="AH29" i="6" s="1"/>
  <c r="AI29" i="6" s="1"/>
  <c r="AC30" i="6" s="1"/>
  <c r="AD30" i="6" s="1"/>
  <c r="AK29" i="6"/>
  <c r="AK23" i="3"/>
  <c r="AF23" i="3"/>
  <c r="AJ23" i="3" s="1"/>
  <c r="AE24" i="3" s="1"/>
  <c r="AG57" i="3"/>
  <c r="AH57" i="3" s="1"/>
  <c r="AJ57" i="3" s="1"/>
  <c r="AE58" i="3" s="1"/>
  <c r="AF58" i="3" s="1"/>
  <c r="AD57" i="3"/>
  <c r="AG91" i="3"/>
  <c r="AH91" i="3" s="1"/>
  <c r="AD91" i="3"/>
  <c r="AI23" i="3"/>
  <c r="AC24" i="3" s="1"/>
  <c r="AH93" i="4"/>
  <c r="AJ93" i="4" s="1"/>
  <c r="AE94" i="4" s="1"/>
  <c r="AH57" i="4"/>
  <c r="AJ57" i="4" s="1"/>
  <c r="AE58" i="4" s="1"/>
  <c r="AH23" i="4"/>
  <c r="AI23" i="4" s="1"/>
  <c r="AC24" i="4" s="1"/>
  <c r="AK91" i="3"/>
  <c r="AG68" i="5" l="1"/>
  <c r="AH68" i="5" s="1"/>
  <c r="AI68" i="5" s="1"/>
  <c r="AC69" i="5" s="1"/>
  <c r="AF68" i="5"/>
  <c r="AK68" i="5"/>
  <c r="AG103" i="5"/>
  <c r="AH103" i="5" s="1"/>
  <c r="AI103" i="5" s="1"/>
  <c r="AC104" i="5" s="1"/>
  <c r="AD104" i="5" s="1"/>
  <c r="AF103" i="5"/>
  <c r="AJ66" i="6"/>
  <c r="AE67" i="6" s="1"/>
  <c r="AF67" i="6" s="1"/>
  <c r="AF101" i="6"/>
  <c r="AG101" i="6"/>
  <c r="AH101" i="6" s="1"/>
  <c r="AI101" i="6" s="1"/>
  <c r="AC102" i="6" s="1"/>
  <c r="AD102" i="6" s="1"/>
  <c r="AJ29" i="6"/>
  <c r="AE30" i="6" s="1"/>
  <c r="AF30" i="6" s="1"/>
  <c r="AI57" i="3"/>
  <c r="AC58" i="3" s="1"/>
  <c r="AK58" i="3" s="1"/>
  <c r="AG24" i="3"/>
  <c r="AH24" i="3" s="1"/>
  <c r="AD24" i="3"/>
  <c r="AF24" i="3"/>
  <c r="AK24" i="3"/>
  <c r="AF94" i="4"/>
  <c r="AI93" i="4"/>
  <c r="AC94" i="4" s="1"/>
  <c r="AJ23" i="4"/>
  <c r="AE24" i="4" s="1"/>
  <c r="AG24" i="4" s="1"/>
  <c r="AF58" i="4"/>
  <c r="AI57" i="4"/>
  <c r="AC58" i="4" s="1"/>
  <c r="AD24" i="4"/>
  <c r="AI91" i="3"/>
  <c r="AC92" i="3" s="1"/>
  <c r="AD92" i="3" s="1"/>
  <c r="AJ91" i="3"/>
  <c r="AE92" i="3" s="1"/>
  <c r="AF92" i="3" s="1"/>
  <c r="AJ68" i="5" l="1"/>
  <c r="AE69" i="5" s="1"/>
  <c r="AF69" i="5" s="1"/>
  <c r="AD69" i="5"/>
  <c r="AJ103" i="5"/>
  <c r="AE104" i="5" s="1"/>
  <c r="AF104" i="5" s="1"/>
  <c r="AK67" i="6"/>
  <c r="AG67" i="6"/>
  <c r="AH67" i="6" s="1"/>
  <c r="AI67" i="6" s="1"/>
  <c r="AC68" i="6" s="1"/>
  <c r="AD68" i="6" s="1"/>
  <c r="AG30" i="6"/>
  <c r="AH30" i="6" s="1"/>
  <c r="AI30" i="6" s="1"/>
  <c r="AC31" i="6" s="1"/>
  <c r="AD31" i="6" s="1"/>
  <c r="AK30" i="6"/>
  <c r="AJ101" i="6"/>
  <c r="AE102" i="6" s="1"/>
  <c r="AG102" i="6" s="1"/>
  <c r="AH102" i="6" s="1"/>
  <c r="AI102" i="6" s="1"/>
  <c r="AC103" i="6" s="1"/>
  <c r="AD103" i="6" s="1"/>
  <c r="AJ24" i="3"/>
  <c r="AE25" i="3" s="1"/>
  <c r="AF25" i="3" s="1"/>
  <c r="AG58" i="3"/>
  <c r="AH58" i="3" s="1"/>
  <c r="AJ58" i="3" s="1"/>
  <c r="AE59" i="3" s="1"/>
  <c r="AF59" i="3" s="1"/>
  <c r="AD58" i="3"/>
  <c r="AI24" i="3"/>
  <c r="AC25" i="3" s="1"/>
  <c r="AF24" i="4"/>
  <c r="AK24" i="4"/>
  <c r="AD94" i="4"/>
  <c r="AG94" i="4"/>
  <c r="AK94" i="4"/>
  <c r="AD58" i="4"/>
  <c r="AG58" i="4"/>
  <c r="AK58" i="4"/>
  <c r="AH24" i="4"/>
  <c r="AI24" i="4" s="1"/>
  <c r="AC25" i="4" s="1"/>
  <c r="AK92" i="3"/>
  <c r="AG92" i="3"/>
  <c r="AH92" i="3" s="1"/>
  <c r="AG69" i="5" l="1"/>
  <c r="AH69" i="5" s="1"/>
  <c r="AI69" i="5" s="1"/>
  <c r="AK69" i="5"/>
  <c r="AG104" i="5"/>
  <c r="W26" i="5" s="1"/>
  <c r="W27" i="5" s="1"/>
  <c r="G39" i="5" s="1"/>
  <c r="G40" i="5" s="1"/>
  <c r="AK104" i="5"/>
  <c r="AJ67" i="6"/>
  <c r="AE68" i="6" s="1"/>
  <c r="AK68" i="6" s="1"/>
  <c r="AJ30" i="6"/>
  <c r="AE31" i="6" s="1"/>
  <c r="AK31" i="6" s="1"/>
  <c r="AF102" i="6"/>
  <c r="AJ102" i="6" s="1"/>
  <c r="AE103" i="6" s="1"/>
  <c r="AK102" i="6"/>
  <c r="AG25" i="3"/>
  <c r="AH25" i="3" s="1"/>
  <c r="AJ25" i="3" s="1"/>
  <c r="AE26" i="3" s="1"/>
  <c r="AK25" i="3"/>
  <c r="AD25" i="3"/>
  <c r="AH94" i="4"/>
  <c r="AJ94" i="4" s="1"/>
  <c r="AE95" i="4" s="1"/>
  <c r="AH58" i="4"/>
  <c r="AJ58" i="4" s="1"/>
  <c r="AE59" i="4" s="1"/>
  <c r="AJ24" i="4"/>
  <c r="AE25" i="4" s="1"/>
  <c r="AG25" i="4" s="1"/>
  <c r="AD25" i="4"/>
  <c r="AI92" i="3"/>
  <c r="AC93" i="3" s="1"/>
  <c r="AD93" i="3" s="1"/>
  <c r="AI58" i="3"/>
  <c r="AC59" i="3" s="1"/>
  <c r="AD59" i="3" s="1"/>
  <c r="O26" i="5" l="1"/>
  <c r="O27" i="5" s="1"/>
  <c r="AJ69" i="5"/>
  <c r="AH104" i="5"/>
  <c r="AI104" i="5" s="1"/>
  <c r="AF68" i="6"/>
  <c r="AG68" i="6"/>
  <c r="AH68" i="6" s="1"/>
  <c r="AI68" i="6" s="1"/>
  <c r="AC69" i="6" s="1"/>
  <c r="AD69" i="6" s="1"/>
  <c r="AF31" i="6"/>
  <c r="AG31" i="6"/>
  <c r="AH31" i="6" s="1"/>
  <c r="AI31" i="6" s="1"/>
  <c r="AC32" i="6" s="1"/>
  <c r="AD32" i="6" s="1"/>
  <c r="AK103" i="6"/>
  <c r="AF103" i="6"/>
  <c r="AG103" i="6"/>
  <c r="AH103" i="6" s="1"/>
  <c r="AI103" i="6" s="1"/>
  <c r="AC104" i="6" s="1"/>
  <c r="AD104" i="6" s="1"/>
  <c r="AI25" i="3"/>
  <c r="AC26" i="3" s="1"/>
  <c r="AK26" i="3" s="1"/>
  <c r="AF26" i="3"/>
  <c r="AF25" i="4"/>
  <c r="AK25" i="4"/>
  <c r="AF95" i="4"/>
  <c r="AI94" i="4"/>
  <c r="AC95" i="4" s="1"/>
  <c r="AF59" i="4"/>
  <c r="AI58" i="4"/>
  <c r="AC59" i="4" s="1"/>
  <c r="AH25" i="4"/>
  <c r="AI25" i="4" s="1"/>
  <c r="AC26" i="4" s="1"/>
  <c r="AJ92" i="3"/>
  <c r="AE93" i="3" s="1"/>
  <c r="AF93" i="3" s="1"/>
  <c r="AG59" i="3"/>
  <c r="AH59" i="3" s="1"/>
  <c r="AK59" i="3"/>
  <c r="G19" i="5" l="1"/>
  <c r="G20" i="5" s="1"/>
  <c r="AJ104" i="5"/>
  <c r="AJ68" i="6"/>
  <c r="AE69" i="6" s="1"/>
  <c r="AG69" i="6" s="1"/>
  <c r="O24" i="6" s="1"/>
  <c r="O25" i="6" s="1"/>
  <c r="AJ31" i="6"/>
  <c r="AE32" i="6" s="1"/>
  <c r="AF32" i="6" s="1"/>
  <c r="AJ103" i="6"/>
  <c r="AE104" i="6" s="1"/>
  <c r="AG26" i="3"/>
  <c r="AH26" i="3" s="1"/>
  <c r="AJ26" i="3" s="1"/>
  <c r="AE27" i="3" s="1"/>
  <c r="AD26" i="3"/>
  <c r="AD95" i="4"/>
  <c r="AG95" i="4"/>
  <c r="AH95" i="4" s="1"/>
  <c r="AJ95" i="4" s="1"/>
  <c r="AE96" i="4" s="1"/>
  <c r="AK95" i="4"/>
  <c r="AD59" i="4"/>
  <c r="AG59" i="4"/>
  <c r="AK59" i="4"/>
  <c r="AJ25" i="4"/>
  <c r="AE26" i="4" s="1"/>
  <c r="AK26" i="4" s="1"/>
  <c r="AD26" i="4"/>
  <c r="AK93" i="3"/>
  <c r="AG93" i="3"/>
  <c r="AH93" i="3" s="1"/>
  <c r="AJ59" i="3"/>
  <c r="AE60" i="3" s="1"/>
  <c r="AF60" i="3" s="1"/>
  <c r="G19" i="6" l="1"/>
  <c r="G20" i="6" s="1"/>
  <c r="K11" i="5"/>
  <c r="K17" i="5" s="1"/>
  <c r="K6" i="5"/>
  <c r="K20" i="5" s="1"/>
  <c r="AK69" i="6"/>
  <c r="AH69" i="6"/>
  <c r="AI69" i="6" s="1"/>
  <c r="AF69" i="6"/>
  <c r="AK32" i="6"/>
  <c r="AG32" i="6"/>
  <c r="AH32" i="6" s="1"/>
  <c r="AI32" i="6" s="1"/>
  <c r="AC33" i="6" s="1"/>
  <c r="AD33" i="6" s="1"/>
  <c r="AF104" i="6"/>
  <c r="AG104" i="6"/>
  <c r="AK104" i="6"/>
  <c r="AI26" i="3"/>
  <c r="AC27" i="3" s="1"/>
  <c r="AK27" i="3" s="1"/>
  <c r="AF27" i="3"/>
  <c r="AG26" i="4"/>
  <c r="AH26" i="4" s="1"/>
  <c r="AI26" i="4" s="1"/>
  <c r="AC27" i="4" s="1"/>
  <c r="AF26" i="4"/>
  <c r="AF96" i="4"/>
  <c r="AI95" i="4"/>
  <c r="AC96" i="4" s="1"/>
  <c r="AK96" i="4" s="1"/>
  <c r="AH59" i="4"/>
  <c r="AJ59" i="4" s="1"/>
  <c r="AE60" i="4" s="1"/>
  <c r="AI93" i="3"/>
  <c r="AC94" i="3" s="1"/>
  <c r="AD94" i="3" s="1"/>
  <c r="AI59" i="3"/>
  <c r="AC60" i="3" s="1"/>
  <c r="K7" i="5" l="1"/>
  <c r="K18" i="5" s="1"/>
  <c r="K19" i="5"/>
  <c r="K44" i="5"/>
  <c r="K36" i="5"/>
  <c r="AJ69" i="6"/>
  <c r="AJ32" i="6"/>
  <c r="AE33" i="6" s="1"/>
  <c r="AG33" i="6" s="1"/>
  <c r="AH33" i="6" s="1"/>
  <c r="AI33" i="6" s="1"/>
  <c r="AC34" i="6" s="1"/>
  <c r="AD34" i="6" s="1"/>
  <c r="AH104" i="6"/>
  <c r="W24" i="6"/>
  <c r="W25" i="6" s="1"/>
  <c r="G39" i="6" s="1"/>
  <c r="AG27" i="3"/>
  <c r="AH27" i="3" s="1"/>
  <c r="AJ27" i="3" s="1"/>
  <c r="AE28" i="3" s="1"/>
  <c r="AK60" i="3"/>
  <c r="AD60" i="3"/>
  <c r="AD27" i="3"/>
  <c r="AD96" i="4"/>
  <c r="AG96" i="4"/>
  <c r="AF60" i="4"/>
  <c r="AI59" i="4"/>
  <c r="AC60" i="4" s="1"/>
  <c r="AJ26" i="4"/>
  <c r="AE27" i="4" s="1"/>
  <c r="AK27" i="4" s="1"/>
  <c r="AD27" i="4"/>
  <c r="AJ93" i="3"/>
  <c r="AE94" i="3" s="1"/>
  <c r="AG60" i="3"/>
  <c r="AH60" i="3" s="1"/>
  <c r="K45" i="5" l="1"/>
  <c r="K48" i="5" s="1"/>
  <c r="K37" i="5"/>
  <c r="K40" i="5" s="1"/>
  <c r="K31" i="5"/>
  <c r="AS4" i="5" s="1"/>
  <c r="G40" i="6"/>
  <c r="K4" i="6" s="1"/>
  <c r="AF33" i="6"/>
  <c r="AJ33" i="6" s="1"/>
  <c r="AE34" i="6" s="1"/>
  <c r="AK34" i="6" s="1"/>
  <c r="AK33" i="6"/>
  <c r="AI104" i="6"/>
  <c r="AJ104" i="6"/>
  <c r="AG94" i="3"/>
  <c r="AH94" i="3" s="1"/>
  <c r="AI94" i="3" s="1"/>
  <c r="AC95" i="3" s="1"/>
  <c r="AD95" i="3" s="1"/>
  <c r="AF94" i="3"/>
  <c r="AI27" i="3"/>
  <c r="AC28" i="3" s="1"/>
  <c r="AK28" i="3" s="1"/>
  <c r="AF28" i="3"/>
  <c r="AF27" i="4"/>
  <c r="AG27" i="4"/>
  <c r="AH27" i="4" s="1"/>
  <c r="AI27" i="4" s="1"/>
  <c r="AC28" i="4" s="1"/>
  <c r="AH96" i="4"/>
  <c r="AJ96" i="4" s="1"/>
  <c r="AE97" i="4" s="1"/>
  <c r="AD60" i="4"/>
  <c r="AG60" i="4"/>
  <c r="AK60" i="4"/>
  <c r="AK94" i="3"/>
  <c r="AJ60" i="3"/>
  <c r="AE61" i="3" s="1"/>
  <c r="AF61" i="3" s="1"/>
  <c r="K15" i="6" l="1"/>
  <c r="K16" i="6"/>
  <c r="K5" i="6"/>
  <c r="K14" i="6" s="1"/>
  <c r="K32" i="5"/>
  <c r="AO4" i="5"/>
  <c r="AQ4" i="5"/>
  <c r="AF34" i="6"/>
  <c r="AG34" i="6"/>
  <c r="AD28" i="3"/>
  <c r="AG28" i="3"/>
  <c r="AH28" i="3" s="1"/>
  <c r="AF97" i="4"/>
  <c r="AI96" i="4"/>
  <c r="AC97" i="4" s="1"/>
  <c r="AK97" i="4" s="1"/>
  <c r="AH60" i="4"/>
  <c r="AJ60" i="4" s="1"/>
  <c r="AE61" i="4" s="1"/>
  <c r="AJ27" i="4"/>
  <c r="AE28" i="4" s="1"/>
  <c r="AG28" i="4" s="1"/>
  <c r="AD28" i="4"/>
  <c r="AJ94" i="3"/>
  <c r="AE95" i="3" s="1"/>
  <c r="AI60" i="3"/>
  <c r="AC61" i="3" s="1"/>
  <c r="K40" i="6" l="1"/>
  <c r="S24" i="6"/>
  <c r="S25" i="6" s="1"/>
  <c r="G26" i="6" s="1"/>
  <c r="AH34" i="6"/>
  <c r="AG95" i="3"/>
  <c r="AH95" i="3" s="1"/>
  <c r="AI95" i="3" s="1"/>
  <c r="AC96" i="3" s="1"/>
  <c r="AD96" i="3" s="1"/>
  <c r="AF95" i="3"/>
  <c r="AI28" i="3"/>
  <c r="AC29" i="3" s="1"/>
  <c r="AD29" i="3" s="1"/>
  <c r="AJ28" i="3"/>
  <c r="AE29" i="3" s="1"/>
  <c r="AF29" i="3" s="1"/>
  <c r="AK61" i="3"/>
  <c r="AD61" i="3"/>
  <c r="AK28" i="4"/>
  <c r="AF28" i="4"/>
  <c r="AD97" i="4"/>
  <c r="AG97" i="4"/>
  <c r="AF61" i="4"/>
  <c r="AI60" i="4"/>
  <c r="AC61" i="4" s="1"/>
  <c r="AH28" i="4"/>
  <c r="AK95" i="3"/>
  <c r="AG61" i="3"/>
  <c r="AH61" i="3" s="1"/>
  <c r="G27" i="6" l="1"/>
  <c r="K8" i="6" s="1"/>
  <c r="K13" i="6" s="1"/>
  <c r="K26" i="6" s="1"/>
  <c r="K32" i="6"/>
  <c r="AJ34" i="6"/>
  <c r="AI34" i="6"/>
  <c r="AG29" i="3"/>
  <c r="AH29" i="3" s="1"/>
  <c r="AJ29" i="3" s="1"/>
  <c r="AE30" i="3" s="1"/>
  <c r="AK29" i="3"/>
  <c r="AJ28" i="4"/>
  <c r="AE29" i="4" s="1"/>
  <c r="AF29" i="4" s="1"/>
  <c r="AH97" i="4"/>
  <c r="AJ97" i="4" s="1"/>
  <c r="AE98" i="4" s="1"/>
  <c r="AD61" i="4"/>
  <c r="AG61" i="4"/>
  <c r="AK61" i="4"/>
  <c r="AI28" i="4"/>
  <c r="AC29" i="4" s="1"/>
  <c r="AJ95" i="3"/>
  <c r="AE96" i="3" s="1"/>
  <c r="AJ61" i="3"/>
  <c r="AE62" i="3" s="1"/>
  <c r="AF62" i="3" s="1"/>
  <c r="K31" i="6" l="1"/>
  <c r="K35" i="6" s="1"/>
  <c r="K39" i="6"/>
  <c r="K43" i="6" s="1"/>
  <c r="AO4" i="6"/>
  <c r="K27" i="6"/>
  <c r="AQ4" i="6"/>
  <c r="AS4" i="6"/>
  <c r="AI29" i="3"/>
  <c r="AC30" i="3" s="1"/>
  <c r="AD30" i="3" s="1"/>
  <c r="AG96" i="3"/>
  <c r="AH96" i="3" s="1"/>
  <c r="AI96" i="3" s="1"/>
  <c r="AC97" i="3" s="1"/>
  <c r="AD97" i="3" s="1"/>
  <c r="AF96" i="3"/>
  <c r="AF30" i="3"/>
  <c r="AK29" i="4"/>
  <c r="AF98" i="4"/>
  <c r="AI97" i="4"/>
  <c r="AC98" i="4" s="1"/>
  <c r="AH61" i="4"/>
  <c r="AJ61" i="4" s="1"/>
  <c r="AE62" i="4" s="1"/>
  <c r="AD29" i="4"/>
  <c r="AG29" i="4"/>
  <c r="AK96" i="3"/>
  <c r="AI61" i="3"/>
  <c r="AC62" i="3" s="1"/>
  <c r="AD62" i="3" s="1"/>
  <c r="AG30" i="3" l="1"/>
  <c r="AH30" i="3" s="1"/>
  <c r="AI30" i="3" s="1"/>
  <c r="AC31" i="3" s="1"/>
  <c r="AD31" i="3" s="1"/>
  <c r="AK30" i="3"/>
  <c r="AD98" i="4"/>
  <c r="AG98" i="4"/>
  <c r="AK98" i="4"/>
  <c r="AF62" i="4"/>
  <c r="AI61" i="4"/>
  <c r="AC62" i="4" s="1"/>
  <c r="AH29" i="4"/>
  <c r="AJ29" i="4" s="1"/>
  <c r="AE30" i="4" s="1"/>
  <c r="AJ96" i="3"/>
  <c r="AE97" i="3" s="1"/>
  <c r="AG62" i="3"/>
  <c r="AH62" i="3" s="1"/>
  <c r="AK62" i="3"/>
  <c r="AJ30" i="3" l="1"/>
  <c r="AE31" i="3" s="1"/>
  <c r="AF31" i="3" s="1"/>
  <c r="AG97" i="3"/>
  <c r="AH97" i="3" s="1"/>
  <c r="AI97" i="3" s="1"/>
  <c r="AC98" i="3" s="1"/>
  <c r="AD98" i="3" s="1"/>
  <c r="AF97" i="3"/>
  <c r="AH98" i="4"/>
  <c r="AJ98" i="4" s="1"/>
  <c r="AE99" i="4" s="1"/>
  <c r="AD62" i="4"/>
  <c r="AG62" i="4"/>
  <c r="AK62" i="4"/>
  <c r="AF30" i="4"/>
  <c r="AI29" i="4"/>
  <c r="AC30" i="4" s="1"/>
  <c r="AK97" i="3"/>
  <c r="AJ62" i="3"/>
  <c r="AE63" i="3" s="1"/>
  <c r="AF63" i="3" s="1"/>
  <c r="AG31" i="3" l="1"/>
  <c r="AH31" i="3" s="1"/>
  <c r="AI31" i="3" s="1"/>
  <c r="AC32" i="3" s="1"/>
  <c r="AD32" i="3" s="1"/>
  <c r="AK31" i="3"/>
  <c r="AF99" i="4"/>
  <c r="AI98" i="4"/>
  <c r="AC99" i="4" s="1"/>
  <c r="AK99" i="4" s="1"/>
  <c r="AH62" i="4"/>
  <c r="AJ62" i="4" s="1"/>
  <c r="AE63" i="4" s="1"/>
  <c r="AD30" i="4"/>
  <c r="AG30" i="4"/>
  <c r="AK30" i="4"/>
  <c r="AJ97" i="3"/>
  <c r="AE98" i="3" s="1"/>
  <c r="AI62" i="3"/>
  <c r="AC63" i="3" s="1"/>
  <c r="AJ31" i="3" l="1"/>
  <c r="AE32" i="3" s="1"/>
  <c r="AF32" i="3" s="1"/>
  <c r="AG98" i="3"/>
  <c r="AH98" i="3" s="1"/>
  <c r="AI98" i="3" s="1"/>
  <c r="AC99" i="3" s="1"/>
  <c r="AD99" i="3" s="1"/>
  <c r="AF98" i="3"/>
  <c r="AK63" i="3"/>
  <c r="AD63" i="3"/>
  <c r="AD99" i="4"/>
  <c r="AG99" i="4"/>
  <c r="AF63" i="4"/>
  <c r="AI62" i="4"/>
  <c r="AC63" i="4" s="1"/>
  <c r="AH30" i="4"/>
  <c r="AJ30" i="4" s="1"/>
  <c r="AE31" i="4" s="1"/>
  <c r="AK98" i="3"/>
  <c r="AG63" i="3"/>
  <c r="AH63" i="3" s="1"/>
  <c r="AG32" i="3" l="1"/>
  <c r="AH32" i="3" s="1"/>
  <c r="AJ32" i="3" s="1"/>
  <c r="AE33" i="3" s="1"/>
  <c r="AF33" i="3" s="1"/>
  <c r="AK32" i="3"/>
  <c r="AH99" i="4"/>
  <c r="AJ99" i="4" s="1"/>
  <c r="AE100" i="4" s="1"/>
  <c r="AD63" i="4"/>
  <c r="AG63" i="4"/>
  <c r="AK63" i="4"/>
  <c r="AF31" i="4"/>
  <c r="AI30" i="4"/>
  <c r="AC31" i="4" s="1"/>
  <c r="AK31" i="4" s="1"/>
  <c r="AJ98" i="3"/>
  <c r="AE99" i="3" s="1"/>
  <c r="AJ63" i="3"/>
  <c r="AE64" i="3" s="1"/>
  <c r="AF64" i="3" s="1"/>
  <c r="AI32" i="3" l="1"/>
  <c r="AC33" i="3" s="1"/>
  <c r="AD33" i="3" s="1"/>
  <c r="AK99" i="3"/>
  <c r="AF99" i="3"/>
  <c r="AF100" i="4"/>
  <c r="AI99" i="4"/>
  <c r="AC100" i="4" s="1"/>
  <c r="AH63" i="4"/>
  <c r="AJ63" i="4" s="1"/>
  <c r="AE64" i="4" s="1"/>
  <c r="AD31" i="4"/>
  <c r="AG31" i="4"/>
  <c r="AG99" i="3"/>
  <c r="AH99" i="3" s="1"/>
  <c r="AI63" i="3"/>
  <c r="AC64" i="3" s="1"/>
  <c r="AD64" i="3" s="1"/>
  <c r="AK33" i="3" l="1"/>
  <c r="AG33" i="3"/>
  <c r="AH33" i="3" s="1"/>
  <c r="AJ33" i="3" s="1"/>
  <c r="AE34" i="3" s="1"/>
  <c r="AF34" i="3" s="1"/>
  <c r="AD100" i="4"/>
  <c r="AG100" i="4"/>
  <c r="AK100" i="4"/>
  <c r="AF64" i="4"/>
  <c r="AI63" i="4"/>
  <c r="AC64" i="4" s="1"/>
  <c r="AH31" i="4"/>
  <c r="AJ31" i="4" s="1"/>
  <c r="AE32" i="4" s="1"/>
  <c r="AJ99" i="3"/>
  <c r="AE100" i="3" s="1"/>
  <c r="AF100" i="3" s="1"/>
  <c r="AI99" i="3"/>
  <c r="AC100" i="3" s="1"/>
  <c r="AD100" i="3" s="1"/>
  <c r="AG64" i="3"/>
  <c r="AK64" i="3"/>
  <c r="AH64" i="3" l="1"/>
  <c r="AJ64" i="3" s="1"/>
  <c r="AE65" i="3" s="1"/>
  <c r="AF65" i="3" s="1"/>
  <c r="AH100" i="4"/>
  <c r="AJ100" i="4" s="1"/>
  <c r="AE101" i="4" s="1"/>
  <c r="AD64" i="4"/>
  <c r="AG64" i="4"/>
  <c r="AK64" i="4"/>
  <c r="AF32" i="4"/>
  <c r="AI31" i="4"/>
  <c r="AC32" i="4" s="1"/>
  <c r="AK32" i="4" s="1"/>
  <c r="AG100" i="3"/>
  <c r="AH100" i="3" s="1"/>
  <c r="AK100" i="3"/>
  <c r="AI33" i="3"/>
  <c r="AC34" i="3" s="1"/>
  <c r="AD34" i="3" s="1"/>
  <c r="AI64" i="3" l="1"/>
  <c r="AC65" i="3" s="1"/>
  <c r="AK65" i="3" s="1"/>
  <c r="AF101" i="4"/>
  <c r="AI100" i="4"/>
  <c r="AC101" i="4" s="1"/>
  <c r="AK101" i="4" s="1"/>
  <c r="AH64" i="4"/>
  <c r="AJ64" i="4" s="1"/>
  <c r="AE65" i="4" s="1"/>
  <c r="AD32" i="4"/>
  <c r="AG32" i="4"/>
  <c r="AJ100" i="3"/>
  <c r="AE101" i="3" s="1"/>
  <c r="AF101" i="3" s="1"/>
  <c r="AG34" i="3"/>
  <c r="AK34" i="3"/>
  <c r="AG65" i="3" l="1"/>
  <c r="AH65" i="3" s="1"/>
  <c r="AJ65" i="3" s="1"/>
  <c r="AE66" i="3" s="1"/>
  <c r="AF66" i="3" s="1"/>
  <c r="AD65" i="3"/>
  <c r="S23" i="3"/>
  <c r="S24" i="3" s="1"/>
  <c r="AH34" i="3"/>
  <c r="AJ34" i="3" s="1"/>
  <c r="AD101" i="4"/>
  <c r="AG101" i="4"/>
  <c r="AF65" i="4"/>
  <c r="AI64" i="4"/>
  <c r="AC65" i="4" s="1"/>
  <c r="AH32" i="4"/>
  <c r="AJ32" i="4" s="1"/>
  <c r="AE33" i="4" s="1"/>
  <c r="AI100" i="3"/>
  <c r="AC101" i="3" s="1"/>
  <c r="G22" i="3" l="1"/>
  <c r="G23" i="3" s="1"/>
  <c r="AK101" i="3"/>
  <c r="AD101" i="3"/>
  <c r="AH101" i="4"/>
  <c r="AJ101" i="4" s="1"/>
  <c r="AE102" i="4" s="1"/>
  <c r="AD65" i="4"/>
  <c r="AG65" i="4"/>
  <c r="AK65" i="4"/>
  <c r="AF33" i="4"/>
  <c r="AI32" i="4"/>
  <c r="AC33" i="4" s="1"/>
  <c r="AK33" i="4" s="1"/>
  <c r="AG101" i="3"/>
  <c r="AH101" i="3" s="1"/>
  <c r="AI65" i="3"/>
  <c r="AC66" i="3" s="1"/>
  <c r="AI34" i="3"/>
  <c r="AK66" i="3" l="1"/>
  <c r="AD66" i="3"/>
  <c r="AF102" i="4"/>
  <c r="AI101" i="4"/>
  <c r="AC102" i="4" s="1"/>
  <c r="AK102" i="4" s="1"/>
  <c r="AH65" i="4"/>
  <c r="AJ65" i="4" s="1"/>
  <c r="AE66" i="4" s="1"/>
  <c r="AD33" i="4"/>
  <c r="AG33" i="4"/>
  <c r="AG66" i="3"/>
  <c r="AJ101" i="3"/>
  <c r="AE102" i="3" s="1"/>
  <c r="AF102" i="3" s="1"/>
  <c r="AH66" i="3" l="1"/>
  <c r="AJ66" i="3" s="1"/>
  <c r="AE67" i="3" s="1"/>
  <c r="AF67" i="3" s="1"/>
  <c r="AD102" i="4"/>
  <c r="AG102" i="4"/>
  <c r="AH102" i="4" s="1"/>
  <c r="AJ102" i="4" s="1"/>
  <c r="AE103" i="4" s="1"/>
  <c r="AF66" i="4"/>
  <c r="AI65" i="4"/>
  <c r="AC66" i="4" s="1"/>
  <c r="AH33" i="4"/>
  <c r="AJ33" i="4" s="1"/>
  <c r="AE34" i="4" s="1"/>
  <c r="AI101" i="3"/>
  <c r="AC102" i="3" s="1"/>
  <c r="AI66" i="3" l="1"/>
  <c r="AC67" i="3" s="1"/>
  <c r="AD67" i="3" s="1"/>
  <c r="AK102" i="3"/>
  <c r="AD102" i="3"/>
  <c r="AF103" i="4"/>
  <c r="AI102" i="4"/>
  <c r="AC103" i="4" s="1"/>
  <c r="AD66" i="4"/>
  <c r="AG66" i="4"/>
  <c r="AK66" i="4"/>
  <c r="AF34" i="4"/>
  <c r="AI33" i="4"/>
  <c r="AC34" i="4" s="1"/>
  <c r="AG102" i="3"/>
  <c r="AH102" i="3" s="1"/>
  <c r="AG67" i="3" l="1"/>
  <c r="AH67" i="3" s="1"/>
  <c r="AJ67" i="3" s="1"/>
  <c r="AE68" i="3" s="1"/>
  <c r="AF68" i="3" s="1"/>
  <c r="AK67" i="3"/>
  <c r="AD103" i="4"/>
  <c r="AG103" i="4"/>
  <c r="AK103" i="4"/>
  <c r="AH66" i="4"/>
  <c r="AJ66" i="4" s="1"/>
  <c r="AE67" i="4" s="1"/>
  <c r="AD34" i="4"/>
  <c r="AG34" i="4"/>
  <c r="S23" i="4" s="1"/>
  <c r="S24" i="4" s="1"/>
  <c r="G22" i="4" s="1"/>
  <c r="AK34" i="4"/>
  <c r="AJ102" i="3"/>
  <c r="AE103" i="3" s="1"/>
  <c r="AF103" i="3" s="1"/>
  <c r="AH103" i="4" l="1"/>
  <c r="AJ103" i="4" s="1"/>
  <c r="AE104" i="4" s="1"/>
  <c r="AF67" i="4"/>
  <c r="AI66" i="4"/>
  <c r="AC67" i="4" s="1"/>
  <c r="AH34" i="4"/>
  <c r="AJ34" i="4" s="1"/>
  <c r="G23" i="4"/>
  <c r="AI102" i="3"/>
  <c r="AC103" i="3" s="1"/>
  <c r="AD103" i="3" s="1"/>
  <c r="AI67" i="3"/>
  <c r="AC68" i="3" s="1"/>
  <c r="AD68" i="3" s="1"/>
  <c r="AF104" i="4" l="1"/>
  <c r="AI103" i="4"/>
  <c r="AC104" i="4" s="1"/>
  <c r="AD67" i="4"/>
  <c r="AG67" i="4"/>
  <c r="AK67" i="4"/>
  <c r="AI34" i="4"/>
  <c r="AG103" i="3"/>
  <c r="AH103" i="3" s="1"/>
  <c r="AK103" i="3"/>
  <c r="AG68" i="3"/>
  <c r="AH68" i="3" s="1"/>
  <c r="AK68" i="3"/>
  <c r="AD104" i="4" l="1"/>
  <c r="AG104" i="4"/>
  <c r="W23" i="4" s="1"/>
  <c r="W24" i="4" s="1"/>
  <c r="G33" i="4" s="1"/>
  <c r="AK104" i="4"/>
  <c r="AH67" i="4"/>
  <c r="AJ67" i="4" s="1"/>
  <c r="AE68" i="4" s="1"/>
  <c r="AJ103" i="3"/>
  <c r="AE104" i="3" s="1"/>
  <c r="AF104" i="3" s="1"/>
  <c r="AJ68" i="3"/>
  <c r="AE69" i="3" s="1"/>
  <c r="AF69" i="3" s="1"/>
  <c r="G34" i="4" l="1"/>
  <c r="AH104" i="4"/>
  <c r="AJ104" i="4" s="1"/>
  <c r="AF68" i="4"/>
  <c r="AI67" i="4"/>
  <c r="AC68" i="4" s="1"/>
  <c r="AI103" i="3"/>
  <c r="AC104" i="3" s="1"/>
  <c r="AI68" i="3"/>
  <c r="AC69" i="3" s="1"/>
  <c r="AD69" i="3" s="1"/>
  <c r="AK104" i="3" l="1"/>
  <c r="AD104" i="3"/>
  <c r="AI104" i="4"/>
  <c r="AD68" i="4"/>
  <c r="AG68" i="4"/>
  <c r="AK68" i="4"/>
  <c r="AG104" i="3"/>
  <c r="AH104" i="3" s="1"/>
  <c r="AG69" i="3"/>
  <c r="AK69" i="3"/>
  <c r="O24" i="3" l="1"/>
  <c r="O25" i="3" s="1"/>
  <c r="G17" i="3" s="1"/>
  <c r="AH69" i="3"/>
  <c r="AJ69" i="3" s="1"/>
  <c r="AH68" i="4"/>
  <c r="AJ68" i="4" s="1"/>
  <c r="AE69" i="4" s="1"/>
  <c r="AI104" i="3"/>
  <c r="W23" i="3"/>
  <c r="W24" i="3" s="1"/>
  <c r="G33" i="3" s="1"/>
  <c r="AJ104" i="3"/>
  <c r="G34" i="3" l="1"/>
  <c r="AF69" i="4"/>
  <c r="AI68" i="4"/>
  <c r="AC69" i="4" s="1"/>
  <c r="AI69" i="3"/>
  <c r="AD69" i="4" l="1"/>
  <c r="AG69" i="4"/>
  <c r="O24" i="4" s="1"/>
  <c r="O25" i="4" s="1"/>
  <c r="G17" i="4" s="1"/>
  <c r="AK69" i="4"/>
  <c r="G18" i="3"/>
  <c r="K9" i="3" l="1"/>
  <c r="K14" i="3" s="1"/>
  <c r="K32" i="3" s="1"/>
  <c r="K4" i="3"/>
  <c r="K16" i="3" s="1"/>
  <c r="AH69" i="4"/>
  <c r="AJ69" i="4" s="1"/>
  <c r="G18" i="4"/>
  <c r="K11" i="4" l="1"/>
  <c r="K17" i="4" s="1"/>
  <c r="K44" i="4" s="1"/>
  <c r="K6" i="4"/>
  <c r="K19" i="4" s="1"/>
  <c r="K5" i="3"/>
  <c r="K15" i="3" s="1"/>
  <c r="AI69" i="4"/>
  <c r="K40" i="3"/>
  <c r="K17" i="3" l="1"/>
  <c r="K33" i="3" s="1"/>
  <c r="K36" i="4"/>
  <c r="K7" i="4"/>
  <c r="K18" i="4" s="1"/>
  <c r="K20" i="4" l="1"/>
  <c r="K45" i="4" s="1"/>
  <c r="K41" i="3"/>
  <c r="K27" i="3"/>
  <c r="K44" i="3" l="1"/>
  <c r="K31" i="4"/>
  <c r="AQ4" i="3"/>
  <c r="AO4" i="3"/>
  <c r="AS4" i="3"/>
  <c r="K28" i="3"/>
  <c r="K37" i="4"/>
  <c r="K36" i="3" l="1"/>
  <c r="K40" i="4"/>
  <c r="AS4" i="4"/>
  <c r="AQ4" i="4"/>
  <c r="K32" i="4"/>
  <c r="K48" i="4" s="1"/>
  <c r="AO4" i="4"/>
</calcChain>
</file>

<file path=xl/sharedStrings.xml><?xml version="1.0" encoding="utf-8"?>
<sst xmlns="http://schemas.openxmlformats.org/spreadsheetml/2006/main" count="3065" uniqueCount="311">
  <si>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</si>
  <si>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</si>
  <si>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</si>
  <si>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</si>
  <si>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</si>
  <si>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</si>
  <si>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</si>
  <si>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</si>
  <si>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</si>
  <si>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</si>
  <si>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</si>
  <si>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</si>
  <si>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</si>
  <si>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</si>
  <si>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</si>
  <si>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</si>
  <si>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</si>
  <si>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</si>
  <si>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</si>
  <si>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</si>
  <si>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</si>
  <si>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</si>
  <si>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</si>
  <si>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</si>
  <si>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</si>
  <si>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</si>
  <si>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</si>
  <si>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</si>
  <si>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</si>
  <si>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</si>
  <si>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</si>
  <si>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</si>
  <si>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</si>
  <si>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</si>
  <si>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</si>
  <si>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</si>
  <si>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</si>
  <si>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</si>
  <si>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</si>
  <si>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</si>
  <si>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</si>
  <si>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</si>
  <si>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</si>
  <si>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</si>
  <si>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</si>
  <si>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</si>
  <si>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</si>
  <si>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</si>
  <si>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</si>
  <si>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</si>
  <si>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</si>
  <si>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</si>
  <si>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</si>
  <si>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</si>
  <si>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</si>
  <si>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</si>
  <si>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</si>
  <si>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</si>
  <si>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</si>
  <si>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</si>
  <si>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</si>
  <si>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</si>
  <si>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</si>
  <si>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</si>
  <si>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</si>
  <si>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</si>
  <si>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</si>
  <si>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</si>
  <si>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</si>
  <si>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</si>
  <si>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</si>
  <si>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</si>
  <si>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</si>
  <si>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</si>
  <si>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</si>
  <si>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</si>
  <si>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</si>
  <si>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</si>
  <si>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</si>
  <si>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</si>
  <si>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</si>
  <si>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</si>
  <si>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</si>
  <si>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</si>
  <si>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</si>
  <si>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</si>
  <si>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</si>
  <si>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</si>
  <si>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</si>
  <si>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</si>
  <si>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</si>
  <si>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</si>
  <si>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</si>
  <si>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</si>
  <si>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</si>
  <si>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</si>
  <si>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</si>
  <si>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</si>
  <si>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</si>
  <si>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</si>
  <si>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</si>
  <si>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</si>
  <si>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</si>
  <si>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</si>
  <si>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</si>
  <si>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</si>
  <si>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</si>
  <si>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</si>
  <si>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</si>
  <si>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</si>
  <si>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</si>
  <si>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</si>
  <si>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</si>
  <si>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</si>
  <si>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</si>
  <si>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</si>
  <si>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</si>
  <si>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</si>
  <si>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</si>
  <si>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</si>
  <si>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</si>
  <si>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</si>
  <si>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</si>
  <si>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</si>
  <si>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</si>
  <si>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</si>
  <si>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</si>
  <si>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</si>
  <si>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</si>
  <si>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</si>
  <si>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</si>
  <si>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</si>
  <si>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</si>
  <si>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</si>
  <si>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</si>
  <si>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</si>
  <si>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</si>
  <si>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</si>
  <si>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</si>
  <si>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</si>
  <si>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</si>
  <si>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</si>
  <si>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</si>
  <si>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</si>
  <si>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</si>
  <si>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</si>
  <si>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</si>
  <si>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</si>
  <si>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</si>
  <si>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</si>
  <si>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</si>
  <si>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</si>
  <si>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</si>
  <si>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</si>
  <si>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</si>
  <si>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</si>
  <si>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</si>
  <si>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</si>
  <si>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</si>
  <si>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</si>
  <si>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</si>
  <si>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</si>
  <si>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</si>
  <si>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</si>
  <si>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</si>
  <si>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</si>
  <si>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</si>
  <si>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</si>
  <si>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</si>
  <si>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</si>
  <si>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</si>
  <si>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</si>
  <si>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Horizontal tail parameters</t>
  </si>
  <si>
    <t>htail_AR</t>
  </si>
  <si>
    <t>t_rh</t>
  </si>
  <si>
    <t>htail_S</t>
  </si>
  <si>
    <t>Vertical tail parameters</t>
  </si>
  <si>
    <t>vtail_AR</t>
  </si>
  <si>
    <t>vtail_S</t>
  </si>
  <si>
    <t>t_rv</t>
  </si>
  <si>
    <t>quarter_chord_sweep</t>
  </si>
  <si>
    <t>Wing parameters</t>
  </si>
  <si>
    <t>N_blade_lift_rotor</t>
  </si>
  <si>
    <t>N_blade_propeller</t>
  </si>
  <si>
    <t>Rotor parameters</t>
  </si>
  <si>
    <t>k_prop</t>
  </si>
  <si>
    <t>Initial</t>
  </si>
  <si>
    <t>Optimal</t>
  </si>
  <si>
    <t>Weight breakdown</t>
  </si>
  <si>
    <t>Optimal weights</t>
  </si>
  <si>
    <t>Initial weights</t>
  </si>
  <si>
    <t>N_blade_rotor</t>
  </si>
  <si>
    <t>W_booms</t>
  </si>
  <si>
    <t>silva</t>
  </si>
  <si>
    <t>kadhiresan</t>
  </si>
  <si>
    <t>f/(W/1000)^2/3</t>
  </si>
  <si>
    <t>Weight by subsystems</t>
  </si>
  <si>
    <t>f_e_rotor_hubs</t>
  </si>
  <si>
    <t>m2</t>
  </si>
  <si>
    <t>CD0_hubs</t>
  </si>
  <si>
    <t>CD0_total</t>
  </si>
  <si>
    <t>CD0_non_hubs</t>
  </si>
  <si>
    <t>type</t>
  </si>
  <si>
    <t>wheeled</t>
  </si>
  <si>
    <t>f_LG</t>
  </si>
  <si>
    <t>eVTOL design parameters</t>
  </si>
  <si>
    <t>c_lift_rotor</t>
  </si>
  <si>
    <t>c_propeller</t>
  </si>
  <si>
    <t>Propeller|J</t>
  </si>
  <si>
    <t>lift_rotor_solidity</t>
  </si>
  <si>
    <t>lift_rotor_hover_FM</t>
  </si>
  <si>
    <t>lift_rotor_FM</t>
  </si>
  <si>
    <t>Propeller parameters</t>
  </si>
  <si>
    <t>propeller_FM</t>
  </si>
  <si>
    <t>rotor_tip_speed</t>
  </si>
  <si>
    <t>M</t>
  </si>
  <si>
    <t>sound_speed</t>
  </si>
  <si>
    <t>rotor_tip_speed_Mach</t>
  </si>
  <si>
    <t>RPM</t>
  </si>
  <si>
    <t>RPM_hover_lift_rotor</t>
  </si>
  <si>
    <t>prop_tip_speed</t>
  </si>
  <si>
    <t>prop_tip_speed_Mach</t>
  </si>
  <si>
    <t>tilting_rotor</t>
  </si>
  <si>
    <t>f_tilt</t>
  </si>
  <si>
    <t>blade_flap_natural_freq</t>
  </si>
  <si>
    <t>hub_flap_natural_freq</t>
  </si>
  <si>
    <t>/rev</t>
  </si>
  <si>
    <t>W_blades</t>
  </si>
  <si>
    <t>W_hubs</t>
  </si>
  <si>
    <t>W_rotors_and_hubs</t>
  </si>
  <si>
    <t>W_extra_hubs</t>
  </si>
  <si>
    <t>[case]</t>
  </si>
  <si>
    <t>[Precalculated properties]</t>
  </si>
  <si>
    <t>[Sectional forces]</t>
  </si>
  <si>
    <t>[Iterations to determine phi per airfoil section]</t>
  </si>
  <si>
    <t>[Bisection method for inflow angle at section 1]</t>
  </si>
  <si>
    <t>[Bisection method for inflow angle at section 2]</t>
  </si>
  <si>
    <t>Airfoil</t>
  </si>
  <si>
    <t>clarky-il</t>
  </si>
  <si>
    <t>v_inf</t>
  </si>
  <si>
    <t>blade_radius</t>
  </si>
  <si>
    <t>Section 1</t>
  </si>
  <si>
    <t>Section 2</t>
  </si>
  <si>
    <t>Region 1</t>
  </si>
  <si>
    <t>Region 2</t>
  </si>
  <si>
    <t>Region 3</t>
  </si>
  <si>
    <t>rpm</t>
  </si>
  <si>
    <t>area</t>
  </si>
  <si>
    <t>width</t>
  </si>
  <si>
    <t>phi</t>
  </si>
  <si>
    <t>rad</t>
  </si>
  <si>
    <t>Range</t>
  </si>
  <si>
    <t>global_twist</t>
  </si>
  <si>
    <t>v</t>
  </si>
  <si>
    <t>pitch</t>
  </si>
  <si>
    <t>Cl=f(alpha)</t>
  </si>
  <si>
    <t>n</t>
  </si>
  <si>
    <t>rev/s</t>
  </si>
  <si>
    <t>vp</t>
  </si>
  <si>
    <t>Cd=f(alpha)</t>
  </si>
  <si>
    <t>[rotor]</t>
  </si>
  <si>
    <t>J</t>
  </si>
  <si>
    <t>U</t>
  </si>
  <si>
    <t>alpha_deg</t>
  </si>
  <si>
    <t>nblades</t>
  </si>
  <si>
    <t>Re</t>
  </si>
  <si>
    <t>sigma</t>
  </si>
  <si>
    <t>diameter</t>
  </si>
  <si>
    <t>[Main results]</t>
  </si>
  <si>
    <t>dT</t>
  </si>
  <si>
    <t>Ftip</t>
  </si>
  <si>
    <t>radius_hub</t>
  </si>
  <si>
    <t>Thrust</t>
  </si>
  <si>
    <t>dQ</t>
  </si>
  <si>
    <t>Nm</t>
  </si>
  <si>
    <t>Fhub</t>
  </si>
  <si>
    <t>sections</t>
  </si>
  <si>
    <t>CLARKY</t>
  </si>
  <si>
    <t>Torque</t>
  </si>
  <si>
    <t>F</t>
  </si>
  <si>
    <t>Power</t>
  </si>
  <si>
    <t>Section 3</t>
  </si>
  <si>
    <t>Section 4</t>
  </si>
  <si>
    <t>Cl</t>
  </si>
  <si>
    <t>Cd</t>
  </si>
  <si>
    <t>[Performance summary]</t>
  </si>
  <si>
    <t>CT</t>
  </si>
  <si>
    <t>Ideal Power</t>
  </si>
  <si>
    <t>CQ</t>
  </si>
  <si>
    <t>Figure of Merit</t>
  </si>
  <si>
    <t>kappap</t>
  </si>
  <si>
    <t>radii</t>
  </si>
  <si>
    <t>CP</t>
  </si>
  <si>
    <t>ap</t>
  </si>
  <si>
    <t>eta</t>
  </si>
  <si>
    <t>residual</t>
  </si>
  <si>
    <t>Section 5</t>
  </si>
  <si>
    <t>Section 6</t>
  </si>
  <si>
    <t>[Convergence]</t>
  </si>
  <si>
    <t>residuals</t>
  </si>
  <si>
    <t>chords</t>
  </si>
  <si>
    <t>is_converged</t>
  </si>
  <si>
    <t>Section 7</t>
  </si>
  <si>
    <t>alphas</t>
  </si>
  <si>
    <t>[Bisection method for inflow angle at section 3]</t>
  </si>
  <si>
    <t>[Bisection method for inflow angle at section 4]</t>
  </si>
  <si>
    <t>[fluid]</t>
  </si>
  <si>
    <t>Pa s</t>
  </si>
  <si>
    <t>[Bisection method for inflow angle at section 5]</t>
  </si>
  <si>
    <t>[Bisection method for inflow angle at section 6]</t>
  </si>
  <si>
    <t>[Bisection method for inflow angle at section 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</si>
</sst>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4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5D-014F-88D9-2076AFF020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5D-014F-88D9-2076AFF020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5D-014F-88D9-2076AFF020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5D-014F-88D9-2076AFF020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5D-014F-88D9-2076AFF020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multirotor_aerofidelity1!$J$38:$J$42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multirotor_aerofidelity1!$K$38:$K$42</c:f>
              <c:numCache>
                <c:formatCode>General</c:formatCode>
                <c:ptCount val="5"/>
                <c:pt idx="0">
                  <c:v>35.65</c:v>
                </c:pt>
                <c:pt idx="1">
                  <c:v>36.42</c:v>
                </c:pt>
                <c:pt idx="2">
                  <c:v>11.69</c:v>
                </c:pt>
                <c:pt idx="3">
                  <c:v>11.57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5D-014F-88D9-2076AFF020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F8-F54A-8D5B-8517CBB1AA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F8-F54A-8D5B-8517CBB1AA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F8-F54A-8D5B-8517CBB1AAE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CF8-F54A-8D5B-8517CBB1AAE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CF8-F54A-8D5B-8517CBB1AA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'multirotor_aerofidelity1 (2)'!$J$39:$J$43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'multirotor_aerofidelity1 (2)'!$K$39:$K$43</c:f>
              <c:numCache>
                <c:formatCode>General</c:formatCode>
                <c:ptCount val="5"/>
                <c:pt idx="0">
                  <c:v>31.1</c:v>
                </c:pt>
                <c:pt idx="1">
                  <c:v>36</c:v>
                </c:pt>
                <c:pt idx="2">
                  <c:v>17.41</c:v>
                </c:pt>
                <c:pt idx="3">
                  <c:v>10.79</c:v>
                </c:pt>
                <c:pt idx="4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CF8-F54A-8D5B-8517CBB1AAE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C6-2747-8C3C-2AAD4880E51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1C6-2747-8C3C-2AAD4880E51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1C6-2747-8C3C-2AAD4880E51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1C6-2747-8C3C-2AAD4880E51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1C6-2747-8C3C-2AAD4880E5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'multirotor_aerofidelity1 (2)'!$J$31:$J$35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'multirotor_aerofidelity1 (2)'!$K$31:$K$35</c:f>
              <c:numCache>
                <c:formatCode>General</c:formatCode>
                <c:ptCount val="5"/>
                <c:pt idx="0">
                  <c:v>400</c:v>
                </c:pt>
                <c:pt idx="1">
                  <c:v>462.93</c:v>
                </c:pt>
                <c:pt idx="2">
                  <c:v>223.87</c:v>
                </c:pt>
                <c:pt idx="3">
                  <c:v>138.81</c:v>
                </c:pt>
                <c:pt idx="4">
                  <c:v>60.42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C6-2747-8C3C-2AAD4880E51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27-1341-B8D5-6C6E74D4F4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27-1341-B8D5-6C6E74D4F4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27-1341-B8D5-6C6E74D4F4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27-1341-B8D5-6C6E74D4F4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27-1341-B8D5-6C6E74D4F4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'lift+cruise_aerofidelity1'!$K$43:$K$47</c:f>
              <c:numCache>
                <c:formatCode>General</c:formatCode>
                <c:ptCount val="5"/>
                <c:pt idx="0">
                  <c:v>400</c:v>
                </c:pt>
                <c:pt idx="1">
                  <c:v>238.53</c:v>
                </c:pt>
                <c:pt idx="2">
                  <c:v>169.56</c:v>
                </c:pt>
                <c:pt idx="3">
                  <c:v>348.44</c:v>
                </c:pt>
                <c:pt idx="4">
                  <c:v>56.92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27-1341-B8D5-6C6E74D4F4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C0-A945-8913-3A4E0E513D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C0-A945-8913-3A4E0E513D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C0-A945-8913-3A4E0E513D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C0-A945-8913-3A4E0E513D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2C0-A945-8913-3A4E0E513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'lift+cruise_aerofidelity1'!$K$35:$K$39</c:f>
              <c:numCache>
                <c:formatCode>General</c:formatCode>
                <c:ptCount val="5"/>
                <c:pt idx="0">
                  <c:v>32.96</c:v>
                </c:pt>
                <c:pt idx="1">
                  <c:v>19.66</c:v>
                </c:pt>
                <c:pt idx="2">
                  <c:v>13.97</c:v>
                </c:pt>
                <c:pt idx="3">
                  <c:v>28.71</c:v>
                </c:pt>
                <c:pt idx="4">
                  <c:v>4.6900000000000004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C0-A945-8913-3A4E0E513D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19-A54E-A24E-0F792A6872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19-A54E-A24E-0F792A6872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19-A54E-A24E-0F792A6872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19-A54E-A24E-0F792A6872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919-A54E-A24E-0F792A6872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 (2)'!$J$43:$J$47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 (2)'!$K$43:$K$47</c:f>
              <c:numCache>
                <c:formatCode>General</c:formatCode>
                <c:ptCount val="5"/>
                <c:pt idx="0">
                  <c:v>400</c:v>
                </c:pt>
                <c:pt idx="1">
                  <c:v>259.02</c:v>
                </c:pt>
                <c:pt idx="2">
                  <c:v>246.52</c:v>
                </c:pt>
                <c:pt idx="3">
                  <c:v>361.67</c:v>
                </c:pt>
                <c:pt idx="4">
                  <c:v>62.53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919-A54E-A24E-0F792A6872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094-514E-9DA7-40655EB2CA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094-514E-9DA7-40655EB2CA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094-514E-9DA7-40655EB2CA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094-514E-9DA7-40655EB2CA8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094-514E-9DA7-40655EB2CA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'lift+cruise_aerofidelity1 (2)'!$J$35:$J$39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'lift+cruise_aerofidelity1 (2)'!$K$35:$K$39</c:f>
              <c:numCache>
                <c:formatCode>General</c:formatCode>
                <c:ptCount val="5"/>
                <c:pt idx="0">
                  <c:v>30.08</c:v>
                </c:pt>
                <c:pt idx="1">
                  <c:v>19.48</c:v>
                </c:pt>
                <c:pt idx="2">
                  <c:v>18.54</c:v>
                </c:pt>
                <c:pt idx="3">
                  <c:v>27.2</c:v>
                </c:pt>
                <c:pt idx="4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094-514E-9DA7-40655EB2CA8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multirotor_aerofidelity0!$K$39:$K$43</c:f>
              <c:numCache>
                <c:formatCode>General</c:formatCode>
                <c:ptCount val="5"/>
                <c:pt idx="0">
                  <c:v>48.94</c:v>
                </c:pt>
                <c:pt idx="1">
                  <c:v>13.57</c:v>
                </c:pt>
                <c:pt idx="2">
                  <c:v>20.3</c:v>
                </c:pt>
                <c:pt idx="3">
                  <c:v>12.53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F54-B949-A059-A09FED0D59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54-B949-A059-A09FED0D59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F54-B949-A059-A09FED0D59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54-B949-A059-A09FED0D59C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F54-B949-A059-A09FED0D5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'lift+cruise_aerofidelity0'!$J$43:$J$47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'lift+cruise_aerofidelity0'!$K$43:$K$47</c:f>
              <c:numCache>
                <c:formatCode>General</c:formatCode>
                <c:ptCount val="5"/>
                <c:pt idx="0">
                  <c:v>400</c:v>
                </c:pt>
                <c:pt idx="1">
                  <c:v>50.5</c:v>
                </c:pt>
                <c:pt idx="2">
                  <c:v>115.8</c:v>
                </c:pt>
                <c:pt idx="3">
                  <c:v>288.94</c:v>
                </c:pt>
                <c:pt idx="4">
                  <c:v>42.44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F54-B949-A059-A09FED0D59C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F16-EB47-9D7E-995E1E547D7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16-EB47-9D7E-995E1E547D7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F16-EB47-9D7E-995E1E547D7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5F16-EB47-9D7E-995E1E547D7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5F16-EB47-9D7E-995E1E547D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'lift+cruise_aerofidelity0'!$J$35:$J$39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'lift+cruise_aerofidelity0'!$K$35:$K$39</c:f>
              <c:numCache>
                <c:formatCode>General</c:formatCode>
                <c:ptCount val="5"/>
                <c:pt idx="0">
                  <c:v>44.03</c:v>
                </c:pt>
                <c:pt idx="1">
                  <c:v>5.56</c:v>
                </c:pt>
                <c:pt idx="2">
                  <c:v>12.75</c:v>
                </c:pt>
                <c:pt idx="3">
                  <c:v>32.99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16-EB47-9D7E-995E1E547D7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C8-D841-920A-DC59971DC95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C8-D841-920A-DC59971DC95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C8-D841-920A-DC59971DC95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C8-D841-920A-DC59971DC95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C8-D841-920A-DC59971DC95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multirotor_aerofidelity1_bemt!$J$39:$J$43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multirotor_aerofidelity1_bemt!$K$39:$K$43</c:f>
              <c:numCache>
                <c:formatCode>General</c:formatCode>
                <c:ptCount val="5"/>
                <c:pt idx="0">
                  <c:v>31.1</c:v>
                </c:pt>
                <c:pt idx="1">
                  <c:v>36</c:v>
                </c:pt>
                <c:pt idx="2">
                  <c:v>17.41</c:v>
                </c:pt>
                <c:pt idx="3">
                  <c:v>10.79</c:v>
                </c:pt>
                <c:pt idx="4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DC8-D841-920A-DC59971DC95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6A5-B347-89CE-5C0D51C4FD6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A5-B347-89CE-5C0D51C4FD6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A5-B347-89CE-5C0D51C4FD6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6A5-B347-89CE-5C0D51C4FD6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6A5-B347-89CE-5C0D51C4FD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multirotor_aerofidelity1_bemt!$J$31:$J$35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multirotor_aerofidelity1_bemt!$K$31:$K$35</c:f>
              <c:numCache>
                <c:formatCode>General</c:formatCode>
                <c:ptCount val="5"/>
                <c:pt idx="0">
                  <c:v>400</c:v>
                </c:pt>
                <c:pt idx="1">
                  <c:v>462.93</c:v>
                </c:pt>
                <c:pt idx="2">
                  <c:v>223.87</c:v>
                </c:pt>
                <c:pt idx="3">
                  <c:v>138.81</c:v>
                </c:pt>
                <c:pt idx="4">
                  <c:v>60.42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A5-B347-89CE-5C0D51C4FD6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4F577-B9C5-CF47-A5BC-B0AB668D2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60292</xdr:colOff>
      <xdr:row>43</xdr:row>
      <xdr:rowOff>115454</xdr:rowOff>
    </xdr:from>
    <xdr:to>
      <xdr:col>17</xdr:col>
      <xdr:colOff>433211</xdr:colOff>
      <xdr:row>55</xdr:row>
      <xdr:rowOff>88002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347620-E327-AA4D-8CD7-DD4A0DA1E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76969</xdr:colOff>
      <xdr:row>30</xdr:row>
      <xdr:rowOff>51313</xdr:rowOff>
    </xdr:from>
    <xdr:to>
      <xdr:col>17</xdr:col>
      <xdr:colOff>397036</xdr:colOff>
      <xdr:row>41</xdr:row>
      <xdr:rowOff>144446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A80435-5E36-C849-9100-F88FF1D44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358421</xdr:colOff>
      <xdr:row>33</xdr:row>
      <xdr:rowOff>182034</xdr:rowOff>
    </xdr:from>
    <xdr:to>
      <xdr:col>17</xdr:col>
      <xdr:colOff>224366</xdr:colOff>
      <xdr:row>45</xdr:row>
      <xdr:rowOff>162278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4BEC7-7CE3-E946-8E51-4A945783D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375355</xdr:colOff>
      <xdr:row>47</xdr:row>
      <xdr:rowOff>84668</xdr:rowOff>
    </xdr:from>
    <xdr:to>
      <xdr:col>17</xdr:col>
      <xdr:colOff>241300</xdr:colOff>
      <xdr:row>59</xdr:row>
      <xdr:rowOff>64912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42642-9F27-1E4E-ABDB-16BC76FBE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358421</xdr:colOff>
      <xdr:row>33</xdr:row>
      <xdr:rowOff>182034</xdr:rowOff>
    </xdr:from>
    <xdr:to>
      <xdr:col>17</xdr:col>
      <xdr:colOff>224366</xdr:colOff>
      <xdr:row>45</xdr:row>
      <xdr:rowOff>162278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11056-D9E7-9143-BDA0-21051A1CC6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375355</xdr:colOff>
      <xdr:row>47</xdr:row>
      <xdr:rowOff>84668</xdr:rowOff>
    </xdr:from>
    <xdr:to>
      <xdr:col>17</xdr:col>
      <xdr:colOff>241300</xdr:colOff>
      <xdr:row>59</xdr:row>
      <xdr:rowOff>64912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DF5773-1B81-DB47-A3EA-090D6D80AE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43</xdr:row>
      <xdr:rowOff>12700</xdr:rowOff>
    </xdr:from>
    <xdr:to>
      <xdr:col>17</xdr:col>
      <xdr:colOff>393700</xdr:colOff>
      <xdr:row>54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2E8ED7-F4CC-3D4D-AAF3-D2DD76682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30</xdr:row>
      <xdr:rowOff>0</xdr:rowOff>
    </xdr:from>
    <xdr:to>
      <xdr:col>17</xdr:col>
      <xdr:colOff>368300</xdr:colOff>
      <xdr:row>41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33F081-6B24-2547-8FAB-2B233CB459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60292</xdr:colOff>
      <xdr:row>43</xdr:row>
      <xdr:rowOff>115454</xdr:rowOff>
    </xdr:from>
    <xdr:to>
      <xdr:col>17</xdr:col>
      <xdr:colOff>433211</xdr:colOff>
      <xdr:row>55</xdr:row>
      <xdr:rowOff>88002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9B272-495C-584B-9385-72EE03F97E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76969</xdr:colOff>
      <xdr:row>30</xdr:row>
      <xdr:rowOff>51313</xdr:rowOff>
    </xdr:from>
    <xdr:to>
      <xdr:col>17</xdr:col>
      <xdr:colOff>397036</xdr:colOff>
      <xdr:row>41</xdr:row>
      <xdr:rowOff>144446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123E1-F43F-4C41-963D-EE46FFD80C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B79C-1BC3-3C43-BDF1-7040343899A3}">
  <dimension ref="B1:AV104"/>
  <sheetViews>
    <sheetView zoomScale="99" workbookViewId="0">
      <selection activeCell="U33" sqref="U33:W35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3.832031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3.83203125" style="20" customWidth="1"/>
    <col min="19" max="19" width="10.83203125" style="20"/>
    <col min="20" max="20" width="6.33203125" style="20" customWidth="1"/>
    <col min="21" max="21" width="6.1640625" style="20" customWidth="1"/>
    <col min="22" max="22" width="13.8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65" t="s">
        <v>0</v>
      </c>
      <c r="C1" s="65"/>
      <c r="D1" s="65"/>
    </row>
    <row r="2" spans="2:48" x14ac:dyDescent="0.2">
      <c r="AB2" s="32" t="s">
        <v>141</v>
      </c>
      <c r="AM2" s="32" t="s">
        <v>104</v>
      </c>
    </row>
    <row r="3" spans="2:48" x14ac:dyDescent="0.2">
      <c r="B3" s="59" t="s">
        <v>205</v>
      </c>
      <c r="C3" s="60"/>
      <c r="D3" s="60"/>
      <c r="F3" s="59" t="s">
        <v>110</v>
      </c>
      <c r="G3" s="60"/>
      <c r="H3" s="60"/>
      <c r="J3" s="58" t="s">
        <v>157</v>
      </c>
      <c r="K3" s="58"/>
      <c r="L3" s="58"/>
      <c r="N3" s="58" t="s">
        <v>136</v>
      </c>
      <c r="O3" s="58"/>
      <c r="P3" s="58"/>
      <c r="R3" s="58" t="s">
        <v>134</v>
      </c>
      <c r="S3" s="58"/>
      <c r="T3" s="58"/>
      <c r="V3" s="58" t="s">
        <v>148</v>
      </c>
      <c r="W3" s="58"/>
      <c r="X3" s="58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8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MAX(G6,G20,G40,G48)</f>
        <v>204.50183309774954</v>
      </c>
      <c r="L4" s="20" t="s">
        <v>162</v>
      </c>
      <c r="N4" s="20" t="s">
        <v>37</v>
      </c>
      <c r="O4" s="20">
        <f xml:space="preserve"> 0.5 * $C$44 * $G$13^2</f>
        <v>1531.25</v>
      </c>
      <c r="P4" s="20" t="s">
        <v>38</v>
      </c>
      <c r="R4" s="20" t="s">
        <v>37</v>
      </c>
      <c r="S4" s="20">
        <f xml:space="preserve"> 0.5 * $C$44 * $C$8^2</f>
        <v>1531.25</v>
      </c>
      <c r="T4" s="20" t="s">
        <v>38</v>
      </c>
      <c r="V4" s="20" t="s">
        <v>37</v>
      </c>
      <c r="W4" s="20">
        <f xml:space="preserve"> 0.5 * $C$44 * $G$33^2</f>
        <v>1531.25</v>
      </c>
      <c r="X4" s="20" t="s">
        <v>38</v>
      </c>
      <c r="AB4" s="8">
        <v>0</v>
      </c>
      <c r="AC4" s="9">
        <v>0</v>
      </c>
      <c r="AD4" s="8">
        <f t="shared" ref="AD4:AD34" si="0" xml:space="preserve"> $C$10 * TAN($S$18/180*PI()) + $S$21 / (2 * SQRT($C$10^2 + AC4^2)) - AC4</f>
        <v>3.547842482211544E-2</v>
      </c>
      <c r="AE4" s="9">
        <v>1</v>
      </c>
      <c r="AF4" s="8">
        <f t="shared" ref="AF4:AF34" si="1" xml:space="preserve"> $C$10 * TAN($S$18/180*PI()) + $S$21 / (2 * SQRT($C$10^2 + AE4^2)) - AE4</f>
        <v>-0.97816725142429084</v>
      </c>
      <c r="AG4" s="8">
        <f xml:space="preserve"> (AC4 + AE4)/2</f>
        <v>0.5</v>
      </c>
      <c r="AH4" s="8">
        <f t="shared" ref="AH4:AH34" si="2" xml:space="preserve"> $C$10 * TAN($S$18/180*PI()) + $S$21 / (2 * SQRT($C$10^2 + AG4^2)) - AG4</f>
        <v>-0.47381788343757025</v>
      </c>
      <c r="AI4" s="8">
        <f>AD4*AH4</f>
        <v>-1.6810312156913691E-2</v>
      </c>
      <c r="AJ4" s="8">
        <f>AF4*AH4</f>
        <v>0.4634731367178031</v>
      </c>
      <c r="AK4" s="8">
        <f>AE4-AC4</f>
        <v>1</v>
      </c>
      <c r="AM4" s="8">
        <v>0</v>
      </c>
      <c r="AN4" s="8"/>
      <c r="AO4" s="8">
        <f>K26</f>
        <v>-8.992628863779828E-11</v>
      </c>
      <c r="AP4" s="8"/>
      <c r="AQ4" s="8">
        <f>K26</f>
        <v>-8.992628863779828E-11</v>
      </c>
      <c r="AR4" s="8"/>
      <c r="AS4" s="8">
        <f>K26</f>
        <v>-8.992628863779828E-11</v>
      </c>
      <c r="AT4" s="8"/>
      <c r="AU4" s="8"/>
      <c r="AV4" s="8"/>
    </row>
    <row r="5" spans="2:48" x14ac:dyDescent="0.2">
      <c r="B5" s="26" t="s">
        <v>54</v>
      </c>
      <c r="C5" s="26">
        <f>AR44</f>
        <v>1122.1386168344907</v>
      </c>
      <c r="D5" s="26" t="s">
        <v>12</v>
      </c>
      <c r="F5" t="s">
        <v>119</v>
      </c>
      <c r="G5" s="1">
        <v>152.4</v>
      </c>
      <c r="H5" t="s">
        <v>14</v>
      </c>
      <c r="J5" t="s">
        <v>159</v>
      </c>
      <c r="K5" s="20">
        <f>K4/$C$17</f>
        <v>51.125458274437385</v>
      </c>
      <c r="L5" s="20" t="s">
        <v>162</v>
      </c>
      <c r="N5" s="20" t="s">
        <v>197</v>
      </c>
      <c r="O5" s="20">
        <f xml:space="preserve"> 0.85 * ($C$5 *2.20462/1000)^(2/3) * 0.3048^2</f>
        <v>0.14444494632997984</v>
      </c>
      <c r="P5" s="20" t="s">
        <v>198</v>
      </c>
      <c r="R5" s="20" t="s">
        <v>197</v>
      </c>
      <c r="S5" s="20">
        <f xml:space="preserve"> 0.85 * ($C$5 *2.20462/1000)^(2/3) * 0.3048^2</f>
        <v>0.14444494632997984</v>
      </c>
      <c r="T5" s="20" t="s">
        <v>198</v>
      </c>
      <c r="V5" s="20" t="s">
        <v>197</v>
      </c>
      <c r="W5" s="20">
        <f xml:space="preserve"> 0.85 * ($C$5 *2.20462/1000)^(2/3) * 0.3048^2</f>
        <v>0.14444494632997984</v>
      </c>
      <c r="X5" s="20" t="s">
        <v>198</v>
      </c>
      <c r="AB5" s="8">
        <v>1</v>
      </c>
      <c r="AC5" s="8">
        <f>IF(AI4&gt;0, AG4, AC4)</f>
        <v>0</v>
      </c>
      <c r="AD5" s="8">
        <f t="shared" si="0"/>
        <v>3.547842482211544E-2</v>
      </c>
      <c r="AE5" s="8">
        <f>IF(AJ4&gt;0, AG4, AE4)</f>
        <v>0.5</v>
      </c>
      <c r="AF5" s="8">
        <f t="shared" si="1"/>
        <v>-0.47381788343757025</v>
      </c>
      <c r="AG5" s="8">
        <f t="shared" ref="AG5:AG34" si="3" xml:space="preserve"> (AC5 + AE5)/2</f>
        <v>0.25</v>
      </c>
      <c r="AH5" s="8">
        <f t="shared" si="2"/>
        <v>-0.21895961347927093</v>
      </c>
      <c r="AI5" s="8">
        <f t="shared" ref="AI5:AI34" si="4">AD5*AH5</f>
        <v>-7.7683421859037682E-3</v>
      </c>
      <c r="AJ5" s="8">
        <f t="shared" ref="AJ5:AJ34" si="5">AF5*AH5</f>
        <v>0.10374698061705663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5"/>
        <v>-337.46631288124553</v>
      </c>
      <c r="AP5" s="9">
        <v>2500</v>
      </c>
      <c r="AQ5" s="8">
        <f t="dataTable" ref="AQ5:AQ44" dt2D="0" dtr="0" r1="C5" ca="1"/>
        <v>307.1956733562954</v>
      </c>
      <c r="AR5" s="8">
        <f>(AN5+AP5)/2</f>
        <v>1500</v>
      </c>
      <c r="AS5" s="8">
        <f t="dataTable" ref="AS5:AS44" dt2D="0" dtr="0" r1="C5" ca="1"/>
        <v>142.87191537808894</v>
      </c>
      <c r="AT5" s="8">
        <f>AO5*AS5</f>
        <v>-48214.458496924999</v>
      </c>
      <c r="AU5" s="8">
        <f>AQ5*AS5</f>
        <v>43889.634248275688</v>
      </c>
      <c r="AV5" s="8">
        <f>AP5-AN5</f>
        <v>2000</v>
      </c>
    </row>
    <row r="6" spans="2:48" x14ac:dyDescent="0.2">
      <c r="B6" s="20" t="s">
        <v>147</v>
      </c>
      <c r="C6" s="33">
        <v>1.5</v>
      </c>
      <c r="D6" s="20" t="s">
        <v>14</v>
      </c>
      <c r="F6" t="s">
        <v>112</v>
      </c>
      <c r="G6" s="20">
        <f xml:space="preserve"> 1/1000 * ($C$5*$C$46)/$C$20 * ( ($G$4/2) + SQRT( ($G$4/2)^2 + ($C$5*$C$46)/(2*$C$44*$C$17*PI()*$C$6*$C$6 ) ) )</f>
        <v>204.50183309774954</v>
      </c>
      <c r="H6" s="20" t="s">
        <v>162</v>
      </c>
      <c r="N6" t="s">
        <v>199</v>
      </c>
      <c r="O6">
        <f xml:space="preserve"> O5 / (PI() * $C$6^2)</f>
        <v>2.043477974494206E-2</v>
      </c>
      <c r="R6" t="s">
        <v>199</v>
      </c>
      <c r="S6">
        <f xml:space="preserve"> S5 / (PI() * $C$6^2)</f>
        <v>2.043477974494206E-2</v>
      </c>
      <c r="V6" t="s">
        <v>199</v>
      </c>
      <c r="W6">
        <f xml:space="preserve"> W5 / (PI() * $C$6^2)</f>
        <v>2.043477974494206E-2</v>
      </c>
      <c r="AB6" s="8">
        <v>2</v>
      </c>
      <c r="AC6" s="8">
        <f t="shared" ref="AC6:AC34" si="7">IF(AI5&gt;0, AG5, AC5)</f>
        <v>0</v>
      </c>
      <c r="AD6" s="8">
        <f t="shared" si="0"/>
        <v>3.547842482211544E-2</v>
      </c>
      <c r="AE6" s="8">
        <f t="shared" ref="AE6:AE34" si="8">IF(AJ5&gt;0, AG5, AE5)</f>
        <v>0.25</v>
      </c>
      <c r="AF6" s="8">
        <f t="shared" si="1"/>
        <v>-0.21895961347927093</v>
      </c>
      <c r="AG6" s="8">
        <f t="shared" si="3"/>
        <v>0.125</v>
      </c>
      <c r="AH6" s="8">
        <f t="shared" si="2"/>
        <v>-9.0994478130545953E-2</v>
      </c>
      <c r="AI6" s="8">
        <f t="shared" si="4"/>
        <v>-3.228340751582202E-3</v>
      </c>
      <c r="AJ6" s="8">
        <f t="shared" si="5"/>
        <v>1.9924115760212312E-2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-337.46631288124553</v>
      </c>
      <c r="AP6" s="8">
        <f>IF(AU5&gt;0, AR5, AP5)</f>
        <v>1500</v>
      </c>
      <c r="AQ6" s="8">
        <v>142.87191537808894</v>
      </c>
      <c r="AR6" s="8">
        <f t="shared" ref="AR6:AR44" si="9">(AN6+AP6)/2</f>
        <v>1000</v>
      </c>
      <c r="AS6" s="8">
        <v>-55.018152044507815</v>
      </c>
      <c r="AT6" s="8">
        <f t="shared" ref="AT6:AT44" si="10">AO6*AS6</f>
        <v>18566.772911999811</v>
      </c>
      <c r="AU6" s="8">
        <f t="shared" ref="AU6:AU44" si="11">AQ6*AS6</f>
        <v>-7860.5487631617516</v>
      </c>
      <c r="AV6" s="8">
        <f t="shared" ref="AV6:AV44" si="12">AP6-AN6</f>
        <v>1000</v>
      </c>
    </row>
    <row r="7" spans="2:48" x14ac:dyDescent="0.2">
      <c r="B7" s="20" t="s">
        <v>206</v>
      </c>
      <c r="C7" s="33">
        <v>0.1225</v>
      </c>
      <c r="D7" s="20" t="s">
        <v>14</v>
      </c>
      <c r="F7" t="s">
        <v>30</v>
      </c>
      <c r="G7" s="20">
        <f xml:space="preserve"> $C$5 * $C$46 / $C$17</f>
        <v>2751.1051666949893</v>
      </c>
      <c r="H7" s="20" t="s">
        <v>31</v>
      </c>
      <c r="J7" s="58" t="s">
        <v>34</v>
      </c>
      <c r="K7" s="58"/>
      <c r="L7" s="58"/>
      <c r="N7" t="s">
        <v>201</v>
      </c>
      <c r="O7" s="33">
        <v>3.4909389999999998E-2</v>
      </c>
      <c r="R7" t="s">
        <v>201</v>
      </c>
      <c r="S7" s="33">
        <v>3.4909389999999998E-2</v>
      </c>
      <c r="V7" t="s">
        <v>201</v>
      </c>
      <c r="W7" s="33">
        <v>3.4909389999999998E-2</v>
      </c>
      <c r="AB7" s="8">
        <v>3</v>
      </c>
      <c r="AC7" s="8">
        <f t="shared" si="7"/>
        <v>0</v>
      </c>
      <c r="AD7" s="8">
        <f t="shared" si="0"/>
        <v>3.547842482211544E-2</v>
      </c>
      <c r="AE7" s="8">
        <f t="shared" si="8"/>
        <v>0.125</v>
      </c>
      <c r="AF7" s="8">
        <f t="shared" si="1"/>
        <v>-9.0994478130545953E-2</v>
      </c>
      <c r="AG7" s="8">
        <f t="shared" si="3"/>
        <v>6.25E-2</v>
      </c>
      <c r="AH7" s="8">
        <f t="shared" si="2"/>
        <v>-2.7424052601702963E-2</v>
      </c>
      <c r="AI7" s="8">
        <f t="shared" si="4"/>
        <v>-9.7296218854725784E-4</v>
      </c>
      <c r="AJ7" s="8">
        <f t="shared" si="5"/>
        <v>2.4954373547166021E-3</v>
      </c>
      <c r="AK7" s="8">
        <f t="shared" si="6"/>
        <v>0.125</v>
      </c>
      <c r="AM7" s="8">
        <v>3</v>
      </c>
      <c r="AN7" s="8">
        <f t="shared" ref="AN7:AN44" si="13">IF(AT6&gt;0, AR6, AN6)</f>
        <v>1000</v>
      </c>
      <c r="AO7" s="8">
        <v>-55.018152044507815</v>
      </c>
      <c r="AP7" s="8">
        <f t="shared" ref="AP7:AP44" si="14">IF(AU6&gt;0, AR6, AP6)</f>
        <v>1500</v>
      </c>
      <c r="AQ7" s="8">
        <v>142.87191537808894</v>
      </c>
      <c r="AR7" s="8">
        <f t="shared" si="9"/>
        <v>1250</v>
      </c>
      <c r="AS7" s="8">
        <v>53.160474760909779</v>
      </c>
      <c r="AT7" s="8">
        <f t="shared" si="10"/>
        <v>-2924.7910831539543</v>
      </c>
      <c r="AU7" s="8">
        <f t="shared" si="11"/>
        <v>7595.1388514997352</v>
      </c>
      <c r="AV7" s="8">
        <f t="shared" si="12"/>
        <v>500</v>
      </c>
    </row>
    <row r="8" spans="2:48" x14ac:dyDescent="0.2">
      <c r="B8" s="20" t="s">
        <v>15</v>
      </c>
      <c r="C8" s="33">
        <v>50</v>
      </c>
      <c r="D8" s="20" t="s">
        <v>16</v>
      </c>
      <c r="F8" t="s">
        <v>120</v>
      </c>
      <c r="G8" s="24">
        <f>$G$5/$G$4</f>
        <v>60</v>
      </c>
      <c r="H8" s="20" t="s">
        <v>22</v>
      </c>
      <c r="J8" s="20" t="s">
        <v>153</v>
      </c>
      <c r="K8" s="20">
        <f xml:space="preserve"> (G6*G8 + G20*G21 + G27*G28 + G40*G41 + G48*G50)/3600</f>
        <v>69.467497631408875</v>
      </c>
      <c r="L8" s="20" t="s">
        <v>163</v>
      </c>
      <c r="N8" s="20" t="s">
        <v>200</v>
      </c>
      <c r="O8" s="20">
        <f xml:space="preserve"> $O$7 + O6</f>
        <v>5.5344169744942058E-2</v>
      </c>
      <c r="R8" s="20" t="s">
        <v>200</v>
      </c>
      <c r="S8" s="20">
        <f xml:space="preserve"> $S$7 + S6</f>
        <v>5.5344169744942058E-2</v>
      </c>
      <c r="V8" s="20" t="s">
        <v>200</v>
      </c>
      <c r="W8" s="20">
        <f xml:space="preserve"> $W$7 + W6</f>
        <v>5.5344169744942058E-2</v>
      </c>
      <c r="AB8" s="8">
        <v>4</v>
      </c>
      <c r="AC8" s="8">
        <f t="shared" si="7"/>
        <v>0</v>
      </c>
      <c r="AD8" s="8">
        <f t="shared" si="0"/>
        <v>3.547842482211544E-2</v>
      </c>
      <c r="AE8" s="8">
        <f t="shared" si="8"/>
        <v>6.25E-2</v>
      </c>
      <c r="AF8" s="8">
        <f t="shared" si="1"/>
        <v>-2.7424052601702963E-2</v>
      </c>
      <c r="AG8" s="8">
        <f t="shared" si="3"/>
        <v>3.125E-2</v>
      </c>
      <c r="AH8" s="8">
        <f t="shared" si="2"/>
        <v>4.125379523463174E-3</v>
      </c>
      <c r="AI8" s="8">
        <f t="shared" si="4"/>
        <v>1.4636196728588265E-4</v>
      </c>
      <c r="AJ8" s="8">
        <f t="shared" si="5"/>
        <v>-1.1313462505344239E-4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-55.018152044507815</v>
      </c>
      <c r="AP8" s="8">
        <f t="shared" si="14"/>
        <v>1250</v>
      </c>
      <c r="AQ8" s="8">
        <v>53.160474760909779</v>
      </c>
      <c r="AR8" s="8">
        <f t="shared" si="9"/>
        <v>1125</v>
      </c>
      <c r="AS8" s="8">
        <v>1.2400105955993013</v>
      </c>
      <c r="AT8" s="8">
        <f t="shared" si="10"/>
        <v>-68.223091485483053</v>
      </c>
      <c r="AU8" s="8">
        <f t="shared" si="11"/>
        <v>65.919551970617363</v>
      </c>
      <c r="AV8" s="8">
        <f t="shared" si="12"/>
        <v>250</v>
      </c>
    </row>
    <row r="9" spans="2:48" x14ac:dyDescent="0.2">
      <c r="B9" s="20" t="s">
        <v>219</v>
      </c>
      <c r="C9" s="33">
        <v>720</v>
      </c>
      <c r="D9" s="20" t="s">
        <v>218</v>
      </c>
      <c r="F9" t="s">
        <v>214</v>
      </c>
      <c r="G9" s="24">
        <f>$C$9*2*PI()*$C$6/60 * $C$6</f>
        <v>169.64600329384885</v>
      </c>
      <c r="H9" s="20" t="s">
        <v>16</v>
      </c>
      <c r="J9" s="20" t="s">
        <v>35</v>
      </c>
      <c r="K9" s="20">
        <f xml:space="preserve"> (G8 + G21 + G28 + G41 + G50)/60</f>
        <v>34.67079771753523</v>
      </c>
      <c r="L9" s="20" t="s">
        <v>164</v>
      </c>
      <c r="N9" s="20" t="s">
        <v>57</v>
      </c>
      <c r="O9" s="20">
        <f xml:space="preserve"> O4 *$O$8 * PI() * $C$6^2</f>
        <v>599.03247778573257</v>
      </c>
      <c r="P9" s="20" t="s">
        <v>31</v>
      </c>
      <c r="R9" s="20" t="s">
        <v>57</v>
      </c>
      <c r="S9" s="20">
        <f xml:space="preserve"> S4 *$S$8 * PI() * $C$6 * $C$6</f>
        <v>599.03247778573257</v>
      </c>
      <c r="T9" s="20" t="s">
        <v>31</v>
      </c>
      <c r="V9" s="20" t="s">
        <v>57</v>
      </c>
      <c r="W9" s="20">
        <f xml:space="preserve"> W4 *$W$8 * PI() * $C$6 * $C$6</f>
        <v>599.03247778573257</v>
      </c>
      <c r="X9" s="20" t="s">
        <v>31</v>
      </c>
      <c r="AB9" s="8">
        <v>5</v>
      </c>
      <c r="AC9" s="8">
        <f t="shared" si="7"/>
        <v>3.125E-2</v>
      </c>
      <c r="AD9" s="8">
        <f t="shared" si="0"/>
        <v>4.125379523463174E-3</v>
      </c>
      <c r="AE9" s="8">
        <f t="shared" si="8"/>
        <v>6.25E-2</v>
      </c>
      <c r="AF9" s="8">
        <f t="shared" si="1"/>
        <v>-2.7424052601702963E-2</v>
      </c>
      <c r="AG9" s="8">
        <f t="shared" si="3"/>
        <v>4.6875E-2</v>
      </c>
      <c r="AH9" s="8">
        <f t="shared" si="2"/>
        <v>-1.1626117619381864E-2</v>
      </c>
      <c r="AI9" s="8">
        <f t="shared" si="4"/>
        <v>-4.7962147564372362E-5</v>
      </c>
      <c r="AJ9" s="8">
        <f t="shared" si="5"/>
        <v>3.1883526114751383E-4</v>
      </c>
      <c r="AK9" s="8">
        <f t="shared" si="6"/>
        <v>3.125E-2</v>
      </c>
      <c r="AM9" s="8">
        <v>5</v>
      </c>
      <c r="AN9" s="8">
        <f t="shared" si="13"/>
        <v>1000</v>
      </c>
      <c r="AO9" s="8">
        <v>-55.018152044507815</v>
      </c>
      <c r="AP9" s="8">
        <f t="shared" si="14"/>
        <v>1125</v>
      </c>
      <c r="AQ9" s="8">
        <v>1.2400105955993013</v>
      </c>
      <c r="AR9" s="8">
        <f t="shared" si="9"/>
        <v>1062.5</v>
      </c>
      <c r="AS9" s="8">
        <v>-26.357319135554462</v>
      </c>
      <c r="AT9" s="8">
        <f t="shared" si="10"/>
        <v>1450.1309916855507</v>
      </c>
      <c r="AU9" s="8">
        <f t="shared" si="11"/>
        <v>-32.68335499967975</v>
      </c>
      <c r="AV9" s="8">
        <f t="shared" si="12"/>
        <v>125</v>
      </c>
    </row>
    <row r="10" spans="2:48" x14ac:dyDescent="0.2">
      <c r="B10" s="20" t="s">
        <v>100</v>
      </c>
      <c r="C10" s="33">
        <v>0.3</v>
      </c>
      <c r="F10" s="20" t="s">
        <v>217</v>
      </c>
      <c r="G10" s="20">
        <f>G9/$C$45</f>
        <v>0.49834908845015763</v>
      </c>
      <c r="H10" s="20" t="s">
        <v>215</v>
      </c>
      <c r="N10" s="20" t="s">
        <v>60</v>
      </c>
      <c r="O10" s="20">
        <f xml:space="preserve"> O9</f>
        <v>599.03247778573257</v>
      </c>
      <c r="P10" s="20" t="s">
        <v>31</v>
      </c>
      <c r="R10" s="20" t="s">
        <v>60</v>
      </c>
      <c r="S10" s="20">
        <f xml:space="preserve"> S9</f>
        <v>599.03247778573257</v>
      </c>
      <c r="T10" s="20" t="s">
        <v>31</v>
      </c>
      <c r="V10" s="20" t="s">
        <v>60</v>
      </c>
      <c r="W10" s="20">
        <f xml:space="preserve"> W9 + W40</f>
        <v>599.03247778573257</v>
      </c>
      <c r="X10" s="20" t="s">
        <v>31</v>
      </c>
      <c r="AB10" s="8">
        <v>6</v>
      </c>
      <c r="AC10" s="8">
        <f t="shared" si="7"/>
        <v>3.125E-2</v>
      </c>
      <c r="AD10" s="8">
        <f t="shared" si="0"/>
        <v>4.125379523463174E-3</v>
      </c>
      <c r="AE10" s="8">
        <f t="shared" si="8"/>
        <v>4.6875E-2</v>
      </c>
      <c r="AF10" s="8">
        <f t="shared" si="1"/>
        <v>-1.1626117619381864E-2</v>
      </c>
      <c r="AG10" s="8">
        <f t="shared" si="3"/>
        <v>3.90625E-2</v>
      </c>
      <c r="AH10" s="8">
        <f t="shared" si="2"/>
        <v>-3.7443573297601812E-3</v>
      </c>
      <c r="AI10" s="8">
        <f t="shared" si="4"/>
        <v>-1.5446895056721899E-5</v>
      </c>
      <c r="AJ10" s="8">
        <f t="shared" si="5"/>
        <v>4.3532338724786469E-5</v>
      </c>
      <c r="AK10" s="8">
        <f t="shared" si="6"/>
        <v>1.5625E-2</v>
      </c>
      <c r="AM10" s="8">
        <v>6</v>
      </c>
      <c r="AN10" s="8">
        <f t="shared" si="13"/>
        <v>1062.5</v>
      </c>
      <c r="AO10" s="8">
        <v>-26.357319135554462</v>
      </c>
      <c r="AP10" s="8">
        <f t="shared" si="14"/>
        <v>1125</v>
      </c>
      <c r="AQ10" s="8">
        <v>1.2400105955993013</v>
      </c>
      <c r="AR10" s="8">
        <f t="shared" si="9"/>
        <v>1093.75</v>
      </c>
      <c r="AS10" s="8">
        <v>-12.424798970645611</v>
      </c>
      <c r="AT10" s="8">
        <f t="shared" si="10"/>
        <v>327.48439166441494</v>
      </c>
      <c r="AU10" s="8">
        <f t="shared" si="11"/>
        <v>-15.40688237179185</v>
      </c>
      <c r="AV10" s="8">
        <f t="shared" si="12"/>
        <v>62.5</v>
      </c>
    </row>
    <row r="11" spans="2:48" x14ac:dyDescent="0.2">
      <c r="J11" s="59" t="s">
        <v>73</v>
      </c>
      <c r="K11" s="59"/>
      <c r="L11" s="59"/>
      <c r="N11" s="20" t="s">
        <v>195</v>
      </c>
      <c r="O11" s="20">
        <f>($O$8*PI()*$C$6^2)/(0.3048^2)/($C$5*2.20462/1000)^(2/3) + 0.4</f>
        <v>2.7020822769007111</v>
      </c>
      <c r="R11" s="20" t="s">
        <v>195</v>
      </c>
      <c r="S11" s="20">
        <f>($S$8*PI()*$C$6^2)/(0.3048^2)/($C$5*2.20462/1000)^(2/3) + 0.4</f>
        <v>2.7020822769007111</v>
      </c>
      <c r="V11" s="20" t="s">
        <v>195</v>
      </c>
      <c r="W11" s="20">
        <f>($W$8*PI()*$C$6^2)/(0.3048^2)/($C$5*2.20462/1000)^(2/3) + 0.4</f>
        <v>2.7020822769007111</v>
      </c>
      <c r="AB11" s="8">
        <v>7</v>
      </c>
      <c r="AC11" s="8">
        <f t="shared" si="7"/>
        <v>3.125E-2</v>
      </c>
      <c r="AD11" s="8">
        <f t="shared" si="0"/>
        <v>4.125379523463174E-3</v>
      </c>
      <c r="AE11" s="8">
        <f t="shared" si="8"/>
        <v>3.90625E-2</v>
      </c>
      <c r="AF11" s="8">
        <f t="shared" si="1"/>
        <v>-3.7443573297601812E-3</v>
      </c>
      <c r="AG11" s="8">
        <f t="shared" si="3"/>
        <v>3.515625E-2</v>
      </c>
      <c r="AH11" s="8">
        <f t="shared" si="2"/>
        <v>1.9203659557688602E-4</v>
      </c>
      <c r="AI11" s="8">
        <f t="shared" si="4"/>
        <v>7.9222383914846432E-7</v>
      </c>
      <c r="AJ11" s="8">
        <f t="shared" si="5"/>
        <v>-7.1905363423050474E-7</v>
      </c>
      <c r="AK11" s="8">
        <f t="shared" si="6"/>
        <v>7.8125E-3</v>
      </c>
      <c r="AM11" s="8">
        <v>7</v>
      </c>
      <c r="AN11" s="8">
        <f t="shared" si="13"/>
        <v>1093.75</v>
      </c>
      <c r="AO11" s="8">
        <v>-12.424798970645611</v>
      </c>
      <c r="AP11" s="8">
        <f t="shared" si="14"/>
        <v>1125</v>
      </c>
      <c r="AQ11" s="8">
        <v>1.2400105955993013</v>
      </c>
      <c r="AR11" s="8">
        <f t="shared" si="9"/>
        <v>1109.375</v>
      </c>
      <c r="AS11" s="8">
        <v>-5.5587855991554989</v>
      </c>
      <c r="AT11" s="8">
        <f t="shared" si="10"/>
        <v>69.066793590426883</v>
      </c>
      <c r="AU11" s="8">
        <f t="shared" si="11"/>
        <v>-6.8929530416176288</v>
      </c>
      <c r="AV11" s="8">
        <f t="shared" si="12"/>
        <v>31.25</v>
      </c>
    </row>
    <row r="12" spans="2:48" x14ac:dyDescent="0.2">
      <c r="B12" s="58" t="s">
        <v>20</v>
      </c>
      <c r="C12" s="58"/>
      <c r="D12" s="58"/>
      <c r="F12" s="63" t="s">
        <v>124</v>
      </c>
      <c r="G12" s="64"/>
      <c r="H12" s="64"/>
      <c r="J12" s="26" t="s">
        <v>109</v>
      </c>
      <c r="K12" s="20">
        <f>C5</f>
        <v>1122.1386168344907</v>
      </c>
      <c r="L12" s="20" t="s">
        <v>12</v>
      </c>
      <c r="AB12" s="8">
        <v>8</v>
      </c>
      <c r="AC12" s="8">
        <f t="shared" si="7"/>
        <v>3.515625E-2</v>
      </c>
      <c r="AD12" s="8">
        <f t="shared" si="0"/>
        <v>1.9203659557688602E-4</v>
      </c>
      <c r="AE12" s="8">
        <f t="shared" si="8"/>
        <v>3.90625E-2</v>
      </c>
      <c r="AF12" s="8">
        <f t="shared" si="1"/>
        <v>-3.7443573297601812E-3</v>
      </c>
      <c r="AG12" s="8">
        <f t="shared" si="3"/>
        <v>3.7109375E-2</v>
      </c>
      <c r="AH12" s="8">
        <f t="shared" si="2"/>
        <v>-1.7757816563125015E-3</v>
      </c>
      <c r="AI12" s="8">
        <f t="shared" si="4"/>
        <v>-3.4101506376613665E-7</v>
      </c>
      <c r="AJ12" s="8">
        <f t="shared" si="5"/>
        <v>6.6491610608673901E-6</v>
      </c>
      <c r="AK12" s="8">
        <f t="shared" si="6"/>
        <v>3.90625E-3</v>
      </c>
      <c r="AM12" s="8">
        <v>8</v>
      </c>
      <c r="AN12" s="8">
        <f t="shared" si="13"/>
        <v>1109.375</v>
      </c>
      <c r="AO12" s="8">
        <v>-5.5587855991554989</v>
      </c>
      <c r="AP12" s="8">
        <f t="shared" si="14"/>
        <v>1125</v>
      </c>
      <c r="AQ12" s="8">
        <v>1.2400105955993013</v>
      </c>
      <c r="AR12" s="8">
        <f t="shared" si="9"/>
        <v>1117.1875</v>
      </c>
      <c r="AS12" s="8">
        <v>-2.1509639271433798</v>
      </c>
      <c r="AT12" s="8">
        <f t="shared" si="10"/>
        <v>11.956747302507578</v>
      </c>
      <c r="AU12" s="8">
        <f t="shared" si="11"/>
        <v>-2.6672180604096742</v>
      </c>
      <c r="AV12" s="8">
        <f t="shared" si="12"/>
        <v>15.625</v>
      </c>
    </row>
    <row r="13" spans="2:48" x14ac:dyDescent="0.2">
      <c r="B13" s="20" t="s">
        <v>92</v>
      </c>
      <c r="C13" s="20">
        <f>C28*100</f>
        <v>400</v>
      </c>
      <c r="D13" s="20" t="s">
        <v>12</v>
      </c>
      <c r="F13" s="4" t="s">
        <v>154</v>
      </c>
      <c r="G13" s="1">
        <f>$C$8</f>
        <v>50</v>
      </c>
      <c r="H13" t="s">
        <v>16</v>
      </c>
      <c r="J13" s="27" t="s">
        <v>74</v>
      </c>
      <c r="K13" s="20">
        <f xml:space="preserve"> K8 * 1000 / ($C$39 * $C$40 * $C$41)</f>
        <v>408.63233900828749</v>
      </c>
      <c r="L13" s="20" t="s">
        <v>12</v>
      </c>
      <c r="N13" s="59" t="s">
        <v>101</v>
      </c>
      <c r="O13" s="66"/>
      <c r="P13" s="66"/>
      <c r="R13" s="59" t="s">
        <v>101</v>
      </c>
      <c r="S13" s="66"/>
      <c r="T13" s="66"/>
      <c r="V13" s="59" t="s">
        <v>101</v>
      </c>
      <c r="W13" s="66"/>
      <c r="X13" s="66"/>
      <c r="AB13" s="8">
        <v>9</v>
      </c>
      <c r="AC13" s="8">
        <f t="shared" si="7"/>
        <v>3.515625E-2</v>
      </c>
      <c r="AD13" s="8">
        <f t="shared" si="0"/>
        <v>1.9203659557688602E-4</v>
      </c>
      <c r="AE13" s="8">
        <f t="shared" si="8"/>
        <v>3.7109375E-2</v>
      </c>
      <c r="AF13" s="8">
        <f t="shared" si="1"/>
        <v>-1.7757816563125015E-3</v>
      </c>
      <c r="AG13" s="8">
        <f t="shared" si="3"/>
        <v>3.61328125E-2</v>
      </c>
      <c r="AH13" s="8">
        <f t="shared" si="2"/>
        <v>-7.9177750961897941E-4</v>
      </c>
      <c r="AI13" s="8">
        <f t="shared" si="4"/>
        <v>-1.5205025740157392E-7</v>
      </c>
      <c r="AJ13" s="8">
        <f t="shared" si="5"/>
        <v>1.4060239774621789E-6</v>
      </c>
      <c r="AK13" s="8">
        <f t="shared" si="6"/>
        <v>1.953125E-3</v>
      </c>
      <c r="AM13" s="8">
        <v>9</v>
      </c>
      <c r="AN13" s="8">
        <f t="shared" si="13"/>
        <v>1117.1875</v>
      </c>
      <c r="AO13" s="8">
        <v>-2.1509639271433798</v>
      </c>
      <c r="AP13" s="8">
        <f t="shared" si="14"/>
        <v>1125</v>
      </c>
      <c r="AQ13" s="8">
        <v>1.2400105955993013</v>
      </c>
      <c r="AR13" s="8">
        <f t="shared" si="9"/>
        <v>1121.09375</v>
      </c>
      <c r="AS13" s="8">
        <v>-0.45336891797978751</v>
      </c>
      <c r="AT13" s="8">
        <f t="shared" si="10"/>
        <v>0.9751801882625486</v>
      </c>
      <c r="AU13" s="8">
        <f t="shared" si="11"/>
        <v>-0.56218226201032706</v>
      </c>
      <c r="AV13" s="8">
        <f t="shared" si="12"/>
        <v>7.8125</v>
      </c>
    </row>
    <row r="14" spans="2:48" x14ac:dyDescent="0.2">
      <c r="B14" s="20" t="s">
        <v>21</v>
      </c>
      <c r="C14" s="33">
        <v>96000</v>
      </c>
      <c r="D14" s="20" t="s">
        <v>14</v>
      </c>
      <c r="F14" t="s">
        <v>126</v>
      </c>
      <c r="G14" s="1">
        <v>2.54</v>
      </c>
      <c r="H14" t="s">
        <v>16</v>
      </c>
      <c r="J14" s="28" t="s">
        <v>75</v>
      </c>
      <c r="K14" s="20">
        <f xml:space="preserve"> $C$47 * ($C$17 * $C$21 * (2*$C$6*3.28084 * (K5*1000*0.00134102) * $C$18^0.5)^0.782 * 0.453592)</f>
        <v>63.957713662751843</v>
      </c>
      <c r="L14" s="20" t="s">
        <v>12</v>
      </c>
      <c r="N14" s="20" t="s">
        <v>102</v>
      </c>
      <c r="O14" s="20">
        <f>SQRT((O10*COS(G18/180*PI()))^2 + (O10*SIN(G18/180*PI())+$C$5*$C$46)^2)</f>
        <v>11051.057047511948</v>
      </c>
      <c r="P14" s="20" t="s">
        <v>31</v>
      </c>
      <c r="R14" s="20" t="s">
        <v>102</v>
      </c>
      <c r="S14" s="20">
        <f xml:space="preserve"> SQRT( ($C$5*$C$46)^2 + S10^2)</f>
        <v>11020.71295882875</v>
      </c>
      <c r="T14" s="20" t="s">
        <v>31</v>
      </c>
      <c r="V14" s="20" t="s">
        <v>102</v>
      </c>
      <c r="W14" s="20">
        <f xml:space="preserve"> SQRT( (W10*COS(G38/180*PI()))^2 + ($C$5*$C$46 - W10*SIN(G38/180*PI()))^2 )</f>
        <v>11002.466335918298</v>
      </c>
      <c r="X14" s="20" t="s">
        <v>31</v>
      </c>
      <c r="AB14" s="8">
        <v>10</v>
      </c>
      <c r="AC14" s="8">
        <f t="shared" si="7"/>
        <v>3.515625E-2</v>
      </c>
      <c r="AD14" s="8">
        <f t="shared" si="0"/>
        <v>1.9203659557688602E-4</v>
      </c>
      <c r="AE14" s="8">
        <f t="shared" si="8"/>
        <v>3.61328125E-2</v>
      </c>
      <c r="AF14" s="8">
        <f t="shared" si="1"/>
        <v>-7.9177750961897941E-4</v>
      </c>
      <c r="AG14" s="8">
        <f t="shared" si="3"/>
        <v>3.564453125E-2</v>
      </c>
      <c r="AH14" s="8">
        <f t="shared" si="2"/>
        <v>-2.9984665982465963E-4</v>
      </c>
      <c r="AI14" s="8">
        <f t="shared" si="4"/>
        <v>-5.7581531747828275E-8</v>
      </c>
      <c r="AJ14" s="8">
        <f t="shared" si="5"/>
        <v>2.374118415835383E-7</v>
      </c>
      <c r="AK14" s="8">
        <f t="shared" si="6"/>
        <v>9.765625E-4</v>
      </c>
      <c r="AM14" s="8">
        <v>10</v>
      </c>
      <c r="AN14" s="8">
        <f t="shared" si="13"/>
        <v>1121.09375</v>
      </c>
      <c r="AO14" s="8">
        <v>-0.45336891797978751</v>
      </c>
      <c r="AP14" s="8">
        <f t="shared" si="14"/>
        <v>1125</v>
      </c>
      <c r="AQ14" s="8">
        <v>1.2400105955993013</v>
      </c>
      <c r="AR14" s="8">
        <f t="shared" si="9"/>
        <v>1123.046875</v>
      </c>
      <c r="AS14" s="8">
        <v>0.39384578249575952</v>
      </c>
      <c r="AT14" s="8">
        <f t="shared" si="10"/>
        <v>-0.17855743626100523</v>
      </c>
      <c r="AU14" s="8">
        <f t="shared" si="11"/>
        <v>0.48837294332683961</v>
      </c>
      <c r="AV14" s="8">
        <f t="shared" si="12"/>
        <v>3.90625</v>
      </c>
    </row>
    <row r="15" spans="2:48" x14ac:dyDescent="0.2">
      <c r="F15" t="s">
        <v>125</v>
      </c>
      <c r="G15" s="1">
        <v>304.8</v>
      </c>
      <c r="H15" t="s">
        <v>14</v>
      </c>
      <c r="J15" s="29" t="s">
        <v>76</v>
      </c>
      <c r="K15" s="20">
        <f xml:space="preserve"> 0.2138 * K4</f>
        <v>43.72249191629885</v>
      </c>
      <c r="L15" s="20" t="s">
        <v>12</v>
      </c>
      <c r="N15" s="20" t="s">
        <v>156</v>
      </c>
      <c r="O15" s="20">
        <f>ACOS(O10*COS(G18/180*PI())/O14) /PI() *180</f>
        <v>86.896723755994657</v>
      </c>
      <c r="P15" s="20" t="s">
        <v>62</v>
      </c>
      <c r="R15" s="20" t="s">
        <v>103</v>
      </c>
      <c r="S15" s="20">
        <f>$C$5*$C$46/S14</f>
        <v>0.99852166623795957</v>
      </c>
      <c r="V15" s="20" t="s">
        <v>156</v>
      </c>
      <c r="W15" s="20">
        <f xml:space="preserve"> ACOS(W10*COS(G38/180*PI())/W14) /PI() * 180</f>
        <v>86.880422931265883</v>
      </c>
      <c r="X15" s="20" t="s">
        <v>62</v>
      </c>
      <c r="AB15" s="8">
        <v>11</v>
      </c>
      <c r="AC15" s="8">
        <f t="shared" si="7"/>
        <v>3.515625E-2</v>
      </c>
      <c r="AD15" s="8">
        <f t="shared" si="0"/>
        <v>1.9203659557688602E-4</v>
      </c>
      <c r="AE15" s="8">
        <f t="shared" si="8"/>
        <v>3.564453125E-2</v>
      </c>
      <c r="AF15" s="8">
        <f t="shared" si="1"/>
        <v>-2.9984665982465963E-4</v>
      </c>
      <c r="AG15" s="8">
        <f t="shared" si="3"/>
        <v>3.5400390625E-2</v>
      </c>
      <c r="AH15" s="8">
        <f t="shared" si="2"/>
        <v>-5.3899077628614955E-5</v>
      </c>
      <c r="AI15" s="8">
        <f t="shared" si="4"/>
        <v>-1.0350595372533515E-8</v>
      </c>
      <c r="AJ15" s="8">
        <f t="shared" si="5"/>
        <v>1.616145839457023E-8</v>
      </c>
      <c r="AK15" s="8">
        <f t="shared" si="6"/>
        <v>4.8828125E-4</v>
      </c>
      <c r="AM15" s="8">
        <v>11</v>
      </c>
      <c r="AN15" s="8">
        <f t="shared" si="13"/>
        <v>1121.09375</v>
      </c>
      <c r="AO15" s="8">
        <v>-0.45336891797978751</v>
      </c>
      <c r="AP15" s="8">
        <f t="shared" si="14"/>
        <v>1123.046875</v>
      </c>
      <c r="AQ15" s="8">
        <v>0.39384578249575952</v>
      </c>
      <c r="AR15" s="8">
        <f t="shared" si="9"/>
        <v>1122.0703125</v>
      </c>
      <c r="AS15" s="8">
        <v>-2.9631839345483968E-2</v>
      </c>
      <c r="AT15" s="8">
        <f t="shared" si="10"/>
        <v>1.3434154941812961E-2</v>
      </c>
      <c r="AU15" s="8">
        <f t="shared" si="11"/>
        <v>-1.1670374953810767E-2</v>
      </c>
      <c r="AV15" s="8">
        <f t="shared" si="12"/>
        <v>1.953125</v>
      </c>
    </row>
    <row r="16" spans="2:48" x14ac:dyDescent="0.2">
      <c r="B16" s="61" t="s">
        <v>184</v>
      </c>
      <c r="C16" s="61"/>
      <c r="D16" s="61"/>
      <c r="F16" t="s">
        <v>127</v>
      </c>
      <c r="G16" s="24">
        <f>SQRT($G$13^2-$G$14^2)</f>
        <v>49.935442323063484</v>
      </c>
      <c r="H16" t="s">
        <v>16</v>
      </c>
      <c r="J16" s="29" t="s">
        <v>107</v>
      </c>
      <c r="K16" s="20">
        <f xml:space="preserve"> 0.1149 * K4</f>
        <v>23.497260622931421</v>
      </c>
      <c r="L16" s="20" t="s">
        <v>12</v>
      </c>
      <c r="AB16" s="8">
        <v>12</v>
      </c>
      <c r="AC16" s="8">
        <f t="shared" si="7"/>
        <v>3.515625E-2</v>
      </c>
      <c r="AD16" s="8">
        <f t="shared" si="0"/>
        <v>1.9203659557688602E-4</v>
      </c>
      <c r="AE16" s="8">
        <f t="shared" si="8"/>
        <v>3.5400390625E-2</v>
      </c>
      <c r="AF16" s="8">
        <f t="shared" si="1"/>
        <v>-5.3899077628614955E-5</v>
      </c>
      <c r="AG16" s="8">
        <f t="shared" si="3"/>
        <v>3.52783203125E-2</v>
      </c>
      <c r="AH16" s="8">
        <f t="shared" si="2"/>
        <v>6.9070248244026966E-5</v>
      </c>
      <c r="AI16" s="8">
        <f t="shared" si="4"/>
        <v>1.3264015328433328E-8</v>
      </c>
      <c r="AJ16" s="8">
        <f t="shared" si="5"/>
        <v>-3.7228226719325151E-9</v>
      </c>
      <c r="AK16" s="8">
        <f t="shared" si="6"/>
        <v>2.44140625E-4</v>
      </c>
      <c r="AM16" s="8">
        <v>12</v>
      </c>
      <c r="AN16" s="8">
        <f t="shared" si="13"/>
        <v>1122.0703125</v>
      </c>
      <c r="AO16" s="8">
        <v>-2.9631839345483968E-2</v>
      </c>
      <c r="AP16" s="8">
        <f t="shared" si="14"/>
        <v>1123.046875</v>
      </c>
      <c r="AQ16" s="8">
        <v>0.39384578249575952</v>
      </c>
      <c r="AR16" s="8">
        <f t="shared" si="9"/>
        <v>1122.55859375</v>
      </c>
      <c r="AS16" s="8">
        <v>0.18214313816042704</v>
      </c>
      <c r="AT16" s="8">
        <f t="shared" si="10"/>
        <v>-5.3972362078520643E-3</v>
      </c>
      <c r="AU16" s="8">
        <f t="shared" si="11"/>
        <v>7.1736306775026626E-2</v>
      </c>
      <c r="AV16" s="8">
        <f t="shared" si="12"/>
        <v>0.9765625</v>
      </c>
    </row>
    <row r="17" spans="2:48" x14ac:dyDescent="0.2">
      <c r="B17" s="20" t="s">
        <v>144</v>
      </c>
      <c r="C17" s="33">
        <v>4</v>
      </c>
      <c r="F17" t="s">
        <v>128</v>
      </c>
      <c r="G17" s="24">
        <f>$G$16*($G$15/$G$14)</f>
        <v>5992.2530787676178</v>
      </c>
      <c r="H17" t="s">
        <v>14</v>
      </c>
      <c r="J17" s="30" t="s">
        <v>84</v>
      </c>
      <c r="K17" s="20">
        <f xml:space="preserve"> $C$47 * (14.86 * ($C$5*2.20462)^0.144 * ($C$29/(PI()*$C$30))^0.778 * ($C$29*3.28084)^0.383 * $C$28^0.455 * 0.453592)</f>
        <v>86.671393980957063</v>
      </c>
      <c r="L17" s="20" t="s">
        <v>12</v>
      </c>
      <c r="N17" s="59" t="s">
        <v>40</v>
      </c>
      <c r="O17" s="66"/>
      <c r="P17" s="66"/>
      <c r="R17" s="59" t="s">
        <v>40</v>
      </c>
      <c r="S17" s="66"/>
      <c r="T17" s="66"/>
      <c r="V17" s="59" t="s">
        <v>40</v>
      </c>
      <c r="W17" s="66"/>
      <c r="X17" s="66"/>
      <c r="AB17" s="8">
        <v>13</v>
      </c>
      <c r="AC17" s="8">
        <f t="shared" si="7"/>
        <v>3.52783203125E-2</v>
      </c>
      <c r="AD17" s="8">
        <f t="shared" si="0"/>
        <v>6.9070248244026966E-5</v>
      </c>
      <c r="AE17" s="8">
        <f t="shared" si="8"/>
        <v>3.5400390625E-2</v>
      </c>
      <c r="AF17" s="8">
        <f t="shared" si="1"/>
        <v>-5.3899077628614955E-5</v>
      </c>
      <c r="AG17" s="8">
        <f t="shared" si="3"/>
        <v>3.533935546875E-2</v>
      </c>
      <c r="AH17" s="8">
        <f t="shared" si="2"/>
        <v>7.5859575445758054E-6</v>
      </c>
      <c r="AI17" s="8">
        <f t="shared" si="4"/>
        <v>5.2396397077250017E-10</v>
      </c>
      <c r="AJ17" s="8">
        <f t="shared" si="5"/>
        <v>-4.0887611458246864E-10</v>
      </c>
      <c r="AK17" s="8">
        <f t="shared" si="6"/>
        <v>1.220703125E-4</v>
      </c>
      <c r="AM17" s="8">
        <v>13</v>
      </c>
      <c r="AN17" s="8">
        <f t="shared" si="13"/>
        <v>1122.0703125</v>
      </c>
      <c r="AO17" s="8">
        <v>-2.9631839345483968E-2</v>
      </c>
      <c r="AP17" s="8">
        <f t="shared" si="14"/>
        <v>1122.55859375</v>
      </c>
      <c r="AQ17" s="8">
        <v>0.18214313816042704</v>
      </c>
      <c r="AR17" s="8">
        <f t="shared" si="9"/>
        <v>1122.314453125</v>
      </c>
      <c r="AS17" s="8">
        <v>7.6265924330414236E-2</v>
      </c>
      <c r="AT17" s="8">
        <f t="shared" si="10"/>
        <v>-2.2598996172936716E-3</v>
      </c>
      <c r="AU17" s="8">
        <f t="shared" si="11"/>
        <v>1.3891314792247315E-2</v>
      </c>
      <c r="AV17" s="8">
        <f t="shared" si="12"/>
        <v>0.48828125</v>
      </c>
    </row>
    <row r="18" spans="2:48" x14ac:dyDescent="0.2">
      <c r="B18" t="s">
        <v>182</v>
      </c>
      <c r="C18" s="1">
        <v>5</v>
      </c>
      <c r="D18"/>
      <c r="F18" t="s">
        <v>152</v>
      </c>
      <c r="G18" s="24">
        <f>ATAN(G14/G16)/PI()*180</f>
        <v>2.9118789347687013</v>
      </c>
      <c r="H18" t="s">
        <v>62</v>
      </c>
      <c r="J18" s="30" t="s">
        <v>85</v>
      </c>
      <c r="K18" s="20">
        <f xml:space="preserve"> $C$47 * C34 * $C$5</f>
        <v>29.175604037696761</v>
      </c>
      <c r="L18" s="20" t="s">
        <v>12</v>
      </c>
      <c r="N18" s="20" t="s">
        <v>41</v>
      </c>
      <c r="O18" s="20">
        <f xml:space="preserve"> 90 + G18 - O15</f>
        <v>6.0151551787740516</v>
      </c>
      <c r="P18" s="20" t="s">
        <v>62</v>
      </c>
      <c r="R18" s="20" t="s">
        <v>41</v>
      </c>
      <c r="S18" s="20">
        <f xml:space="preserve"> ACOS(S15)/PI()*180</f>
        <v>3.1158561196773999</v>
      </c>
      <c r="T18" s="20" t="s">
        <v>62</v>
      </c>
      <c r="V18" s="20" t="s">
        <v>41</v>
      </c>
      <c r="W18" s="20">
        <f>90-G38-W15</f>
        <v>1.3729311900994219</v>
      </c>
      <c r="X18" s="20" t="s">
        <v>62</v>
      </c>
      <c r="AB18" s="8">
        <v>14</v>
      </c>
      <c r="AC18" s="8">
        <f t="shared" si="7"/>
        <v>3.533935546875E-2</v>
      </c>
      <c r="AD18" s="8">
        <f t="shared" si="0"/>
        <v>7.5859575445758054E-6</v>
      </c>
      <c r="AE18" s="8">
        <f t="shared" si="8"/>
        <v>3.5400390625E-2</v>
      </c>
      <c r="AF18" s="8">
        <f t="shared" si="1"/>
        <v>-5.3899077628614955E-5</v>
      </c>
      <c r="AG18" s="8">
        <f t="shared" si="3"/>
        <v>3.5369873046875E-2</v>
      </c>
      <c r="AH18" s="8">
        <f t="shared" si="2"/>
        <v>-2.3156466992892144E-5</v>
      </c>
      <c r="AI18" s="8">
        <f t="shared" si="4"/>
        <v>-1.7566397549045078E-10</v>
      </c>
      <c r="AJ18" s="8">
        <f t="shared" si="5"/>
        <v>1.2481122120543536E-9</v>
      </c>
      <c r="AK18" s="8">
        <f t="shared" si="6"/>
        <v>6.103515625E-5</v>
      </c>
      <c r="AM18" s="8">
        <v>14</v>
      </c>
      <c r="AN18" s="8">
        <f t="shared" si="13"/>
        <v>1122.0703125</v>
      </c>
      <c r="AO18" s="8">
        <v>-2.9631839345483968E-2</v>
      </c>
      <c r="AP18" s="8">
        <f t="shared" si="14"/>
        <v>1122.314453125</v>
      </c>
      <c r="AQ18" s="8">
        <v>7.6265924330414236E-2</v>
      </c>
      <c r="AR18" s="8">
        <f t="shared" si="9"/>
        <v>1122.1923828125</v>
      </c>
      <c r="AS18" s="8">
        <v>2.332076710979436E-2</v>
      </c>
      <c r="AT18" s="8">
        <f t="shared" si="10"/>
        <v>-6.9103722441087295E-4</v>
      </c>
      <c r="AU18" s="8">
        <f t="shared" si="11"/>
        <v>1.7785798597227899E-3</v>
      </c>
      <c r="AV18" s="8">
        <f t="shared" si="12"/>
        <v>0.244140625</v>
      </c>
    </row>
    <row r="19" spans="2:48" x14ac:dyDescent="0.2">
      <c r="B19" s="20" t="s">
        <v>209</v>
      </c>
      <c r="C19" s="20">
        <f>$C$18*$C$7/(PI()*$C$6)</f>
        <v>0.1299765368583812</v>
      </c>
      <c r="F19" t="s">
        <v>155</v>
      </c>
      <c r="G19" s="20">
        <f xml:space="preserve"> 1/1000 * (O23 + O19 * (O28 * O25 + $G$13 * SIN(O18/180*PI())))</f>
        <v>35.437026406499811</v>
      </c>
      <c r="H19" t="s">
        <v>162</v>
      </c>
      <c r="J19" s="30" t="s">
        <v>86</v>
      </c>
      <c r="K19" s="20">
        <f xml:space="preserve"> $C$47 * 0</f>
        <v>0</v>
      </c>
      <c r="L19" s="20" t="s">
        <v>12</v>
      </c>
      <c r="N19" s="20" t="s">
        <v>30</v>
      </c>
      <c r="O19" s="20">
        <f xml:space="preserve"> O14 / $C$17</f>
        <v>2762.7642618779869</v>
      </c>
      <c r="P19" s="20" t="s">
        <v>31</v>
      </c>
      <c r="R19" s="20" t="s">
        <v>30</v>
      </c>
      <c r="S19" s="20">
        <f xml:space="preserve"> S14 / $C$17</f>
        <v>2755.1782397071875</v>
      </c>
      <c r="T19" s="20" t="s">
        <v>31</v>
      </c>
      <c r="V19" s="20" t="s">
        <v>30</v>
      </c>
      <c r="W19" s="20">
        <f xml:space="preserve"> W14 / $C$17</f>
        <v>2750.6165839795744</v>
      </c>
      <c r="X19" s="20" t="s">
        <v>31</v>
      </c>
      <c r="AB19" s="8">
        <v>15</v>
      </c>
      <c r="AC19" s="8">
        <f t="shared" si="7"/>
        <v>3.533935546875E-2</v>
      </c>
      <c r="AD19" s="8">
        <f t="shared" si="0"/>
        <v>7.5859575445758054E-6</v>
      </c>
      <c r="AE19" s="8">
        <f t="shared" si="8"/>
        <v>3.5369873046875E-2</v>
      </c>
      <c r="AF19" s="8">
        <f t="shared" si="1"/>
        <v>-2.3156466992892144E-5</v>
      </c>
      <c r="AG19" s="8">
        <f t="shared" si="3"/>
        <v>3.53546142578125E-2</v>
      </c>
      <c r="AH19" s="8">
        <f t="shared" si="2"/>
        <v>-7.7852314606108308E-6</v>
      </c>
      <c r="AI19" s="8">
        <f t="shared" si="4"/>
        <v>-5.905843533488965E-11</v>
      </c>
      <c r="AJ19" s="8">
        <f t="shared" si="5"/>
        <v>1.802784553496602E-10</v>
      </c>
      <c r="AK19" s="8">
        <f t="shared" si="6"/>
        <v>3.0517578125E-5</v>
      </c>
      <c r="AM19" s="8">
        <v>15</v>
      </c>
      <c r="AN19" s="8">
        <f t="shared" si="13"/>
        <v>1122.0703125</v>
      </c>
      <c r="AO19" s="8">
        <v>-2.9631839345483968E-2</v>
      </c>
      <c r="AP19" s="8">
        <f t="shared" si="14"/>
        <v>1122.1923828125</v>
      </c>
      <c r="AQ19" s="8">
        <v>2.332076710979436E-2</v>
      </c>
      <c r="AR19" s="8">
        <f t="shared" si="9"/>
        <v>1122.13134765625</v>
      </c>
      <c r="AS19" s="8">
        <v>-3.1550549944086015E-3</v>
      </c>
      <c r="AT19" s="8">
        <f t="shared" si="10"/>
        <v>9.3490082720482497E-5</v>
      </c>
      <c r="AU19" s="8">
        <f t="shared" si="11"/>
        <v>-7.3578302743196539E-5</v>
      </c>
      <c r="AV19" s="8">
        <f t="shared" si="12"/>
        <v>0.1220703125</v>
      </c>
    </row>
    <row r="20" spans="2:48" x14ac:dyDescent="0.2">
      <c r="B20" s="20" t="s">
        <v>210</v>
      </c>
      <c r="C20" s="33">
        <v>0.75</v>
      </c>
      <c r="F20" t="s">
        <v>129</v>
      </c>
      <c r="G20" s="24">
        <f>$C$17*G19</f>
        <v>141.74810562599924</v>
      </c>
      <c r="H20" t="s">
        <v>162</v>
      </c>
      <c r="J20" s="30" t="s">
        <v>87</v>
      </c>
      <c r="K20" s="20">
        <f xml:space="preserve"> $C$47 * 0</f>
        <v>0</v>
      </c>
      <c r="L20" s="20" t="s">
        <v>12</v>
      </c>
      <c r="N20" s="20" t="s">
        <v>42</v>
      </c>
      <c r="O20" s="20">
        <f xml:space="preserve"> $G$13 * COS(O18/180*PI()) / ($C$10 * $C$6)</f>
        <v>110.49935688750064</v>
      </c>
      <c r="P20" s="20" t="s">
        <v>43</v>
      </c>
      <c r="R20" s="20" t="s">
        <v>42</v>
      </c>
      <c r="S20" s="20">
        <f xml:space="preserve"> $C$8 * COS(S18/180*PI()) / ($C$10 * $C$6)</f>
        <v>110.94685180421773</v>
      </c>
      <c r="T20" s="20" t="s">
        <v>43</v>
      </c>
      <c r="V20" s="20" t="s">
        <v>42</v>
      </c>
      <c r="W20" s="20">
        <f xml:space="preserve"> $G$33 * COS(W18/180*PI()) / ($C$10 * $C$6)</f>
        <v>111.0792134387913</v>
      </c>
      <c r="X20" s="20" t="s">
        <v>43</v>
      </c>
      <c r="AB20" s="8">
        <v>16</v>
      </c>
      <c r="AC20" s="8">
        <f t="shared" si="7"/>
        <v>3.533935546875E-2</v>
      </c>
      <c r="AD20" s="8">
        <f t="shared" si="0"/>
        <v>7.5859575445758054E-6</v>
      </c>
      <c r="AE20" s="8">
        <f t="shared" si="8"/>
        <v>3.53546142578125E-2</v>
      </c>
      <c r="AF20" s="8">
        <f t="shared" si="1"/>
        <v>-7.7852314606108308E-6</v>
      </c>
      <c r="AG20" s="8">
        <f t="shared" si="3"/>
        <v>3.534698486328125E-2</v>
      </c>
      <c r="AH20" s="8">
        <f t="shared" si="2"/>
        <v>-9.9631141975420334E-8</v>
      </c>
      <c r="AI20" s="8">
        <f t="shared" si="4"/>
        <v>-7.5579761314314313E-13</v>
      </c>
      <c r="AJ20" s="8">
        <f t="shared" si="5"/>
        <v>7.7565150096362673E-13</v>
      </c>
      <c r="AK20" s="8">
        <f t="shared" si="6"/>
        <v>1.52587890625E-5</v>
      </c>
      <c r="AM20" s="8">
        <v>16</v>
      </c>
      <c r="AN20" s="8">
        <f t="shared" si="13"/>
        <v>1122.13134765625</v>
      </c>
      <c r="AO20" s="8">
        <v>-3.1550549944086015E-3</v>
      </c>
      <c r="AP20" s="8">
        <f t="shared" si="14"/>
        <v>1122.1923828125</v>
      </c>
      <c r="AQ20" s="8">
        <v>2.332076710979436E-2</v>
      </c>
      <c r="AR20" s="8">
        <f t="shared" si="9"/>
        <v>1122.161865234375</v>
      </c>
      <c r="AS20" s="8">
        <v>1.0080872150183495E-2</v>
      </c>
      <c r="AT20" s="8">
        <f t="shared" si="10"/>
        <v>-3.1805706025431015E-5</v>
      </c>
      <c r="AU20" s="8">
        <f t="shared" si="11"/>
        <v>2.350936716780412E-4</v>
      </c>
      <c r="AV20" s="8">
        <f t="shared" si="12"/>
        <v>6.103515625E-2</v>
      </c>
    </row>
    <row r="21" spans="2:48" x14ac:dyDescent="0.2">
      <c r="B21" t="s">
        <v>185</v>
      </c>
      <c r="C21" s="1">
        <v>0.14399999999999999</v>
      </c>
      <c r="D21"/>
      <c r="F21" t="s">
        <v>130</v>
      </c>
      <c r="G21" s="24">
        <f>$G$15/$G$14</f>
        <v>120</v>
      </c>
      <c r="H21" t="s">
        <v>22</v>
      </c>
      <c r="J21" s="30" t="s">
        <v>192</v>
      </c>
      <c r="K21" s="20">
        <f>$C$47*(0.14*$G$6*1000/745.7)*0.453592</f>
        <v>13.932096410874525</v>
      </c>
      <c r="L21" s="20" t="s">
        <v>12</v>
      </c>
      <c r="N21" s="20" t="s">
        <v>45</v>
      </c>
      <c r="O21" s="20">
        <f xml:space="preserve"> O19 / ($C$44 * PI() * $C$6^2 * O20^2 * $C$6^2)</f>
        <v>1.1613772943597403E-2</v>
      </c>
      <c r="R21" s="20" t="s">
        <v>45</v>
      </c>
      <c r="S21" s="20">
        <f xml:space="preserve"> S19 / ($C$44 * PI() * $C$6^2 * S20^2 * $C$6^2)</f>
        <v>1.1488643030758895E-2</v>
      </c>
      <c r="V21" s="20" t="s">
        <v>45</v>
      </c>
      <c r="W21" s="20">
        <f xml:space="preserve"> W19 / ($C$44 * PI() * $C$6^2 * W20^2 * $C$6^2)</f>
        <v>1.1442303628735976E-2</v>
      </c>
      <c r="AB21" s="8">
        <v>17</v>
      </c>
      <c r="AC21" s="8">
        <f t="shared" si="7"/>
        <v>3.533935546875E-2</v>
      </c>
      <c r="AD21" s="8">
        <f t="shared" si="0"/>
        <v>7.5859575445758054E-6</v>
      </c>
      <c r="AE21" s="8">
        <f t="shared" si="8"/>
        <v>3.534698486328125E-2</v>
      </c>
      <c r="AF21" s="8">
        <f t="shared" si="1"/>
        <v>-9.9631141975420334E-8</v>
      </c>
      <c r="AG21" s="8">
        <f t="shared" si="3"/>
        <v>3.5343170166015625E-2</v>
      </c>
      <c r="AH21" s="8">
        <f t="shared" si="2"/>
        <v>3.7431646553315323E-6</v>
      </c>
      <c r="AI21" s="8">
        <f t="shared" si="4"/>
        <v>2.8395488157701732E-11</v>
      </c>
      <c r="AJ21" s="8">
        <f t="shared" si="5"/>
        <v>-3.7293576921271123E-13</v>
      </c>
      <c r="AK21" s="8">
        <f t="shared" si="6"/>
        <v>7.62939453125E-6</v>
      </c>
      <c r="AM21" s="8">
        <v>17</v>
      </c>
      <c r="AN21" s="8">
        <f t="shared" si="13"/>
        <v>1122.13134765625</v>
      </c>
      <c r="AO21" s="8">
        <v>-3.1550549944086015E-3</v>
      </c>
      <c r="AP21" s="8">
        <f t="shared" si="14"/>
        <v>1122.161865234375</v>
      </c>
      <c r="AQ21" s="8">
        <v>1.0080872150183495E-2</v>
      </c>
      <c r="AR21" s="8">
        <f t="shared" si="9"/>
        <v>1122.1466064453125</v>
      </c>
      <c r="AS21" s="8">
        <v>3.4654961132218887E-3</v>
      </c>
      <c r="AT21" s="8">
        <f t="shared" si="10"/>
        <v>-1.0933830820124315E-5</v>
      </c>
      <c r="AU21" s="8">
        <f t="shared" si="11"/>
        <v>3.4935223254347684E-5</v>
      </c>
      <c r="AV21" s="8">
        <f t="shared" si="12"/>
        <v>3.0517578125E-2</v>
      </c>
    </row>
    <row r="22" spans="2:48" x14ac:dyDescent="0.2">
      <c r="B22" s="20" t="s">
        <v>222</v>
      </c>
      <c r="C22" s="33" t="b">
        <v>0</v>
      </c>
      <c r="F22" t="s">
        <v>214</v>
      </c>
      <c r="G22" s="24">
        <f>O20*$C$6</f>
        <v>165.74903533125095</v>
      </c>
      <c r="H22" s="20" t="s">
        <v>16</v>
      </c>
      <c r="J22" s="31" t="s">
        <v>88</v>
      </c>
      <c r="K22" s="20">
        <f xml:space="preserve"> $C$47 * (0.0268 * $C$5)</f>
        <v>24.058651944931484</v>
      </c>
      <c r="L22" s="20" t="s">
        <v>12</v>
      </c>
      <c r="N22" s="20" t="s">
        <v>4</v>
      </c>
      <c r="O22" s="33">
        <v>1.2E-2</v>
      </c>
      <c r="R22" s="20" t="s">
        <v>4</v>
      </c>
      <c r="S22" s="33">
        <v>1.2E-2</v>
      </c>
      <c r="V22" s="20" t="s">
        <v>4</v>
      </c>
      <c r="W22" s="33">
        <v>1.2E-2</v>
      </c>
      <c r="AB22" s="8">
        <v>18</v>
      </c>
      <c r="AC22" s="8">
        <f t="shared" si="7"/>
        <v>3.5343170166015625E-2</v>
      </c>
      <c r="AD22" s="8">
        <f t="shared" si="0"/>
        <v>3.7431646553315323E-6</v>
      </c>
      <c r="AE22" s="8">
        <f t="shared" si="8"/>
        <v>3.534698486328125E-2</v>
      </c>
      <c r="AF22" s="8">
        <f t="shared" si="1"/>
        <v>-9.9631141975420334E-8</v>
      </c>
      <c r="AG22" s="8">
        <f t="shared" si="3"/>
        <v>3.5345077514648438E-2</v>
      </c>
      <c r="AH22" s="8">
        <f t="shared" si="2"/>
        <v>1.821767120178952E-6</v>
      </c>
      <c r="AI22" s="8">
        <f t="shared" si="4"/>
        <v>6.819174294498965E-12</v>
      </c>
      <c r="AJ22" s="8">
        <f t="shared" si="5"/>
        <v>-1.8150473859670181E-13</v>
      </c>
      <c r="AK22" s="8">
        <f t="shared" si="6"/>
        <v>3.814697265625E-6</v>
      </c>
      <c r="AM22" s="8">
        <v>18</v>
      </c>
      <c r="AN22" s="8">
        <f t="shared" si="13"/>
        <v>1122.13134765625</v>
      </c>
      <c r="AO22" s="8">
        <v>-3.1550549944086015E-3</v>
      </c>
      <c r="AP22" s="8">
        <f t="shared" si="14"/>
        <v>1122.1466064453125</v>
      </c>
      <c r="AQ22" s="8">
        <v>3.4654961132218887E-3</v>
      </c>
      <c r="AR22" s="8">
        <f t="shared" si="9"/>
        <v>1122.1389770507812</v>
      </c>
      <c r="AS22" s="8">
        <v>1.5265560421084956E-4</v>
      </c>
      <c r="AT22" s="8">
        <f t="shared" si="10"/>
        <v>-4.8163682648990368E-7</v>
      </c>
      <c r="AU22" s="8">
        <f t="shared" si="11"/>
        <v>5.2902740305423808E-7</v>
      </c>
      <c r="AV22" s="8">
        <f t="shared" si="12"/>
        <v>1.52587890625E-2</v>
      </c>
    </row>
    <row r="23" spans="2:48" x14ac:dyDescent="0.2">
      <c r="B23" s="20" t="s">
        <v>223</v>
      </c>
      <c r="C23" s="20">
        <f>IF(C22=TRUE,1.1794,1)</f>
        <v>1</v>
      </c>
      <c r="F23" s="20" t="s">
        <v>217</v>
      </c>
      <c r="G23" s="20">
        <f>G22/$C$45</f>
        <v>0.48690142452543639</v>
      </c>
      <c r="H23" s="20" t="s">
        <v>215</v>
      </c>
      <c r="J23" s="31" t="s">
        <v>89</v>
      </c>
      <c r="K23" s="20">
        <f xml:space="preserve"> $C$47 * (11.5 * ($C$5*2.20462/1000)^0.4 * 0.453592)</f>
        <v>5.9952226170663439</v>
      </c>
      <c r="L23" s="20" t="s">
        <v>12</v>
      </c>
      <c r="N23" s="20" t="s">
        <v>46</v>
      </c>
      <c r="O23" s="20">
        <f xml:space="preserve"> ($C$19 * O22 / 8) * (1 + 4.65 *$C$10^ 2) * ( PI() * $C$44 * O20^3 *$C$6^ 5)</f>
        <v>10904.53293116392</v>
      </c>
      <c r="P23" s="20" t="s">
        <v>29</v>
      </c>
      <c r="R23" s="20" t="s">
        <v>46</v>
      </c>
      <c r="S23" s="20">
        <f xml:space="preserve"> ($C$19 * S22 / 8) * (1 + 4.65 *$C$10^ 2) * ( PI() * $C$44 * S20^3 *$C$6^ 5)</f>
        <v>11037.552114317206</v>
      </c>
      <c r="T23" s="20" t="s">
        <v>29</v>
      </c>
      <c r="V23" s="20" t="s">
        <v>46</v>
      </c>
      <c r="W23" s="20">
        <f xml:space="preserve"> ($C$19 * W22 / 8) * (1 + 4.65 *$C$10^ 2) * ( PI() * $C$44 * W20^3 *$C$6^ 5)</f>
        <v>11077.103270043508</v>
      </c>
      <c r="X23" s="20" t="s">
        <v>29</v>
      </c>
      <c r="AB23" s="8">
        <v>19</v>
      </c>
      <c r="AC23" s="8">
        <f t="shared" si="7"/>
        <v>3.5345077514648438E-2</v>
      </c>
      <c r="AD23" s="8">
        <f t="shared" si="0"/>
        <v>1.821767120178952E-6</v>
      </c>
      <c r="AE23" s="8">
        <f t="shared" si="8"/>
        <v>3.534698486328125E-2</v>
      </c>
      <c r="AF23" s="8">
        <f t="shared" si="1"/>
        <v>-9.9631141975420334E-8</v>
      </c>
      <c r="AG23" s="8">
        <f t="shared" si="3"/>
        <v>3.5346031188964844E-2</v>
      </c>
      <c r="AH23" s="8">
        <f t="shared" si="2"/>
        <v>8.6106807997698986E-7</v>
      </c>
      <c r="AI23" s="8">
        <f t="shared" si="4"/>
        <v>1.5686655163377005E-12</v>
      </c>
      <c r="AJ23" s="8">
        <f t="shared" si="5"/>
        <v>-8.5789196126690064E-14</v>
      </c>
      <c r="AK23" s="8">
        <f t="shared" si="6"/>
        <v>1.9073486328125E-6</v>
      </c>
      <c r="AM23" s="8">
        <v>19</v>
      </c>
      <c r="AN23" s="8">
        <f t="shared" si="13"/>
        <v>1122.13134765625</v>
      </c>
      <c r="AO23" s="8">
        <v>-3.1550549944086015E-3</v>
      </c>
      <c r="AP23" s="8">
        <f t="shared" si="14"/>
        <v>1122.1389770507812</v>
      </c>
      <c r="AQ23" s="8">
        <v>1.5265560421084956E-4</v>
      </c>
      <c r="AR23" s="8">
        <f t="shared" si="9"/>
        <v>1122.1351623535156</v>
      </c>
      <c r="AS23" s="8">
        <v>-1.5013910104926254E-3</v>
      </c>
      <c r="AT23" s="8">
        <f t="shared" si="10"/>
        <v>4.7369712062149343E-6</v>
      </c>
      <c r="AU23" s="8">
        <f t="shared" si="11"/>
        <v>-2.2919575186348969E-7</v>
      </c>
      <c r="AV23" s="8">
        <f t="shared" si="12"/>
        <v>7.62939453125E-3</v>
      </c>
    </row>
    <row r="24" spans="2:48" x14ac:dyDescent="0.2">
      <c r="B24" s="20" t="s">
        <v>224</v>
      </c>
      <c r="C24" s="33">
        <v>1</v>
      </c>
      <c r="D24" s="20" t="s">
        <v>226</v>
      </c>
      <c r="J24" s="31" t="s">
        <v>90</v>
      </c>
      <c r="K24" s="20">
        <f xml:space="preserve"> $C$47 * (8 * ($C$5/1000))</f>
        <v>7.1816871477407407</v>
      </c>
      <c r="L24" s="20" t="s">
        <v>12</v>
      </c>
      <c r="N24" s="20" t="s">
        <v>47</v>
      </c>
      <c r="O24" s="34">
        <f>AG69</f>
        <v>5.0697185564786196E-2</v>
      </c>
      <c r="R24" s="20" t="s">
        <v>47</v>
      </c>
      <c r="S24" s="34">
        <f>AG34</f>
        <v>3.5346885677427053E-2</v>
      </c>
      <c r="V24" s="20" t="s">
        <v>47</v>
      </c>
      <c r="W24" s="34">
        <f>AG104</f>
        <v>2.6188284624367952E-2</v>
      </c>
      <c r="AB24" s="8">
        <v>20</v>
      </c>
      <c r="AC24" s="8">
        <f t="shared" si="7"/>
        <v>3.5346031188964844E-2</v>
      </c>
      <c r="AD24" s="8">
        <f t="shared" si="0"/>
        <v>8.6106807997698986E-7</v>
      </c>
      <c r="AE24" s="8">
        <f t="shared" si="8"/>
        <v>3.534698486328125E-2</v>
      </c>
      <c r="AF24" s="8">
        <f t="shared" si="1"/>
        <v>-9.9631141975420334E-8</v>
      </c>
      <c r="AG24" s="8">
        <f t="shared" si="3"/>
        <v>3.5346508026123047E-2</v>
      </c>
      <c r="AH24" s="8">
        <f t="shared" si="2"/>
        <v>3.8071849171872341E-7</v>
      </c>
      <c r="AI24" s="8">
        <f t="shared" si="4"/>
        <v>3.2782454067597668E-13</v>
      </c>
      <c r="AJ24" s="8">
        <f t="shared" si="5"/>
        <v>-3.7931418101096021E-14</v>
      </c>
      <c r="AK24" s="8">
        <f t="shared" si="6"/>
        <v>9.5367431640625E-7</v>
      </c>
      <c r="AM24" s="8">
        <v>20</v>
      </c>
      <c r="AN24" s="8">
        <f t="shared" si="13"/>
        <v>1122.1351623535156</v>
      </c>
      <c r="AO24" s="8">
        <v>-1.5013910104926254E-3</v>
      </c>
      <c r="AP24" s="8">
        <f t="shared" si="14"/>
        <v>1122.1389770507812</v>
      </c>
      <c r="AQ24" s="8">
        <v>1.5265560421084956E-4</v>
      </c>
      <c r="AR24" s="8">
        <f t="shared" si="9"/>
        <v>1122.1370697021484</v>
      </c>
      <c r="AS24" s="8">
        <v>-6.741749739376246E-4</v>
      </c>
      <c r="AT24" s="8">
        <f t="shared" si="10"/>
        <v>1.0122002453690495E-6</v>
      </c>
      <c r="AU24" s="8">
        <f t="shared" si="11"/>
        <v>-1.0291658799028184E-7</v>
      </c>
      <c r="AV24" s="8">
        <f t="shared" si="12"/>
        <v>3.814697265625E-3</v>
      </c>
    </row>
    <row r="25" spans="2:48" x14ac:dyDescent="0.2">
      <c r="B25" s="20" t="s">
        <v>225</v>
      </c>
      <c r="C25" s="33">
        <v>1</v>
      </c>
      <c r="D25" s="20" t="s">
        <v>226</v>
      </c>
      <c r="F25" s="59" t="s">
        <v>118</v>
      </c>
      <c r="G25" s="60"/>
      <c r="H25" s="60"/>
      <c r="J25" s="31" t="s">
        <v>91</v>
      </c>
      <c r="K25" s="20">
        <f xml:space="preserve"> $C$47 * (13 * ($C$5*2.20462/1000)^1.3 * 0.453592)</f>
        <v>15.314155485043973</v>
      </c>
      <c r="L25" s="20" t="s">
        <v>12</v>
      </c>
      <c r="N25" s="20" t="s">
        <v>48</v>
      </c>
      <c r="O25" s="20">
        <f xml:space="preserve"> O20 * $C$6 * O24 - $C$8 * SIN(O18/180*PI())</f>
        <v>3.1634336826198695</v>
      </c>
      <c r="P25" s="20" t="s">
        <v>16</v>
      </c>
      <c r="R25" s="20" t="s">
        <v>48</v>
      </c>
      <c r="S25" s="20">
        <f xml:space="preserve"> S20 * $C$6 * S24 - $C$8 * SIN(S18/180*PI())</f>
        <v>3.1646811584246213</v>
      </c>
      <c r="T25" s="20" t="s">
        <v>16</v>
      </c>
      <c r="V25" s="20" t="s">
        <v>48</v>
      </c>
      <c r="W25" s="20">
        <f xml:space="preserve"> W20 * $C$6 * W24 - $C$8 * SIN(W18/180*PI())</f>
        <v>3.1654672553608587</v>
      </c>
      <c r="X25" s="20" t="s">
        <v>16</v>
      </c>
      <c r="AB25" s="8">
        <v>21</v>
      </c>
      <c r="AC25" s="8">
        <f t="shared" si="7"/>
        <v>3.5346508026123047E-2</v>
      </c>
      <c r="AD25" s="8">
        <f t="shared" si="0"/>
        <v>3.8071849171872341E-7</v>
      </c>
      <c r="AE25" s="8">
        <f t="shared" si="8"/>
        <v>3.534698486328125E-2</v>
      </c>
      <c r="AF25" s="8">
        <f t="shared" si="1"/>
        <v>-9.9631141975420334E-8</v>
      </c>
      <c r="AG25" s="8">
        <f t="shared" si="3"/>
        <v>3.5346746444702148E-2</v>
      </c>
      <c r="AH25" s="8">
        <f t="shared" si="2"/>
        <v>1.4054368054766675E-7</v>
      </c>
      <c r="AI25" s="8">
        <f t="shared" si="4"/>
        <v>5.3507578078705774E-14</v>
      </c>
      <c r="AJ25" s="8">
        <f t="shared" si="5"/>
        <v>-1.4002527390392707E-14</v>
      </c>
      <c r="AK25" s="8">
        <f t="shared" si="6"/>
        <v>4.76837158203125E-7</v>
      </c>
      <c r="AM25" s="8">
        <v>21</v>
      </c>
      <c r="AN25" s="8">
        <f t="shared" si="13"/>
        <v>1122.1370697021484</v>
      </c>
      <c r="AO25" s="8">
        <v>-6.741749739376246E-4</v>
      </c>
      <c r="AP25" s="8">
        <f t="shared" si="14"/>
        <v>1122.1389770507812</v>
      </c>
      <c r="AQ25" s="8">
        <v>1.5265560421084956E-4</v>
      </c>
      <c r="AR25" s="8">
        <f t="shared" si="9"/>
        <v>1122.1380233764648</v>
      </c>
      <c r="AS25" s="8">
        <v>-2.6075961443439155E-4</v>
      </c>
      <c r="AT25" s="8">
        <f t="shared" si="10"/>
        <v>1.7579760626529095E-7</v>
      </c>
      <c r="AU25" s="8">
        <f t="shared" si="11"/>
        <v>-3.9806416495270209E-8</v>
      </c>
      <c r="AV25" s="8">
        <f t="shared" si="12"/>
        <v>1.9073486328125E-3</v>
      </c>
    </row>
    <row r="26" spans="2:48" x14ac:dyDescent="0.2">
      <c r="F26" s="25" t="s">
        <v>32</v>
      </c>
      <c r="G26" s="20">
        <f xml:space="preserve"> 1/1000 * (S23 + S19 * (S25 * S28 + $C$8 * SIN(S18/180*PI())))</f>
        <v>28.557736712013771</v>
      </c>
      <c r="H26" s="20" t="s">
        <v>162</v>
      </c>
      <c r="J26" s="26" t="s">
        <v>78</v>
      </c>
      <c r="K26" s="26">
        <f>$C$5 - $C$13 - SUM(K13:K25)</f>
        <v>-8.992628863779828E-11</v>
      </c>
      <c r="L26" s="26" t="s">
        <v>12</v>
      </c>
      <c r="N26" s="20" t="s">
        <v>49</v>
      </c>
      <c r="O26" s="20">
        <f xml:space="preserve"> 1/$C$20 - O23 * SQRT( (2*$C$44*PI()*$C$6^2) / O19^3 )</f>
        <v>1.0208401402461464</v>
      </c>
      <c r="R26" s="20" t="s">
        <v>49</v>
      </c>
      <c r="S26" s="20">
        <f xml:space="preserve"> 1/$C$20 - S23 * SQRT( (2*$C$44*PI()*$C$6^2) / S19^3 )</f>
        <v>1.0157209292433373</v>
      </c>
      <c r="V26" s="20" t="s">
        <v>49</v>
      </c>
      <c r="W26" s="20">
        <f xml:space="preserve"> 1/$C$20 - W23 * SQRT( (2*$C$44*PI()*$C$6^2) / W19^3 )</f>
        <v>1.0137895620152637</v>
      </c>
      <c r="AB26" s="8">
        <v>22</v>
      </c>
      <c r="AC26" s="8">
        <f t="shared" si="7"/>
        <v>3.5346746444702148E-2</v>
      </c>
      <c r="AD26" s="8">
        <f t="shared" si="0"/>
        <v>1.4054368054766675E-7</v>
      </c>
      <c r="AE26" s="8">
        <f t="shared" si="8"/>
        <v>3.534698486328125E-2</v>
      </c>
      <c r="AF26" s="8">
        <f t="shared" si="1"/>
        <v>-9.9631141975420334E-8</v>
      </c>
      <c r="AG26" s="8">
        <f t="shared" si="3"/>
        <v>3.5346865653991699E-2</v>
      </c>
      <c r="AH26" s="8">
        <f t="shared" si="2"/>
        <v>2.0456270705127011E-8</v>
      </c>
      <c r="AI26" s="8">
        <f t="shared" si="4"/>
        <v>2.8749995751779643E-15</v>
      </c>
      <c r="AJ26" s="8">
        <f t="shared" si="5"/>
        <v>-2.0380816109101411E-15</v>
      </c>
      <c r="AK26" s="8">
        <f t="shared" si="6"/>
        <v>2.384185791015625E-7</v>
      </c>
      <c r="AM26" s="8">
        <v>22</v>
      </c>
      <c r="AN26" s="8">
        <f t="shared" si="13"/>
        <v>1122.1380233764648</v>
      </c>
      <c r="AO26" s="8">
        <v>-2.6075961443439155E-4</v>
      </c>
      <c r="AP26" s="8">
        <f t="shared" si="14"/>
        <v>1122.1389770507812</v>
      </c>
      <c r="AQ26" s="8">
        <v>1.5265560421084956E-4</v>
      </c>
      <c r="AR26" s="8">
        <f t="shared" si="9"/>
        <v>1122.138500213623</v>
      </c>
      <c r="AS26" s="8">
        <v>-5.4051987376624311E-5</v>
      </c>
      <c r="AT26" s="8">
        <f t="shared" si="10"/>
        <v>1.4094575387741155E-8</v>
      </c>
      <c r="AU26" s="8">
        <f t="shared" si="11"/>
        <v>-8.2513387917757975E-9</v>
      </c>
      <c r="AV26" s="8">
        <f t="shared" si="12"/>
        <v>9.5367431640625E-4</v>
      </c>
    </row>
    <row r="27" spans="2:48" x14ac:dyDescent="0.2">
      <c r="B27" s="61" t="s">
        <v>165</v>
      </c>
      <c r="C27" s="61"/>
      <c r="D27" s="61"/>
      <c r="F27" s="25" t="s">
        <v>33</v>
      </c>
      <c r="G27" s="20">
        <f>$C$17 * G26</f>
        <v>114.23094684805508</v>
      </c>
      <c r="H27" s="20" t="s">
        <v>162</v>
      </c>
      <c r="J27" s="20" t="s">
        <v>79</v>
      </c>
      <c r="K27" s="10" t="str">
        <f>IF(ABS(K26)&lt;0.00001, "TRUE", "FALSE")</f>
        <v>TRUE</v>
      </c>
      <c r="N27" s="20" t="s">
        <v>50</v>
      </c>
      <c r="O27" s="33">
        <v>1.1499999999999999</v>
      </c>
      <c r="R27" s="20" t="s">
        <v>50</v>
      </c>
      <c r="S27" s="33">
        <v>1.1499999999999999</v>
      </c>
      <c r="V27" s="20" t="s">
        <v>50</v>
      </c>
      <c r="W27" s="33">
        <v>1.1499999999999999</v>
      </c>
      <c r="AB27" s="8">
        <v>23</v>
      </c>
      <c r="AC27" s="8">
        <f t="shared" si="7"/>
        <v>3.5346865653991699E-2</v>
      </c>
      <c r="AD27" s="8">
        <f t="shared" si="0"/>
        <v>2.0456270705127011E-8</v>
      </c>
      <c r="AE27" s="8">
        <f t="shared" si="8"/>
        <v>3.534698486328125E-2</v>
      </c>
      <c r="AF27" s="8">
        <f t="shared" si="1"/>
        <v>-9.9631141975420334E-8</v>
      </c>
      <c r="AG27" s="8">
        <f t="shared" si="3"/>
        <v>3.5346925258636475E-2</v>
      </c>
      <c r="AH27" s="8">
        <f t="shared" si="2"/>
        <v>-3.9587435281263073E-8</v>
      </c>
      <c r="AI27" s="8">
        <f t="shared" si="4"/>
        <v>-8.0981129263521323E-16</v>
      </c>
      <c r="AJ27" s="8">
        <f t="shared" si="5"/>
        <v>3.9441413849502852E-15</v>
      </c>
      <c r="AK27" s="8">
        <f t="shared" si="6"/>
        <v>1.1920928955078125E-7</v>
      </c>
      <c r="AM27" s="8">
        <v>23</v>
      </c>
      <c r="AN27" s="8">
        <f t="shared" si="13"/>
        <v>1122.138500213623</v>
      </c>
      <c r="AO27" s="8">
        <v>-5.4051987376624311E-5</v>
      </c>
      <c r="AP27" s="8">
        <f t="shared" si="14"/>
        <v>1122.1389770507812</v>
      </c>
      <c r="AQ27" s="8">
        <v>1.5265560421084956E-4</v>
      </c>
      <c r="AR27" s="8">
        <f t="shared" si="9"/>
        <v>1122.1387386322021</v>
      </c>
      <c r="AS27" s="8">
        <v>5.1357851475586358E-5</v>
      </c>
      <c r="AT27" s="8">
        <f t="shared" si="10"/>
        <v>-2.7759939396489402E-9</v>
      </c>
      <c r="AU27" s="8">
        <f t="shared" si="11"/>
        <v>7.840063847976707E-9</v>
      </c>
      <c r="AV27" s="8">
        <f t="shared" si="12"/>
        <v>4.76837158203125E-4</v>
      </c>
    </row>
    <row r="28" spans="2:48" x14ac:dyDescent="0.2">
      <c r="B28" t="s">
        <v>166</v>
      </c>
      <c r="C28" s="1">
        <v>4</v>
      </c>
      <c r="D28"/>
      <c r="F28" s="25" t="s">
        <v>121</v>
      </c>
      <c r="G28" s="20">
        <f xml:space="preserve"> ($C$14-G17-G37)/$C$8</f>
        <v>1600.2478630521136</v>
      </c>
      <c r="H28" s="20" t="s">
        <v>22</v>
      </c>
      <c r="N28" s="20" t="s">
        <v>51</v>
      </c>
      <c r="O28" s="20">
        <f xml:space="preserve"> 1/$C$50 * LN( EXP($C$50 * O26) + EXP($C$50 * O27) )</f>
        <v>1.1506848684444377</v>
      </c>
      <c r="R28" s="20" t="s">
        <v>51</v>
      </c>
      <c r="S28" s="20">
        <f xml:space="preserve"> 1/$C$50 * LN( EXP($C$50 * S26) + EXP($C$50 * S27) )</f>
        <v>1.1505882221870345</v>
      </c>
      <c r="V28" s="20" t="s">
        <v>51</v>
      </c>
      <c r="W28" s="20">
        <f xml:space="preserve"> 1/$C$50 * LN( EXP($C$50 * W26) + EXP($C$50 * W27) )</f>
        <v>1.1505553828672987</v>
      </c>
      <c r="AB28" s="8">
        <v>24</v>
      </c>
      <c r="AC28" s="8">
        <f t="shared" si="7"/>
        <v>3.5346865653991699E-2</v>
      </c>
      <c r="AD28" s="8">
        <f t="shared" si="0"/>
        <v>2.0456270705127011E-8</v>
      </c>
      <c r="AE28" s="8">
        <f t="shared" si="8"/>
        <v>3.5346925258636475E-2</v>
      </c>
      <c r="AF28" s="8">
        <f t="shared" si="1"/>
        <v>-3.9587435281263073E-8</v>
      </c>
      <c r="AG28" s="8">
        <f t="shared" si="3"/>
        <v>3.5346895456314087E-2</v>
      </c>
      <c r="AH28" s="8">
        <f t="shared" si="2"/>
        <v>-9.565582201331857E-9</v>
      </c>
      <c r="AI28" s="8">
        <f t="shared" si="4"/>
        <v>-1.956761389625892E-16</v>
      </c>
      <c r="AJ28" s="8">
        <f t="shared" si="5"/>
        <v>3.7867686632282684E-16</v>
      </c>
      <c r="AK28" s="8">
        <f t="shared" si="6"/>
        <v>5.9604644775390625E-8</v>
      </c>
      <c r="AM28" s="8">
        <v>24</v>
      </c>
      <c r="AN28" s="8">
        <f t="shared" si="13"/>
        <v>1122.138500213623</v>
      </c>
      <c r="AO28" s="8">
        <v>-5.4051987376624311E-5</v>
      </c>
      <c r="AP28" s="8">
        <f t="shared" si="14"/>
        <v>1122.1387386322021</v>
      </c>
      <c r="AQ28" s="8">
        <v>5.1357851475586358E-5</v>
      </c>
      <c r="AR28" s="8">
        <f t="shared" si="9"/>
        <v>1122.1386194229126</v>
      </c>
      <c r="AS28" s="8">
        <v>1.222392938871053E-6</v>
      </c>
      <c r="AT28" s="8">
        <f t="shared" si="10"/>
        <v>-6.6072767701132852E-11</v>
      </c>
      <c r="AU28" s="8">
        <f t="shared" si="11"/>
        <v>6.2779474999345056E-11</v>
      </c>
      <c r="AV28" s="8">
        <f t="shared" si="12"/>
        <v>2.384185791015625E-4</v>
      </c>
    </row>
    <row r="29" spans="2:48" x14ac:dyDescent="0.2">
      <c r="B29" t="s">
        <v>167</v>
      </c>
      <c r="C29" s="1">
        <v>5.2</v>
      </c>
      <c r="D29" t="s">
        <v>14</v>
      </c>
      <c r="F29" t="s">
        <v>214</v>
      </c>
      <c r="G29" s="24">
        <f>S20*$C$6</f>
        <v>166.4202777063266</v>
      </c>
      <c r="H29" s="20" t="s">
        <v>16</v>
      </c>
      <c r="J29" s="58" t="s">
        <v>196</v>
      </c>
      <c r="K29" s="58"/>
      <c r="L29" s="58"/>
      <c r="AB29" s="8">
        <v>25</v>
      </c>
      <c r="AC29" s="8">
        <f t="shared" si="7"/>
        <v>3.5346865653991699E-2</v>
      </c>
      <c r="AD29" s="8">
        <f t="shared" si="0"/>
        <v>2.0456270705127011E-8</v>
      </c>
      <c r="AE29" s="8">
        <f t="shared" si="8"/>
        <v>3.5346895456314087E-2</v>
      </c>
      <c r="AF29" s="8">
        <f t="shared" si="1"/>
        <v>-9.565582201331857E-9</v>
      </c>
      <c r="AG29" s="8">
        <f t="shared" si="3"/>
        <v>3.5346880555152893E-2</v>
      </c>
      <c r="AH29" s="8">
        <f t="shared" si="2"/>
        <v>5.4453442727142587E-9</v>
      </c>
      <c r="AI29" s="8">
        <f t="shared" si="4"/>
        <v>1.1139143652525584E-16</v>
      </c>
      <c r="AJ29" s="8">
        <f t="shared" si="5"/>
        <v>-5.2087888255199881E-17</v>
      </c>
      <c r="AK29" s="8">
        <f t="shared" si="6"/>
        <v>2.9802322387695312E-8</v>
      </c>
      <c r="AM29" s="8">
        <v>25</v>
      </c>
      <c r="AN29" s="8">
        <f t="shared" si="13"/>
        <v>1122.138500213623</v>
      </c>
      <c r="AO29" s="8">
        <v>-5.4051987376624311E-5</v>
      </c>
      <c r="AP29" s="8">
        <f t="shared" si="14"/>
        <v>1122.1386194229126</v>
      </c>
      <c r="AQ29" s="8">
        <v>1.222392938871053E-6</v>
      </c>
      <c r="AR29" s="8">
        <f t="shared" si="9"/>
        <v>1122.1385598182678</v>
      </c>
      <c r="AS29" s="8">
        <v>-2.6286269303454901E-5</v>
      </c>
      <c r="AT29" s="8">
        <f t="shared" si="10"/>
        <v>1.4208250965688915E-9</v>
      </c>
      <c r="AU29" s="8">
        <f t="shared" si="11"/>
        <v>-3.2132149985806185E-11</v>
      </c>
      <c r="AV29" s="8">
        <f t="shared" si="12"/>
        <v>1.1920928955078125E-4</v>
      </c>
    </row>
    <row r="30" spans="2:48" x14ac:dyDescent="0.2">
      <c r="B30" t="s">
        <v>168</v>
      </c>
      <c r="C30" s="1">
        <v>1.8</v>
      </c>
      <c r="D30" t="s">
        <v>14</v>
      </c>
      <c r="F30" s="20" t="s">
        <v>217</v>
      </c>
      <c r="G30" s="20">
        <f>G29/$C$45</f>
        <v>0.48887325421345235</v>
      </c>
      <c r="H30" s="20" t="s">
        <v>215</v>
      </c>
      <c r="J30" s="20" t="s">
        <v>81</v>
      </c>
      <c r="K30" s="20">
        <f>$C$13</f>
        <v>400</v>
      </c>
      <c r="L30" s="20" t="s">
        <v>12</v>
      </c>
      <c r="AB30" s="8">
        <v>26</v>
      </c>
      <c r="AC30" s="8">
        <f t="shared" si="7"/>
        <v>3.5346880555152893E-2</v>
      </c>
      <c r="AD30" s="8">
        <f t="shared" si="0"/>
        <v>5.4453442727142587E-9</v>
      </c>
      <c r="AE30" s="8">
        <f t="shared" si="8"/>
        <v>3.5346895456314087E-2</v>
      </c>
      <c r="AF30" s="8">
        <f t="shared" si="1"/>
        <v>-9.565582201331857E-9</v>
      </c>
      <c r="AG30" s="8">
        <f t="shared" si="3"/>
        <v>3.534688800573349E-2</v>
      </c>
      <c r="AH30" s="8">
        <f t="shared" si="2"/>
        <v>-2.0601189573699052E-9</v>
      </c>
      <c r="AI30" s="8">
        <f t="shared" si="4"/>
        <v>-1.1218056965624284E-17</v>
      </c>
      <c r="AJ30" s="8">
        <f t="shared" si="5"/>
        <v>1.9706237231243909E-17</v>
      </c>
      <c r="AK30" s="8">
        <f t="shared" si="6"/>
        <v>1.4901161193847656E-8</v>
      </c>
      <c r="AM30" s="8">
        <v>26</v>
      </c>
      <c r="AN30" s="8">
        <f t="shared" si="13"/>
        <v>1122.1385598182678</v>
      </c>
      <c r="AO30" s="8">
        <v>-2.6286269303454901E-5</v>
      </c>
      <c r="AP30" s="8">
        <f t="shared" si="14"/>
        <v>1122.1386194229126</v>
      </c>
      <c r="AQ30" s="8">
        <v>1.222392938871053E-6</v>
      </c>
      <c r="AR30" s="8">
        <f t="shared" si="9"/>
        <v>1122.1385896205902</v>
      </c>
      <c r="AS30" s="8">
        <v>-1.2852912732341792E-5</v>
      </c>
      <c r="AT30" s="8">
        <f t="shared" si="10"/>
        <v>3.3785512541614072E-10</v>
      </c>
      <c r="AU30" s="8">
        <f t="shared" si="11"/>
        <v>-1.571130976794046E-11</v>
      </c>
      <c r="AV30" s="8">
        <f t="shared" si="12"/>
        <v>5.9604644775390625E-5</v>
      </c>
    </row>
    <row r="31" spans="2:48" x14ac:dyDescent="0.2">
      <c r="J31" s="27" t="s">
        <v>74</v>
      </c>
      <c r="K31" s="20">
        <f>K13</f>
        <v>408.63233900828749</v>
      </c>
      <c r="L31" s="20" t="s">
        <v>12</v>
      </c>
      <c r="AB31" s="8">
        <v>27</v>
      </c>
      <c r="AC31" s="8">
        <f t="shared" si="7"/>
        <v>3.5346880555152893E-2</v>
      </c>
      <c r="AD31" s="8">
        <f t="shared" si="0"/>
        <v>5.4453442727142587E-9</v>
      </c>
      <c r="AE31" s="8">
        <f t="shared" si="8"/>
        <v>3.534688800573349E-2</v>
      </c>
      <c r="AF31" s="8">
        <f t="shared" si="1"/>
        <v>-2.0601189573699052E-9</v>
      </c>
      <c r="AG31" s="8">
        <f t="shared" si="3"/>
        <v>3.5346884280443192E-2</v>
      </c>
      <c r="AH31" s="8">
        <f t="shared" si="2"/>
        <v>1.6926126611416237E-9</v>
      </c>
      <c r="AI31" s="8">
        <f t="shared" si="4"/>
        <v>9.21685866027118E-18</v>
      </c>
      <c r="AJ31" s="8">
        <f t="shared" si="5"/>
        <v>-3.4869834307021821E-18</v>
      </c>
      <c r="AK31" s="8">
        <f t="shared" si="6"/>
        <v>7.4505805969238281E-9</v>
      </c>
      <c r="AM31" s="8">
        <v>27</v>
      </c>
      <c r="AN31" s="8">
        <f t="shared" si="13"/>
        <v>1122.1385896205902</v>
      </c>
      <c r="AO31" s="8">
        <v>-1.2852912732341792E-5</v>
      </c>
      <c r="AP31" s="8">
        <f t="shared" si="14"/>
        <v>1122.1386194229126</v>
      </c>
      <c r="AQ31" s="8">
        <v>1.222392938871053E-6</v>
      </c>
      <c r="AR31" s="8">
        <f t="shared" si="9"/>
        <v>1122.1386045217514</v>
      </c>
      <c r="AS31" s="8">
        <v>-5.8152598967353697E-6</v>
      </c>
      <c r="AT31" s="8">
        <f t="shared" si="10"/>
        <v>7.474302796862665E-11</v>
      </c>
      <c r="AU31" s="8">
        <f t="shared" si="11"/>
        <v>-7.108532635469325E-12</v>
      </c>
      <c r="AV31" s="8">
        <f t="shared" si="12"/>
        <v>2.9802322387695312E-5</v>
      </c>
    </row>
    <row r="32" spans="2:48" x14ac:dyDescent="0.2">
      <c r="B32" s="61" t="s">
        <v>169</v>
      </c>
      <c r="C32" s="61"/>
      <c r="D32" s="61"/>
      <c r="F32" s="63" t="s">
        <v>131</v>
      </c>
      <c r="G32" s="64"/>
      <c r="H32" s="64"/>
      <c r="J32" s="35" t="s">
        <v>108</v>
      </c>
      <c r="K32" s="20">
        <f>SUM(K14:K16)</f>
        <v>131.1774662019821</v>
      </c>
      <c r="L32" s="20" t="s">
        <v>12</v>
      </c>
      <c r="AB32" s="8">
        <v>28</v>
      </c>
      <c r="AC32" s="8">
        <f t="shared" si="7"/>
        <v>3.5346884280443192E-2</v>
      </c>
      <c r="AD32" s="8">
        <f t="shared" si="0"/>
        <v>1.6926126611416237E-9</v>
      </c>
      <c r="AE32" s="8">
        <f t="shared" si="8"/>
        <v>3.534688800573349E-2</v>
      </c>
      <c r="AF32" s="8">
        <f t="shared" si="1"/>
        <v>-2.0601189573699052E-9</v>
      </c>
      <c r="AG32" s="8">
        <f t="shared" si="3"/>
        <v>3.5346886143088341E-2</v>
      </c>
      <c r="AH32" s="8">
        <f t="shared" si="2"/>
        <v>-1.8375314464469383E-10</v>
      </c>
      <c r="AI32" s="8">
        <f t="shared" si="4"/>
        <v>-3.1102289915019692E-19</v>
      </c>
      <c r="AJ32" s="8">
        <f t="shared" si="5"/>
        <v>3.7855333675886805E-19</v>
      </c>
      <c r="AK32" s="8">
        <f t="shared" si="6"/>
        <v>3.7252902984619141E-9</v>
      </c>
      <c r="AM32" s="8">
        <v>28</v>
      </c>
      <c r="AN32" s="8">
        <f t="shared" si="13"/>
        <v>1122.1386045217514</v>
      </c>
      <c r="AO32" s="8">
        <v>-5.8152598967353697E-6</v>
      </c>
      <c r="AP32" s="8">
        <f t="shared" si="14"/>
        <v>1122.1386194229126</v>
      </c>
      <c r="AQ32" s="8">
        <v>1.222392938871053E-6</v>
      </c>
      <c r="AR32" s="8">
        <f t="shared" si="9"/>
        <v>1122.138611972332</v>
      </c>
      <c r="AS32" s="8">
        <v>-2.2964335357755772E-6</v>
      </c>
      <c r="AT32" s="8">
        <f t="shared" si="10"/>
        <v>1.3354357846113923E-11</v>
      </c>
      <c r="AU32" s="8">
        <f t="shared" si="11"/>
        <v>-2.8071441387187513E-12</v>
      </c>
      <c r="AV32" s="8">
        <f t="shared" si="12"/>
        <v>1.4901161193847656E-5</v>
      </c>
    </row>
    <row r="33" spans="2:48" x14ac:dyDescent="0.2">
      <c r="B33" s="20" t="s">
        <v>202</v>
      </c>
      <c r="C33" s="37" t="s">
        <v>203</v>
      </c>
      <c r="F33" s="4" t="s">
        <v>154</v>
      </c>
      <c r="G33" s="1">
        <f>$C$8</f>
        <v>50</v>
      </c>
      <c r="H33" t="s">
        <v>16</v>
      </c>
      <c r="J33" s="36" t="s">
        <v>95</v>
      </c>
      <c r="K33" s="20">
        <f>SUM(K17:K21)</f>
        <v>129.77909442952836</v>
      </c>
      <c r="L33" s="20" t="s">
        <v>12</v>
      </c>
      <c r="AB33" s="8">
        <v>29</v>
      </c>
      <c r="AC33" s="8">
        <f t="shared" si="7"/>
        <v>3.5346884280443192E-2</v>
      </c>
      <c r="AD33" s="8">
        <f t="shared" si="0"/>
        <v>1.6926126611416237E-9</v>
      </c>
      <c r="AE33" s="8">
        <f t="shared" si="8"/>
        <v>3.5346886143088341E-2</v>
      </c>
      <c r="AF33" s="8">
        <f t="shared" si="1"/>
        <v>-1.8375314464469383E-10</v>
      </c>
      <c r="AG33" s="8">
        <f t="shared" si="3"/>
        <v>3.5346885211765766E-2</v>
      </c>
      <c r="AH33" s="8">
        <f t="shared" si="2"/>
        <v>7.5442975477901797E-10</v>
      </c>
      <c r="AI33" s="8">
        <f t="shared" si="4"/>
        <v>1.2769573548809362E-18</v>
      </c>
      <c r="AJ33" s="8">
        <f t="shared" si="5"/>
        <v>-1.3862883985416979E-19</v>
      </c>
      <c r="AK33" s="8">
        <f t="shared" si="6"/>
        <v>1.862645149230957E-9</v>
      </c>
      <c r="AM33" s="8">
        <v>29</v>
      </c>
      <c r="AN33" s="8">
        <f t="shared" si="13"/>
        <v>1122.138611972332</v>
      </c>
      <c r="AO33" s="8">
        <v>-2.2964335357755772E-6</v>
      </c>
      <c r="AP33" s="8">
        <f t="shared" si="14"/>
        <v>1122.1386194229126</v>
      </c>
      <c r="AQ33" s="8">
        <v>1.222392938871053E-6</v>
      </c>
      <c r="AR33" s="8">
        <f t="shared" si="9"/>
        <v>1122.1386156976223</v>
      </c>
      <c r="AS33" s="8">
        <v>-5.3702046898251865E-7</v>
      </c>
      <c r="AT33" s="8">
        <f t="shared" si="10"/>
        <v>1.233231814369384E-12</v>
      </c>
      <c r="AU33" s="8">
        <f t="shared" si="11"/>
        <v>-6.5645002931345216E-13</v>
      </c>
      <c r="AV33" s="8">
        <f t="shared" si="12"/>
        <v>7.4505805969238281E-6</v>
      </c>
    </row>
    <row r="34" spans="2:48" x14ac:dyDescent="0.2">
      <c r="B34" s="20" t="s">
        <v>204</v>
      </c>
      <c r="C34" s="20">
        <f>IF(C33="wheeled",0.0325,0.014)</f>
        <v>3.2500000000000001E-2</v>
      </c>
      <c r="F34" t="s">
        <v>126</v>
      </c>
      <c r="G34" s="1">
        <v>1.524</v>
      </c>
      <c r="H34" t="s">
        <v>16</v>
      </c>
      <c r="J34" s="31" t="s">
        <v>96</v>
      </c>
      <c r="K34" s="20">
        <f>SUM(K22:K25)</f>
        <v>52.549717194782545</v>
      </c>
      <c r="L34" s="20" t="s">
        <v>12</v>
      </c>
      <c r="AB34" s="8">
        <v>30</v>
      </c>
      <c r="AC34" s="8">
        <f t="shared" si="7"/>
        <v>3.5346885211765766E-2</v>
      </c>
      <c r="AD34" s="8">
        <f t="shared" si="0"/>
        <v>7.5442975477901797E-10</v>
      </c>
      <c r="AE34" s="8">
        <f t="shared" si="8"/>
        <v>3.5346886143088341E-2</v>
      </c>
      <c r="AF34" s="8">
        <f t="shared" si="1"/>
        <v>-1.8375314464469383E-10</v>
      </c>
      <c r="AG34" s="8">
        <f t="shared" si="3"/>
        <v>3.5346885677427053E-2</v>
      </c>
      <c r="AH34" s="8">
        <f t="shared" si="2"/>
        <v>2.8533830853660902E-10</v>
      </c>
      <c r="AI34" s="8">
        <f t="shared" si="4"/>
        <v>2.1526771013833371E-19</v>
      </c>
      <c r="AJ34" s="8">
        <f t="shared" si="5"/>
        <v>-5.2431811481199794E-20</v>
      </c>
      <c r="AK34" s="8">
        <f t="shared" si="6"/>
        <v>9.3132257461547852E-10</v>
      </c>
      <c r="AM34" s="8">
        <v>30</v>
      </c>
      <c r="AN34" s="8">
        <f t="shared" si="13"/>
        <v>1122.1386156976223</v>
      </c>
      <c r="AO34" s="8">
        <v>-5.3702046898251865E-7</v>
      </c>
      <c r="AP34" s="8">
        <f t="shared" si="14"/>
        <v>1122.1386194229126</v>
      </c>
      <c r="AQ34" s="8">
        <v>1.222392938871053E-6</v>
      </c>
      <c r="AR34" s="8">
        <f t="shared" si="9"/>
        <v>1122.1386175602674</v>
      </c>
      <c r="AS34" s="8">
        <v>3.4268680337845581E-7</v>
      </c>
      <c r="AT34" s="8">
        <f t="shared" si="10"/>
        <v>-1.8402982786441849E-13</v>
      </c>
      <c r="AU34" s="8">
        <f t="shared" si="11"/>
        <v>4.188979286941173E-13</v>
      </c>
      <c r="AV34" s="8">
        <f t="shared" si="12"/>
        <v>3.7252902984619141E-6</v>
      </c>
    </row>
    <row r="35" spans="2:48" x14ac:dyDescent="0.2">
      <c r="B35" t="s">
        <v>170</v>
      </c>
      <c r="C35" s="1">
        <v>0.3</v>
      </c>
      <c r="D35" t="s">
        <v>14</v>
      </c>
      <c r="F35" t="s">
        <v>125</v>
      </c>
      <c r="G35" s="1">
        <v>304.8</v>
      </c>
      <c r="H35" t="s">
        <v>14</v>
      </c>
      <c r="J35" s="26" t="s">
        <v>83</v>
      </c>
      <c r="K35" s="26">
        <f>SUM(K30:K34)</f>
        <v>1122.1386168345805</v>
      </c>
      <c r="L35" s="20" t="s">
        <v>12</v>
      </c>
      <c r="AM35" s="8">
        <v>31</v>
      </c>
      <c r="AN35" s="8">
        <f t="shared" si="13"/>
        <v>1122.1386156976223</v>
      </c>
      <c r="AO35" s="20">
        <v>-5.3702046898251865E-7</v>
      </c>
      <c r="AP35" s="8">
        <f t="shared" si="14"/>
        <v>1122.1386175602674</v>
      </c>
      <c r="AQ35" s="20">
        <v>3.4268680337845581E-7</v>
      </c>
      <c r="AR35" s="8">
        <f t="shared" si="9"/>
        <v>1122.1386166289449</v>
      </c>
      <c r="AS35" s="20">
        <v>-9.7167230705963448E-8</v>
      </c>
      <c r="AT35" s="8">
        <f t="shared" si="10"/>
        <v>5.2180791803449077E-14</v>
      </c>
      <c r="AU35" s="8">
        <f t="shared" si="11"/>
        <v>-3.329792768376355E-14</v>
      </c>
      <c r="AV35" s="8">
        <f t="shared" si="12"/>
        <v>1.862645149230957E-6</v>
      </c>
    </row>
    <row r="36" spans="2:48" x14ac:dyDescent="0.2">
      <c r="B36" t="s">
        <v>171</v>
      </c>
      <c r="C36" s="1">
        <v>5.7</v>
      </c>
      <c r="D36"/>
      <c r="F36" t="s">
        <v>127</v>
      </c>
      <c r="G36" s="20">
        <f>SQRT($G$33^2-$G$34^2)</f>
        <v>49.976768843133506</v>
      </c>
      <c r="H36" t="s">
        <v>16</v>
      </c>
      <c r="AM36" s="8">
        <v>32</v>
      </c>
      <c r="AN36" s="8">
        <f t="shared" si="13"/>
        <v>1122.1386166289449</v>
      </c>
      <c r="AO36" s="20">
        <v>-9.7167230705963448E-8</v>
      </c>
      <c r="AP36" s="8">
        <f t="shared" si="14"/>
        <v>1122.1386175602674</v>
      </c>
      <c r="AQ36" s="20">
        <v>3.4268680337845581E-7</v>
      </c>
      <c r="AR36" s="8">
        <f t="shared" si="9"/>
        <v>1122.1386170946062</v>
      </c>
      <c r="AS36" s="20">
        <v>1.2275984317966504E-7</v>
      </c>
      <c r="AT36" s="8">
        <f t="shared" si="10"/>
        <v>-1.1928234003666406E-14</v>
      </c>
      <c r="AU36" s="8">
        <f t="shared" si="11"/>
        <v>4.2068178242479943E-14</v>
      </c>
      <c r="AV36" s="8">
        <f t="shared" si="12"/>
        <v>9.3132257461547852E-7</v>
      </c>
    </row>
    <row r="37" spans="2:48" x14ac:dyDescent="0.2">
      <c r="F37" t="s">
        <v>128</v>
      </c>
      <c r="G37" s="20">
        <f>$G$36*($G$35/$G$34)</f>
        <v>9995.3537686267009</v>
      </c>
      <c r="H37" t="s">
        <v>14</v>
      </c>
      <c r="J37" s="58" t="s">
        <v>80</v>
      </c>
      <c r="K37" s="58"/>
      <c r="L37" s="58"/>
      <c r="AB37" s="32" t="s">
        <v>142</v>
      </c>
      <c r="AM37" s="8">
        <v>33</v>
      </c>
      <c r="AN37" s="8">
        <f t="shared" si="13"/>
        <v>1122.1386166289449</v>
      </c>
      <c r="AO37" s="20">
        <v>-9.7167230705963448E-8</v>
      </c>
      <c r="AP37" s="8">
        <f t="shared" si="14"/>
        <v>1122.1386170946062</v>
      </c>
      <c r="AQ37" s="20">
        <v>1.2275984317966504E-7</v>
      </c>
      <c r="AR37" s="8">
        <f t="shared" si="9"/>
        <v>1122.1386168617755</v>
      </c>
      <c r="AS37" s="20">
        <v>1.2796135706594214E-8</v>
      </c>
      <c r="AT37" s="8">
        <f t="shared" si="10"/>
        <v>-1.2433650703474566E-15</v>
      </c>
      <c r="AU37" s="8">
        <f t="shared" si="11"/>
        <v>1.570851612647218E-15</v>
      </c>
      <c r="AV37" s="8">
        <f t="shared" si="12"/>
        <v>4.6566128730773926E-7</v>
      </c>
    </row>
    <row r="38" spans="2:48" x14ac:dyDescent="0.2">
      <c r="B38" s="58" t="s">
        <v>6</v>
      </c>
      <c r="C38" s="58"/>
      <c r="D38" s="58"/>
      <c r="F38" t="s">
        <v>152</v>
      </c>
      <c r="G38" s="20">
        <f>ATAN(G34/G36)/PI()*180</f>
        <v>1.7466458786346903</v>
      </c>
      <c r="H38" t="s">
        <v>62</v>
      </c>
      <c r="J38" s="20" t="s">
        <v>81</v>
      </c>
      <c r="K38" s="20">
        <f>ROUND($C$13/$C$5 * 100, 2)</f>
        <v>35.65</v>
      </c>
      <c r="L38" s="20" t="s">
        <v>82</v>
      </c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1122.1386166289449</v>
      </c>
      <c r="AO38" s="20">
        <v>-9.7167230705963448E-8</v>
      </c>
      <c r="AP38" s="8">
        <f t="shared" si="14"/>
        <v>1122.1386168617755</v>
      </c>
      <c r="AQ38" s="20">
        <v>1.2796135706594214E-8</v>
      </c>
      <c r="AR38" s="8">
        <f t="shared" si="9"/>
        <v>1122.1386167453602</v>
      </c>
      <c r="AS38" s="20">
        <v>-4.2184979065496009E-8</v>
      </c>
      <c r="AT38" s="8">
        <f t="shared" si="10"/>
        <v>4.098997593183289E-15</v>
      </c>
      <c r="AU38" s="8">
        <f t="shared" si="11"/>
        <v>-5.3980471690192289E-16</v>
      </c>
      <c r="AV38" s="8">
        <f t="shared" si="12"/>
        <v>2.3283064365386963E-7</v>
      </c>
    </row>
    <row r="39" spans="2:48" x14ac:dyDescent="0.2">
      <c r="B39" s="20" t="s">
        <v>7</v>
      </c>
      <c r="C39" s="33">
        <v>250</v>
      </c>
      <c r="D39" s="20" t="s">
        <v>8</v>
      </c>
      <c r="F39" t="s">
        <v>155</v>
      </c>
      <c r="G39" s="20">
        <f xml:space="preserve"> 1/1000 * (W23 + W19 * (W28 * W25 + $G$33 * SIN(W18/180*PI())))</f>
        <v>24.390195417512732</v>
      </c>
      <c r="H39" t="s">
        <v>162</v>
      </c>
      <c r="J39" s="27" t="s">
        <v>74</v>
      </c>
      <c r="K39" s="20">
        <f>ROUND(K13/$C$5 * 100, 2)</f>
        <v>36.42</v>
      </c>
      <c r="L39" s="20" t="s">
        <v>82</v>
      </c>
      <c r="AB39" s="8">
        <v>0</v>
      </c>
      <c r="AC39" s="9">
        <v>0</v>
      </c>
      <c r="AD39" s="8">
        <f t="shared" ref="AD39:AD69" si="15" xml:space="preserve"> $C$10 * TAN($O$18/180*PI()) + $O$21 / (2 * SQRT($C$10^2 + AC39^2)) - AC39</f>
        <v>5.0967789979182408E-2</v>
      </c>
      <c r="AE39" s="9">
        <v>1</v>
      </c>
      <c r="AF39" s="8">
        <f xml:space="preserve"> $C$10 * TAN($O$18/180*PI()) + $O$21 / (2 * SQRT($C$10^2 + AE39^2)) - AE39</f>
        <v>-0.96282650976216266</v>
      </c>
      <c r="AG39" s="8">
        <f xml:space="preserve"> (AC39 + AE39)/2</f>
        <v>0.5</v>
      </c>
      <c r="AH39" s="8">
        <f t="shared" ref="AH39:AH69" si="16" xml:space="preserve"> $C$10 * TAN($O$18/180*PI()) + $O$21 / (2 * SQRT($C$10^2 + AG39^2)) - AG39</f>
        <v>-0.45842977012018005</v>
      </c>
      <c r="AI39" s="8">
        <f>AD39*AH39</f>
        <v>-2.3365152243690207E-2</v>
      </c>
      <c r="AJ39" s="8">
        <f>AF39*AH39</f>
        <v>0.44138833553588352</v>
      </c>
      <c r="AK39" s="8">
        <f>AE39-AC39</f>
        <v>1</v>
      </c>
      <c r="AM39" s="8">
        <v>35</v>
      </c>
      <c r="AN39" s="8">
        <f t="shared" si="13"/>
        <v>1122.1386167453602</v>
      </c>
      <c r="AO39" s="20">
        <v>-4.2184979065496009E-8</v>
      </c>
      <c r="AP39" s="8">
        <f t="shared" si="14"/>
        <v>1122.1386168617755</v>
      </c>
      <c r="AQ39" s="20">
        <v>1.2796135706594214E-8</v>
      </c>
      <c r="AR39" s="8">
        <f t="shared" si="9"/>
        <v>1122.1386168035679</v>
      </c>
      <c r="AS39" s="20">
        <v>-1.4694364836032037E-8</v>
      </c>
      <c r="AT39" s="8">
        <f t="shared" si="10"/>
        <v>6.1988147298877216E-16</v>
      </c>
      <c r="AU39" s="8">
        <f t="shared" si="11"/>
        <v>-1.8803108656407198E-16</v>
      </c>
      <c r="AV39" s="8">
        <f t="shared" si="12"/>
        <v>1.1641532182693481E-7</v>
      </c>
    </row>
    <row r="40" spans="2:48" x14ac:dyDescent="0.2">
      <c r="B40" s="20" t="s">
        <v>9</v>
      </c>
      <c r="C40" s="33">
        <v>0.85</v>
      </c>
      <c r="F40" t="s">
        <v>133</v>
      </c>
      <c r="G40" s="20">
        <f>$C$17*G39</f>
        <v>97.560781670050929</v>
      </c>
      <c r="H40" t="s">
        <v>162</v>
      </c>
      <c r="J40" s="35" t="s">
        <v>108</v>
      </c>
      <c r="K40" s="20">
        <f>ROUND(SUM(K14:K16)/$C$5 * 100, 2)</f>
        <v>11.69</v>
      </c>
      <c r="L40" s="20" t="s">
        <v>82</v>
      </c>
      <c r="AB40" s="8">
        <v>1</v>
      </c>
      <c r="AC40" s="8">
        <f>IF(AI39&gt;0, AG39, AC39)</f>
        <v>0</v>
      </c>
      <c r="AD40" s="8">
        <f t="shared" si="15"/>
        <v>5.0967789979182408E-2</v>
      </c>
      <c r="AE40" s="8">
        <f>IF(AJ39&gt;0, AG39, AE39)</f>
        <v>0.5</v>
      </c>
      <c r="AF40" s="8">
        <f t="shared" ref="AF40:AF69" si="17" xml:space="preserve"> $C$10 * TAN($O$18/180*PI()) + $O$21 / (2 * SQRT($C$10^2 + AE40^2)) - AE40</f>
        <v>-0.45842977012018005</v>
      </c>
      <c r="AG40" s="8">
        <f t="shared" ref="AG40:AG69" si="18" xml:space="preserve"> (AC40 + AE40)/2</f>
        <v>0.25</v>
      </c>
      <c r="AH40" s="8">
        <f t="shared" si="16"/>
        <v>-0.20351858574067364</v>
      </c>
      <c r="AI40" s="8">
        <f t="shared" ref="AI40:AI69" si="19">AD40*AH40</f>
        <v>-1.0372892534890881E-2</v>
      </c>
      <c r="AJ40" s="8">
        <f t="shared" ref="AJ40:AJ69" si="20">AF40*AH40</f>
        <v>9.3298978476281172E-2</v>
      </c>
      <c r="AK40" s="8">
        <f t="shared" ref="AK40:AK69" si="21">AE40-AC40</f>
        <v>0.5</v>
      </c>
      <c r="AM40" s="8">
        <v>36</v>
      </c>
      <c r="AN40" s="8">
        <f t="shared" si="13"/>
        <v>1122.1386168035679</v>
      </c>
      <c r="AO40" s="20">
        <v>-1.4694364836032037E-8</v>
      </c>
      <c r="AP40" s="8">
        <f t="shared" si="14"/>
        <v>1122.1386168617755</v>
      </c>
      <c r="AQ40" s="20">
        <v>1.2796135706594214E-8</v>
      </c>
      <c r="AR40" s="8">
        <f t="shared" si="9"/>
        <v>1122.1386168326717</v>
      </c>
      <c r="AS40" s="20">
        <v>-9.4905772130005062E-10</v>
      </c>
      <c r="AT40" s="8">
        <f t="shared" si="10"/>
        <v>1.3945800407236157E-17</v>
      </c>
      <c r="AU40" s="8">
        <f t="shared" si="11"/>
        <v>-1.2144271395146518E-17</v>
      </c>
      <c r="AV40" s="8">
        <f t="shared" si="12"/>
        <v>5.8207660913467407E-8</v>
      </c>
    </row>
    <row r="41" spans="2:48" x14ac:dyDescent="0.2">
      <c r="B41" s="20" t="s">
        <v>10</v>
      </c>
      <c r="C41" s="33">
        <v>0.8</v>
      </c>
      <c r="F41" t="s">
        <v>132</v>
      </c>
      <c r="G41" s="20">
        <f>$G$35/$G$34</f>
        <v>200</v>
      </c>
      <c r="H41" t="s">
        <v>22</v>
      </c>
      <c r="J41" s="36" t="s">
        <v>95</v>
      </c>
      <c r="K41" s="20">
        <f>ROUND(SUM(K17:K21)/$C$5 * 100, 2)</f>
        <v>11.57</v>
      </c>
      <c r="L41" s="20" t="s">
        <v>82</v>
      </c>
      <c r="AB41" s="8">
        <v>2</v>
      </c>
      <c r="AC41" s="8">
        <f t="shared" ref="AC41:AC69" si="22">IF(AI40&gt;0, AG40, AC40)</f>
        <v>0</v>
      </c>
      <c r="AD41" s="8">
        <f t="shared" si="15"/>
        <v>5.0967789979182408E-2</v>
      </c>
      <c r="AE41" s="8">
        <f t="shared" ref="AE41:AE69" si="23">IF(AJ40&gt;0, AG40, AE40)</f>
        <v>0.25</v>
      </c>
      <c r="AF41" s="8">
        <f t="shared" si="17"/>
        <v>-0.20351858574067364</v>
      </c>
      <c r="AG41" s="8">
        <f t="shared" si="18"/>
        <v>0.125</v>
      </c>
      <c r="AH41" s="8">
        <f t="shared" si="16"/>
        <v>-7.5521155269996754E-2</v>
      </c>
      <c r="AI41" s="8">
        <f t="shared" si="19"/>
        <v>-3.8491463807864192E-3</v>
      </c>
      <c r="AJ41" s="8">
        <f t="shared" si="20"/>
        <v>1.536995871405156E-2</v>
      </c>
      <c r="AK41" s="8">
        <f t="shared" si="21"/>
        <v>0.25</v>
      </c>
      <c r="AM41" s="8">
        <v>37</v>
      </c>
      <c r="AN41" s="8">
        <f t="shared" si="13"/>
        <v>1122.1386168326717</v>
      </c>
      <c r="AO41" s="20">
        <v>-9.4905772130005062E-10</v>
      </c>
      <c r="AP41" s="8">
        <f t="shared" si="14"/>
        <v>1122.1386168617755</v>
      </c>
      <c r="AQ41" s="20">
        <v>1.2796135706594214E-8</v>
      </c>
      <c r="AR41" s="8">
        <f t="shared" si="9"/>
        <v>1122.1386168472236</v>
      </c>
      <c r="AS41" s="20">
        <v>5.9236526794848032E-9</v>
      </c>
      <c r="AT41" s="8">
        <f t="shared" si="10"/>
        <v>-5.6218883137647864E-18</v>
      </c>
      <c r="AU41" s="8">
        <f t="shared" si="11"/>
        <v>7.5799863565417981E-17</v>
      </c>
      <c r="AV41" s="8">
        <f t="shared" si="12"/>
        <v>2.9103830456733704E-8</v>
      </c>
    </row>
    <row r="42" spans="2:48" x14ac:dyDescent="0.2">
      <c r="F42" t="s">
        <v>214</v>
      </c>
      <c r="G42" s="24">
        <f>W20*$C$6</f>
        <v>166.61882015818696</v>
      </c>
      <c r="H42" s="20" t="s">
        <v>16</v>
      </c>
      <c r="J42" s="31" t="s">
        <v>96</v>
      </c>
      <c r="K42" s="20">
        <f>ROUND(SUM(K22:K25)/$C$5*100, 2)</f>
        <v>4.68</v>
      </c>
      <c r="L42" s="20" t="s">
        <v>82</v>
      </c>
      <c r="AB42" s="8">
        <v>3</v>
      </c>
      <c r="AC42" s="8">
        <f t="shared" si="22"/>
        <v>0</v>
      </c>
      <c r="AD42" s="8">
        <f t="shared" si="15"/>
        <v>5.0967789979182408E-2</v>
      </c>
      <c r="AE42" s="8">
        <f t="shared" si="23"/>
        <v>0.125</v>
      </c>
      <c r="AF42" s="8">
        <f t="shared" si="17"/>
        <v>-7.5521155269996754E-2</v>
      </c>
      <c r="AG42" s="8">
        <f t="shared" si="18"/>
        <v>6.25E-2</v>
      </c>
      <c r="AH42" s="8">
        <f t="shared" si="16"/>
        <v>-1.1939071075046222E-2</v>
      </c>
      <c r="AI42" s="8">
        <f t="shared" si="19"/>
        <v>-6.0850806709948733E-4</v>
      </c>
      <c r="AJ42" s="8">
        <f t="shared" si="20"/>
        <v>9.0165244043809276E-4</v>
      </c>
      <c r="AK42" s="8">
        <f t="shared" si="21"/>
        <v>0.125</v>
      </c>
      <c r="AM42" s="8">
        <v>38</v>
      </c>
      <c r="AN42" s="8">
        <f t="shared" si="13"/>
        <v>1122.1386168326717</v>
      </c>
      <c r="AO42" s="20">
        <v>-9.4905772130005062E-10</v>
      </c>
      <c r="AP42" s="8">
        <f t="shared" si="14"/>
        <v>1122.1386168472236</v>
      </c>
      <c r="AQ42" s="20">
        <v>5.9236526794848032E-9</v>
      </c>
      <c r="AR42" s="8">
        <f t="shared" si="9"/>
        <v>1122.1386168399476</v>
      </c>
      <c r="AS42" s="20">
        <v>2.4870132619980723E-9</v>
      </c>
      <c r="AT42" s="8">
        <f t="shared" si="10"/>
        <v>-2.3603191392748962E-18</v>
      </c>
      <c r="AU42" s="8">
        <f t="shared" si="11"/>
        <v>1.4732202773349122E-17</v>
      </c>
      <c r="AV42" s="8">
        <f t="shared" si="12"/>
        <v>1.4551915228366852E-8</v>
      </c>
    </row>
    <row r="43" spans="2:48" x14ac:dyDescent="0.2">
      <c r="B43" s="58" t="s">
        <v>97</v>
      </c>
      <c r="C43" s="62"/>
      <c r="D43" s="62"/>
      <c r="F43" s="20" t="s">
        <v>217</v>
      </c>
      <c r="G43" s="20">
        <f>G42/$C$45</f>
        <v>0.48945648899636612</v>
      </c>
      <c r="H43" s="20" t="s">
        <v>215</v>
      </c>
      <c r="J43" s="26" t="s">
        <v>83</v>
      </c>
      <c r="K43" s="26">
        <f>SUM(K38:K42)</f>
        <v>100.00999999999999</v>
      </c>
      <c r="L43" s="26" t="s">
        <v>82</v>
      </c>
      <c r="AB43" s="8">
        <v>4</v>
      </c>
      <c r="AC43" s="8">
        <f t="shared" si="22"/>
        <v>0</v>
      </c>
      <c r="AD43" s="8">
        <f t="shared" si="15"/>
        <v>5.0967789979182408E-2</v>
      </c>
      <c r="AE43" s="8">
        <f t="shared" si="23"/>
        <v>6.25E-2</v>
      </c>
      <c r="AF43" s="8">
        <f t="shared" si="17"/>
        <v>-1.1939071075046222E-2</v>
      </c>
      <c r="AG43" s="8">
        <f t="shared" si="18"/>
        <v>3.125E-2</v>
      </c>
      <c r="AH43" s="8">
        <f t="shared" si="16"/>
        <v>1.9613622350486096E-2</v>
      </c>
      <c r="AI43" s="8">
        <f t="shared" si="19"/>
        <v>9.9966298469057334E-4</v>
      </c>
      <c r="AJ43" s="8">
        <f t="shared" si="20"/>
        <v>-2.3416843128156863E-4</v>
      </c>
      <c r="AK43" s="8">
        <f t="shared" si="21"/>
        <v>6.25E-2</v>
      </c>
      <c r="AM43" s="8">
        <v>39</v>
      </c>
      <c r="AN43" s="8">
        <f t="shared" si="13"/>
        <v>1122.1386168326717</v>
      </c>
      <c r="AO43" s="20">
        <v>-9.4905772130005062E-10</v>
      </c>
      <c r="AP43" s="8">
        <f t="shared" si="14"/>
        <v>1122.1386168399476</v>
      </c>
      <c r="AQ43" s="20">
        <v>2.4870132619980723E-9</v>
      </c>
      <c r="AR43" s="8">
        <f t="shared" si="9"/>
        <v>1122.1386168363097</v>
      </c>
      <c r="AS43" s="20">
        <v>7.6920514402445406E-10</v>
      </c>
      <c r="AT43" s="8">
        <f t="shared" si="10"/>
        <v>-7.3002008120012561E-19</v>
      </c>
      <c r="AU43" s="8">
        <f t="shared" si="11"/>
        <v>1.9130233943859545E-18</v>
      </c>
      <c r="AV43" s="8">
        <f t="shared" si="12"/>
        <v>7.2759576141834259E-9</v>
      </c>
    </row>
    <row r="44" spans="2:48" x14ac:dyDescent="0.2">
      <c r="B44" s="20" t="s">
        <v>23</v>
      </c>
      <c r="C44" s="33">
        <v>1.2250000000000001</v>
      </c>
      <c r="D44" s="20" t="s">
        <v>24</v>
      </c>
      <c r="AB44" s="8">
        <v>5</v>
      </c>
      <c r="AC44" s="8">
        <f t="shared" si="22"/>
        <v>3.125E-2</v>
      </c>
      <c r="AD44" s="8">
        <f t="shared" si="15"/>
        <v>1.9613622350486096E-2</v>
      </c>
      <c r="AE44" s="8">
        <f t="shared" si="23"/>
        <v>6.25E-2</v>
      </c>
      <c r="AF44" s="8">
        <f t="shared" si="17"/>
        <v>-1.1939071075046222E-2</v>
      </c>
      <c r="AG44" s="8">
        <f t="shared" si="18"/>
        <v>4.6875E-2</v>
      </c>
      <c r="AH44" s="8">
        <f t="shared" si="16"/>
        <v>3.8607474490653798E-3</v>
      </c>
      <c r="AI44" s="8">
        <f t="shared" si="19"/>
        <v>7.5723242456570913E-5</v>
      </c>
      <c r="AJ44" s="8">
        <f t="shared" si="20"/>
        <v>-4.6093738197194962E-5</v>
      </c>
      <c r="AK44" s="8">
        <f t="shared" si="21"/>
        <v>3.125E-2</v>
      </c>
      <c r="AM44" s="8">
        <v>40</v>
      </c>
      <c r="AN44" s="8">
        <f t="shared" si="13"/>
        <v>1122.1386168326717</v>
      </c>
      <c r="AO44" s="20">
        <v>-9.4905772130005062E-10</v>
      </c>
      <c r="AP44" s="8">
        <f t="shared" si="14"/>
        <v>1122.1386168363097</v>
      </c>
      <c r="AQ44" s="20">
        <v>7.6920514402445406E-10</v>
      </c>
      <c r="AR44" s="11">
        <f t="shared" si="9"/>
        <v>1122.1386168344907</v>
      </c>
      <c r="AS44" s="20">
        <v>-8.992628863779828E-11</v>
      </c>
      <c r="AT44" s="8">
        <f t="shared" si="10"/>
        <v>8.5345238579559468E-20</v>
      </c>
      <c r="AU44" s="8">
        <f t="shared" si="11"/>
        <v>-6.9171763803222252E-20</v>
      </c>
      <c r="AV44" s="8">
        <f t="shared" si="12"/>
        <v>3.637978807091713E-9</v>
      </c>
    </row>
    <row r="45" spans="2:48" x14ac:dyDescent="0.2">
      <c r="B45" s="20" t="s">
        <v>216</v>
      </c>
      <c r="C45" s="33">
        <v>340.416</v>
      </c>
      <c r="D45" s="20" t="s">
        <v>16</v>
      </c>
      <c r="F45" s="59" t="s">
        <v>111</v>
      </c>
      <c r="G45" s="60"/>
      <c r="H45" s="60"/>
      <c r="J45" s="20" t="s">
        <v>227</v>
      </c>
      <c r="K45" s="20">
        <f xml:space="preserve"> $C$17 * $C$47 * 0.0024419 * C23 * $C$18^0.53479 * ($C$6*3.28084)^1.74231 * ($C$7*3.28084)^0.77291 * (G9*3.28084)^0.87562 * $C$24^2.51048 * 0.453592</f>
        <v>16.873997507055225</v>
      </c>
      <c r="AB45" s="8">
        <v>6</v>
      </c>
      <c r="AC45" s="8">
        <f t="shared" si="22"/>
        <v>4.6875E-2</v>
      </c>
      <c r="AD45" s="8">
        <f t="shared" si="15"/>
        <v>3.8607474490653798E-3</v>
      </c>
      <c r="AE45" s="8">
        <f t="shared" si="23"/>
        <v>6.25E-2</v>
      </c>
      <c r="AF45" s="8">
        <f t="shared" si="17"/>
        <v>-1.1939071075046222E-2</v>
      </c>
      <c r="AG45" s="8">
        <f t="shared" si="18"/>
        <v>5.46875E-2</v>
      </c>
      <c r="AH45" s="8">
        <f t="shared" si="16"/>
        <v>-4.0335175635963574E-3</v>
      </c>
      <c r="AI45" s="8">
        <f t="shared" si="19"/>
        <v>-1.5572392644415041E-5</v>
      </c>
      <c r="AJ45" s="8">
        <f t="shared" si="20"/>
        <v>4.8156452874224183E-5</v>
      </c>
      <c r="AK45" s="8">
        <f t="shared" si="21"/>
        <v>1.5625E-2</v>
      </c>
    </row>
    <row r="46" spans="2:48" x14ac:dyDescent="0.2">
      <c r="B46" s="20" t="s">
        <v>25</v>
      </c>
      <c r="C46" s="1">
        <v>9.8066499999999994</v>
      </c>
      <c r="D46" s="20" t="s">
        <v>26</v>
      </c>
      <c r="F46" t="s">
        <v>117</v>
      </c>
      <c r="G46" s="1">
        <v>1.524</v>
      </c>
      <c r="H46" t="s">
        <v>16</v>
      </c>
      <c r="J46" s="20" t="s">
        <v>228</v>
      </c>
      <c r="K46" s="20">
        <f xml:space="preserve"> $C$17 * 0.0061182 * $C$18^0.20373 * ($C$6*3.28084)^0.60406 * ($G$9*3.28084)^0.52803 * $C$25^1.00218 * (K45/$C$17)^0.87127 * 0.453592</f>
        <v>3.9829855836566064</v>
      </c>
      <c r="AB46" s="8">
        <v>7</v>
      </c>
      <c r="AC46" s="8">
        <f t="shared" si="22"/>
        <v>4.6875E-2</v>
      </c>
      <c r="AD46" s="8">
        <f t="shared" si="15"/>
        <v>3.8607474490653798E-3</v>
      </c>
      <c r="AE46" s="8">
        <f t="shared" si="23"/>
        <v>5.46875E-2</v>
      </c>
      <c r="AF46" s="8">
        <f t="shared" si="17"/>
        <v>-4.0335175635963574E-3</v>
      </c>
      <c r="AG46" s="8">
        <f t="shared" si="18"/>
        <v>5.078125E-2</v>
      </c>
      <c r="AH46" s="8">
        <f t="shared" si="16"/>
        <v>-8.4943851089092082E-5</v>
      </c>
      <c r="AI46" s="8">
        <f t="shared" si="19"/>
        <v>-3.2794675640600174E-7</v>
      </c>
      <c r="AJ46" s="8">
        <f t="shared" si="20"/>
        <v>3.4262251528736646E-7</v>
      </c>
      <c r="AK46" s="8">
        <f t="shared" si="21"/>
        <v>7.8125E-3</v>
      </c>
    </row>
    <row r="47" spans="2:48" x14ac:dyDescent="0.2">
      <c r="B47" s="20" t="s">
        <v>105</v>
      </c>
      <c r="C47" s="33">
        <v>0.8</v>
      </c>
      <c r="F47" t="s">
        <v>123</v>
      </c>
      <c r="G47" s="1">
        <v>152.4</v>
      </c>
      <c r="H47" t="s">
        <v>14</v>
      </c>
      <c r="AB47" s="8">
        <v>8</v>
      </c>
      <c r="AC47" s="8">
        <f t="shared" si="22"/>
        <v>4.6875E-2</v>
      </c>
      <c r="AD47" s="8">
        <f t="shared" si="15"/>
        <v>3.8607474490653798E-3</v>
      </c>
      <c r="AE47" s="8">
        <f t="shared" si="23"/>
        <v>5.078125E-2</v>
      </c>
      <c r="AF47" s="8">
        <f t="shared" si="17"/>
        <v>-8.4943851089092082E-5</v>
      </c>
      <c r="AG47" s="8">
        <f t="shared" si="18"/>
        <v>4.8828125E-2</v>
      </c>
      <c r="AH47" s="8">
        <f t="shared" si="16"/>
        <v>1.8882656882044865E-3</v>
      </c>
      <c r="AI47" s="8">
        <f t="shared" si="19"/>
        <v>7.2901169388931549E-6</v>
      </c>
      <c r="AJ47" s="8">
        <f t="shared" si="20"/>
        <v>-1.6039655943548388E-7</v>
      </c>
      <c r="AK47" s="8">
        <f t="shared" si="21"/>
        <v>3.90625E-3</v>
      </c>
    </row>
    <row r="48" spans="2:48" x14ac:dyDescent="0.2">
      <c r="F48" t="s">
        <v>115</v>
      </c>
      <c r="G48" s="20">
        <f xml:space="preserve"> 1/1000 * IF($G$46&gt;= 2*SQRT(($C$5*$C$46)/(2*$C$44*$C$17*PI()*$C$6*$C$6)), ($C$5*$C$46)/$C$20 * ( ($G$46/2) - SQRT( ($G$46/2)^2 - ($C$5*$C$46)/(2*$C$44*$C$17*PI()*$C$6*$C$6 ) ) ), 1/$C$20 * SQRT(($C$5*$C$46)^3/(2*$C$44*$C$17*PI()*$C$6*$C$6)) )</f>
        <v>184.93123890057188</v>
      </c>
      <c r="H48" t="s">
        <v>162</v>
      </c>
      <c r="AB48" s="8">
        <v>9</v>
      </c>
      <c r="AC48" s="8">
        <f t="shared" si="22"/>
        <v>4.8828125E-2</v>
      </c>
      <c r="AD48" s="8">
        <f t="shared" si="15"/>
        <v>1.8882656882044865E-3</v>
      </c>
      <c r="AE48" s="8">
        <f t="shared" si="23"/>
        <v>5.078125E-2</v>
      </c>
      <c r="AF48" s="8">
        <f t="shared" si="17"/>
        <v>-8.4943851089092082E-5</v>
      </c>
      <c r="AG48" s="8">
        <f t="shared" si="18"/>
        <v>4.98046875E-2</v>
      </c>
      <c r="AH48" s="8">
        <f t="shared" si="16"/>
        <v>9.0175145080333141E-4</v>
      </c>
      <c r="AI48" s="8">
        <f t="shared" si="19"/>
        <v>1.7027463238405468E-6</v>
      </c>
      <c r="AJ48" s="8">
        <f t="shared" si="20"/>
        <v>-7.6598240956410926E-8</v>
      </c>
      <c r="AK48" s="8">
        <f t="shared" si="21"/>
        <v>1.953125E-3</v>
      </c>
    </row>
    <row r="49" spans="2:39" x14ac:dyDescent="0.2">
      <c r="B49" s="58" t="s">
        <v>27</v>
      </c>
      <c r="C49" s="58"/>
      <c r="D49" s="58"/>
      <c r="F49" t="s">
        <v>30</v>
      </c>
      <c r="G49" s="20">
        <f xml:space="preserve"> $C$5 * $C$46 / $C$17</f>
        <v>2751.1051666949893</v>
      </c>
      <c r="H49" t="s">
        <v>31</v>
      </c>
      <c r="AB49" s="8">
        <v>10</v>
      </c>
      <c r="AC49" s="8">
        <f t="shared" si="22"/>
        <v>4.98046875E-2</v>
      </c>
      <c r="AD49" s="8">
        <f t="shared" si="15"/>
        <v>9.0175145080333141E-4</v>
      </c>
      <c r="AE49" s="8">
        <f t="shared" si="23"/>
        <v>5.078125E-2</v>
      </c>
      <c r="AF49" s="8">
        <f t="shared" si="17"/>
        <v>-8.4943851089092082E-5</v>
      </c>
      <c r="AG49" s="8">
        <f t="shared" si="18"/>
        <v>5.029296875E-2</v>
      </c>
      <c r="AH49" s="8">
        <f t="shared" si="16"/>
        <v>4.0842637716574648E-4</v>
      </c>
      <c r="AI49" s="8">
        <f t="shared" si="19"/>
        <v>3.6829907815556054E-7</v>
      </c>
      <c r="AJ49" s="8">
        <f t="shared" si="20"/>
        <v>-3.4693309362824526E-8</v>
      </c>
      <c r="AK49" s="8">
        <f t="shared" si="21"/>
        <v>9.765625E-4</v>
      </c>
    </row>
    <row r="50" spans="2:39" x14ac:dyDescent="0.2">
      <c r="B50" s="20" t="s">
        <v>28</v>
      </c>
      <c r="C50" s="33">
        <v>30</v>
      </c>
      <c r="F50" t="s">
        <v>122</v>
      </c>
      <c r="G50" s="24">
        <f>$G$47/$G$46</f>
        <v>100</v>
      </c>
      <c r="H50" t="s">
        <v>22</v>
      </c>
      <c r="AB50" s="8">
        <v>11</v>
      </c>
      <c r="AC50" s="8">
        <f t="shared" si="22"/>
        <v>5.029296875E-2</v>
      </c>
      <c r="AD50" s="8">
        <f t="shared" si="15"/>
        <v>4.0842637716574648E-4</v>
      </c>
      <c r="AE50" s="8">
        <f t="shared" si="23"/>
        <v>5.078125E-2</v>
      </c>
      <c r="AF50" s="8">
        <f t="shared" si="17"/>
        <v>-8.4943851089092082E-5</v>
      </c>
      <c r="AG50" s="8">
        <f t="shared" si="18"/>
        <v>5.0537109375E-2</v>
      </c>
      <c r="AH50" s="8">
        <f t="shared" si="16"/>
        <v>1.6174690035033329E-4</v>
      </c>
      <c r="AI50" s="8">
        <f t="shared" si="19"/>
        <v>6.6061700527875641E-8</v>
      </c>
      <c r="AJ50" s="8">
        <f t="shared" si="20"/>
        <v>-1.3739404617480927E-8</v>
      </c>
      <c r="AK50" s="8">
        <f t="shared" si="21"/>
        <v>4.8828125E-4</v>
      </c>
    </row>
    <row r="51" spans="2:39" x14ac:dyDescent="0.2">
      <c r="F51" t="s">
        <v>214</v>
      </c>
      <c r="G51" s="24">
        <f>$C$9*2*PI()*$C$6/60 * $C$6</f>
        <v>169.64600329384885</v>
      </c>
      <c r="H51" s="20" t="s">
        <v>16</v>
      </c>
      <c r="AB51" s="8">
        <v>12</v>
      </c>
      <c r="AC51" s="8">
        <f t="shared" si="22"/>
        <v>5.0537109375E-2</v>
      </c>
      <c r="AD51" s="8">
        <f t="shared" si="15"/>
        <v>1.6174690035033329E-4</v>
      </c>
      <c r="AE51" s="8">
        <f t="shared" si="23"/>
        <v>5.078125E-2</v>
      </c>
      <c r="AF51" s="8">
        <f t="shared" si="17"/>
        <v>-8.4943851089092082E-5</v>
      </c>
      <c r="AG51" s="8">
        <f t="shared" si="18"/>
        <v>5.06591796875E-2</v>
      </c>
      <c r="AH51" s="8">
        <f t="shared" si="16"/>
        <v>3.8402933078870993E-5</v>
      </c>
      <c r="AI51" s="8">
        <f t="shared" si="19"/>
        <v>6.2115553898686648E-9</v>
      </c>
      <c r="AJ51" s="8">
        <f t="shared" si="20"/>
        <v>-3.262093028835986E-9</v>
      </c>
      <c r="AK51" s="8">
        <f t="shared" si="21"/>
        <v>2.44140625E-4</v>
      </c>
    </row>
    <row r="52" spans="2:39" x14ac:dyDescent="0.2">
      <c r="B52"/>
      <c r="C52"/>
      <c r="D52"/>
      <c r="F52" s="20" t="s">
        <v>217</v>
      </c>
      <c r="G52" s="20">
        <f>G51/$C$45</f>
        <v>0.49834908845015763</v>
      </c>
      <c r="H52" s="20" t="s">
        <v>215</v>
      </c>
      <c r="AB52" s="8">
        <v>13</v>
      </c>
      <c r="AC52" s="8">
        <f t="shared" si="22"/>
        <v>5.06591796875E-2</v>
      </c>
      <c r="AD52" s="8">
        <f t="shared" si="15"/>
        <v>3.8402933078870993E-5</v>
      </c>
      <c r="AE52" s="8">
        <f t="shared" si="23"/>
        <v>5.078125E-2</v>
      </c>
      <c r="AF52" s="8">
        <f t="shared" si="17"/>
        <v>-8.4943851089092082E-5</v>
      </c>
      <c r="AG52" s="8">
        <f t="shared" si="18"/>
        <v>5.072021484375E-2</v>
      </c>
      <c r="AH52" s="8">
        <f t="shared" si="16"/>
        <v>-2.3270107003196816E-5</v>
      </c>
      <c r="AI52" s="8">
        <f t="shared" si="19"/>
        <v>-8.9364036198193455E-10</v>
      </c>
      <c r="AJ52" s="8">
        <f t="shared" si="20"/>
        <v>1.976652504106789E-9</v>
      </c>
      <c r="AK52" s="8">
        <f t="shared" si="21"/>
        <v>1.220703125E-4</v>
      </c>
    </row>
    <row r="53" spans="2:39" x14ac:dyDescent="0.2">
      <c r="AB53" s="8">
        <v>14</v>
      </c>
      <c r="AC53" s="8">
        <f t="shared" si="22"/>
        <v>5.06591796875E-2</v>
      </c>
      <c r="AD53" s="8">
        <f t="shared" si="15"/>
        <v>3.8402933078870993E-5</v>
      </c>
      <c r="AE53" s="8">
        <f t="shared" si="23"/>
        <v>5.072021484375E-2</v>
      </c>
      <c r="AF53" s="8">
        <f t="shared" si="17"/>
        <v>-2.3270107003196816E-5</v>
      </c>
      <c r="AG53" s="8">
        <f t="shared" si="18"/>
        <v>5.0689697265625E-2</v>
      </c>
      <c r="AH53" s="8">
        <f t="shared" si="16"/>
        <v>7.5665010520892251E-6</v>
      </c>
      <c r="AI53" s="8">
        <f t="shared" si="19"/>
        <v>2.9057583354458946E-10</v>
      </c>
      <c r="AJ53" s="8">
        <f t="shared" si="20"/>
        <v>-1.7607328912191755E-10</v>
      </c>
      <c r="AK53" s="8">
        <f t="shared" si="21"/>
        <v>6.103515625E-5</v>
      </c>
    </row>
    <row r="54" spans="2:39" x14ac:dyDescent="0.2">
      <c r="AB54" s="8">
        <v>15</v>
      </c>
      <c r="AC54" s="8">
        <f t="shared" si="22"/>
        <v>5.0689697265625E-2</v>
      </c>
      <c r="AD54" s="8">
        <f t="shared" si="15"/>
        <v>7.5665010520892251E-6</v>
      </c>
      <c r="AE54" s="8">
        <f t="shared" si="23"/>
        <v>5.072021484375E-2</v>
      </c>
      <c r="AF54" s="8">
        <f t="shared" si="17"/>
        <v>-2.3270107003196816E-5</v>
      </c>
      <c r="AG54" s="8">
        <f t="shared" si="18"/>
        <v>5.07049560546875E-2</v>
      </c>
      <c r="AH54" s="8">
        <f t="shared" si="16"/>
        <v>-7.8517809737055355E-6</v>
      </c>
      <c r="AI54" s="8">
        <f t="shared" si="19"/>
        <v>-5.9410508998317096E-11</v>
      </c>
      <c r="AJ54" s="8">
        <f t="shared" si="20"/>
        <v>1.8271178342379271E-10</v>
      </c>
      <c r="AK54" s="8">
        <f t="shared" si="21"/>
        <v>3.0517578125E-5</v>
      </c>
    </row>
    <row r="55" spans="2:39" x14ac:dyDescent="0.2">
      <c r="AB55" s="8">
        <v>16</v>
      </c>
      <c r="AC55" s="8">
        <f t="shared" si="22"/>
        <v>5.0689697265625E-2</v>
      </c>
      <c r="AD55" s="8">
        <f t="shared" si="15"/>
        <v>7.5665010520892251E-6</v>
      </c>
      <c r="AE55" s="8">
        <f t="shared" si="23"/>
        <v>5.07049560546875E-2</v>
      </c>
      <c r="AF55" s="8">
        <f t="shared" si="17"/>
        <v>-7.8517809737055355E-6</v>
      </c>
      <c r="AG55" s="8">
        <f t="shared" si="18"/>
        <v>5.069732666015625E-2</v>
      </c>
      <c r="AH55" s="8">
        <f t="shared" si="16"/>
        <v>-1.4263446013185188E-7</v>
      </c>
      <c r="AI55" s="8">
        <f t="shared" si="19"/>
        <v>-1.0792437926518359E-12</v>
      </c>
      <c r="AJ55" s="8">
        <f t="shared" si="20"/>
        <v>1.1199345402580353E-12</v>
      </c>
      <c r="AK55" s="8">
        <f t="shared" si="21"/>
        <v>1.52587890625E-5</v>
      </c>
      <c r="AM55" s="8"/>
    </row>
    <row r="56" spans="2:39" x14ac:dyDescent="0.2">
      <c r="F56" s="25"/>
      <c r="AB56" s="8">
        <v>17</v>
      </c>
      <c r="AC56" s="8">
        <f t="shared" si="22"/>
        <v>5.0689697265625E-2</v>
      </c>
      <c r="AD56" s="8">
        <f t="shared" si="15"/>
        <v>7.5665010520892251E-6</v>
      </c>
      <c r="AE56" s="8">
        <f t="shared" si="23"/>
        <v>5.069732666015625E-2</v>
      </c>
      <c r="AF56" s="8">
        <f t="shared" si="17"/>
        <v>-1.4263446013185188E-7</v>
      </c>
      <c r="AG56" s="8">
        <f t="shared" si="18"/>
        <v>5.0693511962890625E-2</v>
      </c>
      <c r="AH56" s="8">
        <f t="shared" si="16"/>
        <v>3.7119346711772527E-6</v>
      </c>
      <c r="AI56" s="8">
        <f t="shared" si="19"/>
        <v>2.8086357594749155E-11</v>
      </c>
      <c r="AJ56" s="8">
        <f t="shared" si="20"/>
        <v>-5.2944979786807053E-13</v>
      </c>
      <c r="AK56" s="8">
        <f t="shared" si="21"/>
        <v>7.62939453125E-6</v>
      </c>
      <c r="AM56" s="8"/>
    </row>
    <row r="57" spans="2:39" x14ac:dyDescent="0.2">
      <c r="AB57" s="8">
        <v>18</v>
      </c>
      <c r="AC57" s="8">
        <f t="shared" si="22"/>
        <v>5.0693511962890625E-2</v>
      </c>
      <c r="AD57" s="8">
        <f t="shared" si="15"/>
        <v>3.7119346711772527E-6</v>
      </c>
      <c r="AE57" s="8">
        <f t="shared" si="23"/>
        <v>5.069732666015625E-2</v>
      </c>
      <c r="AF57" s="8">
        <f t="shared" si="17"/>
        <v>-1.4263446013185188E-7</v>
      </c>
      <c r="AG57" s="8">
        <f t="shared" si="18"/>
        <v>5.0695419311523438E-2</v>
      </c>
      <c r="AH57" s="8">
        <f t="shared" si="16"/>
        <v>1.7846504493171378E-6</v>
      </c>
      <c r="AI57" s="8">
        <f t="shared" si="19"/>
        <v>6.6245058787523462E-12</v>
      </c>
      <c r="AJ57" s="8">
        <f t="shared" si="20"/>
        <v>-2.5455265336241682E-13</v>
      </c>
      <c r="AK57" s="8">
        <f t="shared" si="21"/>
        <v>3.814697265625E-6</v>
      </c>
      <c r="AM57" s="8"/>
    </row>
    <row r="58" spans="2:39" x14ac:dyDescent="0.2">
      <c r="AB58" s="8">
        <v>19</v>
      </c>
      <c r="AC58" s="8">
        <f t="shared" si="22"/>
        <v>5.0695419311523438E-2</v>
      </c>
      <c r="AD58" s="8">
        <f t="shared" si="15"/>
        <v>1.7846504493171378E-6</v>
      </c>
      <c r="AE58" s="8">
        <f t="shared" si="23"/>
        <v>5.069732666015625E-2</v>
      </c>
      <c r="AF58" s="8">
        <f t="shared" si="17"/>
        <v>-1.4263446013185188E-7</v>
      </c>
      <c r="AG58" s="8">
        <f t="shared" si="18"/>
        <v>5.0696372985839844E-2</v>
      </c>
      <c r="AH58" s="8">
        <f t="shared" si="16"/>
        <v>8.2100808054125229E-7</v>
      </c>
      <c r="AI58" s="8">
        <f t="shared" si="19"/>
        <v>1.4652124398309467E-12</v>
      </c>
      <c r="AJ58" s="8">
        <f t="shared" si="20"/>
        <v>-1.1710404433188949E-13</v>
      </c>
      <c r="AK58" s="8">
        <f t="shared" si="21"/>
        <v>1.9073486328125E-6</v>
      </c>
    </row>
    <row r="59" spans="2:39" x14ac:dyDescent="0.2">
      <c r="AB59" s="8">
        <v>20</v>
      </c>
      <c r="AC59" s="8">
        <f t="shared" si="22"/>
        <v>5.0696372985839844E-2</v>
      </c>
      <c r="AD59" s="8">
        <f t="shared" si="15"/>
        <v>8.2100808054125229E-7</v>
      </c>
      <c r="AE59" s="8">
        <f t="shared" si="23"/>
        <v>5.069732666015625E-2</v>
      </c>
      <c r="AF59" s="8">
        <f t="shared" si="17"/>
        <v>-1.4263446013185188E-7</v>
      </c>
      <c r="AG59" s="8">
        <f t="shared" si="18"/>
        <v>5.0696849822998047E-2</v>
      </c>
      <c r="AH59" s="8">
        <f t="shared" si="16"/>
        <v>3.3918683169098518E-7</v>
      </c>
      <c r="AI59" s="8">
        <f t="shared" si="19"/>
        <v>2.7847512963148457E-13</v>
      </c>
      <c r="AJ59" s="8">
        <f t="shared" si="20"/>
        <v>-4.8379730622076982E-14</v>
      </c>
      <c r="AK59" s="8">
        <f t="shared" si="21"/>
        <v>9.5367431640625E-7</v>
      </c>
    </row>
    <row r="60" spans="2:39" x14ac:dyDescent="0.2">
      <c r="AB60" s="8">
        <v>21</v>
      </c>
      <c r="AC60" s="8">
        <f t="shared" si="22"/>
        <v>5.0696849822998047E-2</v>
      </c>
      <c r="AD60" s="8">
        <f t="shared" si="15"/>
        <v>3.3918683169098518E-7</v>
      </c>
      <c r="AE60" s="8">
        <f t="shared" si="23"/>
        <v>5.069732666015625E-2</v>
      </c>
      <c r="AF60" s="8">
        <f t="shared" si="17"/>
        <v>-1.4263446013185188E-7</v>
      </c>
      <c r="AG60" s="8">
        <f t="shared" si="18"/>
        <v>5.0697088241577148E-2</v>
      </c>
      <c r="AH60" s="8">
        <f t="shared" si="16"/>
        <v>9.8276191150270531E-8</v>
      </c>
      <c r="AI60" s="8">
        <f t="shared" si="19"/>
        <v>3.3333989906917899E-14</v>
      </c>
      <c r="AJ60" s="8">
        <f t="shared" si="20"/>
        <v>-1.4017571468533517E-14</v>
      </c>
      <c r="AK60" s="8">
        <f t="shared" si="21"/>
        <v>4.76837158203125E-7</v>
      </c>
    </row>
    <row r="61" spans="2:39" x14ac:dyDescent="0.2">
      <c r="AB61" s="8">
        <v>22</v>
      </c>
      <c r="AC61" s="8">
        <f t="shared" si="22"/>
        <v>5.0697088241577148E-2</v>
      </c>
      <c r="AD61" s="8">
        <f t="shared" si="15"/>
        <v>9.8276191150270531E-8</v>
      </c>
      <c r="AE61" s="8">
        <f t="shared" si="23"/>
        <v>5.069732666015625E-2</v>
      </c>
      <c r="AF61" s="8">
        <f t="shared" si="17"/>
        <v>-1.4263446013185188E-7</v>
      </c>
      <c r="AG61" s="8">
        <f t="shared" si="18"/>
        <v>5.0697207450866699E-2</v>
      </c>
      <c r="AH61" s="8">
        <f t="shared" si="16"/>
        <v>-2.2179133148114705E-8</v>
      </c>
      <c r="AI61" s="8">
        <f t="shared" si="19"/>
        <v>-2.1796807288114223E-15</v>
      </c>
      <c r="AJ61" s="8">
        <f t="shared" si="20"/>
        <v>3.1635086827738012E-15</v>
      </c>
      <c r="AK61" s="8">
        <f t="shared" si="21"/>
        <v>2.384185791015625E-7</v>
      </c>
    </row>
    <row r="62" spans="2:39" x14ac:dyDescent="0.2">
      <c r="AB62" s="8">
        <v>23</v>
      </c>
      <c r="AC62" s="8">
        <f t="shared" si="22"/>
        <v>5.0697088241577148E-2</v>
      </c>
      <c r="AD62" s="8">
        <f t="shared" si="15"/>
        <v>9.8276191150270531E-8</v>
      </c>
      <c r="AE62" s="8">
        <f t="shared" si="23"/>
        <v>5.0697207450866699E-2</v>
      </c>
      <c r="AF62" s="8">
        <f t="shared" si="17"/>
        <v>-2.2179133148114705E-8</v>
      </c>
      <c r="AG62" s="8">
        <f t="shared" si="18"/>
        <v>5.0697147846221924E-2</v>
      </c>
      <c r="AH62" s="8">
        <f t="shared" si="16"/>
        <v>3.8048529341083714E-8</v>
      </c>
      <c r="AI62" s="8">
        <f t="shared" si="19"/>
        <v>3.7392645425110199E-15</v>
      </c>
      <c r="AJ62" s="8">
        <f t="shared" si="20"/>
        <v>-8.4388339834584476E-16</v>
      </c>
      <c r="AK62" s="8">
        <f t="shared" si="21"/>
        <v>1.1920928955078125E-7</v>
      </c>
    </row>
    <row r="63" spans="2:39" x14ac:dyDescent="0.2">
      <c r="AB63" s="8">
        <v>24</v>
      </c>
      <c r="AC63" s="8">
        <f t="shared" si="22"/>
        <v>5.0697147846221924E-2</v>
      </c>
      <c r="AD63" s="8">
        <f t="shared" si="15"/>
        <v>3.8048529341083714E-8</v>
      </c>
      <c r="AE63" s="8">
        <f t="shared" si="23"/>
        <v>5.0697207450866699E-2</v>
      </c>
      <c r="AF63" s="8">
        <f t="shared" si="17"/>
        <v>-2.2179133148114705E-8</v>
      </c>
      <c r="AG63" s="8">
        <f t="shared" si="18"/>
        <v>5.0697177648544312E-2</v>
      </c>
      <c r="AH63" s="8">
        <f t="shared" si="16"/>
        <v>7.9346981762817848E-9</v>
      </c>
      <c r="AI63" s="8">
        <f t="shared" si="19"/>
        <v>3.0190359637290091E-16</v>
      </c>
      <c r="AJ63" s="8">
        <f t="shared" si="20"/>
        <v>-1.7598472734185662E-16</v>
      </c>
      <c r="AK63" s="8">
        <f t="shared" si="21"/>
        <v>5.9604644775390625E-8</v>
      </c>
    </row>
    <row r="64" spans="2:39" x14ac:dyDescent="0.2">
      <c r="AB64" s="8">
        <v>25</v>
      </c>
      <c r="AC64" s="8">
        <f t="shared" si="22"/>
        <v>5.0697177648544312E-2</v>
      </c>
      <c r="AD64" s="8">
        <f t="shared" si="15"/>
        <v>7.9346981762817848E-9</v>
      </c>
      <c r="AE64" s="8">
        <f t="shared" si="23"/>
        <v>5.0697207450866699E-2</v>
      </c>
      <c r="AF64" s="8">
        <f t="shared" si="17"/>
        <v>-2.2179133148114705E-8</v>
      </c>
      <c r="AG64" s="8">
        <f t="shared" si="18"/>
        <v>5.0697192549705505E-2</v>
      </c>
      <c r="AH64" s="8">
        <f t="shared" si="16"/>
        <v>-7.1222174685692252E-9</v>
      </c>
      <c r="AI64" s="8">
        <f t="shared" si="19"/>
        <v>-5.65126459589385E-17</v>
      </c>
      <c r="AJ64" s="8">
        <f t="shared" si="20"/>
        <v>1.579646095452253E-16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5.0697177648544312E-2</v>
      </c>
      <c r="AD65" s="8">
        <f t="shared" si="15"/>
        <v>7.9346981762817848E-9</v>
      </c>
      <c r="AE65" s="8">
        <f t="shared" si="23"/>
        <v>5.0697192549705505E-2</v>
      </c>
      <c r="AF65" s="8">
        <f t="shared" si="17"/>
        <v>-7.1222174685692252E-9</v>
      </c>
      <c r="AG65" s="8">
        <f t="shared" si="18"/>
        <v>5.0697185099124908E-2</v>
      </c>
      <c r="AH65" s="8">
        <f t="shared" si="16"/>
        <v>4.0624036079517367E-10</v>
      </c>
      <c r="AI65" s="8">
        <f t="shared" si="19"/>
        <v>3.2233946499335188E-18</v>
      </c>
      <c r="AJ65" s="8">
        <f t="shared" si="20"/>
        <v>-2.8933321940932504E-18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5.0697185099124908E-2</v>
      </c>
      <c r="AD66" s="8">
        <f t="shared" si="15"/>
        <v>4.0624036079517367E-10</v>
      </c>
      <c r="AE66" s="8">
        <f t="shared" si="23"/>
        <v>5.0697192549705505E-2</v>
      </c>
      <c r="AF66" s="8">
        <f t="shared" si="17"/>
        <v>-7.1222174685692252E-9</v>
      </c>
      <c r="AG66" s="8">
        <f t="shared" si="18"/>
        <v>5.0697188824415207E-2</v>
      </c>
      <c r="AH66" s="8">
        <f t="shared" si="16"/>
        <v>-3.3579885538870258E-9</v>
      </c>
      <c r="AI66" s="8">
        <f t="shared" si="19"/>
        <v>-1.3641504816771288E-18</v>
      </c>
      <c r="AJ66" s="8">
        <f t="shared" si="20"/>
        <v>2.3916324737749686E-17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5.0697185099124908E-2</v>
      </c>
      <c r="AD67" s="8">
        <f t="shared" si="15"/>
        <v>4.0624036079517367E-10</v>
      </c>
      <c r="AE67" s="8">
        <f t="shared" si="23"/>
        <v>5.0697188824415207E-2</v>
      </c>
      <c r="AF67" s="8">
        <f t="shared" si="17"/>
        <v>-3.3579885538870258E-9</v>
      </c>
      <c r="AG67" s="8">
        <f t="shared" si="18"/>
        <v>5.0697186961770058E-2</v>
      </c>
      <c r="AH67" s="8">
        <f t="shared" si="16"/>
        <v>-1.4758740896070321E-9</v>
      </c>
      <c r="AI67" s="8">
        <f t="shared" si="19"/>
        <v>-5.9955962265020922E-19</v>
      </c>
      <c r="AJ67" s="8">
        <f t="shared" si="20"/>
        <v>4.9559682998788486E-18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5.0697185099124908E-2</v>
      </c>
      <c r="AD68" s="8">
        <f t="shared" si="15"/>
        <v>4.0624036079517367E-10</v>
      </c>
      <c r="AE68" s="8">
        <f t="shared" si="23"/>
        <v>5.0697186961770058E-2</v>
      </c>
      <c r="AF68" s="8">
        <f t="shared" si="17"/>
        <v>-1.4758740896070321E-9</v>
      </c>
      <c r="AG68" s="8">
        <f t="shared" si="18"/>
        <v>5.0697186030447483E-2</v>
      </c>
      <c r="AH68" s="8">
        <f t="shared" si="16"/>
        <v>-5.3481686440592924E-10</v>
      </c>
      <c r="AI68" s="8">
        <f t="shared" si="19"/>
        <v>-2.1726419595560817E-19</v>
      </c>
      <c r="AJ68" s="8">
        <f t="shared" si="20"/>
        <v>7.8932235286158837E-19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5.0697185099124908E-2</v>
      </c>
      <c r="AD69" s="8">
        <f t="shared" si="15"/>
        <v>4.0624036079517367E-10</v>
      </c>
      <c r="AE69" s="8">
        <f t="shared" si="23"/>
        <v>5.0697186030447483E-2</v>
      </c>
      <c r="AF69" s="8">
        <f t="shared" si="17"/>
        <v>-5.3481686440592924E-10</v>
      </c>
      <c r="AG69" s="8">
        <f t="shared" si="18"/>
        <v>5.0697185564786196E-2</v>
      </c>
      <c r="AH69" s="8">
        <f t="shared" si="16"/>
        <v>-6.4288255274824735E-11</v>
      </c>
      <c r="AI69" s="8">
        <f t="shared" si="19"/>
        <v>-2.6116484017737027E-20</v>
      </c>
      <c r="AJ69" s="8">
        <f t="shared" si="20"/>
        <v>3.4382443104209705E-20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t="shared" ref="AD74:AD104" si="24" xml:space="preserve"> $C$10 * TAN($W$18/180*PI()) + $W$21 / (2 * SQRT($C$10^2 + AC74^2)) - AC74</f>
        <v>2.626053313835492E-2</v>
      </c>
      <c r="AE74" s="9">
        <v>1</v>
      </c>
      <c r="AF74" s="8">
        <f t="shared" ref="AF74:AF104" si="25" xml:space="preserve"> $C$10 * TAN($W$18/180*PI()) + $W$21 / (2 * SQRT($C$10^2 + AE74^2)) - AE74</f>
        <v>-0.98733010331999604</v>
      </c>
      <c r="AG74" s="8">
        <f xml:space="preserve"> (AC74 + AE74)/2</f>
        <v>0.5</v>
      </c>
      <c r="AH74" s="8">
        <f t="shared" ref="AH74:AH104" si="26" xml:space="preserve"> $C$10 * TAN($W$18/180*PI()) + $W$21 / (2 * SQRT($C$10^2 + AG74^2)) - AG74</f>
        <v>-0.48299827849404231</v>
      </c>
      <c r="AI74" s="8">
        <f>AD74*AH74</f>
        <v>-1.2683792298161177E-2</v>
      </c>
      <c r="AJ74" s="8">
        <f>AF74*AH74</f>
        <v>0.47687874020890303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si="24"/>
        <v>2.626053313835492E-2</v>
      </c>
      <c r="AE75" s="8">
        <f>IF(AJ74&gt;0, AG74, AE74)</f>
        <v>0.5</v>
      </c>
      <c r="AF75" s="8">
        <f t="shared" si="25"/>
        <v>-0.48299827849404231</v>
      </c>
      <c r="AG75" s="8">
        <f t="shared" ref="AG75:AG104" si="27" xml:space="preserve"> (AC75 + AE75)/2</f>
        <v>0.25</v>
      </c>
      <c r="AH75" s="8">
        <f t="shared" si="26"/>
        <v>-0.2281596043508563</v>
      </c>
      <c r="AI75" s="8">
        <f t="shared" ref="AI75:AI104" si="28">AD75*AH75</f>
        <v>-5.9915928508896092E-3</v>
      </c>
      <c r="AJ75" s="8">
        <f t="shared" ref="AJ75:AJ104" si="29">AF75*AH75</f>
        <v>0.1102006961233454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2.626053313835492E-2</v>
      </c>
      <c r="AE76" s="8">
        <f t="shared" ref="AE76:AE104" si="32">IF(AJ75&gt;0, AG75, AE75)</f>
        <v>0.25</v>
      </c>
      <c r="AF76" s="8">
        <f t="shared" si="25"/>
        <v>-0.2281596043508563</v>
      </c>
      <c r="AG76" s="8">
        <f t="shared" si="27"/>
        <v>0.125</v>
      </c>
      <c r="AH76" s="8">
        <f t="shared" si="26"/>
        <v>-0.10020642886532918</v>
      </c>
      <c r="AI76" s="8">
        <f t="shared" si="28"/>
        <v>-2.6314742458941822E-3</v>
      </c>
      <c r="AJ76" s="8">
        <f t="shared" si="29"/>
        <v>2.2863059163325733E-2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2.626053313835492E-2</v>
      </c>
      <c r="AE77" s="8">
        <f t="shared" si="32"/>
        <v>0.125</v>
      </c>
      <c r="AF77" s="8">
        <f t="shared" si="25"/>
        <v>-0.10020642886532918</v>
      </c>
      <c r="AG77" s="8">
        <f t="shared" si="27"/>
        <v>6.25E-2</v>
      </c>
      <c r="AH77" s="8">
        <f t="shared" si="26"/>
        <v>-3.6640320894163261E-2</v>
      </c>
      <c r="AI77" s="8">
        <f t="shared" si="28"/>
        <v>-9.6219436104113252E-4</v>
      </c>
      <c r="AJ77" s="8">
        <f t="shared" si="29"/>
        <v>3.6715957092838055E-3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</v>
      </c>
      <c r="AD78" s="8">
        <f t="shared" si="24"/>
        <v>2.626053313835492E-2</v>
      </c>
      <c r="AE78" s="8">
        <f t="shared" si="32"/>
        <v>6.25E-2</v>
      </c>
      <c r="AF78" s="8">
        <f t="shared" si="25"/>
        <v>-3.6640320894163261E-2</v>
      </c>
      <c r="AG78" s="8">
        <f t="shared" si="27"/>
        <v>3.125E-2</v>
      </c>
      <c r="AH78" s="8">
        <f t="shared" si="26"/>
        <v>-5.0920965274407898E-3</v>
      </c>
      <c r="AI78" s="8">
        <f t="shared" si="28"/>
        <v>-1.3372116960256087E-4</v>
      </c>
      <c r="AJ78" s="8">
        <f t="shared" si="29"/>
        <v>1.8657605078948496E-4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</v>
      </c>
      <c r="AD79" s="8">
        <f t="shared" si="24"/>
        <v>2.626053313835492E-2</v>
      </c>
      <c r="AE79" s="8">
        <f t="shared" si="32"/>
        <v>3.125E-2</v>
      </c>
      <c r="AF79" s="8">
        <f t="shared" si="25"/>
        <v>-5.0920965274407898E-3</v>
      </c>
      <c r="AG79" s="8">
        <f t="shared" si="27"/>
        <v>1.5625E-2</v>
      </c>
      <c r="AH79" s="8">
        <f t="shared" si="26"/>
        <v>1.0609719614993435E-2</v>
      </c>
      <c r="AI79" s="8">
        <f t="shared" si="28"/>
        <v>2.7861689353818933E-4</v>
      </c>
      <c r="AJ79" s="8">
        <f t="shared" si="29"/>
        <v>-5.4025716408628505E-5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1.5625E-2</v>
      </c>
      <c r="AD80" s="8">
        <f t="shared" si="24"/>
        <v>1.0609719614993435E-2</v>
      </c>
      <c r="AE80" s="8">
        <f t="shared" si="32"/>
        <v>3.125E-2</v>
      </c>
      <c r="AF80" s="8">
        <f t="shared" si="25"/>
        <v>-5.0920965274407898E-3</v>
      </c>
      <c r="AG80" s="8">
        <f t="shared" si="27"/>
        <v>2.34375E-2</v>
      </c>
      <c r="AH80" s="8">
        <f t="shared" si="26"/>
        <v>2.7650996365830224E-3</v>
      </c>
      <c r="AI80" s="8">
        <f t="shared" si="28"/>
        <v>2.9336931851666111E-5</v>
      </c>
      <c r="AJ80" s="8">
        <f t="shared" si="29"/>
        <v>-1.4080154257472199E-5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2.34375E-2</v>
      </c>
      <c r="AD81" s="8">
        <f t="shared" si="24"/>
        <v>2.7650996365830224E-3</v>
      </c>
      <c r="AE81" s="8">
        <f t="shared" si="32"/>
        <v>3.125E-2</v>
      </c>
      <c r="AF81" s="8">
        <f t="shared" si="25"/>
        <v>-5.0920965274407898E-3</v>
      </c>
      <c r="AG81" s="8">
        <f t="shared" si="27"/>
        <v>2.734375E-2</v>
      </c>
      <c r="AH81" s="8">
        <f t="shared" si="26"/>
        <v>-1.1619414075667439E-3</v>
      </c>
      <c r="AI81" s="8">
        <f t="shared" si="28"/>
        <v>-3.2128837637935693E-6</v>
      </c>
      <c r="AJ81" s="8">
        <f t="shared" si="29"/>
        <v>5.9167178065602801E-6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2.34375E-2</v>
      </c>
      <c r="AD82" s="8">
        <f t="shared" si="24"/>
        <v>2.7650996365830224E-3</v>
      </c>
      <c r="AE82" s="8">
        <f t="shared" si="32"/>
        <v>2.734375E-2</v>
      </c>
      <c r="AF82" s="8">
        <f t="shared" si="25"/>
        <v>-1.1619414075667439E-3</v>
      </c>
      <c r="AG82" s="8">
        <f t="shared" si="27"/>
        <v>2.5390625E-2</v>
      </c>
      <c r="AH82" s="8">
        <f t="shared" si="26"/>
        <v>8.0197042398398588E-4</v>
      </c>
      <c r="AI82" s="8">
        <f t="shared" si="28"/>
        <v>2.2175281279084517E-6</v>
      </c>
      <c r="AJ82" s="8">
        <f t="shared" si="29"/>
        <v>-9.3184264327085098E-7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2.5390625E-2</v>
      </c>
      <c r="AD83" s="8">
        <f t="shared" si="24"/>
        <v>8.0197042398398588E-4</v>
      </c>
      <c r="AE83" s="8">
        <f t="shared" si="32"/>
        <v>2.734375E-2</v>
      </c>
      <c r="AF83" s="8">
        <f t="shared" si="25"/>
        <v>-1.1619414075667439E-3</v>
      </c>
      <c r="AG83" s="8">
        <f t="shared" si="27"/>
        <v>2.63671875E-2</v>
      </c>
      <c r="AH83" s="8">
        <f t="shared" si="26"/>
        <v>-1.7988790979009406E-4</v>
      </c>
      <c r="AI83" s="8">
        <f t="shared" si="28"/>
        <v>-1.4426478328395473E-7</v>
      </c>
      <c r="AJ83" s="8">
        <f t="shared" si="29"/>
        <v>2.0901921110574134E-7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2.5390625E-2</v>
      </c>
      <c r="AD84" s="8">
        <f t="shared" si="24"/>
        <v>8.0197042398398588E-4</v>
      </c>
      <c r="AE84" s="8">
        <f t="shared" si="32"/>
        <v>2.63671875E-2</v>
      </c>
      <c r="AF84" s="8">
        <f t="shared" si="25"/>
        <v>-1.7988790979009406E-4</v>
      </c>
      <c r="AG84" s="8">
        <f t="shared" si="27"/>
        <v>2.587890625E-2</v>
      </c>
      <c r="AH84" s="8">
        <f t="shared" si="26"/>
        <v>3.1106568395405931E-4</v>
      </c>
      <c r="AI84" s="8">
        <f t="shared" si="28"/>
        <v>2.4946547844750548E-7</v>
      </c>
      <c r="AJ84" s="8">
        <f t="shared" si="29"/>
        <v>-5.5956955693921728E-8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2.587890625E-2</v>
      </c>
      <c r="AD85" s="8">
        <f t="shared" si="24"/>
        <v>3.1106568395405931E-4</v>
      </c>
      <c r="AE85" s="8">
        <f t="shared" si="32"/>
        <v>2.63671875E-2</v>
      </c>
      <c r="AF85" s="8">
        <f t="shared" si="25"/>
        <v>-1.7988790979009406E-4</v>
      </c>
      <c r="AG85" s="8">
        <f t="shared" si="27"/>
        <v>2.6123046875E-2</v>
      </c>
      <c r="AH85" s="8">
        <f t="shared" si="26"/>
        <v>6.5594989919350033E-5</v>
      </c>
      <c r="AI85" s="8">
        <f t="shared" si="28"/>
        <v>2.0404350403222243E-8</v>
      </c>
      <c r="AJ85" s="8">
        <f t="shared" si="29"/>
        <v>-1.1799745629294168E-8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2.6123046875E-2</v>
      </c>
      <c r="AD86" s="8">
        <f t="shared" si="24"/>
        <v>6.5594989919350033E-5</v>
      </c>
      <c r="AE86" s="8">
        <f t="shared" si="32"/>
        <v>2.63671875E-2</v>
      </c>
      <c r="AF86" s="8">
        <f t="shared" si="25"/>
        <v>-1.7988790979009406E-4</v>
      </c>
      <c r="AG86" s="8">
        <f t="shared" si="27"/>
        <v>2.62451171875E-2</v>
      </c>
      <c r="AH86" s="8">
        <f t="shared" si="26"/>
        <v>-5.7144934714377371E-5</v>
      </c>
      <c r="AI86" s="8">
        <f t="shared" si="28"/>
        <v>-3.7484214165314992E-9</v>
      </c>
      <c r="AJ86" s="8">
        <f t="shared" si="29"/>
        <v>1.0279682860860732E-8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2.6123046875E-2</v>
      </c>
      <c r="AD87" s="8">
        <f t="shared" si="24"/>
        <v>6.5594989919350033E-5</v>
      </c>
      <c r="AE87" s="8">
        <f t="shared" si="32"/>
        <v>2.62451171875E-2</v>
      </c>
      <c r="AF87" s="8">
        <f t="shared" si="25"/>
        <v>-5.7144934714377371E-5</v>
      </c>
      <c r="AG87" s="8">
        <f t="shared" si="27"/>
        <v>2.618408203125E-2</v>
      </c>
      <c r="AH87" s="8">
        <f t="shared" si="26"/>
        <v>4.2254089689455765E-6</v>
      </c>
      <c r="AI87" s="8">
        <f t="shared" si="28"/>
        <v>2.7716565872311633E-10</v>
      </c>
      <c r="AJ87" s="8">
        <f t="shared" si="29"/>
        <v>-2.4146071967193956E-10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2.618408203125E-2</v>
      </c>
      <c r="AD88" s="8">
        <f t="shared" si="24"/>
        <v>4.2254089689455765E-6</v>
      </c>
      <c r="AE88" s="8">
        <f t="shared" si="32"/>
        <v>2.62451171875E-2</v>
      </c>
      <c r="AF88" s="8">
        <f t="shared" si="25"/>
        <v>-5.7144934714377371E-5</v>
      </c>
      <c r="AG88" s="8">
        <f t="shared" si="27"/>
        <v>2.6214599609375E-2</v>
      </c>
      <c r="AH88" s="8">
        <f t="shared" si="26"/>
        <v>-2.6459667538746012E-5</v>
      </c>
      <c r="AI88" s="8">
        <f t="shared" si="28"/>
        <v>-1.1180291653353552E-10</v>
      </c>
      <c r="AJ88" s="8">
        <f t="shared" si="29"/>
        <v>1.5120359740657711E-9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2.618408203125E-2</v>
      </c>
      <c r="AD89" s="8">
        <f t="shared" si="24"/>
        <v>4.2254089689455765E-6</v>
      </c>
      <c r="AE89" s="8">
        <f t="shared" si="32"/>
        <v>2.6214599609375E-2</v>
      </c>
      <c r="AF89" s="8">
        <f t="shared" si="25"/>
        <v>-2.6459667538746012E-5</v>
      </c>
      <c r="AG89" s="8">
        <f t="shared" si="27"/>
        <v>2.61993408203125E-2</v>
      </c>
      <c r="AH89" s="8">
        <f t="shared" si="26"/>
        <v>-1.1117105450451914E-5</v>
      </c>
      <c r="AI89" s="8">
        <f t="shared" si="28"/>
        <v>-4.6974317079053268E-11</v>
      </c>
      <c r="AJ89" s="8">
        <f t="shared" si="29"/>
        <v>2.9415491421213889E-10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2.618408203125E-2</v>
      </c>
      <c r="AD90" s="8">
        <f t="shared" si="24"/>
        <v>4.2254089689455765E-6</v>
      </c>
      <c r="AE90" s="8">
        <f t="shared" si="32"/>
        <v>2.61993408203125E-2</v>
      </c>
      <c r="AF90" s="8">
        <f t="shared" si="25"/>
        <v>-1.1117105450451914E-5</v>
      </c>
      <c r="AG90" s="8">
        <f t="shared" si="27"/>
        <v>2.619171142578125E-2</v>
      </c>
      <c r="AH90" s="8">
        <f t="shared" si="26"/>
        <v>-3.4458422820196621E-6</v>
      </c>
      <c r="AI90" s="8">
        <f t="shared" si="28"/>
        <v>-1.4560092884017773E-11</v>
      </c>
      <c r="AJ90" s="8">
        <f t="shared" si="29"/>
        <v>3.830779201483845E-11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2.618408203125E-2</v>
      </c>
      <c r="AD91" s="8">
        <f t="shared" si="24"/>
        <v>4.2254089689455765E-6</v>
      </c>
      <c r="AE91" s="8">
        <f t="shared" si="32"/>
        <v>2.619171142578125E-2</v>
      </c>
      <c r="AF91" s="8">
        <f t="shared" si="25"/>
        <v>-3.4458422820196621E-6</v>
      </c>
      <c r="AG91" s="8">
        <f t="shared" si="27"/>
        <v>2.6187896728515625E-2</v>
      </c>
      <c r="AH91" s="8">
        <f t="shared" si="26"/>
        <v>3.8978483316021162E-7</v>
      </c>
      <c r="AI91" s="8">
        <f t="shared" si="28"/>
        <v>1.6470003299941134E-12</v>
      </c>
      <c r="AJ91" s="8">
        <f t="shared" si="29"/>
        <v>-1.343137058993437E-12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2.6187896728515625E-2</v>
      </c>
      <c r="AD92" s="8">
        <f t="shared" si="24"/>
        <v>3.8978483316021162E-7</v>
      </c>
      <c r="AE92" s="8">
        <f t="shared" si="32"/>
        <v>2.619171142578125E-2</v>
      </c>
      <c r="AF92" s="8">
        <f t="shared" si="25"/>
        <v>-3.4458422820196621E-6</v>
      </c>
      <c r="AG92" s="8">
        <f t="shared" si="27"/>
        <v>2.6189804077148438E-2</v>
      </c>
      <c r="AH92" s="8">
        <f t="shared" si="26"/>
        <v>-1.5280283520088811E-6</v>
      </c>
      <c r="AI92" s="8">
        <f t="shared" si="28"/>
        <v>-5.9560227625185486E-13</v>
      </c>
      <c r="AJ92" s="8">
        <f t="shared" si="29"/>
        <v>5.2653447034770264E-12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2.6187896728515625E-2</v>
      </c>
      <c r="AD93" s="8">
        <f t="shared" si="24"/>
        <v>3.8978483316021162E-7</v>
      </c>
      <c r="AE93" s="8">
        <f t="shared" si="32"/>
        <v>2.6189804077148438E-2</v>
      </c>
      <c r="AF93" s="8">
        <f t="shared" si="25"/>
        <v>-1.5280283520088811E-6</v>
      </c>
      <c r="AG93" s="8">
        <f t="shared" si="27"/>
        <v>2.6188850402832031E-2</v>
      </c>
      <c r="AH93" s="8">
        <f t="shared" si="26"/>
        <v>-5.6912166631478689E-7</v>
      </c>
      <c r="AI93" s="8">
        <f t="shared" si="28"/>
        <v>-2.2183499375237083E-13</v>
      </c>
      <c r="AJ93" s="8">
        <f t="shared" si="29"/>
        <v>8.6963404187153211E-13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2.6187896728515625E-2</v>
      </c>
      <c r="AD94" s="8">
        <f t="shared" si="24"/>
        <v>3.8978483316021162E-7</v>
      </c>
      <c r="AE94" s="8">
        <f t="shared" si="32"/>
        <v>2.6188850402832031E-2</v>
      </c>
      <c r="AF94" s="8">
        <f t="shared" si="25"/>
        <v>-5.6912166631478689E-7</v>
      </c>
      <c r="AG94" s="8">
        <f t="shared" si="27"/>
        <v>2.6188373565673828E-2</v>
      </c>
      <c r="AH94" s="8">
        <f t="shared" si="26"/>
        <v>-8.9668393300768034E-8</v>
      </c>
      <c r="AI94" s="8">
        <f t="shared" si="28"/>
        <v>-3.4951379722484107E-14</v>
      </c>
      <c r="AJ94" s="8">
        <f t="shared" si="29"/>
        <v>5.1032225411102777E-14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2.6187896728515625E-2</v>
      </c>
      <c r="AD95" s="8">
        <f t="shared" si="24"/>
        <v>3.8978483316021162E-7</v>
      </c>
      <c r="AE95" s="8">
        <f t="shared" si="32"/>
        <v>2.6188373565673828E-2</v>
      </c>
      <c r="AF95" s="8">
        <f t="shared" si="25"/>
        <v>-8.9668393300768034E-8</v>
      </c>
      <c r="AG95" s="8">
        <f t="shared" si="27"/>
        <v>2.6188135147094727E-2</v>
      </c>
      <c r="AH95" s="8">
        <f t="shared" si="26"/>
        <v>1.5005822574798433E-7</v>
      </c>
      <c r="AI95" s="8">
        <f t="shared" si="28"/>
        <v>5.8490420487495439E-14</v>
      </c>
      <c r="AJ95" s="8">
        <f t="shared" si="29"/>
        <v>-1.3455480004385696E-14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2.6188135147094727E-2</v>
      </c>
      <c r="AD96" s="8">
        <f t="shared" si="24"/>
        <v>1.5005822574798433E-7</v>
      </c>
      <c r="AE96" s="8">
        <f t="shared" si="32"/>
        <v>2.6188373565673828E-2</v>
      </c>
      <c r="AF96" s="8">
        <f t="shared" si="25"/>
        <v>-8.9668393300768034E-8</v>
      </c>
      <c r="AG96" s="8">
        <f t="shared" si="27"/>
        <v>2.6188254356384277E-2</v>
      </c>
      <c r="AH96" s="8">
        <f t="shared" si="26"/>
        <v>3.0194917677306421E-8</v>
      </c>
      <c r="AI96" s="8">
        <f t="shared" si="28"/>
        <v>4.5309957732630494E-15</v>
      </c>
      <c r="AJ96" s="8">
        <f t="shared" si="29"/>
        <v>-2.7075297539730255E-15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2.6188254356384277E-2</v>
      </c>
      <c r="AD97" s="8">
        <f t="shared" si="24"/>
        <v>3.0194917677306421E-8</v>
      </c>
      <c r="AE97" s="8">
        <f t="shared" si="32"/>
        <v>2.6188373565673828E-2</v>
      </c>
      <c r="AF97" s="8">
        <f t="shared" si="25"/>
        <v>-8.9668393300768034E-8</v>
      </c>
      <c r="AG97" s="8">
        <f t="shared" si="27"/>
        <v>2.6188313961029053E-2</v>
      </c>
      <c r="AH97" s="8">
        <f t="shared" si="26"/>
        <v>-2.9736737447438877E-8</v>
      </c>
      <c r="AI97" s="8">
        <f t="shared" si="28"/>
        <v>-8.97898339217092E-16</v>
      </c>
      <c r="AJ97" s="8">
        <f t="shared" si="29"/>
        <v>2.6664454689186261E-15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2.6188254356384277E-2</v>
      </c>
      <c r="AD98" s="8">
        <f t="shared" si="24"/>
        <v>3.0194917677306421E-8</v>
      </c>
      <c r="AE98" s="8">
        <f t="shared" si="32"/>
        <v>2.6188313961029053E-2</v>
      </c>
      <c r="AF98" s="8">
        <f t="shared" si="25"/>
        <v>-2.9736737447438877E-8</v>
      </c>
      <c r="AG98" s="8">
        <f t="shared" si="27"/>
        <v>2.6188284158706665E-2</v>
      </c>
      <c r="AH98" s="8">
        <f t="shared" si="26"/>
        <v>2.2909020513939282E-10</v>
      </c>
      <c r="AI98" s="8">
        <f t="shared" si="28"/>
        <v>6.9173598848612066E-18</v>
      </c>
      <c r="AJ98" s="8">
        <f t="shared" si="29"/>
        <v>-6.812395282010037E-18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2.6188284158706665E-2</v>
      </c>
      <c r="AD99" s="8">
        <f t="shared" si="24"/>
        <v>2.2909020513939282E-10</v>
      </c>
      <c r="AE99" s="8">
        <f t="shared" si="32"/>
        <v>2.6188313961029053E-2</v>
      </c>
      <c r="AF99" s="8">
        <f t="shared" si="25"/>
        <v>-2.9736737447438877E-8</v>
      </c>
      <c r="AG99" s="8">
        <f t="shared" si="27"/>
        <v>2.6188299059867859E-2</v>
      </c>
      <c r="AH99" s="8">
        <f t="shared" si="26"/>
        <v>-1.475382360033306E-8</v>
      </c>
      <c r="AI99" s="8">
        <f t="shared" si="28"/>
        <v>-3.379956475190716E-18</v>
      </c>
      <c r="AJ99" s="8">
        <f t="shared" si="29"/>
        <v>4.3873057874893156E-16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2.6188284158706665E-2</v>
      </c>
      <c r="AD100" s="8">
        <f t="shared" si="24"/>
        <v>2.2909020513939282E-10</v>
      </c>
      <c r="AE100" s="8">
        <f t="shared" si="32"/>
        <v>2.6188299059867859E-2</v>
      </c>
      <c r="AF100" s="8">
        <f t="shared" si="25"/>
        <v>-1.475382360033306E-8</v>
      </c>
      <c r="AG100" s="8">
        <f t="shared" si="27"/>
        <v>2.6188291609287262E-2</v>
      </c>
      <c r="AH100" s="8">
        <f t="shared" si="26"/>
        <v>-7.2623666941273868E-9</v>
      </c>
      <c r="AI100" s="8">
        <f t="shared" si="28"/>
        <v>-1.6637370757551371E-18</v>
      </c>
      <c r="AJ100" s="8">
        <f t="shared" si="29"/>
        <v>1.0714767712608942E-16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2.6188284158706665E-2</v>
      </c>
      <c r="AD101" s="8">
        <f t="shared" si="24"/>
        <v>2.2909020513939282E-10</v>
      </c>
      <c r="AE101" s="8">
        <f t="shared" si="32"/>
        <v>2.6188291609287262E-2</v>
      </c>
      <c r="AF101" s="8">
        <f t="shared" si="25"/>
        <v>-7.2623666941273868E-9</v>
      </c>
      <c r="AG101" s="8">
        <f t="shared" si="27"/>
        <v>2.6188287883996964E-2</v>
      </c>
      <c r="AH101" s="8">
        <f t="shared" si="26"/>
        <v>-3.5166382375551031E-9</v>
      </c>
      <c r="AI101" s="8">
        <f t="shared" si="28"/>
        <v>-8.0562737524253139E-19</v>
      </c>
      <c r="AJ101" s="8">
        <f t="shared" si="29"/>
        <v>2.5539116411715013E-17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2.6188284158706665E-2</v>
      </c>
      <c r="AD102" s="8">
        <f t="shared" si="24"/>
        <v>2.2909020513939282E-10</v>
      </c>
      <c r="AE102" s="8">
        <f t="shared" si="32"/>
        <v>2.6188287883996964E-2</v>
      </c>
      <c r="AF102" s="8">
        <f t="shared" si="25"/>
        <v>-3.5166382375551031E-9</v>
      </c>
      <c r="AG102" s="8">
        <f t="shared" si="27"/>
        <v>2.6188286021351814E-2</v>
      </c>
      <c r="AH102" s="8">
        <f t="shared" si="26"/>
        <v>-1.6437740196773021E-9</v>
      </c>
      <c r="AI102" s="8">
        <f t="shared" si="28"/>
        <v>-3.7657252737067747E-19</v>
      </c>
      <c r="AJ102" s="8">
        <f t="shared" si="29"/>
        <v>5.7805585714968552E-18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2.6188284158706665E-2</v>
      </c>
      <c r="AD103" s="8">
        <f t="shared" si="24"/>
        <v>2.2909020513939282E-10</v>
      </c>
      <c r="AE103" s="8">
        <f t="shared" si="32"/>
        <v>2.6188286021351814E-2</v>
      </c>
      <c r="AF103" s="8">
        <f t="shared" si="25"/>
        <v>-1.6437740196773021E-9</v>
      </c>
      <c r="AG103" s="8">
        <f t="shared" si="27"/>
        <v>2.618828509002924E-2</v>
      </c>
      <c r="AH103" s="8">
        <f t="shared" si="26"/>
        <v>-7.0734190726895463E-10</v>
      </c>
      <c r="AI103" s="8">
        <f t="shared" si="28"/>
        <v>-1.6204510263993419E-19</v>
      </c>
      <c r="AJ103" s="8">
        <f t="shared" si="29"/>
        <v>1.162710250197699E-18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2.6188284158706665E-2</v>
      </c>
      <c r="AD104" s="8">
        <f t="shared" si="24"/>
        <v>2.2909020513939282E-10</v>
      </c>
      <c r="AE104" s="8">
        <f t="shared" si="32"/>
        <v>2.618828509002924E-2</v>
      </c>
      <c r="AF104" s="8">
        <f t="shared" si="25"/>
        <v>-7.0734190726895463E-10</v>
      </c>
      <c r="AG104" s="8">
        <f t="shared" si="27"/>
        <v>2.6188284624367952E-2</v>
      </c>
      <c r="AH104" s="8">
        <f t="shared" si="26"/>
        <v>-2.391258510647809E-10</v>
      </c>
      <c r="AI104" s="8">
        <f t="shared" si="28"/>
        <v>-5.4781390274562553E-20</v>
      </c>
      <c r="AJ104" s="8">
        <f t="shared" si="29"/>
        <v>1.6914373556947411E-19</v>
      </c>
      <c r="AK104" s="8">
        <f t="shared" si="30"/>
        <v>9.3132257461547852E-10</v>
      </c>
    </row>
  </sheetData>
  <mergeCells count="28">
    <mergeCell ref="B1:D1"/>
    <mergeCell ref="B3:D3"/>
    <mergeCell ref="F3:H3"/>
    <mergeCell ref="N3:P3"/>
    <mergeCell ref="V17:X17"/>
    <mergeCell ref="B12:D12"/>
    <mergeCell ref="V3:X3"/>
    <mergeCell ref="J7:L7"/>
    <mergeCell ref="F12:H12"/>
    <mergeCell ref="N13:P13"/>
    <mergeCell ref="R13:T13"/>
    <mergeCell ref="V13:X13"/>
    <mergeCell ref="R3:T3"/>
    <mergeCell ref="J11:L11"/>
    <mergeCell ref="N17:P17"/>
    <mergeCell ref="R17:T17"/>
    <mergeCell ref="J3:L3"/>
    <mergeCell ref="B49:D49"/>
    <mergeCell ref="J37:L37"/>
    <mergeCell ref="J29:L29"/>
    <mergeCell ref="F45:H45"/>
    <mergeCell ref="B16:D16"/>
    <mergeCell ref="B27:D27"/>
    <mergeCell ref="F25:H25"/>
    <mergeCell ref="B43:D43"/>
    <mergeCell ref="F32:H32"/>
    <mergeCell ref="B38:D38"/>
    <mergeCell ref="B32:D32"/>
  </mergeCells>
  <conditionalFormatting sqref="K27">
    <cfRule type="containsText" dxfId="41" priority="1" operator="containsText" text="FALSE">
      <formula>NOT(ISERROR(SEARCH("FALSE",K27)))</formula>
    </cfRule>
    <cfRule type="containsText" dxfId="40" priority="2" operator="containsText" text="TRUE">
      <formula>NOT(ISERROR(SEARCH("TRUE",K27)))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NOT(ISERROR(SEARCH("YES",K27)))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1509-F44E-AC41-A35D-56CD62BF7993}">
  <dimension ref="B1:AV104"/>
  <sheetViews>
    <sheetView zoomScale="99" workbookViewId="0">
      <selection activeCell="F17" sqref="F17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3.832031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3.83203125" style="20" customWidth="1"/>
    <col min="19" max="19" width="10.83203125" style="20"/>
    <col min="20" max="20" width="6.33203125" style="20" customWidth="1"/>
    <col min="21" max="21" width="6.1640625" style="20" customWidth="1"/>
    <col min="22" max="22" width="13.8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0" width="10.83203125" style="20"/>
    <col min="41" max="41" width="12.33203125" style="20" bestFit="1" customWidth="1"/>
    <col min="42" max="43" width="10.83203125" style="20"/>
    <col min="44" max="44" width="18.33203125" style="20" customWidth="1"/>
    <col min="45" max="16384" width="10.83203125" style="20"/>
  </cols>
  <sheetData>
    <row r="1" spans="2:48" x14ac:dyDescent="0.2">
      <c r="B1" s="65" t="s">
        <v>0</v>
      </c>
      <c r="C1" s="65"/>
      <c r="D1" s="65"/>
    </row>
    <row r="2" spans="2:48" x14ac:dyDescent="0.2">
      <c r="AB2" s="32" t="s">
        <v>141</v>
      </c>
      <c r="AM2" s="32" t="s">
        <v>104</v>
      </c>
    </row>
    <row r="3" spans="2:48" x14ac:dyDescent="0.2">
      <c r="B3" s="59" t="s">
        <v>205</v>
      </c>
      <c r="C3" s="60"/>
      <c r="D3" s="60"/>
      <c r="F3" s="59" t="s">
        <v>110</v>
      </c>
      <c r="G3" s="60"/>
      <c r="H3" s="60"/>
      <c r="J3" s="58" t="s">
        <v>157</v>
      </c>
      <c r="K3" s="58"/>
      <c r="L3" s="58"/>
      <c r="N3" s="58" t="s">
        <v>136</v>
      </c>
      <c r="O3" s="58"/>
      <c r="P3" s="58"/>
      <c r="R3" s="58" t="s">
        <v>134</v>
      </c>
      <c r="S3" s="58"/>
      <c r="T3" s="58"/>
      <c r="V3" s="58" t="s">
        <v>148</v>
      </c>
      <c r="W3" s="58"/>
      <c r="X3" s="58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8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MAX(G6,G20,G27,G40,G48)</f>
        <v>249.24682520451083</v>
      </c>
      <c r="L4" s="20" t="s">
        <v>162</v>
      </c>
      <c r="N4" s="20" t="s">
        <v>37</v>
      </c>
      <c r="O4" s="20">
        <f xml:space="preserve"> 0.5 * $C$44 * $G$13^2</f>
        <v>1531.25</v>
      </c>
      <c r="P4" s="20" t="s">
        <v>38</v>
      </c>
      <c r="R4" s="20" t="s">
        <v>37</v>
      </c>
      <c r="S4" s="20">
        <f xml:space="preserve"> 0.5 * $C$44 * $C$8^2</f>
        <v>1531.25</v>
      </c>
      <c r="T4" s="20" t="s">
        <v>38</v>
      </c>
      <c r="V4" s="20" t="s">
        <v>37</v>
      </c>
      <c r="W4" s="20">
        <f xml:space="preserve"> 0.5 * $C$44 * $G$33^2</f>
        <v>1531.25</v>
      </c>
      <c r="X4" s="20" t="s">
        <v>38</v>
      </c>
      <c r="AB4" s="8">
        <v>0</v>
      </c>
      <c r="AC4" s="9">
        <v>0</v>
      </c>
      <c r="AD4" s="8">
        <f xml:space="preserve"> $C$10 * TAN($S$18/180*PI()) + $S$21 / (2 * SQRT($C$10^2 + AC4^2)) - AC4</f>
        <v>3.6676399497508998E-2</v>
      </c>
      <c r="AE4" s="9">
        <v>1</v>
      </c>
      <c r="AF4" s="8">
        <f xml:space="preserve"> $C$10 * TAN($S$18/180*PI()) + $S$21 / (2 * SQRT($C$10^2 + AE4^2)) - AE4</f>
        <v>-0.97894938551329136</v>
      </c>
      <c r="AG4" s="8">
        <f xml:space="preserve"> (AC4 + AE4)/2</f>
        <v>0.5</v>
      </c>
      <c r="AH4" s="8">
        <f t="shared" ref="AH4:AH33" si="0" xml:space="preserve"> $C$10 * TAN($S$18/180*PI()) + $S$21 / (2 * SQRT($C$10^2 + AG4^2)) - AG4</f>
        <v>-0.47396888561968931</v>
      </c>
      <c r="AI4" s="8">
        <f>AD4*AH4</f>
        <v>-1.7383472198376871E-2</v>
      </c>
      <c r="AJ4" s="8">
        <f>AF4*AH4</f>
        <v>0.46399154932981435</v>
      </c>
      <c r="AK4" s="8">
        <f>AE4-AC4</f>
        <v>1</v>
      </c>
      <c r="AM4" s="8">
        <v>0</v>
      </c>
      <c r="AN4" s="8"/>
      <c r="AO4" s="8">
        <f>K27</f>
        <v>6.1959326558280736E-11</v>
      </c>
      <c r="AP4" s="8"/>
      <c r="AQ4" s="8">
        <f>K27</f>
        <v>6.1959326558280736E-11</v>
      </c>
      <c r="AR4" s="8"/>
      <c r="AS4" s="8">
        <f>K27</f>
        <v>6.1959326558280736E-11</v>
      </c>
      <c r="AT4" s="8"/>
      <c r="AU4" s="8"/>
      <c r="AV4" s="8"/>
    </row>
    <row r="5" spans="2:48" x14ac:dyDescent="0.2">
      <c r="B5" s="26" t="s">
        <v>54</v>
      </c>
      <c r="C5" s="26">
        <f>AR44</f>
        <v>1286.0205520319141</v>
      </c>
      <c r="D5" s="26" t="s">
        <v>12</v>
      </c>
      <c r="F5" t="s">
        <v>119</v>
      </c>
      <c r="G5" s="1">
        <v>152.4</v>
      </c>
      <c r="H5" t="s">
        <v>14</v>
      </c>
      <c r="J5" t="s">
        <v>159</v>
      </c>
      <c r="K5" s="20">
        <f>K4/$C$17</f>
        <v>62.311706301127707</v>
      </c>
      <c r="L5" s="20" t="s">
        <v>162</v>
      </c>
      <c r="N5" s="20" t="s">
        <v>197</v>
      </c>
      <c r="O5" s="20">
        <f xml:space="preserve"> 0.85 * ($C$5 *2.20462/1000)^(2/3) * 0.3048^2</f>
        <v>0.15818669501286145</v>
      </c>
      <c r="P5" s="20" t="s">
        <v>198</v>
      </c>
      <c r="R5" s="20" t="s">
        <v>197</v>
      </c>
      <c r="S5" s="20">
        <f xml:space="preserve"> 0.85 * ($C$5 *2.20462/1000)^(2/3) * 0.3048^2</f>
        <v>0.15818669501286145</v>
      </c>
      <c r="T5" s="20" t="s">
        <v>198</v>
      </c>
      <c r="V5" s="20" t="s">
        <v>197</v>
      </c>
      <c r="W5" s="20">
        <f xml:space="preserve"> 0.85 * ($C$5 *2.20462/1000)^(2/3) * 0.3048^2</f>
        <v>0.15818669501286145</v>
      </c>
      <c r="X5" s="20" t="s">
        <v>198</v>
      </c>
      <c r="AB5" s="8">
        <v>1</v>
      </c>
      <c r="AC5" s="8">
        <f>IF(AI4&gt;0, AG4, AC4)</f>
        <v>0</v>
      </c>
      <c r="AD5" s="8">
        <f t="shared" ref="AD5:AD34" si="1" xml:space="preserve"> $C$10 * TAN($S$18/180*PI()) + $S$21 / (2 * SQRT($C$10^2 + AC5^2)) - AC5</f>
        <v>3.6676399497508998E-2</v>
      </c>
      <c r="AE5" s="8">
        <f>IF(AJ4&gt;0, AG4, AE4)</f>
        <v>0.5</v>
      </c>
      <c r="AF5" s="8">
        <f t="shared" ref="AF5:AF34" si="2" xml:space="preserve"> $C$10 * TAN($S$18/180*PI()) + $S$21 / (2 * SQRT($C$10^2 + AE5^2)) - AE5</f>
        <v>-0.47396888561968931</v>
      </c>
      <c r="AG5" s="8">
        <f t="shared" ref="AG5:AG34" si="3" xml:space="preserve"> (AC5 + AE5)/2</f>
        <v>0.25</v>
      </c>
      <c r="AH5" s="8">
        <f t="shared" si="0"/>
        <v>-0.21840563756059753</v>
      </c>
      <c r="AI5" s="8">
        <f t="shared" ref="AI5:AI34" si="4">AD5*AH5</f>
        <v>-8.0103324156806308E-3</v>
      </c>
      <c r="AJ5" s="8">
        <f t="shared" ref="AJ5:AJ34" si="5">AF5*AH5</f>
        <v>0.10351747664765416</v>
      </c>
      <c r="AK5" s="8">
        <f t="shared" ref="AK5:AK33" si="6">AE5-AC5</f>
        <v>0.5</v>
      </c>
      <c r="AM5" s="8">
        <v>1</v>
      </c>
      <c r="AN5" s="9">
        <v>500</v>
      </c>
      <c r="AO5" s="8">
        <f t="dataTable" ref="AO5:AO44" dt2D="0" dtr="0" r1="C5"/>
        <v>-372.9422868155695</v>
      </c>
      <c r="AP5" s="9">
        <v>2500</v>
      </c>
      <c r="AQ5" s="8">
        <f t="dataTable" ref="AQ5:AQ44" dt2D="0" dtr="0" r1="C5" ca="1"/>
        <v>211.60702640820818</v>
      </c>
      <c r="AR5" s="8">
        <f>(AN5+AP5)/2</f>
        <v>1500</v>
      </c>
      <c r="AS5" s="8">
        <f t="dataTable" ref="AS5:AS44" dt2D="0" dtr="0" r1="C5" ca="1"/>
        <v>69.939472560469085</v>
      </c>
      <c r="AT5" s="8">
        <f>AO5*AS5</f>
        <v>-26083.386835376114</v>
      </c>
      <c r="AU5" s="8">
        <f>AQ5*AS5</f>
        <v>14799.683817079333</v>
      </c>
      <c r="AV5" s="8">
        <f>AP5-AN5</f>
        <v>2000</v>
      </c>
    </row>
    <row r="6" spans="2:48" x14ac:dyDescent="0.2">
      <c r="B6" s="20" t="s">
        <v>147</v>
      </c>
      <c r="C6" s="33">
        <v>1.5</v>
      </c>
      <c r="D6" s="20" t="s">
        <v>14</v>
      </c>
      <c r="F6" t="s">
        <v>112</v>
      </c>
      <c r="G6" s="20">
        <f xml:space="preserve"> 1/1000 * ($C$5*$C$46)/$C$20 * ( ($G$4/2) + SQRT( ($G$4/2)^2 + ($C$5*$C$46)/(2*$C$44*$C$17*PI()*$C$6*$C$6 ) ) )</f>
        <v>249.24682520451083</v>
      </c>
      <c r="H6" s="20" t="s">
        <v>162</v>
      </c>
      <c r="N6" t="s">
        <v>199</v>
      </c>
      <c r="O6">
        <f xml:space="preserve"> O5 / (PI() * $C$6^2)</f>
        <v>2.2378839504592862E-2</v>
      </c>
      <c r="R6" t="s">
        <v>199</v>
      </c>
      <c r="S6">
        <f xml:space="preserve"> S5 / (PI() * $C$6^2)</f>
        <v>2.2378839504592862E-2</v>
      </c>
      <c r="V6" t="s">
        <v>199</v>
      </c>
      <c r="W6">
        <f xml:space="preserve"> W5 / (PI() * $C$6^2)</f>
        <v>2.2378839504592862E-2</v>
      </c>
      <c r="AB6" s="8">
        <v>2</v>
      </c>
      <c r="AC6" s="8">
        <f t="shared" ref="AC6:AC34" si="7">IF(AI5&gt;0, AG5, AC5)</f>
        <v>0</v>
      </c>
      <c r="AD6" s="8">
        <f t="shared" si="1"/>
        <v>3.6676399497508998E-2</v>
      </c>
      <c r="AE6" s="8">
        <f t="shared" ref="AE6:AE34" si="8">IF(AJ5&gt;0, AG5, AE5)</f>
        <v>0.25</v>
      </c>
      <c r="AF6" s="8">
        <f t="shared" si="2"/>
        <v>-0.21840563756059753</v>
      </c>
      <c r="AG6" s="8">
        <f t="shared" si="3"/>
        <v>0.125</v>
      </c>
      <c r="AH6" s="8">
        <f t="shared" si="0"/>
        <v>-9.0010234749446791E-2</v>
      </c>
      <c r="AI6" s="8">
        <f t="shared" si="4"/>
        <v>-3.3012513285352774E-3</v>
      </c>
      <c r="AJ6" s="8">
        <f t="shared" si="5"/>
        <v>1.9658742707431977E-2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-372.9422868155695</v>
      </c>
      <c r="AP6" s="8">
        <f>IF(AU5&gt;0, AR5, AP5)</f>
        <v>1500</v>
      </c>
      <c r="AQ6" s="8">
        <v>69.939472560469085</v>
      </c>
      <c r="AR6" s="8">
        <f t="shared" ref="AR6:AR43" si="9">(AN6+AP6)/2</f>
        <v>1000</v>
      </c>
      <c r="AS6" s="8">
        <v>-114.18504289974794</v>
      </c>
      <c r="AT6" s="8">
        <f t="shared" ref="AT6:AT44" si="10">AO6*AS6</f>
        <v>42584.431019165902</v>
      </c>
      <c r="AU6" s="8">
        <f t="shared" ref="AU6:AU44" si="11">AQ6*AS6</f>
        <v>-7986.0416747029067</v>
      </c>
      <c r="AV6" s="8">
        <f t="shared" ref="AV6:AV44" si="12">AP6-AN6</f>
        <v>1000</v>
      </c>
    </row>
    <row r="7" spans="2:48" x14ac:dyDescent="0.2">
      <c r="B7" s="20" t="s">
        <v>206</v>
      </c>
      <c r="C7" s="33">
        <v>0.1225</v>
      </c>
      <c r="D7" s="20" t="s">
        <v>14</v>
      </c>
      <c r="F7" t="s">
        <v>30</v>
      </c>
      <c r="G7" s="20">
        <f xml:space="preserve"> $C$5 * $C$46 / $C$17</f>
        <v>3152.8883616459425</v>
      </c>
      <c r="H7" s="20" t="s">
        <v>31</v>
      </c>
      <c r="J7" s="58" t="s">
        <v>34</v>
      </c>
      <c r="K7" s="58"/>
      <c r="L7" s="58"/>
      <c r="N7" t="s">
        <v>201</v>
      </c>
      <c r="O7" s="33">
        <v>3.4909389999999998E-2</v>
      </c>
      <c r="R7" t="s">
        <v>201</v>
      </c>
      <c r="S7" s="33">
        <v>3.4909389999999998E-2</v>
      </c>
      <c r="V7" t="s">
        <v>201</v>
      </c>
      <c r="W7" s="33">
        <v>3.4909389999999998E-2</v>
      </c>
      <c r="AB7" s="8">
        <v>3</v>
      </c>
      <c r="AC7" s="8">
        <f t="shared" si="7"/>
        <v>0</v>
      </c>
      <c r="AD7" s="8">
        <f t="shared" si="1"/>
        <v>3.6676399497508998E-2</v>
      </c>
      <c r="AE7" s="8">
        <f t="shared" si="8"/>
        <v>0.125</v>
      </c>
      <c r="AF7" s="8">
        <f t="shared" si="2"/>
        <v>-9.0010234749446791E-2</v>
      </c>
      <c r="AG7" s="8">
        <f t="shared" si="3"/>
        <v>6.25E-2</v>
      </c>
      <c r="AH7" s="8">
        <f t="shared" si="0"/>
        <v>-2.6284480973544487E-2</v>
      </c>
      <c r="AI7" s="8">
        <f t="shared" si="4"/>
        <v>-9.6402012477039183E-4</v>
      </c>
      <c r="AJ7" s="8">
        <f t="shared" si="5"/>
        <v>2.3658723026961071E-3</v>
      </c>
      <c r="AK7" s="8">
        <f t="shared" si="6"/>
        <v>0.125</v>
      </c>
      <c r="AM7" s="8">
        <v>3</v>
      </c>
      <c r="AN7" s="8">
        <f t="shared" ref="AN7:AN44" si="13">IF(AT6&gt;0, AR6, AN6)</f>
        <v>1000</v>
      </c>
      <c r="AO7" s="8">
        <v>-114.18504289974794</v>
      </c>
      <c r="AP7" s="8">
        <f t="shared" ref="AP7:AP44" si="14">IF(AU6&gt;0, AR6, AP6)</f>
        <v>1500</v>
      </c>
      <c r="AQ7" s="8">
        <v>69.939472560469085</v>
      </c>
      <c r="AR7" s="8">
        <f t="shared" si="9"/>
        <v>1250</v>
      </c>
      <c r="AS7" s="8">
        <v>-13.137753708396644</v>
      </c>
      <c r="AT7" s="8">
        <f t="shared" si="10"/>
        <v>1500.1349707995935</v>
      </c>
      <c r="AU7" s="8">
        <f t="shared" si="11"/>
        <v>-918.84756499460809</v>
      </c>
      <c r="AV7" s="8">
        <f t="shared" si="12"/>
        <v>500</v>
      </c>
    </row>
    <row r="8" spans="2:48" x14ac:dyDescent="0.2">
      <c r="B8" s="20" t="s">
        <v>15</v>
      </c>
      <c r="C8" s="33">
        <v>50</v>
      </c>
      <c r="D8" s="20" t="s">
        <v>16</v>
      </c>
      <c r="F8" t="s">
        <v>120</v>
      </c>
      <c r="G8" s="24">
        <f>$G$5/$G$4</f>
        <v>60</v>
      </c>
      <c r="H8" s="20" t="s">
        <v>22</v>
      </c>
      <c r="J8" s="20" t="s">
        <v>153</v>
      </c>
      <c r="K8" s="20">
        <f xml:space="preserve"> (G6*G8 + G20*G21 + G27*G28 + G40*G41 + G48*G50)/3600</f>
        <v>78.697352789459288</v>
      </c>
      <c r="L8" s="20" t="s">
        <v>163</v>
      </c>
      <c r="N8" s="20" t="s">
        <v>200</v>
      </c>
      <c r="O8" s="20">
        <f xml:space="preserve"> $O$7 + O6</f>
        <v>5.7288229504592864E-2</v>
      </c>
      <c r="R8" s="20" t="s">
        <v>200</v>
      </c>
      <c r="S8" s="20">
        <f xml:space="preserve"> $S$7 + S6</f>
        <v>5.7288229504592864E-2</v>
      </c>
      <c r="V8" s="20" t="s">
        <v>200</v>
      </c>
      <c r="W8" s="20">
        <f xml:space="preserve"> $W$7 + W6</f>
        <v>5.7288229504592864E-2</v>
      </c>
      <c r="AB8" s="8">
        <v>4</v>
      </c>
      <c r="AC8" s="8">
        <f t="shared" si="7"/>
        <v>0</v>
      </c>
      <c r="AD8" s="8">
        <f t="shared" si="1"/>
        <v>3.6676399497508998E-2</v>
      </c>
      <c r="AE8" s="8">
        <f t="shared" si="8"/>
        <v>6.25E-2</v>
      </c>
      <c r="AF8" s="8">
        <f t="shared" si="2"/>
        <v>-2.6284480973544487E-2</v>
      </c>
      <c r="AG8" s="8">
        <f t="shared" si="3"/>
        <v>3.125E-2</v>
      </c>
      <c r="AH8" s="8">
        <f t="shared" si="0"/>
        <v>5.3084014112259464E-3</v>
      </c>
      <c r="AI8" s="8">
        <f t="shared" si="4"/>
        <v>1.9469305085126335E-4</v>
      </c>
      <c r="AJ8" s="8">
        <f t="shared" si="5"/>
        <v>-1.3952857589330509E-4</v>
      </c>
      <c r="AK8" s="8">
        <f t="shared" si="6"/>
        <v>6.25E-2</v>
      </c>
      <c r="AM8" s="8">
        <v>4</v>
      </c>
      <c r="AN8" s="8">
        <f t="shared" si="13"/>
        <v>1250</v>
      </c>
      <c r="AO8" s="8">
        <v>-13.137753708396644</v>
      </c>
      <c r="AP8" s="8">
        <f t="shared" si="14"/>
        <v>1500</v>
      </c>
      <c r="AQ8" s="8">
        <v>69.939472560469085</v>
      </c>
      <c r="AR8" s="8">
        <f t="shared" si="9"/>
        <v>1375</v>
      </c>
      <c r="AS8" s="8">
        <v>30.807131432231358</v>
      </c>
      <c r="AT8" s="8">
        <f t="shared" si="10"/>
        <v>-404.73650521886037</v>
      </c>
      <c r="AU8" s="8">
        <f t="shared" si="11"/>
        <v>2154.6345234713099</v>
      </c>
      <c r="AV8" s="8">
        <f t="shared" si="12"/>
        <v>250</v>
      </c>
    </row>
    <row r="9" spans="2:48" x14ac:dyDescent="0.2">
      <c r="B9" s="20" t="s">
        <v>219</v>
      </c>
      <c r="C9" s="33">
        <v>720</v>
      </c>
      <c r="D9" s="20" t="s">
        <v>218</v>
      </c>
      <c r="F9" t="s">
        <v>214</v>
      </c>
      <c r="G9" s="24">
        <f>$C$9*2*PI()*$C$6/60 * $C$6</f>
        <v>169.64600329384885</v>
      </c>
      <c r="H9" s="20" t="s">
        <v>16</v>
      </c>
      <c r="J9" s="20" t="s">
        <v>35</v>
      </c>
      <c r="K9" s="20">
        <f xml:space="preserve"> (G8 + G21 + G28 + G41 + G50)/60</f>
        <v>34.67079771753523</v>
      </c>
      <c r="L9" s="20" t="s">
        <v>164</v>
      </c>
      <c r="N9" s="20" t="s">
        <v>57</v>
      </c>
      <c r="O9" s="20">
        <f xml:space="preserve"> O4 *$O$8 * PI() * $C$6^2</f>
        <v>620.07453045639511</v>
      </c>
      <c r="P9" s="20" t="s">
        <v>31</v>
      </c>
      <c r="R9" s="20" t="s">
        <v>57</v>
      </c>
      <c r="S9" s="20">
        <f xml:space="preserve"> S4 *$S$8 * PI() * $C$6 * $C$6</f>
        <v>620.07453045639511</v>
      </c>
      <c r="T9" s="20" t="s">
        <v>31</v>
      </c>
      <c r="V9" s="20" t="s">
        <v>57</v>
      </c>
      <c r="W9" s="20">
        <f xml:space="preserve"> W4 *$W$8 * PI() * $C$6 * $C$6</f>
        <v>620.07453045639511</v>
      </c>
      <c r="X9" s="20" t="s">
        <v>31</v>
      </c>
      <c r="AB9" s="8">
        <v>5</v>
      </c>
      <c r="AC9" s="8">
        <f t="shared" si="7"/>
        <v>3.125E-2</v>
      </c>
      <c r="AD9" s="8">
        <f t="shared" si="1"/>
        <v>5.3084014112259464E-3</v>
      </c>
      <c r="AE9" s="8">
        <f t="shared" si="8"/>
        <v>6.25E-2</v>
      </c>
      <c r="AF9" s="8">
        <f t="shared" si="2"/>
        <v>-2.6284480973544487E-2</v>
      </c>
      <c r="AG9" s="8">
        <f t="shared" si="3"/>
        <v>4.6875E-2</v>
      </c>
      <c r="AH9" s="8">
        <f t="shared" si="0"/>
        <v>-1.0461451590038653E-2</v>
      </c>
      <c r="AI9" s="8">
        <f t="shared" si="4"/>
        <v>-5.5533584384033106E-5</v>
      </c>
      <c r="AJ9" s="8">
        <f t="shared" si="5"/>
        <v>2.7497382527402769E-4</v>
      </c>
      <c r="AK9" s="8">
        <f t="shared" si="6"/>
        <v>3.125E-2</v>
      </c>
      <c r="AM9" s="8">
        <v>5</v>
      </c>
      <c r="AN9" s="8">
        <f t="shared" si="13"/>
        <v>1250</v>
      </c>
      <c r="AO9" s="8">
        <v>-13.137753708396644</v>
      </c>
      <c r="AP9" s="8">
        <f t="shared" si="14"/>
        <v>1375</v>
      </c>
      <c r="AQ9" s="8">
        <v>30.807131432231358</v>
      </c>
      <c r="AR9" s="8">
        <f t="shared" si="9"/>
        <v>1312.5</v>
      </c>
      <c r="AS9" s="8">
        <v>9.4161017719795836</v>
      </c>
      <c r="AT9" s="8">
        <f t="shared" si="10"/>
        <v>-123.70642597346499</v>
      </c>
      <c r="AU9" s="8">
        <f t="shared" si="11"/>
        <v>290.08308486864161</v>
      </c>
      <c r="AV9" s="8">
        <f t="shared" si="12"/>
        <v>125</v>
      </c>
    </row>
    <row r="10" spans="2:48" x14ac:dyDescent="0.2">
      <c r="B10" s="20" t="s">
        <v>100</v>
      </c>
      <c r="C10" s="33">
        <v>0.3</v>
      </c>
      <c r="F10" s="20" t="s">
        <v>217</v>
      </c>
      <c r="G10" s="20">
        <f>G9/$C$45</f>
        <v>0.49834908845015763</v>
      </c>
      <c r="H10" s="20" t="s">
        <v>215</v>
      </c>
      <c r="N10" s="20" t="s">
        <v>60</v>
      </c>
      <c r="O10" s="20">
        <f xml:space="preserve"> O9</f>
        <v>620.07453045639511</v>
      </c>
      <c r="P10" s="20" t="s">
        <v>31</v>
      </c>
      <c r="R10" s="20" t="s">
        <v>60</v>
      </c>
      <c r="S10" s="20">
        <f xml:space="preserve"> S9</f>
        <v>620.07453045639511</v>
      </c>
      <c r="T10" s="20" t="s">
        <v>31</v>
      </c>
      <c r="V10" s="20" t="s">
        <v>60</v>
      </c>
      <c r="W10" s="20">
        <f xml:space="preserve"> W9 + W40</f>
        <v>620.07453045639511</v>
      </c>
      <c r="X10" s="20" t="s">
        <v>31</v>
      </c>
      <c r="AB10" s="8">
        <v>6</v>
      </c>
      <c r="AC10" s="8">
        <f t="shared" si="7"/>
        <v>3.125E-2</v>
      </c>
      <c r="AD10" s="8">
        <f t="shared" si="1"/>
        <v>5.3084014112259464E-3</v>
      </c>
      <c r="AE10" s="8">
        <f t="shared" si="8"/>
        <v>4.6875E-2</v>
      </c>
      <c r="AF10" s="8">
        <f t="shared" si="2"/>
        <v>-1.0461451590038653E-2</v>
      </c>
      <c r="AG10" s="8">
        <f t="shared" si="3"/>
        <v>3.90625E-2</v>
      </c>
      <c r="AH10" s="8">
        <f t="shared" si="0"/>
        <v>-2.5696410175267831E-3</v>
      </c>
      <c r="AI10" s="8">
        <f t="shared" si="4"/>
        <v>-1.3640686003783252E-5</v>
      </c>
      <c r="AJ10" s="8">
        <f t="shared" si="5"/>
        <v>2.688217510863411E-5</v>
      </c>
      <c r="AK10" s="8">
        <f t="shared" si="6"/>
        <v>1.5625E-2</v>
      </c>
      <c r="AM10" s="8">
        <v>6</v>
      </c>
      <c r="AN10" s="8">
        <f t="shared" si="13"/>
        <v>1250</v>
      </c>
      <c r="AO10" s="8">
        <v>-13.137753708396644</v>
      </c>
      <c r="AP10" s="8">
        <f t="shared" si="14"/>
        <v>1312.5</v>
      </c>
      <c r="AQ10" s="8">
        <v>9.4161017719795836</v>
      </c>
      <c r="AR10" s="8">
        <f t="shared" si="9"/>
        <v>1281.25</v>
      </c>
      <c r="AS10" s="8">
        <v>-1.7183278524136085</v>
      </c>
      <c r="AT10" s="8">
        <f t="shared" si="10"/>
        <v>22.574968115288126</v>
      </c>
      <c r="AU10" s="8">
        <f t="shared" si="11"/>
        <v>-16.179949935953651</v>
      </c>
      <c r="AV10" s="8">
        <f t="shared" si="12"/>
        <v>62.5</v>
      </c>
    </row>
    <row r="11" spans="2:48" x14ac:dyDescent="0.2">
      <c r="J11" s="59" t="s">
        <v>73</v>
      </c>
      <c r="K11" s="59"/>
      <c r="L11" s="59"/>
      <c r="N11" s="20" t="s">
        <v>195</v>
      </c>
      <c r="O11" s="20">
        <f>($O$8*PI()*$C$6^2)/(0.3048^2)/($C$5*2.20462/1000)^(2/3) + 0.4</f>
        <v>2.5759392424665344</v>
      </c>
      <c r="R11" s="20" t="s">
        <v>195</v>
      </c>
      <c r="S11" s="20">
        <f>($S$8*PI()*$C$6^2)/(0.3048^2)/($C$5*2.20462/1000)^(2/3) + 0.4</f>
        <v>2.5759392424665344</v>
      </c>
      <c r="V11" s="20" t="s">
        <v>195</v>
      </c>
      <c r="W11" s="20">
        <f>($W$8*PI()*$C$6^2)/(0.3048^2)/($C$5*2.20462/1000)^(2/3) + 0.4</f>
        <v>2.5759392424665344</v>
      </c>
      <c r="AB11" s="8">
        <v>7</v>
      </c>
      <c r="AC11" s="8">
        <f t="shared" si="7"/>
        <v>3.125E-2</v>
      </c>
      <c r="AD11" s="8">
        <f t="shared" si="1"/>
        <v>5.3084014112259464E-3</v>
      </c>
      <c r="AE11" s="8">
        <f t="shared" si="8"/>
        <v>3.90625E-2</v>
      </c>
      <c r="AF11" s="8">
        <f t="shared" si="2"/>
        <v>-2.5696410175267831E-3</v>
      </c>
      <c r="AG11" s="8">
        <f t="shared" si="3"/>
        <v>3.515625E-2</v>
      </c>
      <c r="AH11" s="8">
        <f t="shared" si="0"/>
        <v>1.3711270589828184E-3</v>
      </c>
      <c r="AI11" s="8">
        <f t="shared" si="4"/>
        <v>7.2784928148744745E-6</v>
      </c>
      <c r="AJ11" s="8">
        <f t="shared" si="5"/>
        <v>-3.5233043310031149E-6</v>
      </c>
      <c r="AK11" s="8">
        <f t="shared" si="6"/>
        <v>7.8125E-3</v>
      </c>
      <c r="AM11" s="8">
        <v>7</v>
      </c>
      <c r="AN11" s="8">
        <f t="shared" si="13"/>
        <v>1281.25</v>
      </c>
      <c r="AO11" s="8">
        <v>-1.7183278524136085</v>
      </c>
      <c r="AP11" s="8">
        <f t="shared" si="14"/>
        <v>1312.5</v>
      </c>
      <c r="AQ11" s="8">
        <v>9.4161017719795836</v>
      </c>
      <c r="AR11" s="8">
        <f t="shared" si="9"/>
        <v>1296.875</v>
      </c>
      <c r="AS11" s="8">
        <v>3.884871057754026</v>
      </c>
      <c r="AT11" s="8">
        <f t="shared" si="10"/>
        <v>-6.6754821415742596</v>
      </c>
      <c r="AU11" s="8">
        <f t="shared" si="11"/>
        <v>36.580341250829882</v>
      </c>
      <c r="AV11" s="8">
        <f t="shared" si="12"/>
        <v>31.25</v>
      </c>
    </row>
    <row r="12" spans="2:48" x14ac:dyDescent="0.2">
      <c r="B12" s="58" t="s">
        <v>20</v>
      </c>
      <c r="C12" s="58"/>
      <c r="D12" s="58"/>
      <c r="F12" s="63" t="s">
        <v>124</v>
      </c>
      <c r="G12" s="64"/>
      <c r="H12" s="64"/>
      <c r="J12" s="26" t="s">
        <v>109</v>
      </c>
      <c r="K12" s="20">
        <f>C5</f>
        <v>1286.0205520319141</v>
      </c>
      <c r="L12" s="20" t="s">
        <v>12</v>
      </c>
      <c r="AB12" s="8">
        <v>8</v>
      </c>
      <c r="AC12" s="8">
        <f t="shared" si="7"/>
        <v>3.515625E-2</v>
      </c>
      <c r="AD12" s="8">
        <f t="shared" si="1"/>
        <v>1.3711270589828184E-3</v>
      </c>
      <c r="AE12" s="8">
        <f t="shared" si="8"/>
        <v>3.90625E-2</v>
      </c>
      <c r="AF12" s="8">
        <f t="shared" si="2"/>
        <v>-2.5696410175267831E-3</v>
      </c>
      <c r="AG12" s="8">
        <f t="shared" si="3"/>
        <v>3.7109375E-2</v>
      </c>
      <c r="AH12" s="8">
        <f t="shared" si="0"/>
        <v>-5.988233141967364E-4</v>
      </c>
      <c r="AI12" s="8">
        <f t="shared" si="4"/>
        <v>-8.2106284964491541E-7</v>
      </c>
      <c r="AJ12" s="8">
        <f t="shared" si="5"/>
        <v>1.5387609504112622E-6</v>
      </c>
      <c r="AK12" s="8">
        <f t="shared" si="6"/>
        <v>3.90625E-3</v>
      </c>
      <c r="AM12" s="8">
        <v>8</v>
      </c>
      <c r="AN12" s="8">
        <f t="shared" si="13"/>
        <v>1281.25</v>
      </c>
      <c r="AO12" s="8">
        <v>-1.7183278524136085</v>
      </c>
      <c r="AP12" s="8">
        <f t="shared" si="14"/>
        <v>1296.875</v>
      </c>
      <c r="AQ12" s="8">
        <v>3.884871057754026</v>
      </c>
      <c r="AR12" s="8">
        <f t="shared" si="9"/>
        <v>1289.0625</v>
      </c>
      <c r="AS12" s="8">
        <v>1.0922229281834461</v>
      </c>
      <c r="AT12" s="8">
        <f t="shared" si="10"/>
        <v>-1.876797078542364</v>
      </c>
      <c r="AU12" s="8">
        <f t="shared" si="11"/>
        <v>4.2431452423152241</v>
      </c>
      <c r="AV12" s="8">
        <f t="shared" si="12"/>
        <v>15.625</v>
      </c>
    </row>
    <row r="13" spans="2:48" x14ac:dyDescent="0.2">
      <c r="B13" s="20" t="s">
        <v>92</v>
      </c>
      <c r="C13" s="20">
        <f>C28*100</f>
        <v>400</v>
      </c>
      <c r="D13" s="20" t="s">
        <v>12</v>
      </c>
      <c r="F13" s="4" t="s">
        <v>154</v>
      </c>
      <c r="G13" s="1">
        <f>$C$8</f>
        <v>50</v>
      </c>
      <c r="H13" t="s">
        <v>16</v>
      </c>
      <c r="J13" s="27" t="s">
        <v>74</v>
      </c>
      <c r="K13" s="20">
        <f xml:space="preserve"> K8 * 1000 / ($C$39 * $C$40 * $C$41)</f>
        <v>462.92560464387816</v>
      </c>
      <c r="L13" s="20" t="s">
        <v>12</v>
      </c>
      <c r="N13" s="59" t="s">
        <v>101</v>
      </c>
      <c r="O13" s="66"/>
      <c r="P13" s="66"/>
      <c r="R13" s="59" t="s">
        <v>101</v>
      </c>
      <c r="S13" s="66"/>
      <c r="T13" s="66"/>
      <c r="V13" s="59" t="s">
        <v>101</v>
      </c>
      <c r="W13" s="66"/>
      <c r="X13" s="66"/>
      <c r="AB13" s="8">
        <v>9</v>
      </c>
      <c r="AC13" s="8">
        <f t="shared" si="7"/>
        <v>3.515625E-2</v>
      </c>
      <c r="AD13" s="8">
        <f t="shared" si="1"/>
        <v>1.3711270589828184E-3</v>
      </c>
      <c r="AE13" s="8">
        <f t="shared" si="8"/>
        <v>3.7109375E-2</v>
      </c>
      <c r="AF13" s="8">
        <f t="shared" si="2"/>
        <v>-5.988233141967364E-4</v>
      </c>
      <c r="AG13" s="8">
        <f t="shared" si="3"/>
        <v>3.61328125E-2</v>
      </c>
      <c r="AH13" s="8">
        <f t="shared" si="0"/>
        <v>3.8626068149608117E-4</v>
      </c>
      <c r="AI13" s="8">
        <f t="shared" si="4"/>
        <v>5.2961247222042096E-7</v>
      </c>
      <c r="AJ13" s="8">
        <f t="shared" si="5"/>
        <v>-2.3130190143737335E-7</v>
      </c>
      <c r="AK13" s="8">
        <f t="shared" si="6"/>
        <v>1.953125E-3</v>
      </c>
      <c r="AM13" s="8">
        <v>9</v>
      </c>
      <c r="AN13" s="8">
        <f t="shared" si="13"/>
        <v>1281.25</v>
      </c>
      <c r="AO13" s="8">
        <v>-1.7183278524136085</v>
      </c>
      <c r="AP13" s="8">
        <f t="shared" si="14"/>
        <v>1289.0625</v>
      </c>
      <c r="AQ13" s="8">
        <v>1.0922229281834461</v>
      </c>
      <c r="AR13" s="8">
        <f t="shared" si="9"/>
        <v>1285.15625</v>
      </c>
      <c r="AS13" s="8">
        <v>-0.3108222384646524</v>
      </c>
      <c r="AT13" s="8">
        <f t="shared" si="10"/>
        <v>0.53409450950335668</v>
      </c>
      <c r="AU13" s="8">
        <f t="shared" si="11"/>
        <v>-0.33948717544039603</v>
      </c>
      <c r="AV13" s="8">
        <f t="shared" si="12"/>
        <v>7.8125</v>
      </c>
    </row>
    <row r="14" spans="2:48" x14ac:dyDescent="0.2">
      <c r="B14" s="20" t="s">
        <v>21</v>
      </c>
      <c r="C14" s="33">
        <v>96000</v>
      </c>
      <c r="D14" s="20" t="s">
        <v>14</v>
      </c>
      <c r="F14" t="s">
        <v>126</v>
      </c>
      <c r="G14" s="1">
        <v>2.54</v>
      </c>
      <c r="H14" t="s">
        <v>16</v>
      </c>
      <c r="J14" s="28" t="s">
        <v>229</v>
      </c>
      <c r="K14" s="20">
        <f xml:space="preserve"> $C$17 * (0.0095 * MAX(G7,O19,S19,W19,G49) - 1.9275)</f>
        <v>112.54300056435058</v>
      </c>
      <c r="L14" s="20" t="s">
        <v>12</v>
      </c>
      <c r="N14" s="20" t="s">
        <v>102</v>
      </c>
      <c r="O14" s="20">
        <f>SQRT((O10*COS(G18/180*PI()))^2 + (O10*SIN(G18/180*PI())+$C$5*$C$46)^2)</f>
        <v>12658.210585721114</v>
      </c>
      <c r="P14" s="20" t="s">
        <v>31</v>
      </c>
      <c r="R14" s="20" t="s">
        <v>102</v>
      </c>
      <c r="S14" s="20">
        <f xml:space="preserve"> SQRT( ($C$5*$C$46)^2 + S10^2)</f>
        <v>12626.787903475677</v>
      </c>
      <c r="T14" s="20" t="s">
        <v>31</v>
      </c>
      <c r="V14" s="20" t="s">
        <v>102</v>
      </c>
      <c r="W14" s="20">
        <f xml:space="preserve"> SQRT( (W10*COS(G38/180*PI()))^2 + ($C$5*$C$46 - W10*SIN(G38/180*PI()))^2 )</f>
        <v>12607.896703078522</v>
      </c>
      <c r="X14" s="20" t="s">
        <v>31</v>
      </c>
      <c r="AB14" s="8">
        <v>10</v>
      </c>
      <c r="AC14" s="8">
        <f t="shared" si="7"/>
        <v>3.61328125E-2</v>
      </c>
      <c r="AD14" s="8">
        <f t="shared" si="1"/>
        <v>3.8626068149608117E-4</v>
      </c>
      <c r="AE14" s="8">
        <f t="shared" si="8"/>
        <v>3.7109375E-2</v>
      </c>
      <c r="AF14" s="8">
        <f t="shared" si="2"/>
        <v>-5.988233141967364E-4</v>
      </c>
      <c r="AG14" s="8">
        <f t="shared" si="3"/>
        <v>3.662109375E-2</v>
      </c>
      <c r="AH14" s="8">
        <f t="shared" si="0"/>
        <v>-1.0625416246665131E-4</v>
      </c>
      <c r="AI14" s="8">
        <f t="shared" si="4"/>
        <v>-4.1041805206164066E-8</v>
      </c>
      <c r="AJ14" s="8">
        <f t="shared" si="5"/>
        <v>6.3627469715478618E-8</v>
      </c>
      <c r="AK14" s="8">
        <f t="shared" si="6"/>
        <v>9.765625E-4</v>
      </c>
      <c r="AM14" s="8">
        <v>10</v>
      </c>
      <c r="AN14" s="8">
        <f t="shared" si="13"/>
        <v>1285.15625</v>
      </c>
      <c r="AO14" s="8">
        <v>-0.3108222384646524</v>
      </c>
      <c r="AP14" s="8">
        <f t="shared" si="14"/>
        <v>1289.0625</v>
      </c>
      <c r="AQ14" s="8">
        <v>1.0922229281834461</v>
      </c>
      <c r="AR14" s="8">
        <f t="shared" si="9"/>
        <v>1287.109375</v>
      </c>
      <c r="AS14" s="8">
        <v>0.39125857616625126</v>
      </c>
      <c r="AT14" s="8">
        <f t="shared" si="10"/>
        <v>-0.12161186646248691</v>
      </c>
      <c r="AU14" s="8">
        <f t="shared" si="11"/>
        <v>0.42734158773718883</v>
      </c>
      <c r="AV14" s="8">
        <f t="shared" si="12"/>
        <v>3.90625</v>
      </c>
    </row>
    <row r="15" spans="2:48" x14ac:dyDescent="0.2">
      <c r="F15" t="s">
        <v>125</v>
      </c>
      <c r="G15" s="1">
        <v>304.8</v>
      </c>
      <c r="H15" t="s">
        <v>14</v>
      </c>
      <c r="J15" s="28" t="s">
        <v>230</v>
      </c>
      <c r="K15" s="20">
        <f xml:space="preserve"> C17 * 0.0037 * C18^0.28 * (C6*3.28084)^1.5 * (G9*3.28084)^0.43 * (0.01742 * C18^0.66 * C7*3.28084 * (C6*3.28084)^1.3 * (G9*3.28084)^0.67 + C46*3.28084/(C6*3.28084)^2 * PI()*(C6*3.28084)^4/2 * C19)^0.55 * 0.453592</f>
        <v>29.400698950678304</v>
      </c>
      <c r="L15" s="20" t="s">
        <v>12</v>
      </c>
      <c r="N15" s="20" t="s">
        <v>156</v>
      </c>
      <c r="O15" s="20">
        <f>ACOS(O10*COS(G18/180*PI())/O14) /PI() *180</f>
        <v>87.195816042397297</v>
      </c>
      <c r="P15" s="20" t="s">
        <v>62</v>
      </c>
      <c r="R15" s="20" t="s">
        <v>103</v>
      </c>
      <c r="S15" s="20">
        <f>$C$5*$C$46/S14</f>
        <v>0.99879348120770184</v>
      </c>
      <c r="V15" s="20" t="s">
        <v>156</v>
      </c>
      <c r="W15" s="20">
        <f xml:space="preserve"> ACOS(W10*COS(G38/180*PI())/W14) /PI() * 180</f>
        <v>87.182284600507899</v>
      </c>
      <c r="X15" s="20" t="s">
        <v>62</v>
      </c>
      <c r="AB15" s="8">
        <v>11</v>
      </c>
      <c r="AC15" s="8">
        <f t="shared" si="7"/>
        <v>3.61328125E-2</v>
      </c>
      <c r="AD15" s="8">
        <f t="shared" si="1"/>
        <v>3.8626068149608117E-4</v>
      </c>
      <c r="AE15" s="8">
        <f t="shared" si="8"/>
        <v>3.662109375E-2</v>
      </c>
      <c r="AF15" s="8">
        <f t="shared" si="2"/>
        <v>-1.0625416246665131E-4</v>
      </c>
      <c r="AG15" s="8">
        <f t="shared" si="3"/>
        <v>3.6376953125E-2</v>
      </c>
      <c r="AH15" s="8">
        <f t="shared" si="0"/>
        <v>1.4001005407941747E-4</v>
      </c>
      <c r="AI15" s="8">
        <f t="shared" si="4"/>
        <v>5.408037890501897E-8</v>
      </c>
      <c r="AJ15" s="8">
        <f t="shared" si="5"/>
        <v>-1.487665103311906E-8</v>
      </c>
      <c r="AK15" s="8">
        <f t="shared" si="6"/>
        <v>4.8828125E-4</v>
      </c>
      <c r="AM15" s="8">
        <v>11</v>
      </c>
      <c r="AN15" s="8">
        <f t="shared" si="13"/>
        <v>1285.15625</v>
      </c>
      <c r="AO15" s="8">
        <v>-0.3108222384646524</v>
      </c>
      <c r="AP15" s="8">
        <f t="shared" si="14"/>
        <v>1287.109375</v>
      </c>
      <c r="AQ15" s="8">
        <v>0.39125857616625126</v>
      </c>
      <c r="AR15" s="8">
        <f t="shared" si="9"/>
        <v>1286.1328125</v>
      </c>
      <c r="AS15" s="8">
        <v>4.0356136658715513E-2</v>
      </c>
      <c r="AT15" s="8">
        <f t="shared" si="10"/>
        <v>-1.2543584732047374E-2</v>
      </c>
      <c r="AU15" s="8">
        <f t="shared" si="11"/>
        <v>1.5789684568659687E-2</v>
      </c>
      <c r="AV15" s="8">
        <f t="shared" si="12"/>
        <v>1.953125</v>
      </c>
    </row>
    <row r="16" spans="2:48" x14ac:dyDescent="0.2">
      <c r="B16" s="61" t="s">
        <v>184</v>
      </c>
      <c r="C16" s="61"/>
      <c r="D16" s="61"/>
      <c r="F16" t="s">
        <v>127</v>
      </c>
      <c r="G16" s="24">
        <f>SQRT($G$13^2-$G$14^2)</f>
        <v>49.935442323063484</v>
      </c>
      <c r="H16" t="s">
        <v>16</v>
      </c>
      <c r="J16" s="29" t="s">
        <v>76</v>
      </c>
      <c r="K16" s="20">
        <f xml:space="preserve"> 0.2138 * K4</f>
        <v>53.288971228724414</v>
      </c>
      <c r="L16" s="20" t="s">
        <v>12</v>
      </c>
      <c r="AB16" s="8">
        <v>12</v>
      </c>
      <c r="AC16" s="8">
        <f t="shared" si="7"/>
        <v>3.6376953125E-2</v>
      </c>
      <c r="AD16" s="8">
        <f t="shared" si="1"/>
        <v>1.4001005407941747E-4</v>
      </c>
      <c r="AE16" s="8">
        <f t="shared" si="8"/>
        <v>3.662109375E-2</v>
      </c>
      <c r="AF16" s="8">
        <f t="shared" si="2"/>
        <v>-1.0625416246665131E-4</v>
      </c>
      <c r="AG16" s="8">
        <f t="shared" si="3"/>
        <v>3.64990234375E-2</v>
      </c>
      <c r="AH16" s="8">
        <f t="shared" si="0"/>
        <v>1.6879643688627599E-5</v>
      </c>
      <c r="AI16" s="8">
        <f t="shared" si="4"/>
        <v>2.3633198256860479E-9</v>
      </c>
      <c r="AJ16" s="8">
        <f t="shared" si="5"/>
        <v>-1.7935324028706224E-9</v>
      </c>
      <c r="AK16" s="8">
        <f t="shared" si="6"/>
        <v>2.44140625E-4</v>
      </c>
      <c r="AM16" s="8">
        <v>12</v>
      </c>
      <c r="AN16" s="8">
        <f t="shared" si="13"/>
        <v>1285.15625</v>
      </c>
      <c r="AO16" s="8">
        <v>-0.3108222384646524</v>
      </c>
      <c r="AP16" s="8">
        <f t="shared" si="14"/>
        <v>1286.1328125</v>
      </c>
      <c r="AQ16" s="8">
        <v>4.0356136658715513E-2</v>
      </c>
      <c r="AR16" s="8">
        <f t="shared" si="9"/>
        <v>1285.64453125</v>
      </c>
      <c r="AS16" s="8">
        <v>-0.13519922688465158</v>
      </c>
      <c r="AT16" s="8">
        <f t="shared" si="10"/>
        <v>4.202292633897782E-2</v>
      </c>
      <c r="AU16" s="8">
        <f t="shared" si="11"/>
        <v>-5.4561184763096838E-3</v>
      </c>
      <c r="AV16" s="8">
        <f t="shared" si="12"/>
        <v>0.9765625</v>
      </c>
    </row>
    <row r="17" spans="2:48" x14ac:dyDescent="0.2">
      <c r="B17" s="20" t="s">
        <v>144</v>
      </c>
      <c r="C17" s="33">
        <v>4</v>
      </c>
      <c r="F17" t="s">
        <v>128</v>
      </c>
      <c r="G17" s="24">
        <f>$G$16*($G$15/$G$14)</f>
        <v>5992.2530787676178</v>
      </c>
      <c r="H17" t="s">
        <v>14</v>
      </c>
      <c r="J17" s="29" t="s">
        <v>107</v>
      </c>
      <c r="K17" s="20">
        <f xml:space="preserve"> 0.1149 * K4</f>
        <v>28.638460215998293</v>
      </c>
      <c r="L17" s="20" t="s">
        <v>12</v>
      </c>
      <c r="N17" s="59" t="s">
        <v>40</v>
      </c>
      <c r="O17" s="66"/>
      <c r="P17" s="66"/>
      <c r="R17" s="59" t="s">
        <v>40</v>
      </c>
      <c r="S17" s="66"/>
      <c r="T17" s="66"/>
      <c r="V17" s="59" t="s">
        <v>40</v>
      </c>
      <c r="W17" s="66"/>
      <c r="X17" s="66"/>
      <c r="AB17" s="8">
        <v>13</v>
      </c>
      <c r="AC17" s="8">
        <f t="shared" si="7"/>
        <v>3.64990234375E-2</v>
      </c>
      <c r="AD17" s="8">
        <f t="shared" si="1"/>
        <v>1.6879643688627599E-5</v>
      </c>
      <c r="AE17" s="8">
        <f t="shared" si="8"/>
        <v>3.662109375E-2</v>
      </c>
      <c r="AF17" s="8">
        <f t="shared" si="2"/>
        <v>-1.0625416246665131E-4</v>
      </c>
      <c r="AG17" s="8">
        <f t="shared" si="3"/>
        <v>3.656005859375E-2</v>
      </c>
      <c r="AH17" s="8">
        <f t="shared" si="0"/>
        <v>-4.4686835013560411E-5</v>
      </c>
      <c r="AI17" s="8">
        <f t="shared" si="4"/>
        <v>-7.5429785260138781E-10</v>
      </c>
      <c r="AJ17" s="8">
        <f t="shared" si="5"/>
        <v>4.7481622276512906E-9</v>
      </c>
      <c r="AK17" s="8">
        <f t="shared" si="6"/>
        <v>1.220703125E-4</v>
      </c>
      <c r="AM17" s="8">
        <v>13</v>
      </c>
      <c r="AN17" s="8">
        <f t="shared" si="13"/>
        <v>1285.64453125</v>
      </c>
      <c r="AO17" s="8">
        <v>-0.13519922688465158</v>
      </c>
      <c r="AP17" s="8">
        <f t="shared" si="14"/>
        <v>1286.1328125</v>
      </c>
      <c r="AQ17" s="8">
        <v>4.0356136658715513E-2</v>
      </c>
      <c r="AR17" s="8">
        <f t="shared" si="9"/>
        <v>1285.888671875</v>
      </c>
      <c r="AS17" s="8">
        <v>-4.7409323504780332E-2</v>
      </c>
      <c r="AT17" s="8">
        <f t="shared" si="10"/>
        <v>6.4097038849706411E-3</v>
      </c>
      <c r="AU17" s="8">
        <f t="shared" si="11"/>
        <v>-1.9132571382561687E-3</v>
      </c>
      <c r="AV17" s="8">
        <f t="shared" si="12"/>
        <v>0.48828125</v>
      </c>
    </row>
    <row r="18" spans="2:48" x14ac:dyDescent="0.2">
      <c r="B18" t="s">
        <v>182</v>
      </c>
      <c r="C18" s="1">
        <v>5</v>
      </c>
      <c r="D18"/>
      <c r="F18" t="s">
        <v>152</v>
      </c>
      <c r="G18" s="24">
        <f>ATAN(G14/G16)/PI()*180</f>
        <v>2.9118789347687013</v>
      </c>
      <c r="H18" t="s">
        <v>62</v>
      </c>
      <c r="J18" s="30" t="s">
        <v>84</v>
      </c>
      <c r="K18" s="20">
        <f xml:space="preserve"> $C$47 * (14.86 * ($C$5*2.20462)^0.144 * ($C$29/(PI()*$C$30))^0.778 * ($C$29*3.28084)^0.383 * $C$28^0.455 * 0.453592)</f>
        <v>88.389521600746079</v>
      </c>
      <c r="L18" s="20" t="s">
        <v>12</v>
      </c>
      <c r="N18" s="20" t="s">
        <v>41</v>
      </c>
      <c r="O18" s="20">
        <f xml:space="preserve"> 90 + G18 - O15</f>
        <v>5.7160628923714114</v>
      </c>
      <c r="P18" s="20" t="s">
        <v>62</v>
      </c>
      <c r="R18" s="20" t="s">
        <v>41</v>
      </c>
      <c r="S18" s="20">
        <f xml:space="preserve"> ACOS(S15)/PI()*180</f>
        <v>2.8148052386843272</v>
      </c>
      <c r="T18" s="20" t="s">
        <v>62</v>
      </c>
      <c r="V18" s="20" t="s">
        <v>41</v>
      </c>
      <c r="W18" s="20">
        <f>90-G38-W15</f>
        <v>1.0710695208574066</v>
      </c>
      <c r="X18" s="20" t="s">
        <v>62</v>
      </c>
      <c r="AB18" s="8">
        <v>14</v>
      </c>
      <c r="AC18" s="8">
        <f t="shared" si="7"/>
        <v>3.64990234375E-2</v>
      </c>
      <c r="AD18" s="8">
        <f t="shared" si="1"/>
        <v>1.6879643688627599E-5</v>
      </c>
      <c r="AE18" s="8">
        <f t="shared" si="8"/>
        <v>3.656005859375E-2</v>
      </c>
      <c r="AF18" s="8">
        <f t="shared" si="2"/>
        <v>-4.4686835013560411E-5</v>
      </c>
      <c r="AG18" s="8">
        <f t="shared" si="3"/>
        <v>3.6529541015625E-2</v>
      </c>
      <c r="AH18" s="8">
        <f t="shared" si="0"/>
        <v>-1.3903489556703341E-5</v>
      </c>
      <c r="AI18" s="8">
        <f t="shared" si="4"/>
        <v>-2.346859497457073E-10</v>
      </c>
      <c r="AJ18" s="8">
        <f t="shared" si="5"/>
        <v>6.2130294393316242E-10</v>
      </c>
      <c r="AK18" s="8">
        <f t="shared" si="6"/>
        <v>6.103515625E-5</v>
      </c>
      <c r="AM18" s="8">
        <v>14</v>
      </c>
      <c r="AN18" s="8">
        <f t="shared" si="13"/>
        <v>1285.888671875</v>
      </c>
      <c r="AO18" s="8">
        <v>-4.7409323504780332E-2</v>
      </c>
      <c r="AP18" s="8">
        <f t="shared" si="14"/>
        <v>1286.1328125</v>
      </c>
      <c r="AQ18" s="8">
        <v>4.0356136658715513E-2</v>
      </c>
      <c r="AR18" s="8">
        <f t="shared" si="9"/>
        <v>1286.0107421875</v>
      </c>
      <c r="AS18" s="8">
        <v>-3.5215640103842816E-3</v>
      </c>
      <c r="AT18" s="8">
        <f t="shared" si="10"/>
        <v>1.6695496741110001E-4</v>
      </c>
      <c r="AU18" s="8">
        <f t="shared" si="11"/>
        <v>-1.4211671845548233E-4</v>
      </c>
      <c r="AV18" s="8">
        <f t="shared" si="12"/>
        <v>0.244140625</v>
      </c>
    </row>
    <row r="19" spans="2:48" x14ac:dyDescent="0.2">
      <c r="B19" s="20" t="s">
        <v>209</v>
      </c>
      <c r="C19" s="20">
        <f>$C$18*$C$7/(PI()*$C$6)</f>
        <v>0.1299765368583812</v>
      </c>
      <c r="F19" t="s">
        <v>155</v>
      </c>
      <c r="G19" s="20">
        <f xml:space="preserve"> 1/1000 * (O23 + O19 * (O28 * O25 + $G$13 * SIN(O18/180*PI())))</f>
        <v>39.894282941558849</v>
      </c>
      <c r="H19" t="s">
        <v>162</v>
      </c>
      <c r="J19" s="30" t="s">
        <v>85</v>
      </c>
      <c r="K19" s="20">
        <f xml:space="preserve"> $C$47 * C34 * $C$5</f>
        <v>33.436534352829767</v>
      </c>
      <c r="L19" s="20" t="s">
        <v>12</v>
      </c>
      <c r="N19" s="20" t="s">
        <v>30</v>
      </c>
      <c r="O19" s="20">
        <f xml:space="preserve"> O14 / $C$17</f>
        <v>3164.5526464302784</v>
      </c>
      <c r="P19" s="20" t="s">
        <v>31</v>
      </c>
      <c r="R19" s="20" t="s">
        <v>30</v>
      </c>
      <c r="S19" s="20">
        <f xml:space="preserve"> S14 / $C$17</f>
        <v>3156.6969758689193</v>
      </c>
      <c r="T19" s="20" t="s">
        <v>31</v>
      </c>
      <c r="V19" s="20" t="s">
        <v>30</v>
      </c>
      <c r="W19" s="20">
        <f xml:space="preserve"> W14 / $C$17</f>
        <v>3151.9741757696306</v>
      </c>
      <c r="X19" s="20" t="s">
        <v>31</v>
      </c>
      <c r="AB19" s="8">
        <v>15</v>
      </c>
      <c r="AC19" s="8">
        <f t="shared" si="7"/>
        <v>3.64990234375E-2</v>
      </c>
      <c r="AD19" s="8">
        <f t="shared" si="1"/>
        <v>1.6879643688627599E-5</v>
      </c>
      <c r="AE19" s="8">
        <f t="shared" si="8"/>
        <v>3.6529541015625E-2</v>
      </c>
      <c r="AF19" s="8">
        <f t="shared" si="2"/>
        <v>-1.3903489556703341E-5</v>
      </c>
      <c r="AG19" s="8">
        <f t="shared" si="3"/>
        <v>3.65142822265625E-2</v>
      </c>
      <c r="AH19" s="8">
        <f t="shared" si="0"/>
        <v>1.4881035938912879E-6</v>
      </c>
      <c r="AI19" s="8">
        <f t="shared" si="4"/>
        <v>2.5118658436651126E-11</v>
      </c>
      <c r="AJ19" s="8">
        <f t="shared" si="5"/>
        <v>-2.068983277696023E-11</v>
      </c>
      <c r="AK19" s="8">
        <f t="shared" si="6"/>
        <v>3.0517578125E-5</v>
      </c>
      <c r="AM19" s="8">
        <v>15</v>
      </c>
      <c r="AN19" s="8">
        <f t="shared" si="13"/>
        <v>1286.0107421875</v>
      </c>
      <c r="AO19" s="8">
        <v>-3.5215640103842816E-3</v>
      </c>
      <c r="AP19" s="8">
        <f t="shared" si="14"/>
        <v>1286.1328125</v>
      </c>
      <c r="AQ19" s="8">
        <v>4.0356136658715513E-2</v>
      </c>
      <c r="AR19" s="8">
        <f t="shared" si="9"/>
        <v>1286.07177734375</v>
      </c>
      <c r="AS19" s="8">
        <v>1.8417658455064156E-2</v>
      </c>
      <c r="AT19" s="8">
        <f t="shared" si="10"/>
        <v>-6.4858963170903706E-5</v>
      </c>
      <c r="AU19" s="8">
        <f t="shared" si="11"/>
        <v>7.4326554154611633E-4</v>
      </c>
      <c r="AV19" s="8">
        <f t="shared" si="12"/>
        <v>0.1220703125</v>
      </c>
    </row>
    <row r="20" spans="2:48" x14ac:dyDescent="0.2">
      <c r="B20" s="20" t="s">
        <v>210</v>
      </c>
      <c r="C20" s="33">
        <v>0.75</v>
      </c>
      <c r="F20" t="s">
        <v>129</v>
      </c>
      <c r="G20" s="24">
        <f>$C$17*G19</f>
        <v>159.5771317662354</v>
      </c>
      <c r="H20" t="s">
        <v>162</v>
      </c>
      <c r="J20" s="30" t="s">
        <v>86</v>
      </c>
      <c r="K20" s="20">
        <f xml:space="preserve"> $C$47 * 0</f>
        <v>0</v>
      </c>
      <c r="L20" s="20" t="s">
        <v>12</v>
      </c>
      <c r="N20" s="20" t="s">
        <v>42</v>
      </c>
      <c r="O20" s="20">
        <f xml:space="preserve"> $G$13 * COS(O18/180*PI()) / ($C$10 * $C$6)</f>
        <v>110.55863183669031</v>
      </c>
      <c r="P20" s="20" t="s">
        <v>43</v>
      </c>
      <c r="R20" s="20" t="s">
        <v>42</v>
      </c>
      <c r="S20" s="20">
        <f xml:space="preserve"> $C$8 * COS(S18/180*PI()) / ($C$10 * $C$6)</f>
        <v>110.97705346752244</v>
      </c>
      <c r="T20" s="20" t="s">
        <v>43</v>
      </c>
      <c r="V20" s="20" t="s">
        <v>42</v>
      </c>
      <c r="W20" s="20">
        <f xml:space="preserve"> $G$33 * COS(W18/180*PI()) / ($C$10 * $C$6)</f>
        <v>111.09169756352277</v>
      </c>
      <c r="X20" s="20" t="s">
        <v>43</v>
      </c>
      <c r="AB20" s="8">
        <v>16</v>
      </c>
      <c r="AC20" s="8">
        <f t="shared" si="7"/>
        <v>3.65142822265625E-2</v>
      </c>
      <c r="AD20" s="8">
        <f t="shared" si="1"/>
        <v>1.4881035938912879E-6</v>
      </c>
      <c r="AE20" s="8">
        <f t="shared" si="8"/>
        <v>3.6529541015625E-2</v>
      </c>
      <c r="AF20" s="8">
        <f t="shared" si="2"/>
        <v>-1.3903489556703341E-5</v>
      </c>
      <c r="AG20" s="8">
        <f t="shared" si="3"/>
        <v>3.652191162109375E-2</v>
      </c>
      <c r="AH20" s="8">
        <f t="shared" si="0"/>
        <v>-6.2076863496102197E-6</v>
      </c>
      <c r="AI20" s="8">
        <f t="shared" si="4"/>
        <v>-9.237680366604858E-12</v>
      </c>
      <c r="AJ20" s="8">
        <f t="shared" si="5"/>
        <v>8.6308502333095576E-11</v>
      </c>
      <c r="AK20" s="8">
        <f t="shared" si="6"/>
        <v>1.52587890625E-5</v>
      </c>
      <c r="AM20" s="8">
        <v>16</v>
      </c>
      <c r="AN20" s="8">
        <f t="shared" si="13"/>
        <v>1286.0107421875</v>
      </c>
      <c r="AO20" s="8">
        <v>-3.5215640103842816E-3</v>
      </c>
      <c r="AP20" s="8">
        <f t="shared" si="14"/>
        <v>1286.07177734375</v>
      </c>
      <c r="AQ20" s="8">
        <v>1.8417658455064156E-2</v>
      </c>
      <c r="AR20" s="8">
        <f t="shared" si="9"/>
        <v>1286.041259765625</v>
      </c>
      <c r="AS20" s="8">
        <v>7.4445988494744597E-3</v>
      </c>
      <c r="AT20" s="8">
        <f t="shared" si="10"/>
        <v>-2.6216631380057487E-5</v>
      </c>
      <c r="AU20" s="8">
        <f t="shared" si="11"/>
        <v>1.3711207894458418E-4</v>
      </c>
      <c r="AV20" s="8">
        <f t="shared" si="12"/>
        <v>6.103515625E-2</v>
      </c>
    </row>
    <row r="21" spans="2:48" x14ac:dyDescent="0.2">
      <c r="B21" t="s">
        <v>185</v>
      </c>
      <c r="C21" s="1">
        <v>0.14399999999999999</v>
      </c>
      <c r="D21"/>
      <c r="F21" t="s">
        <v>130</v>
      </c>
      <c r="G21" s="24">
        <f>$G$15/$G$14</f>
        <v>120</v>
      </c>
      <c r="H21" t="s">
        <v>22</v>
      </c>
      <c r="J21" s="30" t="s">
        <v>87</v>
      </c>
      <c r="K21" s="20">
        <f xml:space="preserve"> $C$47 * 0</f>
        <v>0</v>
      </c>
      <c r="L21" s="20" t="s">
        <v>12</v>
      </c>
      <c r="N21" s="20" t="s">
        <v>45</v>
      </c>
      <c r="O21" s="20">
        <f xml:space="preserve"> O19 / ($C$44 * PI() * $C$6^2 * O20^2 * $C$6^2)</f>
        <v>1.3288501695961196E-2</v>
      </c>
      <c r="R21" s="20" t="s">
        <v>45</v>
      </c>
      <c r="S21" s="20">
        <f xml:space="preserve"> S19 / ($C$44 * PI() * $C$6^2 * S20^2 * $C$6^2)</f>
        <v>1.3155747126255125E-2</v>
      </c>
      <c r="V21" s="20" t="s">
        <v>45</v>
      </c>
      <c r="W21" s="20">
        <f xml:space="preserve"> W19 / ($C$44 * PI() * $C$6^2 * W20^2 * $C$6^2)</f>
        <v>1.3108966291056038E-2</v>
      </c>
      <c r="AB21" s="8">
        <v>17</v>
      </c>
      <c r="AC21" s="8">
        <f t="shared" si="7"/>
        <v>3.65142822265625E-2</v>
      </c>
      <c r="AD21" s="8">
        <f t="shared" si="1"/>
        <v>1.4881035938912879E-6</v>
      </c>
      <c r="AE21" s="8">
        <f t="shared" si="8"/>
        <v>3.652191162109375E-2</v>
      </c>
      <c r="AF21" s="8">
        <f t="shared" si="2"/>
        <v>-6.2076863496102197E-6</v>
      </c>
      <c r="AG21" s="8">
        <f t="shared" si="3"/>
        <v>3.6518096923828125E-2</v>
      </c>
      <c r="AH21" s="8">
        <f t="shared" si="0"/>
        <v>-2.3597897198870954E-6</v>
      </c>
      <c r="AI21" s="8">
        <f t="shared" si="4"/>
        <v>-3.5116115629917022E-12</v>
      </c>
      <c r="AJ21" s="8">
        <f t="shared" si="5"/>
        <v>1.4648834432093647E-11</v>
      </c>
      <c r="AK21" s="8">
        <f t="shared" si="6"/>
        <v>7.62939453125E-6</v>
      </c>
      <c r="AM21" s="8">
        <v>17</v>
      </c>
      <c r="AN21" s="8">
        <f t="shared" si="13"/>
        <v>1286.0107421875</v>
      </c>
      <c r="AO21" s="8">
        <v>-3.5215640103842816E-3</v>
      </c>
      <c r="AP21" s="8">
        <f t="shared" si="14"/>
        <v>1286.041259765625</v>
      </c>
      <c r="AQ21" s="8">
        <v>7.4445988494744597E-3</v>
      </c>
      <c r="AR21" s="8">
        <f t="shared" si="9"/>
        <v>1286.0260009765625</v>
      </c>
      <c r="AS21" s="8">
        <v>1.9613195772762992E-3</v>
      </c>
      <c r="AT21" s="8">
        <f t="shared" si="10"/>
        <v>-6.9069124361983282E-6</v>
      </c>
      <c r="AU21" s="8">
        <f t="shared" si="11"/>
        <v>1.460123746844287E-5</v>
      </c>
      <c r="AV21" s="8">
        <f t="shared" si="12"/>
        <v>3.0517578125E-2</v>
      </c>
    </row>
    <row r="22" spans="2:48" x14ac:dyDescent="0.2">
      <c r="B22" s="20" t="s">
        <v>222</v>
      </c>
      <c r="C22" s="33" t="b">
        <v>0</v>
      </c>
      <c r="F22" t="s">
        <v>214</v>
      </c>
      <c r="G22" s="24">
        <f>O20*$C$6</f>
        <v>165.83794775503546</v>
      </c>
      <c r="H22" s="20" t="s">
        <v>16</v>
      </c>
      <c r="J22" s="30" t="s">
        <v>192</v>
      </c>
      <c r="K22" s="20">
        <f>$C$47*(0.14*$G$6*1000/745.7)*0.453592</f>
        <v>16.980438494132258</v>
      </c>
      <c r="L22" s="20" t="s">
        <v>12</v>
      </c>
      <c r="N22" s="20" t="s">
        <v>4</v>
      </c>
      <c r="O22" s="33">
        <v>1.2E-2</v>
      </c>
      <c r="R22" s="20" t="s">
        <v>4</v>
      </c>
      <c r="S22" s="33">
        <v>1.2E-2</v>
      </c>
      <c r="V22" s="20" t="s">
        <v>4</v>
      </c>
      <c r="W22" s="33">
        <v>1.2E-2</v>
      </c>
      <c r="AB22" s="8">
        <v>18</v>
      </c>
      <c r="AC22" s="8">
        <f t="shared" si="7"/>
        <v>3.65142822265625E-2</v>
      </c>
      <c r="AD22" s="8">
        <f t="shared" si="1"/>
        <v>1.4881035938912879E-6</v>
      </c>
      <c r="AE22" s="8">
        <f t="shared" si="8"/>
        <v>3.6518096923828125E-2</v>
      </c>
      <c r="AF22" s="8">
        <f t="shared" si="2"/>
        <v>-2.3597897198870954E-6</v>
      </c>
      <c r="AG22" s="8">
        <f t="shared" si="3"/>
        <v>3.6516189575195312E-2</v>
      </c>
      <c r="AH22" s="8">
        <f t="shared" si="0"/>
        <v>-4.3584264849960697E-7</v>
      </c>
      <c r="AI22" s="8">
        <f t="shared" si="4"/>
        <v>-6.4857901160336245E-13</v>
      </c>
      <c r="AJ22" s="8">
        <f t="shared" si="5"/>
        <v>1.0284970014177373E-12</v>
      </c>
      <c r="AK22" s="8">
        <f t="shared" si="6"/>
        <v>3.814697265625E-6</v>
      </c>
      <c r="AM22" s="8">
        <v>18</v>
      </c>
      <c r="AN22" s="8">
        <f t="shared" si="13"/>
        <v>1286.0107421875</v>
      </c>
      <c r="AO22" s="8">
        <v>-3.5215640103842816E-3</v>
      </c>
      <c r="AP22" s="8">
        <f t="shared" si="14"/>
        <v>1286.0260009765625</v>
      </c>
      <c r="AQ22" s="8">
        <v>1.9613195772762992E-3</v>
      </c>
      <c r="AR22" s="8">
        <f t="shared" si="9"/>
        <v>1286.0183715820312</v>
      </c>
      <c r="AS22" s="8">
        <v>-7.8070618872061459E-4</v>
      </c>
      <c r="AT22" s="8">
        <f t="shared" si="10"/>
        <v>2.7493068168827954E-6</v>
      </c>
      <c r="AU22" s="8">
        <f t="shared" si="11"/>
        <v>-1.5312143320385065E-6</v>
      </c>
      <c r="AV22" s="8">
        <f t="shared" si="12"/>
        <v>1.52587890625E-2</v>
      </c>
    </row>
    <row r="23" spans="2:48" x14ac:dyDescent="0.2">
      <c r="B23" s="20" t="s">
        <v>223</v>
      </c>
      <c r="C23" s="20">
        <f>IF(C22=TRUE,1.1794,1)</f>
        <v>1</v>
      </c>
      <c r="F23" s="20" t="s">
        <v>217</v>
      </c>
      <c r="G23" s="20">
        <f>G22/$C$45</f>
        <v>0.48716261208355499</v>
      </c>
      <c r="H23" s="20" t="s">
        <v>215</v>
      </c>
      <c r="J23" s="31" t="s">
        <v>88</v>
      </c>
      <c r="K23" s="20">
        <f xml:space="preserve"> $C$47 * (0.0268 * $C$5)</f>
        <v>27.57228063556424</v>
      </c>
      <c r="L23" s="20" t="s">
        <v>12</v>
      </c>
      <c r="N23" s="20" t="s">
        <v>46</v>
      </c>
      <c r="O23" s="20">
        <f xml:space="preserve"> ($C$19 * O22 / 8) * (1 + 4.65 *$C$10^ 2) * ( PI() * $C$44 * O20^3 *$C$6^ 5)</f>
        <v>10922.090836773667</v>
      </c>
      <c r="P23" s="20" t="s">
        <v>29</v>
      </c>
      <c r="R23" s="20" t="s">
        <v>46</v>
      </c>
      <c r="S23" s="20">
        <f xml:space="preserve"> ($C$19 * S22 / 8) * (1 + 4.65 *$C$10^ 2) * ( PI() * $C$44 * S20^3 *$C$6^ 5)</f>
        <v>11046.568409411881</v>
      </c>
      <c r="T23" s="20" t="s">
        <v>29</v>
      </c>
      <c r="V23" s="20" t="s">
        <v>46</v>
      </c>
      <c r="W23" s="20">
        <f xml:space="preserve"> ($C$19 * W22 / 8) * (1 + 4.65 *$C$10^ 2) * ( PI() * $C$44 * W20^3 *$C$6^ 5)</f>
        <v>11080.838536362488</v>
      </c>
      <c r="X23" s="20" t="s">
        <v>29</v>
      </c>
      <c r="AB23" s="8">
        <v>19</v>
      </c>
      <c r="AC23" s="8">
        <f t="shared" si="7"/>
        <v>3.65142822265625E-2</v>
      </c>
      <c r="AD23" s="8">
        <f t="shared" si="1"/>
        <v>1.4881035938912879E-6</v>
      </c>
      <c r="AE23" s="8">
        <f t="shared" si="8"/>
        <v>3.6516189575195312E-2</v>
      </c>
      <c r="AF23" s="8">
        <f t="shared" si="2"/>
        <v>-4.3584264849960697E-7</v>
      </c>
      <c r="AG23" s="8">
        <f t="shared" si="3"/>
        <v>3.6515235900878906E-2</v>
      </c>
      <c r="AH23" s="8">
        <f t="shared" si="0"/>
        <v>5.2613057631434312E-7</v>
      </c>
      <c r="AI23" s="8">
        <f t="shared" si="4"/>
        <v>7.8293680146946855E-13</v>
      </c>
      <c r="AJ23" s="8">
        <f t="shared" si="5"/>
        <v>-2.2931014383746788E-13</v>
      </c>
      <c r="AK23" s="8">
        <f t="shared" si="6"/>
        <v>1.9073486328125E-6</v>
      </c>
      <c r="AM23" s="8">
        <v>19</v>
      </c>
      <c r="AN23" s="8">
        <f t="shared" si="13"/>
        <v>1286.0183715820312</v>
      </c>
      <c r="AO23" s="8">
        <v>-7.8070618872061459E-4</v>
      </c>
      <c r="AP23" s="8">
        <f t="shared" si="14"/>
        <v>1286.0260009765625</v>
      </c>
      <c r="AQ23" s="8">
        <v>1.9613195772762992E-3</v>
      </c>
      <c r="AR23" s="8">
        <f t="shared" si="9"/>
        <v>1286.0221862792969</v>
      </c>
      <c r="AS23" s="8">
        <v>5.9052926803815353E-4</v>
      </c>
      <c r="AT23" s="8">
        <f t="shared" si="10"/>
        <v>-4.6102985417804108E-7</v>
      </c>
      <c r="AU23" s="8">
        <f t="shared" si="11"/>
        <v>1.1582166143578736E-6</v>
      </c>
      <c r="AV23" s="8">
        <f t="shared" si="12"/>
        <v>7.62939453125E-3</v>
      </c>
    </row>
    <row r="24" spans="2:48" x14ac:dyDescent="0.2">
      <c r="B24" s="20" t="s">
        <v>224</v>
      </c>
      <c r="C24" s="33">
        <v>1</v>
      </c>
      <c r="D24" s="20" t="s">
        <v>226</v>
      </c>
      <c r="J24" s="31" t="s">
        <v>89</v>
      </c>
      <c r="K24" s="20">
        <f xml:space="preserve"> $C$47 * (11.5 * ($C$5*2.20462/1000)^0.4 * 0.453592)</f>
        <v>6.3311976903541076</v>
      </c>
      <c r="L24" s="20" t="s">
        <v>12</v>
      </c>
      <c r="N24" s="20" t="s">
        <v>47</v>
      </c>
      <c r="O24" s="34">
        <f>AG69</f>
        <v>5.1852837670594454E-2</v>
      </c>
      <c r="R24" s="20" t="s">
        <v>47</v>
      </c>
      <c r="S24" s="34">
        <f>AG34</f>
        <v>3.6515757907181978E-2</v>
      </c>
      <c r="V24" s="20" t="s">
        <v>47</v>
      </c>
      <c r="W24" s="34">
        <f>AG104</f>
        <v>2.7366695459932089E-2</v>
      </c>
      <c r="AB24" s="8">
        <v>20</v>
      </c>
      <c r="AC24" s="8">
        <f t="shared" si="7"/>
        <v>3.6515235900878906E-2</v>
      </c>
      <c r="AD24" s="8">
        <f t="shared" si="1"/>
        <v>5.2613057631434312E-7</v>
      </c>
      <c r="AE24" s="8">
        <f t="shared" si="8"/>
        <v>3.6516189575195312E-2</v>
      </c>
      <c r="AF24" s="8">
        <f t="shared" si="2"/>
        <v>-4.3584264849960697E-7</v>
      </c>
      <c r="AG24" s="8">
        <f t="shared" si="3"/>
        <v>3.6515712738037109E-2</v>
      </c>
      <c r="AH24" s="8">
        <f t="shared" si="0"/>
        <v>4.5143989810259022E-8</v>
      </c>
      <c r="AI24" s="8">
        <f t="shared" si="4"/>
        <v>2.3751633376000411E-14</v>
      </c>
      <c r="AJ24" s="8">
        <f t="shared" si="5"/>
        <v>-1.967567608274256E-14</v>
      </c>
      <c r="AK24" s="8">
        <f t="shared" si="6"/>
        <v>9.5367431640625E-7</v>
      </c>
      <c r="AM24" s="8">
        <v>20</v>
      </c>
      <c r="AN24" s="8">
        <f t="shared" si="13"/>
        <v>1286.0183715820312</v>
      </c>
      <c r="AO24" s="8">
        <v>-7.8070618872061459E-4</v>
      </c>
      <c r="AP24" s="8">
        <f t="shared" si="14"/>
        <v>1286.0221862792969</v>
      </c>
      <c r="AQ24" s="8">
        <v>5.9052926803815353E-4</v>
      </c>
      <c r="AR24" s="8">
        <f t="shared" si="9"/>
        <v>1286.0202789306641</v>
      </c>
      <c r="AS24" s="8">
        <v>-9.4866977974561451E-5</v>
      </c>
      <c r="AT24" s="8">
        <f t="shared" si="10"/>
        <v>7.4063236809962354E-8</v>
      </c>
      <c r="AU24" s="8">
        <f t="shared" si="11"/>
        <v>-5.6021727064309407E-8</v>
      </c>
      <c r="AV24" s="8">
        <f t="shared" si="12"/>
        <v>3.814697265625E-3</v>
      </c>
    </row>
    <row r="25" spans="2:48" x14ac:dyDescent="0.2">
      <c r="B25" s="20" t="s">
        <v>225</v>
      </c>
      <c r="C25" s="33">
        <v>1</v>
      </c>
      <c r="D25" s="20" t="s">
        <v>226</v>
      </c>
      <c r="F25" s="59" t="s">
        <v>118</v>
      </c>
      <c r="G25" s="60"/>
      <c r="H25" s="60"/>
      <c r="J25" s="31" t="s">
        <v>90</v>
      </c>
      <c r="K25" s="20">
        <f xml:space="preserve"> $C$47 * (8 * ($C$5/1000))</f>
        <v>8.2305315330042514</v>
      </c>
      <c r="L25" s="20" t="s">
        <v>12</v>
      </c>
      <c r="N25" s="20" t="s">
        <v>48</v>
      </c>
      <c r="O25" s="20">
        <f xml:space="preserve"> O20 * $C$6 * O24 - $C$8 * SIN(O18/180*PI())</f>
        <v>3.6192326833944772</v>
      </c>
      <c r="P25" s="20" t="s">
        <v>16</v>
      </c>
      <c r="R25" s="20" t="s">
        <v>48</v>
      </c>
      <c r="S25" s="20">
        <f xml:space="preserve"> S20 * $C$6 * S24 - $C$8 * SIN(S18/180*PI())</f>
        <v>3.6232238350508057</v>
      </c>
      <c r="T25" s="20" t="s">
        <v>16</v>
      </c>
      <c r="V25" s="20" t="s">
        <v>48</v>
      </c>
      <c r="W25" s="20">
        <f xml:space="preserve"> W20 * $C$6 * W24 - $C$8 * SIN(W18/180*PI())</f>
        <v>3.6256889374448935</v>
      </c>
      <c r="X25" s="20" t="s">
        <v>16</v>
      </c>
      <c r="AB25" s="8">
        <v>21</v>
      </c>
      <c r="AC25" s="8">
        <f t="shared" si="7"/>
        <v>3.6515712738037109E-2</v>
      </c>
      <c r="AD25" s="8">
        <f t="shared" si="1"/>
        <v>4.5143989810259022E-8</v>
      </c>
      <c r="AE25" s="8">
        <f t="shared" si="8"/>
        <v>3.6516189575195312E-2</v>
      </c>
      <c r="AF25" s="8">
        <f t="shared" si="2"/>
        <v>-4.3584264849960697E-7</v>
      </c>
      <c r="AG25" s="8">
        <f t="shared" si="3"/>
        <v>3.6515951156616211E-2</v>
      </c>
      <c r="AH25" s="8">
        <f t="shared" si="0"/>
        <v>-1.9534932287068596E-7</v>
      </c>
      <c r="AI25" s="8">
        <f t="shared" si="4"/>
        <v>-8.8188478411152471E-15</v>
      </c>
      <c r="AJ25" s="8">
        <f t="shared" si="5"/>
        <v>8.5141566262564615E-14</v>
      </c>
      <c r="AK25" s="8">
        <f t="shared" si="6"/>
        <v>4.76837158203125E-7</v>
      </c>
      <c r="AM25" s="8">
        <v>21</v>
      </c>
      <c r="AN25" s="8">
        <f t="shared" si="13"/>
        <v>1286.0202789306641</v>
      </c>
      <c r="AO25" s="8">
        <v>-9.4866977974561451E-5</v>
      </c>
      <c r="AP25" s="8">
        <f t="shared" si="14"/>
        <v>1286.0221862792969</v>
      </c>
      <c r="AQ25" s="8">
        <v>5.9052926803815353E-4</v>
      </c>
      <c r="AR25" s="8">
        <f t="shared" si="9"/>
        <v>1286.0212326049805</v>
      </c>
      <c r="AS25" s="8">
        <v>2.4502723999830778E-4</v>
      </c>
      <c r="AT25" s="8">
        <f t="shared" si="10"/>
        <v>-2.3244993780087045E-8</v>
      </c>
      <c r="AU25" s="8">
        <f t="shared" si="11"/>
        <v>1.4469575668560967E-7</v>
      </c>
      <c r="AV25" s="8">
        <f t="shared" si="12"/>
        <v>1.9073486328125E-3</v>
      </c>
    </row>
    <row r="26" spans="2:48" x14ac:dyDescent="0.2">
      <c r="F26" s="25" t="s">
        <v>32</v>
      </c>
      <c r="G26" s="20">
        <f xml:space="preserve"> 1/1000 * (S23 + S19 * (S25 * S28 + $C$8 * SIN(S18/180*PI())))</f>
        <v>31.987807001325979</v>
      </c>
      <c r="H26" s="20" t="s">
        <v>162</v>
      </c>
      <c r="J26" s="31" t="s">
        <v>91</v>
      </c>
      <c r="K26" s="20">
        <f xml:space="preserve"> $C$47 * (13 * ($C$5*2.20462/1000)^1.3 * 0.453592)</f>
        <v>18.283312121591717</v>
      </c>
      <c r="L26" s="20" t="s">
        <v>12</v>
      </c>
      <c r="N26" s="20" t="s">
        <v>49</v>
      </c>
      <c r="O26" s="20">
        <f xml:space="preserve"> 1/$C$20 - O23 * SQRT( (2*$C$44*PI()*$C$6^2) / O19^3 )</f>
        <v>1.0780123349094124</v>
      </c>
      <c r="R26" s="20" t="s">
        <v>49</v>
      </c>
      <c r="S26" s="20">
        <f xml:space="preserve"> 1/$C$20 - S23 * SQRT( (2*$C$44*PI()*$C$6^2) / S19^3 )</f>
        <v>1.0741379375463476</v>
      </c>
      <c r="V26" s="20" t="s">
        <v>49</v>
      </c>
      <c r="W26" s="20">
        <f xml:space="preserve"> 1/$C$20 - W23 * SQRT( (2*$C$44*PI()*$C$6^2) / W19^3 )</f>
        <v>1.0727492481451997</v>
      </c>
      <c r="AB26" s="8">
        <v>22</v>
      </c>
      <c r="AC26" s="8">
        <f t="shared" si="7"/>
        <v>3.6515712738037109E-2</v>
      </c>
      <c r="AD26" s="8">
        <f t="shared" si="1"/>
        <v>4.5143989810259022E-8</v>
      </c>
      <c r="AE26" s="8">
        <f t="shared" si="8"/>
        <v>3.6515951156616211E-2</v>
      </c>
      <c r="AF26" s="8">
        <f t="shared" si="2"/>
        <v>-1.9534932287068596E-7</v>
      </c>
      <c r="AG26" s="8">
        <f t="shared" si="3"/>
        <v>3.651583194732666E-2</v>
      </c>
      <c r="AH26" s="8">
        <f t="shared" si="0"/>
        <v>-7.5102664906512295E-8</v>
      </c>
      <c r="AI26" s="8">
        <f t="shared" si="4"/>
        <v>-3.390433939262889E-15</v>
      </c>
      <c r="AJ26" s="8">
        <f t="shared" si="5"/>
        <v>1.4671254735271205E-14</v>
      </c>
      <c r="AK26" s="8">
        <f t="shared" si="6"/>
        <v>2.384185791015625E-7</v>
      </c>
      <c r="AM26" s="8">
        <v>22</v>
      </c>
      <c r="AN26" s="8">
        <f t="shared" si="13"/>
        <v>1286.0202789306641</v>
      </c>
      <c r="AO26" s="8">
        <v>-9.4866977974561451E-5</v>
      </c>
      <c r="AP26" s="8">
        <f t="shared" si="14"/>
        <v>1286.0212326049805</v>
      </c>
      <c r="AQ26" s="8">
        <v>2.4502723999830778E-4</v>
      </c>
      <c r="AR26" s="8">
        <f t="shared" si="9"/>
        <v>1286.0207557678223</v>
      </c>
      <c r="AS26" s="8">
        <v>7.7810586049054109E-5</v>
      </c>
      <c r="AT26" s="8">
        <f t="shared" si="10"/>
        <v>-7.3816551529033349E-9</v>
      </c>
      <c r="AU26" s="8">
        <f t="shared" si="11"/>
        <v>1.9065713142250559E-8</v>
      </c>
      <c r="AV26" s="8">
        <f t="shared" si="12"/>
        <v>9.5367431640625E-4</v>
      </c>
    </row>
    <row r="27" spans="2:48" x14ac:dyDescent="0.2">
      <c r="B27" s="61" t="s">
        <v>165</v>
      </c>
      <c r="C27" s="61"/>
      <c r="D27" s="61"/>
      <c r="F27" s="25" t="s">
        <v>33</v>
      </c>
      <c r="G27" s="20">
        <f>$C$17 * G26</f>
        <v>127.95122800530392</v>
      </c>
      <c r="H27" s="20" t="s">
        <v>162</v>
      </c>
      <c r="J27" s="26" t="s">
        <v>78</v>
      </c>
      <c r="K27" s="26">
        <f>$C$5 - $C$13 - SUM(K13:K26)</f>
        <v>6.1959326558280736E-11</v>
      </c>
      <c r="L27" s="26" t="s">
        <v>12</v>
      </c>
      <c r="N27" s="20" t="s">
        <v>50</v>
      </c>
      <c r="O27" s="33">
        <v>1.1499999999999999</v>
      </c>
      <c r="R27" s="20" t="s">
        <v>50</v>
      </c>
      <c r="S27" s="33">
        <v>1.1499999999999999</v>
      </c>
      <c r="V27" s="20" t="s">
        <v>50</v>
      </c>
      <c r="W27" s="33">
        <v>1.1499999999999999</v>
      </c>
      <c r="AB27" s="8">
        <v>23</v>
      </c>
      <c r="AC27" s="8">
        <f t="shared" si="7"/>
        <v>3.6515712738037109E-2</v>
      </c>
      <c r="AD27" s="8">
        <f t="shared" si="1"/>
        <v>4.5143989810259022E-8</v>
      </c>
      <c r="AE27" s="8">
        <f t="shared" si="8"/>
        <v>3.651583194732666E-2</v>
      </c>
      <c r="AF27" s="8">
        <f t="shared" si="2"/>
        <v>-7.5102664906512295E-8</v>
      </c>
      <c r="AG27" s="8">
        <f t="shared" si="3"/>
        <v>3.6515772342681885E-2</v>
      </c>
      <c r="AH27" s="8">
        <f t="shared" si="0"/>
        <v>-1.497933714567079E-8</v>
      </c>
      <c r="AI27" s="8">
        <f t="shared" si="4"/>
        <v>-6.7622704346859664E-16</v>
      </c>
      <c r="AJ27" s="8">
        <f t="shared" si="5"/>
        <v>1.1249881381729856E-15</v>
      </c>
      <c r="AK27" s="8">
        <f t="shared" si="6"/>
        <v>1.1920928955078125E-7</v>
      </c>
      <c r="AM27" s="8">
        <v>23</v>
      </c>
      <c r="AN27" s="8">
        <f t="shared" si="13"/>
        <v>1286.0202789306641</v>
      </c>
      <c r="AO27" s="8">
        <v>-9.4866977974561451E-5</v>
      </c>
      <c r="AP27" s="8">
        <f t="shared" si="14"/>
        <v>1286.0207557678223</v>
      </c>
      <c r="AQ27" s="8">
        <v>7.7810586049054109E-5</v>
      </c>
      <c r="AR27" s="8">
        <f t="shared" si="9"/>
        <v>1286.0205173492432</v>
      </c>
      <c r="AS27" s="8">
        <v>-8.3070722212141845E-6</v>
      </c>
      <c r="AT27" s="8">
        <f t="shared" si="10"/>
        <v>7.8806683744301736E-10</v>
      </c>
      <c r="AU27" s="8">
        <f t="shared" si="11"/>
        <v>-6.4637815788449331E-10</v>
      </c>
      <c r="AV27" s="8">
        <f t="shared" si="12"/>
        <v>4.76837158203125E-4</v>
      </c>
    </row>
    <row r="28" spans="2:48" x14ac:dyDescent="0.2">
      <c r="B28" t="s">
        <v>166</v>
      </c>
      <c r="C28" s="1">
        <v>4</v>
      </c>
      <c r="D28"/>
      <c r="F28" s="25" t="s">
        <v>121</v>
      </c>
      <c r="G28" s="20">
        <f xml:space="preserve"> ($C$14-G17-G37)/$C$8</f>
        <v>1600.2478630521136</v>
      </c>
      <c r="H28" s="20" t="s">
        <v>22</v>
      </c>
      <c r="J28" s="20" t="s">
        <v>79</v>
      </c>
      <c r="K28" s="10" t="str">
        <f>IF(ABS(K27)&lt;0.00001, "TRUE", "FALSE")</f>
        <v>TRUE</v>
      </c>
      <c r="N28" s="20" t="s">
        <v>51</v>
      </c>
      <c r="O28" s="20">
        <f xml:space="preserve"> 1/$C$50 * LN( EXP($C$50 * O26) + EXP($C$50 * O27) )</f>
        <v>1.1536394740062539</v>
      </c>
      <c r="R28" s="20" t="s">
        <v>51</v>
      </c>
      <c r="S28" s="20">
        <f xml:space="preserve"> 1/$C$50 * LN( EXP($C$50 * S26) + EXP($C$50 * S27) )</f>
        <v>1.1532589762954284</v>
      </c>
      <c r="V28" s="20" t="s">
        <v>51</v>
      </c>
      <c r="W28" s="20">
        <f xml:space="preserve"> 1/$C$50 * LN( EXP($C$50 * W26) + EXP($C$50 * W27) )</f>
        <v>1.153132047044527</v>
      </c>
      <c r="AB28" s="8">
        <v>24</v>
      </c>
      <c r="AC28" s="8">
        <f t="shared" si="7"/>
        <v>3.6515712738037109E-2</v>
      </c>
      <c r="AD28" s="8">
        <f t="shared" si="1"/>
        <v>4.5143989810259022E-8</v>
      </c>
      <c r="AE28" s="8">
        <f t="shared" si="8"/>
        <v>3.6515772342681885E-2</v>
      </c>
      <c r="AF28" s="8">
        <f t="shared" si="2"/>
        <v>-1.497933714567079E-8</v>
      </c>
      <c r="AG28" s="8">
        <f t="shared" si="3"/>
        <v>3.6515742540359497E-2</v>
      </c>
      <c r="AH28" s="8">
        <f t="shared" si="0"/>
        <v>1.5082326436377524E-8</v>
      </c>
      <c r="AI28" s="8">
        <f t="shared" si="4"/>
        <v>6.8087639095882719E-16</v>
      </c>
      <c r="AJ28" s="8">
        <f t="shared" si="5"/>
        <v>-2.2592325263156241E-16</v>
      </c>
      <c r="AK28" s="8">
        <f t="shared" si="6"/>
        <v>5.9604644775390625E-8</v>
      </c>
      <c r="AM28" s="8">
        <v>24</v>
      </c>
      <c r="AN28" s="8">
        <f t="shared" si="13"/>
        <v>1286.0205173492432</v>
      </c>
      <c r="AO28" s="8">
        <v>-8.3070722212141845E-6</v>
      </c>
      <c r="AP28" s="8">
        <f t="shared" si="14"/>
        <v>1286.0207557678223</v>
      </c>
      <c r="AQ28" s="8">
        <v>7.7810586049054109E-5</v>
      </c>
      <c r="AR28" s="8">
        <f t="shared" si="9"/>
        <v>1286.0206365585327</v>
      </c>
      <c r="AS28" s="8">
        <v>3.4972877529071411E-5</v>
      </c>
      <c r="AT28" s="8">
        <f t="shared" si="10"/>
        <v>-2.9052221941767489E-10</v>
      </c>
      <c r="AU28" s="8">
        <f t="shared" si="11"/>
        <v>2.7212600963588417E-9</v>
      </c>
      <c r="AV28" s="8">
        <f t="shared" si="12"/>
        <v>2.384185791015625E-4</v>
      </c>
    </row>
    <row r="29" spans="2:48" x14ac:dyDescent="0.2">
      <c r="B29" t="s">
        <v>167</v>
      </c>
      <c r="C29" s="1">
        <v>5.2</v>
      </c>
      <c r="D29" t="s">
        <v>14</v>
      </c>
      <c r="F29" t="s">
        <v>214</v>
      </c>
      <c r="G29" s="24">
        <f>S20*$C$6</f>
        <v>166.46558020128367</v>
      </c>
      <c r="H29" s="20" t="s">
        <v>16</v>
      </c>
      <c r="AB29" s="8">
        <v>25</v>
      </c>
      <c r="AC29" s="8">
        <f t="shared" si="7"/>
        <v>3.6515742540359497E-2</v>
      </c>
      <c r="AD29" s="8">
        <f t="shared" si="1"/>
        <v>1.5082326436377524E-8</v>
      </c>
      <c r="AE29" s="8">
        <f t="shared" si="8"/>
        <v>3.6515772342681885E-2</v>
      </c>
      <c r="AF29" s="8">
        <f t="shared" si="2"/>
        <v>-1.497933714567079E-8</v>
      </c>
      <c r="AG29" s="8">
        <f t="shared" si="3"/>
        <v>3.6515757441520691E-2</v>
      </c>
      <c r="AH29" s="8">
        <f t="shared" si="0"/>
        <v>5.1494669639495783E-11</v>
      </c>
      <c r="AI29" s="8">
        <f t="shared" si="4"/>
        <v>7.7665941723629433E-19</v>
      </c>
      <c r="AJ29" s="8">
        <f t="shared" si="5"/>
        <v>-7.7135601773494506E-19</v>
      </c>
      <c r="AK29" s="8">
        <f t="shared" si="6"/>
        <v>2.9802322387695312E-8</v>
      </c>
      <c r="AM29" s="8">
        <v>25</v>
      </c>
      <c r="AN29" s="8">
        <f t="shared" si="13"/>
        <v>1286.0205173492432</v>
      </c>
      <c r="AO29" s="8">
        <v>-8.3070722212141845E-6</v>
      </c>
      <c r="AP29" s="8">
        <f t="shared" si="14"/>
        <v>1286.0206365585327</v>
      </c>
      <c r="AQ29" s="8">
        <v>3.4972877529071411E-5</v>
      </c>
      <c r="AR29" s="8">
        <f t="shared" si="9"/>
        <v>1286.0205769538879</v>
      </c>
      <c r="AS29" s="8">
        <v>1.0528909683671372E-5</v>
      </c>
      <c r="AT29" s="8">
        <f t="shared" si="10"/>
        <v>-8.7464413152899485E-11</v>
      </c>
      <c r="AU29" s="8">
        <f t="shared" si="11"/>
        <v>3.6822626888169292E-10</v>
      </c>
      <c r="AV29" s="8">
        <f t="shared" si="12"/>
        <v>1.1920928955078125E-4</v>
      </c>
    </row>
    <row r="30" spans="2:48" x14ac:dyDescent="0.2">
      <c r="B30" t="s">
        <v>168</v>
      </c>
      <c r="C30" s="1">
        <v>1.8</v>
      </c>
      <c r="D30" t="s">
        <v>14</v>
      </c>
      <c r="F30" s="20" t="s">
        <v>217</v>
      </c>
      <c r="G30" s="20">
        <f>G29/$C$45</f>
        <v>0.48900633401862331</v>
      </c>
      <c r="H30" s="20" t="s">
        <v>215</v>
      </c>
      <c r="J30" s="58" t="s">
        <v>188</v>
      </c>
      <c r="K30" s="58"/>
      <c r="L30" s="58"/>
      <c r="AB30" s="8">
        <v>26</v>
      </c>
      <c r="AC30" s="8">
        <f t="shared" si="7"/>
        <v>3.6515757441520691E-2</v>
      </c>
      <c r="AD30" s="8">
        <f t="shared" si="1"/>
        <v>5.1494669639495783E-11</v>
      </c>
      <c r="AE30" s="8">
        <f t="shared" si="8"/>
        <v>3.6515772342681885E-2</v>
      </c>
      <c r="AF30" s="8">
        <f t="shared" si="2"/>
        <v>-1.497933714567079E-8</v>
      </c>
      <c r="AG30" s="8">
        <f t="shared" si="3"/>
        <v>3.6515764892101288E-2</v>
      </c>
      <c r="AH30" s="8">
        <f t="shared" si="0"/>
        <v>-7.4639212310767533E-9</v>
      </c>
      <c r="AI30" s="8">
        <f t="shared" si="4"/>
        <v>-3.8435215800951607E-19</v>
      </c>
      <c r="AJ30" s="8">
        <f t="shared" si="5"/>
        <v>1.1180459254902886E-16</v>
      </c>
      <c r="AK30" s="8">
        <f t="shared" si="6"/>
        <v>1.4901161193847656E-8</v>
      </c>
      <c r="AM30" s="8">
        <v>26</v>
      </c>
      <c r="AN30" s="8">
        <f t="shared" si="13"/>
        <v>1286.0205173492432</v>
      </c>
      <c r="AO30" s="8">
        <v>-8.3070722212141845E-6</v>
      </c>
      <c r="AP30" s="8">
        <f t="shared" si="14"/>
        <v>1286.0205769538879</v>
      </c>
      <c r="AQ30" s="8">
        <v>1.0528909683671372E-5</v>
      </c>
      <c r="AR30" s="8">
        <f t="shared" si="9"/>
        <v>1286.0205471515656</v>
      </c>
      <c r="AS30" s="8">
        <v>-2.0617502514141961E-6</v>
      </c>
      <c r="AT30" s="8">
        <f t="shared" si="10"/>
        <v>1.7127108240604229E-11</v>
      </c>
      <c r="AU30" s="8">
        <f t="shared" si="11"/>
        <v>-2.1707982187426816E-11</v>
      </c>
      <c r="AV30" s="8">
        <f t="shared" si="12"/>
        <v>5.9604644775390625E-5</v>
      </c>
    </row>
    <row r="31" spans="2:48" x14ac:dyDescent="0.2">
      <c r="J31" s="20" t="s">
        <v>81</v>
      </c>
      <c r="K31" s="20">
        <f>ROUND($C$13,2)</f>
        <v>400</v>
      </c>
      <c r="L31" s="20" t="s">
        <v>12</v>
      </c>
      <c r="AB31" s="8">
        <v>27</v>
      </c>
      <c r="AC31" s="8">
        <f t="shared" si="7"/>
        <v>3.6515757441520691E-2</v>
      </c>
      <c r="AD31" s="8">
        <f t="shared" si="1"/>
        <v>5.1494669639495783E-11</v>
      </c>
      <c r="AE31" s="8">
        <f t="shared" si="8"/>
        <v>3.6515764892101288E-2</v>
      </c>
      <c r="AF31" s="8">
        <f t="shared" si="2"/>
        <v>-7.4639212310767533E-9</v>
      </c>
      <c r="AG31" s="8">
        <f t="shared" si="3"/>
        <v>3.6515761166810989E-2</v>
      </c>
      <c r="AH31" s="8">
        <f t="shared" si="0"/>
        <v>-3.7062132807186288E-9</v>
      </c>
      <c r="AI31" s="8">
        <f t="shared" si="4"/>
        <v>-1.9085022850411763E-19</v>
      </c>
      <c r="AJ31" s="8">
        <f t="shared" si="5"/>
        <v>2.7662883992854399E-17</v>
      </c>
      <c r="AK31" s="8">
        <f t="shared" si="6"/>
        <v>7.4505805969238281E-9</v>
      </c>
      <c r="AM31" s="8">
        <v>27</v>
      </c>
      <c r="AN31" s="8">
        <f t="shared" si="13"/>
        <v>1286.0205471515656</v>
      </c>
      <c r="AO31" s="8">
        <v>-2.0617502514141961E-6</v>
      </c>
      <c r="AP31" s="8">
        <f t="shared" si="14"/>
        <v>1286.0205769538879</v>
      </c>
      <c r="AQ31" s="8">
        <v>1.0528909683671372E-5</v>
      </c>
      <c r="AR31" s="8">
        <f t="shared" si="9"/>
        <v>1286.0205620527267</v>
      </c>
      <c r="AS31" s="8">
        <v>4.2335796024417505E-6</v>
      </c>
      <c r="AT31" s="8">
        <f t="shared" si="10"/>
        <v>-8.7285838097162914E-12</v>
      </c>
      <c r="AU31" s="8">
        <f t="shared" si="11"/>
        <v>4.4574977272742546E-11</v>
      </c>
      <c r="AV31" s="8">
        <f t="shared" si="12"/>
        <v>2.9802322387695312E-5</v>
      </c>
    </row>
    <row r="32" spans="2:48" x14ac:dyDescent="0.2">
      <c r="B32" s="61" t="s">
        <v>169</v>
      </c>
      <c r="C32" s="61"/>
      <c r="D32" s="61"/>
      <c r="F32" s="63" t="s">
        <v>131</v>
      </c>
      <c r="G32" s="64"/>
      <c r="H32" s="64"/>
      <c r="J32" s="27" t="s">
        <v>74</v>
      </c>
      <c r="K32" s="20">
        <f>ROUND(K13,2)</f>
        <v>462.93</v>
      </c>
      <c r="L32" s="20" t="s">
        <v>12</v>
      </c>
      <c r="AB32" s="8">
        <v>28</v>
      </c>
      <c r="AC32" s="8">
        <f t="shared" si="7"/>
        <v>3.6515757441520691E-2</v>
      </c>
      <c r="AD32" s="8">
        <f t="shared" si="1"/>
        <v>5.1494669639495783E-11</v>
      </c>
      <c r="AE32" s="8">
        <f t="shared" si="8"/>
        <v>3.6515761166810989E-2</v>
      </c>
      <c r="AF32" s="8">
        <f t="shared" si="2"/>
        <v>-3.7062132807186288E-9</v>
      </c>
      <c r="AG32" s="8">
        <f t="shared" si="3"/>
        <v>3.651575930416584E-2</v>
      </c>
      <c r="AH32" s="8">
        <f t="shared" si="0"/>
        <v>-1.8273593055395665E-9</v>
      </c>
      <c r="AI32" s="8">
        <f t="shared" si="4"/>
        <v>-9.4099263751418412E-20</v>
      </c>
      <c r="AJ32" s="8">
        <f t="shared" si="5"/>
        <v>6.7725833268355119E-18</v>
      </c>
      <c r="AK32" s="8">
        <f t="shared" si="6"/>
        <v>3.7252902984619141E-9</v>
      </c>
      <c r="AM32" s="8">
        <v>28</v>
      </c>
      <c r="AN32" s="8">
        <f t="shared" si="13"/>
        <v>1286.0205471515656</v>
      </c>
      <c r="AO32" s="8">
        <v>-2.0617502514141961E-6</v>
      </c>
      <c r="AP32" s="8">
        <f t="shared" si="14"/>
        <v>1286.0205620527267</v>
      </c>
      <c r="AQ32" s="8">
        <v>4.2335796024417505E-6</v>
      </c>
      <c r="AR32" s="8">
        <f t="shared" si="9"/>
        <v>1286.0205546021461</v>
      </c>
      <c r="AS32" s="8">
        <v>1.0859137091756565E-6</v>
      </c>
      <c r="AT32" s="8">
        <f t="shared" si="10"/>
        <v>-2.2388828629070321E-12</v>
      </c>
      <c r="AU32" s="8">
        <f t="shared" si="11"/>
        <v>4.5973021291779227E-12</v>
      </c>
      <c r="AV32" s="8">
        <f t="shared" si="12"/>
        <v>1.4901161193847656E-5</v>
      </c>
    </row>
    <row r="33" spans="2:48" x14ac:dyDescent="0.2">
      <c r="B33" s="20" t="s">
        <v>202</v>
      </c>
      <c r="C33" s="37" t="s">
        <v>203</v>
      </c>
      <c r="F33" s="4" t="s">
        <v>154</v>
      </c>
      <c r="G33" s="1">
        <f>$C$8</f>
        <v>50</v>
      </c>
      <c r="H33" t="s">
        <v>16</v>
      </c>
      <c r="J33" s="35" t="s">
        <v>108</v>
      </c>
      <c r="K33" s="20">
        <f>ROUND(SUM(K14:K17),2)</f>
        <v>223.87</v>
      </c>
      <c r="L33" s="20" t="s">
        <v>12</v>
      </c>
      <c r="AB33" s="8">
        <v>29</v>
      </c>
      <c r="AC33" s="8">
        <f t="shared" si="7"/>
        <v>3.6515757441520691E-2</v>
      </c>
      <c r="AD33" s="8">
        <f t="shared" si="1"/>
        <v>5.1494669639495783E-11</v>
      </c>
      <c r="AE33" s="8">
        <f t="shared" si="8"/>
        <v>3.651575930416584E-2</v>
      </c>
      <c r="AF33" s="8">
        <f t="shared" si="2"/>
        <v>-1.8273593055395665E-9</v>
      </c>
      <c r="AG33" s="8">
        <f t="shared" si="3"/>
        <v>3.6515758372843266E-2</v>
      </c>
      <c r="AH33" s="8">
        <f t="shared" si="0"/>
        <v>-8.8793231795003535E-10</v>
      </c>
      <c r="AI33" s="8">
        <f t="shared" si="4"/>
        <v>-4.5723781375068802E-20</v>
      </c>
      <c r="AJ33" s="8">
        <f t="shared" si="5"/>
        <v>1.6225713838953143E-18</v>
      </c>
      <c r="AK33" s="8">
        <f t="shared" si="6"/>
        <v>1.862645149230957E-9</v>
      </c>
      <c r="AM33" s="8">
        <v>29</v>
      </c>
      <c r="AN33" s="8">
        <f t="shared" si="13"/>
        <v>1286.0205471515656</v>
      </c>
      <c r="AO33" s="8">
        <v>-2.0617502514141961E-6</v>
      </c>
      <c r="AP33" s="8">
        <f t="shared" si="14"/>
        <v>1286.0205546021461</v>
      </c>
      <c r="AQ33" s="8">
        <v>1.0859137091756565E-6</v>
      </c>
      <c r="AR33" s="8">
        <f t="shared" si="9"/>
        <v>1286.0205508768559</v>
      </c>
      <c r="AS33" s="8">
        <v>-4.8791787321533775E-7</v>
      </c>
      <c r="AT33" s="8">
        <f t="shared" si="10"/>
        <v>1.0059647977712025E-12</v>
      </c>
      <c r="AU33" s="8">
        <f t="shared" si="11"/>
        <v>-5.2983670747636514E-13</v>
      </c>
      <c r="AV33" s="8">
        <f t="shared" si="12"/>
        <v>7.4505805969238281E-6</v>
      </c>
    </row>
    <row r="34" spans="2:48" x14ac:dyDescent="0.2">
      <c r="B34" s="20" t="s">
        <v>204</v>
      </c>
      <c r="C34" s="20">
        <f>IF(C33="wheeled",0.0325,0.014)</f>
        <v>3.2500000000000001E-2</v>
      </c>
      <c r="F34" t="s">
        <v>126</v>
      </c>
      <c r="G34" s="1">
        <v>1.524</v>
      </c>
      <c r="H34" t="s">
        <v>16</v>
      </c>
      <c r="J34" s="36" t="s">
        <v>95</v>
      </c>
      <c r="K34" s="20">
        <f>ROUND(SUM(K18:K22),2)</f>
        <v>138.81</v>
      </c>
      <c r="L34" s="20" t="s">
        <v>12</v>
      </c>
      <c r="AB34" s="8">
        <v>30</v>
      </c>
      <c r="AC34" s="8">
        <f t="shared" si="7"/>
        <v>3.6515757441520691E-2</v>
      </c>
      <c r="AD34" s="8">
        <f t="shared" si="1"/>
        <v>5.1494669639495783E-11</v>
      </c>
      <c r="AE34" s="8">
        <f t="shared" si="8"/>
        <v>3.6515758372843266E-2</v>
      </c>
      <c r="AF34" s="8">
        <f t="shared" si="2"/>
        <v>-8.8793231795003535E-10</v>
      </c>
      <c r="AG34" s="8">
        <f t="shared" si="3"/>
        <v>3.6515757907181978E-2</v>
      </c>
      <c r="AH34" s="8">
        <f xml:space="preserve"> $C$10 * TAN($S$18/180*PI()) + $S$21 / (2 * SQRT($C$10^2 + AG34^2)) - AG34</f>
        <v>-4.1821882068582283E-10</v>
      </c>
      <c r="AI34" s="8">
        <f t="shared" si="4"/>
        <v>-2.1536040008235972E-20</v>
      </c>
      <c r="AJ34" s="8">
        <f t="shared" si="5"/>
        <v>3.7135000686189286E-19</v>
      </c>
      <c r="AK34" s="8">
        <f>AE34-AC34</f>
        <v>9.3132257461547852E-10</v>
      </c>
      <c r="AM34" s="8">
        <v>30</v>
      </c>
      <c r="AN34" s="8">
        <f t="shared" si="13"/>
        <v>1286.0205508768559</v>
      </c>
      <c r="AO34" s="8">
        <v>-4.8791787321533775E-7</v>
      </c>
      <c r="AP34" s="8">
        <f t="shared" si="14"/>
        <v>1286.0205546021461</v>
      </c>
      <c r="AQ34" s="8">
        <v>1.0859137091756565E-6</v>
      </c>
      <c r="AR34" s="8">
        <f t="shared" si="9"/>
        <v>1286.020552739501</v>
      </c>
      <c r="AS34" s="8">
        <v>2.9899808851041598E-7</v>
      </c>
      <c r="AT34" s="8">
        <f t="shared" si="10"/>
        <v>-1.4588651144145348E-13</v>
      </c>
      <c r="AU34" s="8">
        <f t="shared" si="11"/>
        <v>3.2468612333077708E-13</v>
      </c>
      <c r="AV34" s="8">
        <f t="shared" si="12"/>
        <v>3.7252902984619141E-6</v>
      </c>
    </row>
    <row r="35" spans="2:48" x14ac:dyDescent="0.2">
      <c r="B35" t="s">
        <v>170</v>
      </c>
      <c r="C35" s="1">
        <v>0.3</v>
      </c>
      <c r="D35" t="s">
        <v>14</v>
      </c>
      <c r="F35" t="s">
        <v>125</v>
      </c>
      <c r="G35" s="1">
        <v>304.8</v>
      </c>
      <c r="H35" t="s">
        <v>14</v>
      </c>
      <c r="J35" s="31" t="s">
        <v>96</v>
      </c>
      <c r="K35" s="20">
        <f>ROUND(SUM(K23:K26),2)</f>
        <v>60.42</v>
      </c>
      <c r="L35" s="20" t="s">
        <v>12</v>
      </c>
      <c r="AM35" s="8">
        <v>31</v>
      </c>
      <c r="AN35" s="8">
        <f t="shared" si="13"/>
        <v>1286.0205508768559</v>
      </c>
      <c r="AO35" s="20">
        <v>-4.8791787321533775E-7</v>
      </c>
      <c r="AP35" s="8">
        <f t="shared" si="14"/>
        <v>1286.020552739501</v>
      </c>
      <c r="AQ35" s="20">
        <v>2.9899808851041598E-7</v>
      </c>
      <c r="AR35" s="8">
        <f t="shared" si="9"/>
        <v>1286.0205518081784</v>
      </c>
      <c r="AS35" s="20">
        <v>-9.445966497878544E-8</v>
      </c>
      <c r="AT35" s="8">
        <f t="shared" si="10"/>
        <v>4.6088558841082314E-14</v>
      </c>
      <c r="AU35" s="8">
        <f t="shared" si="11"/>
        <v>-2.824325926999113E-14</v>
      </c>
      <c r="AV35" s="8">
        <f t="shared" si="12"/>
        <v>1.862645149230957E-6</v>
      </c>
    </row>
    <row r="36" spans="2:48" x14ac:dyDescent="0.2">
      <c r="B36" t="s">
        <v>171</v>
      </c>
      <c r="C36" s="1">
        <v>5.7</v>
      </c>
      <c r="D36"/>
      <c r="F36" t="s">
        <v>127</v>
      </c>
      <c r="G36" s="20">
        <f>SQRT($G$33^2-$G$34^2)</f>
        <v>49.976768843133506</v>
      </c>
      <c r="H36" t="s">
        <v>16</v>
      </c>
      <c r="J36" s="26" t="s">
        <v>83</v>
      </c>
      <c r="K36" s="26">
        <f>SUM(K31:K35)</f>
        <v>1286.0300000000002</v>
      </c>
      <c r="L36" s="20" t="s">
        <v>12</v>
      </c>
      <c r="AM36" s="8">
        <v>32</v>
      </c>
      <c r="AN36" s="8">
        <f t="shared" si="13"/>
        <v>1286.0205518081784</v>
      </c>
      <c r="AO36" s="20">
        <v>-9.445966497878544E-8</v>
      </c>
      <c r="AP36" s="8">
        <f t="shared" si="14"/>
        <v>1286.020552739501</v>
      </c>
      <c r="AQ36" s="20">
        <v>2.9899808851041598E-7</v>
      </c>
      <c r="AR36" s="8">
        <f t="shared" si="9"/>
        <v>1286.0205522738397</v>
      </c>
      <c r="AS36" s="20">
        <v>1.022685864882078E-7</v>
      </c>
      <c r="AT36" s="8">
        <f t="shared" si="10"/>
        <v>-9.6602564175300524E-15</v>
      </c>
      <c r="AU36" s="8">
        <f t="shared" si="11"/>
        <v>3.0578111874636288E-14</v>
      </c>
      <c r="AV36" s="8">
        <f t="shared" si="12"/>
        <v>9.3132257461547852E-7</v>
      </c>
    </row>
    <row r="37" spans="2:48" x14ac:dyDescent="0.2">
      <c r="F37" t="s">
        <v>128</v>
      </c>
      <c r="G37" s="20">
        <f>$G$36*($G$35/$G$34)</f>
        <v>9995.3537686267009</v>
      </c>
      <c r="H37" t="s">
        <v>14</v>
      </c>
      <c r="AB37" s="32" t="s">
        <v>142</v>
      </c>
      <c r="AM37" s="8">
        <v>33</v>
      </c>
      <c r="AN37" s="8">
        <f t="shared" si="13"/>
        <v>1286.0205518081784</v>
      </c>
      <c r="AO37" s="20">
        <v>-9.445966497878544E-8</v>
      </c>
      <c r="AP37" s="8">
        <f t="shared" si="14"/>
        <v>1286.0205522738397</v>
      </c>
      <c r="AQ37" s="20">
        <v>1.022685864882078E-7</v>
      </c>
      <c r="AR37" s="8">
        <f t="shared" si="9"/>
        <v>1286.0205520410091</v>
      </c>
      <c r="AS37" s="20">
        <v>3.9044607547111809E-9</v>
      </c>
      <c r="AT37" s="8">
        <f t="shared" si="10"/>
        <v>-3.6881405481283391E-16</v>
      </c>
      <c r="AU37" s="8">
        <f t="shared" si="11"/>
        <v>3.9930368238299352E-16</v>
      </c>
      <c r="AV37" s="8">
        <f t="shared" si="12"/>
        <v>4.6566128730773926E-7</v>
      </c>
    </row>
    <row r="38" spans="2:48" x14ac:dyDescent="0.2">
      <c r="B38" s="58" t="s">
        <v>6</v>
      </c>
      <c r="C38" s="58"/>
      <c r="D38" s="58"/>
      <c r="F38" t="s">
        <v>152</v>
      </c>
      <c r="G38" s="20">
        <f>ATAN(G34/G36)/PI()*180</f>
        <v>1.7466458786346903</v>
      </c>
      <c r="H38" t="s">
        <v>62</v>
      </c>
      <c r="J38" s="58" t="s">
        <v>80</v>
      </c>
      <c r="K38" s="58"/>
      <c r="L38" s="58"/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1286.0205518081784</v>
      </c>
      <c r="AO38" s="20">
        <v>-9.445966497878544E-8</v>
      </c>
      <c r="AP38" s="8">
        <f t="shared" si="14"/>
        <v>1286.0205520410091</v>
      </c>
      <c r="AQ38" s="20">
        <v>3.9044607547111809E-9</v>
      </c>
      <c r="AR38" s="8">
        <f t="shared" si="9"/>
        <v>1286.0205519245937</v>
      </c>
      <c r="AS38" s="20">
        <v>-4.5278056859388016E-8</v>
      </c>
      <c r="AT38" s="8">
        <f t="shared" si="10"/>
        <v>4.2769500818281901E-15</v>
      </c>
      <c r="AU38" s="8">
        <f t="shared" si="11"/>
        <v>-1.767863960570619E-16</v>
      </c>
      <c r="AV38" s="8">
        <f t="shared" si="12"/>
        <v>2.3283064365386963E-7</v>
      </c>
    </row>
    <row r="39" spans="2:48" x14ac:dyDescent="0.2">
      <c r="B39" s="20" t="s">
        <v>7</v>
      </c>
      <c r="C39" s="33">
        <v>250</v>
      </c>
      <c r="D39" s="20" t="s">
        <v>8</v>
      </c>
      <c r="F39" t="s">
        <v>155</v>
      </c>
      <c r="G39" s="20">
        <f xml:space="preserve"> 1/1000 * (W23 + W19 * (W28 * W25 + $G$33 * SIN(W18/180*PI())))</f>
        <v>27.204851166760882</v>
      </c>
      <c r="H39" t="s">
        <v>162</v>
      </c>
      <c r="J39" s="20" t="s">
        <v>81</v>
      </c>
      <c r="K39" s="20">
        <f>ROUND($C$13/$C$5 * 100, 2)</f>
        <v>31.1</v>
      </c>
      <c r="L39" s="20" t="s">
        <v>82</v>
      </c>
      <c r="AB39" s="8">
        <v>0</v>
      </c>
      <c r="AC39" s="9">
        <v>0</v>
      </c>
      <c r="AD39" s="8">
        <f t="shared" ref="AD39:AD69" si="15" xml:space="preserve"> $C$10 * TAN($O$18/180*PI()) + $O$21 / (2 * SQRT($C$10^2 + AC39^2)) - AC39</f>
        <v>5.2176429068067076E-2</v>
      </c>
      <c r="AE39" s="9">
        <v>1</v>
      </c>
      <c r="AF39" s="8">
        <f xml:space="preserve"> $C$10 * TAN($O$18/180*PI()) + $O$21 / (2 * SQRT($C$10^2 + AE39^2)) - AE39</f>
        <v>-0.96360703565073613</v>
      </c>
      <c r="AG39" s="8">
        <f xml:space="preserve"> (AC39 + AE39)/2</f>
        <v>0.5</v>
      </c>
      <c r="AH39" s="8">
        <f t="shared" ref="AH39:AH69" si="16" xml:space="preserve"> $C$10 * TAN($O$18/180*PI()) + $O$21 / (2 * SQRT($C$10^2 + AG39^2)) - AG39</f>
        <v>-0.45857627756092906</v>
      </c>
      <c r="AI39" s="8">
        <f>AD39*AH39</f>
        <v>-2.3926872618456056E-2</v>
      </c>
      <c r="AJ39" s="8">
        <f>AF39*AH39</f>
        <v>0.44188732744023601</v>
      </c>
      <c r="AK39" s="8">
        <f>AE39-AC39</f>
        <v>1</v>
      </c>
      <c r="AM39" s="8">
        <v>35</v>
      </c>
      <c r="AN39" s="8">
        <f t="shared" si="13"/>
        <v>1286.0205519245937</v>
      </c>
      <c r="AO39" s="20">
        <v>-4.5278056859388016E-8</v>
      </c>
      <c r="AP39" s="8">
        <f t="shared" si="14"/>
        <v>1286.0205520410091</v>
      </c>
      <c r="AQ39" s="20">
        <v>3.9044607547111809E-9</v>
      </c>
      <c r="AR39" s="8">
        <f t="shared" si="9"/>
        <v>1286.0205519828014</v>
      </c>
      <c r="AS39" s="20">
        <v>-2.0686456991825253E-8</v>
      </c>
      <c r="AT39" s="8">
        <f t="shared" si="10"/>
        <v>9.3664257589514857E-16</v>
      </c>
      <c r="AU39" s="8">
        <f t="shared" si="11"/>
        <v>-8.0769459478602412E-17</v>
      </c>
      <c r="AV39" s="8">
        <f t="shared" si="12"/>
        <v>1.1641532182693481E-7</v>
      </c>
    </row>
    <row r="40" spans="2:48" x14ac:dyDescent="0.2">
      <c r="B40" s="20" t="s">
        <v>9</v>
      </c>
      <c r="C40" s="33">
        <v>0.85</v>
      </c>
      <c r="F40" t="s">
        <v>133</v>
      </c>
      <c r="G40" s="20">
        <f>$C$17*G39</f>
        <v>108.81940466704353</v>
      </c>
      <c r="H40" t="s">
        <v>162</v>
      </c>
      <c r="J40" s="27" t="s">
        <v>74</v>
      </c>
      <c r="K40" s="20">
        <f>ROUND(K13/$C$5 * 100, 2)</f>
        <v>36</v>
      </c>
      <c r="L40" s="20" t="s">
        <v>82</v>
      </c>
      <c r="AB40" s="8">
        <v>1</v>
      </c>
      <c r="AC40" s="8">
        <f>IF(AI39&gt;0, AG39, AC39)</f>
        <v>0</v>
      </c>
      <c r="AD40" s="8">
        <f t="shared" si="15"/>
        <v>5.2176429068067076E-2</v>
      </c>
      <c r="AE40" s="8">
        <f>IF(AJ39&gt;0, AG39, AE39)</f>
        <v>0.5</v>
      </c>
      <c r="AF40" s="8">
        <f t="shared" ref="AF40:AF69" si="17" xml:space="preserve"> $C$10 * TAN($O$18/180*PI()) + $O$21 / (2 * SQRT($C$10^2 + AE40^2)) - AE40</f>
        <v>-0.45857627756092906</v>
      </c>
      <c r="AG40" s="8">
        <f t="shared" ref="AG40:AG69" si="18" xml:space="preserve"> (AC40 + AE40)/2</f>
        <v>0.25</v>
      </c>
      <c r="AH40" s="8">
        <f t="shared" si="16"/>
        <v>-0.20295689079719623</v>
      </c>
      <c r="AI40" s="8">
        <f t="shared" ref="AI40:AI69" si="19">AD40*AH40</f>
        <v>-1.0589565816555345E-2</v>
      </c>
      <c r="AJ40" s="8">
        <f t="shared" ref="AJ40:AJ69" si="20">AF40*AH40</f>
        <v>9.307121548711822E-2</v>
      </c>
      <c r="AK40" s="8">
        <f t="shared" ref="AK40:AK69" si="21">AE40-AC40</f>
        <v>0.5</v>
      </c>
      <c r="AM40" s="8">
        <v>36</v>
      </c>
      <c r="AN40" s="8">
        <f t="shared" si="13"/>
        <v>1286.0205519828014</v>
      </c>
      <c r="AO40" s="20">
        <v>-2.0686456991825253E-8</v>
      </c>
      <c r="AP40" s="8">
        <f t="shared" si="14"/>
        <v>1286.0205520410091</v>
      </c>
      <c r="AQ40" s="20">
        <v>3.9044607547111809E-9</v>
      </c>
      <c r="AR40" s="8">
        <f t="shared" si="9"/>
        <v>1286.0205520119052</v>
      </c>
      <c r="AS40" s="20">
        <v>-8.3905433712061495E-9</v>
      </c>
      <c r="AT40" s="8">
        <f t="shared" si="10"/>
        <v>1.7357061458650048E-16</v>
      </c>
      <c r="AU40" s="8">
        <f t="shared" si="11"/>
        <v>-3.2760547303576459E-17</v>
      </c>
      <c r="AV40" s="8">
        <f t="shared" si="12"/>
        <v>5.8207660913467407E-8</v>
      </c>
    </row>
    <row r="41" spans="2:48" x14ac:dyDescent="0.2">
      <c r="B41" s="20" t="s">
        <v>10</v>
      </c>
      <c r="C41" s="33">
        <v>0.8</v>
      </c>
      <c r="F41" t="s">
        <v>132</v>
      </c>
      <c r="G41" s="20">
        <f>$G$35/$G$34</f>
        <v>200</v>
      </c>
      <c r="H41" t="s">
        <v>22</v>
      </c>
      <c r="J41" s="35" t="s">
        <v>108</v>
      </c>
      <c r="K41" s="20">
        <f>ROUND(SUM(K14:K17)/$C$5 * 100, 2)</f>
        <v>17.41</v>
      </c>
      <c r="L41" s="20" t="s">
        <v>82</v>
      </c>
      <c r="AB41" s="8">
        <v>2</v>
      </c>
      <c r="AC41" s="8">
        <f t="shared" ref="AC41:AC69" si="22">IF(AI40&gt;0, AG40, AC40)</f>
        <v>0</v>
      </c>
      <c r="AD41" s="8">
        <f t="shared" si="15"/>
        <v>5.2176429068067076E-2</v>
      </c>
      <c r="AE41" s="8">
        <f t="shared" ref="AE41:AE69" si="23">IF(AJ40&gt;0, AG40, AE40)</f>
        <v>0.25</v>
      </c>
      <c r="AF41" s="8">
        <f t="shared" si="17"/>
        <v>-0.20295689079719623</v>
      </c>
      <c r="AG41" s="8">
        <f t="shared" si="18"/>
        <v>0.125</v>
      </c>
      <c r="AH41" s="8">
        <f t="shared" si="16"/>
        <v>-7.4527224995517699E-2</v>
      </c>
      <c r="AI41" s="8">
        <f t="shared" si="19"/>
        <v>-3.8885644686185048E-3</v>
      </c>
      <c r="AJ41" s="8">
        <f t="shared" si="20"/>
        <v>1.512581386483336E-2</v>
      </c>
      <c r="AK41" s="8">
        <f t="shared" si="21"/>
        <v>0.25</v>
      </c>
      <c r="AM41" s="8">
        <v>37</v>
      </c>
      <c r="AN41" s="8">
        <f t="shared" si="13"/>
        <v>1286.0205520119052</v>
      </c>
      <c r="AO41" s="20">
        <v>-8.3905433712061495E-9</v>
      </c>
      <c r="AP41" s="8">
        <f t="shared" si="14"/>
        <v>1286.0205520410091</v>
      </c>
      <c r="AQ41" s="20">
        <v>3.9044607547111809E-9</v>
      </c>
      <c r="AR41" s="8">
        <f t="shared" si="9"/>
        <v>1286.0205520264572</v>
      </c>
      <c r="AS41" s="20">
        <v>-2.2433823687606491E-9</v>
      </c>
      <c r="AT41" s="8">
        <f t="shared" si="10"/>
        <v>1.8823197063285414E-17</v>
      </c>
      <c r="AU41" s="8">
        <f t="shared" si="11"/>
        <v>-8.7591984166369608E-18</v>
      </c>
      <c r="AV41" s="8">
        <f t="shared" si="12"/>
        <v>2.9103830456733704E-8</v>
      </c>
    </row>
    <row r="42" spans="2:48" x14ac:dyDescent="0.2">
      <c r="F42" t="s">
        <v>214</v>
      </c>
      <c r="G42" s="24">
        <f>W20*$C$6</f>
        <v>166.63754634528416</v>
      </c>
      <c r="H42" s="20" t="s">
        <v>16</v>
      </c>
      <c r="J42" s="36" t="s">
        <v>95</v>
      </c>
      <c r="K42" s="20">
        <f>ROUND(SUM(K18:K22)/$C$5 * 100, 2)</f>
        <v>10.79</v>
      </c>
      <c r="L42" s="20" t="s">
        <v>82</v>
      </c>
      <c r="AB42" s="8">
        <v>3</v>
      </c>
      <c r="AC42" s="8">
        <f t="shared" si="22"/>
        <v>0</v>
      </c>
      <c r="AD42" s="8">
        <f t="shared" si="15"/>
        <v>5.2176429068067076E-2</v>
      </c>
      <c r="AE42" s="8">
        <f t="shared" si="23"/>
        <v>0.125</v>
      </c>
      <c r="AF42" s="8">
        <f t="shared" si="17"/>
        <v>-7.4527224995517699E-2</v>
      </c>
      <c r="AG42" s="8">
        <f t="shared" si="18"/>
        <v>6.25E-2</v>
      </c>
      <c r="AH42" s="8">
        <f t="shared" si="16"/>
        <v>-1.0789102145208299E-2</v>
      </c>
      <c r="AI42" s="8">
        <f t="shared" si="19"/>
        <v>-5.6293682278759109E-4</v>
      </c>
      <c r="AJ42" s="8">
        <f t="shared" si="20"/>
        <v>8.0408184307556151E-4</v>
      </c>
      <c r="AK42" s="8">
        <f t="shared" si="21"/>
        <v>0.125</v>
      </c>
      <c r="AM42" s="8">
        <v>38</v>
      </c>
      <c r="AN42" s="8">
        <f t="shared" si="13"/>
        <v>1286.0205520264572</v>
      </c>
      <c r="AO42" s="20">
        <v>-2.2433823687606491E-9</v>
      </c>
      <c r="AP42" s="8">
        <f t="shared" si="14"/>
        <v>1286.0205520410091</v>
      </c>
      <c r="AQ42" s="20">
        <v>3.9044607547111809E-9</v>
      </c>
      <c r="AR42" s="8">
        <f t="shared" si="9"/>
        <v>1286.0205520337331</v>
      </c>
      <c r="AS42" s="20">
        <v>8.3150553109589964E-10</v>
      </c>
      <c r="AT42" s="8">
        <f t="shared" si="10"/>
        <v>-1.8653848479875009E-18</v>
      </c>
      <c r="AU42" s="8">
        <f t="shared" si="11"/>
        <v>3.2465807134892176E-18</v>
      </c>
      <c r="AV42" s="8">
        <f t="shared" si="12"/>
        <v>1.4551915228366852E-8</v>
      </c>
    </row>
    <row r="43" spans="2:48" x14ac:dyDescent="0.2">
      <c r="B43" s="58" t="s">
        <v>97</v>
      </c>
      <c r="C43" s="62"/>
      <c r="D43" s="62"/>
      <c r="F43" s="20" t="s">
        <v>217</v>
      </c>
      <c r="G43" s="20">
        <f>G42/$C$45</f>
        <v>0.48951149871123617</v>
      </c>
      <c r="H43" s="20" t="s">
        <v>215</v>
      </c>
      <c r="J43" s="31" t="s">
        <v>96</v>
      </c>
      <c r="K43" s="20">
        <f>ROUND(SUM(K23:K26)/$C$5*100, 2)</f>
        <v>4.7</v>
      </c>
      <c r="L43" s="20" t="s">
        <v>82</v>
      </c>
      <c r="AB43" s="8">
        <v>4</v>
      </c>
      <c r="AC43" s="8">
        <f t="shared" si="22"/>
        <v>0</v>
      </c>
      <c r="AD43" s="8">
        <f t="shared" si="15"/>
        <v>5.2176429068067076E-2</v>
      </c>
      <c r="AE43" s="8">
        <f t="shared" si="23"/>
        <v>6.25E-2</v>
      </c>
      <c r="AF43" s="8">
        <f t="shared" si="17"/>
        <v>-1.0789102145208299E-2</v>
      </c>
      <c r="AG43" s="8">
        <f t="shared" si="18"/>
        <v>3.125E-2</v>
      </c>
      <c r="AH43" s="8">
        <f t="shared" si="16"/>
        <v>2.0807240263763967E-2</v>
      </c>
      <c r="AI43" s="8">
        <f t="shared" si="19"/>
        <v>1.08564749572451E-3</v>
      </c>
      <c r="AJ43" s="8">
        <f t="shared" si="20"/>
        <v>-2.2449144056564029E-4</v>
      </c>
      <c r="AK43" s="8">
        <f t="shared" si="21"/>
        <v>6.25E-2</v>
      </c>
      <c r="AM43" s="8">
        <v>39</v>
      </c>
      <c r="AN43" s="8">
        <f t="shared" si="13"/>
        <v>1286.0205520264572</v>
      </c>
      <c r="AO43" s="20">
        <v>-2.2433823687606491E-9</v>
      </c>
      <c r="AP43" s="8">
        <f t="shared" si="14"/>
        <v>1286.0205520337331</v>
      </c>
      <c r="AQ43" s="20">
        <v>8.3150553109589964E-10</v>
      </c>
      <c r="AR43" s="8">
        <f t="shared" si="9"/>
        <v>1286.0205520300951</v>
      </c>
      <c r="AS43" s="20">
        <v>-7.056542017380707E-10</v>
      </c>
      <c r="AT43" s="8">
        <f t="shared" si="10"/>
        <v>1.583052194621058E-18</v>
      </c>
      <c r="AU43" s="8">
        <f t="shared" si="11"/>
        <v>-5.8675537178626758E-19</v>
      </c>
      <c r="AV43" s="8">
        <f t="shared" si="12"/>
        <v>7.2759576141834259E-9</v>
      </c>
    </row>
    <row r="44" spans="2:48" x14ac:dyDescent="0.2">
      <c r="B44" s="20" t="s">
        <v>23</v>
      </c>
      <c r="C44" s="33">
        <v>1.2250000000000001</v>
      </c>
      <c r="D44" s="20" t="s">
        <v>24</v>
      </c>
      <c r="J44" s="26" t="s">
        <v>83</v>
      </c>
      <c r="K44" s="26">
        <f>SUM(K39:K43)</f>
        <v>99.999999999999986</v>
      </c>
      <c r="L44" s="26" t="s">
        <v>82</v>
      </c>
      <c r="AB44" s="8">
        <v>5</v>
      </c>
      <c r="AC44" s="8">
        <f t="shared" si="22"/>
        <v>3.125E-2</v>
      </c>
      <c r="AD44" s="8">
        <f t="shared" si="15"/>
        <v>2.0807240263763967E-2</v>
      </c>
      <c r="AE44" s="8">
        <f t="shared" si="23"/>
        <v>6.25E-2</v>
      </c>
      <c r="AF44" s="8">
        <f t="shared" si="17"/>
        <v>-1.0789102145208299E-2</v>
      </c>
      <c r="AG44" s="8">
        <f t="shared" si="18"/>
        <v>4.6875E-2</v>
      </c>
      <c r="AH44" s="8">
        <f t="shared" si="16"/>
        <v>5.0359255516843893E-3</v>
      </c>
      <c r="AI44" s="8">
        <f t="shared" si="19"/>
        <v>1.0478371290432519E-4</v>
      </c>
      <c r="AJ44" s="8">
        <f t="shared" si="20"/>
        <v>-5.4333115172787326E-5</v>
      </c>
      <c r="AK44" s="8">
        <f t="shared" si="21"/>
        <v>3.125E-2</v>
      </c>
      <c r="AM44" s="8">
        <v>40</v>
      </c>
      <c r="AN44" s="8">
        <f t="shared" si="13"/>
        <v>1286.0205520300951</v>
      </c>
      <c r="AO44" s="20">
        <v>-7.056542017380707E-10</v>
      </c>
      <c r="AP44" s="8">
        <f t="shared" si="14"/>
        <v>1286.0205520337331</v>
      </c>
      <c r="AQ44" s="20">
        <v>8.3150553109589964E-10</v>
      </c>
      <c r="AR44" s="11">
        <f>(AN44+AP44)/2</f>
        <v>1286.0205520319141</v>
      </c>
      <c r="AS44" s="20">
        <v>6.1959326558280736E-11</v>
      </c>
      <c r="AT44" s="8">
        <f t="shared" si="10"/>
        <v>-4.3721859122712036E-20</v>
      </c>
      <c r="AU44" s="8">
        <f t="shared" si="11"/>
        <v>5.1519522736187503E-20</v>
      </c>
      <c r="AV44" s="8">
        <f t="shared" si="12"/>
        <v>3.637978807091713E-9</v>
      </c>
    </row>
    <row r="45" spans="2:48" x14ac:dyDescent="0.2">
      <c r="B45" s="20" t="s">
        <v>216</v>
      </c>
      <c r="C45" s="33">
        <v>340.416</v>
      </c>
      <c r="D45" s="20" t="s">
        <v>16</v>
      </c>
      <c r="F45" s="59" t="s">
        <v>111</v>
      </c>
      <c r="G45" s="60"/>
      <c r="H45" s="60"/>
      <c r="AB45" s="8">
        <v>6</v>
      </c>
      <c r="AC45" s="8">
        <f t="shared" si="22"/>
        <v>4.6875E-2</v>
      </c>
      <c r="AD45" s="8">
        <f t="shared" si="15"/>
        <v>5.0359255516843893E-3</v>
      </c>
      <c r="AE45" s="8">
        <f t="shared" si="23"/>
        <v>6.25E-2</v>
      </c>
      <c r="AF45" s="8">
        <f t="shared" si="17"/>
        <v>-1.0789102145208299E-2</v>
      </c>
      <c r="AG45" s="8">
        <f t="shared" si="18"/>
        <v>5.46875E-2</v>
      </c>
      <c r="AH45" s="8">
        <f t="shared" si="16"/>
        <v>-2.8701301355761183E-3</v>
      </c>
      <c r="AI45" s="8">
        <f t="shared" si="19"/>
        <v>-1.4453761686407154E-5</v>
      </c>
      <c r="AJ45" s="8">
        <f t="shared" si="20"/>
        <v>3.096612720277128E-5</v>
      </c>
      <c r="AK45" s="8">
        <f t="shared" si="21"/>
        <v>1.5625E-2</v>
      </c>
    </row>
    <row r="46" spans="2:48" x14ac:dyDescent="0.2">
      <c r="B46" s="20" t="s">
        <v>25</v>
      </c>
      <c r="C46" s="1">
        <v>9.8066499999999994</v>
      </c>
      <c r="D46" s="20" t="s">
        <v>26</v>
      </c>
      <c r="F46" t="s">
        <v>117</v>
      </c>
      <c r="G46" s="1">
        <v>1.524</v>
      </c>
      <c r="H46" t="s">
        <v>16</v>
      </c>
      <c r="J46" s="20" t="s">
        <v>227</v>
      </c>
      <c r="K46" s="20">
        <f xml:space="preserve"> $C$17 * $C$47 * 0.0024419 * C23 * $C$18^0.53479 * ($C$6*3.28084)^1.74231 * ($C$7*3.28084)^0.77291 * (G9*3.28084)^0.87562 * $C$24^2.51048 * 0.453592</f>
        <v>16.873997507055225</v>
      </c>
      <c r="AB46" s="8">
        <v>7</v>
      </c>
      <c r="AC46" s="8">
        <f t="shared" si="22"/>
        <v>4.6875E-2</v>
      </c>
      <c r="AD46" s="8">
        <f t="shared" si="15"/>
        <v>5.0359255516843893E-3</v>
      </c>
      <c r="AE46" s="8">
        <f t="shared" si="23"/>
        <v>5.46875E-2</v>
      </c>
      <c r="AF46" s="8">
        <f t="shared" si="17"/>
        <v>-2.8701301355761183E-3</v>
      </c>
      <c r="AG46" s="8">
        <f t="shared" si="18"/>
        <v>5.078125E-2</v>
      </c>
      <c r="AH46" s="8">
        <f t="shared" si="16"/>
        <v>1.0845467389773641E-3</v>
      </c>
      <c r="AI46" s="8">
        <f t="shared" si="19"/>
        <v>5.4616966348120878E-6</v>
      </c>
      <c r="AJ46" s="8">
        <f t="shared" si="20"/>
        <v>-3.112790278979739E-6</v>
      </c>
      <c r="AK46" s="8">
        <f t="shared" si="21"/>
        <v>7.8125E-3</v>
      </c>
    </row>
    <row r="47" spans="2:48" x14ac:dyDescent="0.2">
      <c r="B47" s="20" t="s">
        <v>105</v>
      </c>
      <c r="C47" s="33">
        <v>0.8</v>
      </c>
      <c r="F47" t="s">
        <v>123</v>
      </c>
      <c r="G47" s="1">
        <v>152.4</v>
      </c>
      <c r="H47" t="s">
        <v>14</v>
      </c>
      <c r="J47" s="20" t="s">
        <v>228</v>
      </c>
      <c r="K47" s="20">
        <f xml:space="preserve"> $C$17 * 0.0061182 * $C$18^0.20373 * ($C$6*3.28084)^0.60406 * ($G$9*3.28084)^0.52803 * $C$25^1.00218 * (K46/$C$17)^0.87127 * 0.453592</f>
        <v>3.9829855836566064</v>
      </c>
      <c r="AB47" s="8">
        <v>8</v>
      </c>
      <c r="AC47" s="8">
        <f t="shared" si="22"/>
        <v>5.078125E-2</v>
      </c>
      <c r="AD47" s="8">
        <f t="shared" si="15"/>
        <v>1.0845467389773641E-3</v>
      </c>
      <c r="AE47" s="8">
        <f t="shared" si="23"/>
        <v>5.46875E-2</v>
      </c>
      <c r="AF47" s="8">
        <f t="shared" si="17"/>
        <v>-2.8701301355761183E-3</v>
      </c>
      <c r="AG47" s="8">
        <f t="shared" si="18"/>
        <v>5.2734375E-2</v>
      </c>
      <c r="AH47" s="8">
        <f t="shared" si="16"/>
        <v>-8.9238360652245385E-4</v>
      </c>
      <c r="AI47" s="8">
        <f t="shared" si="19"/>
        <v>-9.6783173037078654E-7</v>
      </c>
      <c r="AJ47" s="8">
        <f t="shared" si="20"/>
        <v>2.561257081574196E-6</v>
      </c>
      <c r="AK47" s="8">
        <f t="shared" si="21"/>
        <v>3.90625E-3</v>
      </c>
    </row>
    <row r="48" spans="2:48" x14ac:dyDescent="0.2">
      <c r="F48" t="s">
        <v>115</v>
      </c>
      <c r="G48" s="20">
        <f xml:space="preserve"> 1/1000 * IF($G$46&gt;= 2*SQRT(($C$5*$C$46)/(2*$C$44*$C$17*PI()*$C$6*$C$6)), ($C$5*$C$46)/$C$20 * ( ($G$46/2) - SQRT( ($G$46/2)^2 - ($C$5*$C$46)/(2*$C$44*$C$17*PI()*$C$6*$C$6 ) ) ), 1/$C$20 * SQRT(($C$5*$C$46)^3/(2*$C$44*$C$17*PI()*$C$6*$C$6)) )</f>
        <v>226.88844594044485</v>
      </c>
      <c r="H48" t="s">
        <v>162</v>
      </c>
      <c r="AB48" s="8">
        <v>9</v>
      </c>
      <c r="AC48" s="8">
        <f t="shared" si="22"/>
        <v>5.078125E-2</v>
      </c>
      <c r="AD48" s="8">
        <f t="shared" si="15"/>
        <v>1.0845467389773641E-3</v>
      </c>
      <c r="AE48" s="8">
        <f t="shared" si="23"/>
        <v>5.2734375E-2</v>
      </c>
      <c r="AF48" s="8">
        <f t="shared" si="17"/>
        <v>-8.9238360652245385E-4</v>
      </c>
      <c r="AG48" s="8">
        <f t="shared" si="18"/>
        <v>5.17578125E-2</v>
      </c>
      <c r="AH48" s="8">
        <f t="shared" si="16"/>
        <v>9.618411934499832E-5</v>
      </c>
      <c r="AI48" s="8">
        <f t="shared" si="19"/>
        <v>1.0431617297702754E-7</v>
      </c>
      <c r="AJ48" s="8">
        <f t="shared" si="20"/>
        <v>-8.5833131311275725E-8</v>
      </c>
      <c r="AK48" s="8">
        <f t="shared" si="21"/>
        <v>1.953125E-3</v>
      </c>
    </row>
    <row r="49" spans="2:39" x14ac:dyDescent="0.2">
      <c r="B49" s="58" t="s">
        <v>27</v>
      </c>
      <c r="C49" s="58"/>
      <c r="D49" s="58"/>
      <c r="F49" t="s">
        <v>30</v>
      </c>
      <c r="G49" s="20">
        <f xml:space="preserve"> $C$5 * $C$46 / $C$17</f>
        <v>3152.8883616459425</v>
      </c>
      <c r="H49" t="s">
        <v>31</v>
      </c>
      <c r="AB49" s="8">
        <v>10</v>
      </c>
      <c r="AC49" s="8">
        <f t="shared" si="22"/>
        <v>5.17578125E-2</v>
      </c>
      <c r="AD49" s="8">
        <f t="shared" si="15"/>
        <v>9.618411934499832E-5</v>
      </c>
      <c r="AE49" s="8">
        <f t="shared" si="23"/>
        <v>5.2734375E-2</v>
      </c>
      <c r="AF49" s="8">
        <f t="shared" si="17"/>
        <v>-8.9238360652245385E-4</v>
      </c>
      <c r="AG49" s="8">
        <f t="shared" si="18"/>
        <v>5.224609375E-2</v>
      </c>
      <c r="AH49" s="8">
        <f t="shared" si="16"/>
        <v>-3.9807417100225229E-4</v>
      </c>
      <c r="AI49" s="8">
        <f t="shared" si="19"/>
        <v>-3.8288413571841903E-8</v>
      </c>
      <c r="AJ49" s="8">
        <f t="shared" si="20"/>
        <v>3.552348643824259E-7</v>
      </c>
      <c r="AK49" s="8">
        <f t="shared" si="21"/>
        <v>9.765625E-4</v>
      </c>
    </row>
    <row r="50" spans="2:39" x14ac:dyDescent="0.2">
      <c r="B50" s="20" t="s">
        <v>28</v>
      </c>
      <c r="C50" s="33">
        <v>30</v>
      </c>
      <c r="F50" t="s">
        <v>122</v>
      </c>
      <c r="G50" s="24">
        <f>$G$47/$G$46</f>
        <v>100</v>
      </c>
      <c r="H50" t="s">
        <v>22</v>
      </c>
      <c r="AB50" s="8">
        <v>11</v>
      </c>
      <c r="AC50" s="8">
        <f t="shared" si="22"/>
        <v>5.17578125E-2</v>
      </c>
      <c r="AD50" s="8">
        <f t="shared" si="15"/>
        <v>9.618411934499832E-5</v>
      </c>
      <c r="AE50" s="8">
        <f t="shared" si="23"/>
        <v>5.224609375E-2</v>
      </c>
      <c r="AF50" s="8">
        <f t="shared" si="17"/>
        <v>-3.9807417100225229E-4</v>
      </c>
      <c r="AG50" s="8">
        <f t="shared" si="18"/>
        <v>5.2001953125E-2</v>
      </c>
      <c r="AH50" s="8">
        <f t="shared" si="16"/>
        <v>-1.5093862443388978E-4</v>
      </c>
      <c r="AI50" s="8">
        <f t="shared" si="19"/>
        <v>-1.4517898666319133E-8</v>
      </c>
      <c r="AJ50" s="8">
        <f t="shared" si="20"/>
        <v>6.008476779374097E-8</v>
      </c>
      <c r="AK50" s="8">
        <f t="shared" si="21"/>
        <v>4.8828125E-4</v>
      </c>
    </row>
    <row r="51" spans="2:39" x14ac:dyDescent="0.2">
      <c r="F51" t="s">
        <v>214</v>
      </c>
      <c r="G51" s="24">
        <f>$C$9*2*PI()*$C$6/60 * $C$6</f>
        <v>169.64600329384885</v>
      </c>
      <c r="H51" s="20" t="s">
        <v>16</v>
      </c>
      <c r="AB51" s="8">
        <v>12</v>
      </c>
      <c r="AC51" s="8">
        <f t="shared" si="22"/>
        <v>5.17578125E-2</v>
      </c>
      <c r="AD51" s="8">
        <f t="shared" si="15"/>
        <v>9.618411934499832E-5</v>
      </c>
      <c r="AE51" s="8">
        <f t="shared" si="23"/>
        <v>5.2001953125E-2</v>
      </c>
      <c r="AF51" s="8">
        <f t="shared" si="17"/>
        <v>-1.5093862443388978E-4</v>
      </c>
      <c r="AG51" s="8">
        <f t="shared" si="18"/>
        <v>5.18798828125E-2</v>
      </c>
      <c r="AH51" s="8">
        <f t="shared" si="16"/>
        <v>-2.7375651167928228E-5</v>
      </c>
      <c r="AI51" s="8">
        <f t="shared" si="19"/>
        <v>-2.6331028990830513E-9</v>
      </c>
      <c r="AJ51" s="8">
        <f t="shared" si="20"/>
        <v>4.1320431302690945E-9</v>
      </c>
      <c r="AK51" s="8">
        <f t="shared" si="21"/>
        <v>2.44140625E-4</v>
      </c>
    </row>
    <row r="52" spans="2:39" x14ac:dyDescent="0.2">
      <c r="B52"/>
      <c r="C52"/>
      <c r="D52"/>
      <c r="F52" s="20" t="s">
        <v>217</v>
      </c>
      <c r="G52" s="20">
        <f>G51/$C$45</f>
        <v>0.49834908845015763</v>
      </c>
      <c r="H52" s="20" t="s">
        <v>215</v>
      </c>
      <c r="AB52" s="8">
        <v>13</v>
      </c>
      <c r="AC52" s="8">
        <f t="shared" si="22"/>
        <v>5.17578125E-2</v>
      </c>
      <c r="AD52" s="8">
        <f t="shared" si="15"/>
        <v>9.618411934499832E-5</v>
      </c>
      <c r="AE52" s="8">
        <f t="shared" si="23"/>
        <v>5.18798828125E-2</v>
      </c>
      <c r="AF52" s="8">
        <f t="shared" si="17"/>
        <v>-2.7375651167928228E-5</v>
      </c>
      <c r="AG52" s="8">
        <f t="shared" si="18"/>
        <v>5.181884765625E-2</v>
      </c>
      <c r="AH52" s="8">
        <f t="shared" si="16"/>
        <v>3.4404634560947223E-5</v>
      </c>
      <c r="AI52" s="8">
        <f t="shared" si="19"/>
        <v>3.3091794766312016E-9</v>
      </c>
      <c r="AJ52" s="8">
        <f t="shared" si="20"/>
        <v>-9.4184927430053875E-10</v>
      </c>
      <c r="AK52" s="8">
        <f t="shared" si="21"/>
        <v>1.220703125E-4</v>
      </c>
    </row>
    <row r="53" spans="2:39" x14ac:dyDescent="0.2">
      <c r="AB53" s="8">
        <v>14</v>
      </c>
      <c r="AC53" s="8">
        <f t="shared" si="22"/>
        <v>5.181884765625E-2</v>
      </c>
      <c r="AD53" s="8">
        <f t="shared" si="15"/>
        <v>3.4404634560947223E-5</v>
      </c>
      <c r="AE53" s="8">
        <f t="shared" si="23"/>
        <v>5.18798828125E-2</v>
      </c>
      <c r="AF53" s="8">
        <f t="shared" si="17"/>
        <v>-2.7375651167928228E-5</v>
      </c>
      <c r="AG53" s="8">
        <f t="shared" si="18"/>
        <v>5.1849365234375E-2</v>
      </c>
      <c r="AH53" s="8">
        <f t="shared" si="16"/>
        <v>3.5145917985784925E-6</v>
      </c>
      <c r="AI53" s="8">
        <f t="shared" si="19"/>
        <v>1.2091824646099527E-10</v>
      </c>
      <c r="AJ53" s="8">
        <f t="shared" si="20"/>
        <v>-9.6214239075546283E-11</v>
      </c>
      <c r="AK53" s="8">
        <f t="shared" si="21"/>
        <v>6.103515625E-5</v>
      </c>
    </row>
    <row r="54" spans="2:39" x14ac:dyDescent="0.2">
      <c r="AB54" s="8">
        <v>15</v>
      </c>
      <c r="AC54" s="8">
        <f t="shared" si="22"/>
        <v>5.1849365234375E-2</v>
      </c>
      <c r="AD54" s="8">
        <f t="shared" si="15"/>
        <v>3.5145917985784925E-6</v>
      </c>
      <c r="AE54" s="8">
        <f t="shared" si="23"/>
        <v>5.18798828125E-2</v>
      </c>
      <c r="AF54" s="8">
        <f t="shared" si="17"/>
        <v>-2.7375651167928228E-5</v>
      </c>
      <c r="AG54" s="8">
        <f t="shared" si="18"/>
        <v>5.18646240234375E-2</v>
      </c>
      <c r="AH54" s="8">
        <f t="shared" si="16"/>
        <v>-1.1930504661153418E-5</v>
      </c>
      <c r="AI54" s="8">
        <f t="shared" si="19"/>
        <v>-4.1930853834992279E-11</v>
      </c>
      <c r="AJ54" s="8">
        <f t="shared" si="20"/>
        <v>3.2660533386107774E-10</v>
      </c>
      <c r="AK54" s="8">
        <f t="shared" si="21"/>
        <v>3.0517578125E-5</v>
      </c>
    </row>
    <row r="55" spans="2:39" x14ac:dyDescent="0.2">
      <c r="AB55" s="8">
        <v>16</v>
      </c>
      <c r="AC55" s="8">
        <f t="shared" si="22"/>
        <v>5.1849365234375E-2</v>
      </c>
      <c r="AD55" s="8">
        <f t="shared" si="15"/>
        <v>3.5145917985784925E-6</v>
      </c>
      <c r="AE55" s="8">
        <f t="shared" si="23"/>
        <v>5.18646240234375E-2</v>
      </c>
      <c r="AF55" s="8">
        <f t="shared" si="17"/>
        <v>-1.1930504661153418E-5</v>
      </c>
      <c r="AG55" s="8">
        <f t="shared" si="18"/>
        <v>5.185699462890625E-2</v>
      </c>
      <c r="AH55" s="8">
        <f t="shared" si="16"/>
        <v>-4.2079501751529635E-6</v>
      </c>
      <c r="AI55" s="8">
        <f t="shared" si="19"/>
        <v>-1.4789227174419538E-11</v>
      </c>
      <c r="AJ55" s="8">
        <f t="shared" si="20"/>
        <v>5.0202969178563776E-11</v>
      </c>
      <c r="AK55" s="8">
        <f t="shared" si="21"/>
        <v>1.52587890625E-5</v>
      </c>
      <c r="AM55" s="8"/>
    </row>
    <row r="56" spans="2:39" x14ac:dyDescent="0.2">
      <c r="F56" s="25"/>
      <c r="AB56" s="8">
        <v>17</v>
      </c>
      <c r="AC56" s="8">
        <f t="shared" si="22"/>
        <v>5.1849365234375E-2</v>
      </c>
      <c r="AD56" s="8">
        <f t="shared" si="15"/>
        <v>3.5145917985784925E-6</v>
      </c>
      <c r="AE56" s="8">
        <f t="shared" si="23"/>
        <v>5.185699462890625E-2</v>
      </c>
      <c r="AF56" s="8">
        <f t="shared" si="17"/>
        <v>-4.2079501751529635E-6</v>
      </c>
      <c r="AG56" s="8">
        <f t="shared" si="18"/>
        <v>5.1853179931640625E-2</v>
      </c>
      <c r="AH56" s="8">
        <f t="shared" si="16"/>
        <v>-3.4667762422585513E-7</v>
      </c>
      <c r="AI56" s="8">
        <f t="shared" si="19"/>
        <v>-1.2184303348548669E-12</v>
      </c>
      <c r="AJ56" s="8">
        <f t="shared" si="20"/>
        <v>1.4588021695828003E-12</v>
      </c>
      <c r="AK56" s="8">
        <f t="shared" si="21"/>
        <v>7.62939453125E-6</v>
      </c>
      <c r="AM56" s="8"/>
    </row>
    <row r="57" spans="2:39" x14ac:dyDescent="0.2">
      <c r="AB57" s="8">
        <v>18</v>
      </c>
      <c r="AC57" s="8">
        <f t="shared" si="22"/>
        <v>5.1849365234375E-2</v>
      </c>
      <c r="AD57" s="8">
        <f t="shared" si="15"/>
        <v>3.5145917985784925E-6</v>
      </c>
      <c r="AE57" s="8">
        <f t="shared" si="23"/>
        <v>5.1853179931640625E-2</v>
      </c>
      <c r="AF57" s="8">
        <f t="shared" si="17"/>
        <v>-3.4667762422585513E-7</v>
      </c>
      <c r="AG57" s="8">
        <f t="shared" si="18"/>
        <v>5.1851272583007812E-2</v>
      </c>
      <c r="AH57" s="8">
        <f t="shared" si="16"/>
        <v>1.5839574782003374E-6</v>
      </c>
      <c r="AI57" s="8">
        <f t="shared" si="19"/>
        <v>5.566963962179977E-12</v>
      </c>
      <c r="AJ57" s="8">
        <f t="shared" si="20"/>
        <v>-5.4912261541726971E-13</v>
      </c>
      <c r="AK57" s="8">
        <f t="shared" si="21"/>
        <v>3.814697265625E-6</v>
      </c>
      <c r="AM57" s="8"/>
    </row>
    <row r="58" spans="2:39" x14ac:dyDescent="0.2">
      <c r="AB58" s="8">
        <v>19</v>
      </c>
      <c r="AC58" s="8">
        <f t="shared" si="22"/>
        <v>5.1851272583007812E-2</v>
      </c>
      <c r="AD58" s="8">
        <f t="shared" si="15"/>
        <v>1.5839574782003374E-6</v>
      </c>
      <c r="AE58" s="8">
        <f t="shared" si="23"/>
        <v>5.1853179931640625E-2</v>
      </c>
      <c r="AF58" s="8">
        <f t="shared" si="17"/>
        <v>-3.4667762422585513E-7</v>
      </c>
      <c r="AG58" s="8">
        <f t="shared" si="18"/>
        <v>5.1852226257324219E-2</v>
      </c>
      <c r="AH58" s="8">
        <f t="shared" si="16"/>
        <v>6.1864002474237845E-7</v>
      </c>
      <c r="AI58" s="8">
        <f t="shared" si="19"/>
        <v>9.7989949350473207E-13</v>
      </c>
      <c r="AJ58" s="8">
        <f t="shared" si="20"/>
        <v>-2.1446865402871198E-13</v>
      </c>
      <c r="AK58" s="8">
        <f t="shared" si="21"/>
        <v>1.9073486328125E-6</v>
      </c>
    </row>
    <row r="59" spans="2:39" x14ac:dyDescent="0.2">
      <c r="AB59" s="8">
        <v>20</v>
      </c>
      <c r="AC59" s="8">
        <f t="shared" si="22"/>
        <v>5.1852226257324219E-2</v>
      </c>
      <c r="AD59" s="8">
        <f t="shared" si="15"/>
        <v>6.1864002474237845E-7</v>
      </c>
      <c r="AE59" s="8">
        <f t="shared" si="23"/>
        <v>5.1853179931640625E-2</v>
      </c>
      <c r="AF59" s="8">
        <f t="shared" si="17"/>
        <v>-3.4667762422585513E-7</v>
      </c>
      <c r="AG59" s="8">
        <f t="shared" si="18"/>
        <v>5.1852703094482422E-2</v>
      </c>
      <c r="AH59" s="8">
        <f t="shared" si="16"/>
        <v>1.3598122469704599E-7</v>
      </c>
      <c r="AI59" s="8">
        <f t="shared" si="19"/>
        <v>8.4123428211079451E-14</v>
      </c>
      <c r="AJ59" s="8">
        <f t="shared" si="20"/>
        <v>-4.7141647917294082E-14</v>
      </c>
      <c r="AK59" s="8">
        <f t="shared" si="21"/>
        <v>9.5367431640625E-7</v>
      </c>
    </row>
    <row r="60" spans="2:39" x14ac:dyDescent="0.2">
      <c r="AB60" s="8">
        <v>21</v>
      </c>
      <c r="AC60" s="8">
        <f t="shared" si="22"/>
        <v>5.1852703094482422E-2</v>
      </c>
      <c r="AD60" s="8">
        <f t="shared" si="15"/>
        <v>1.3598122469704599E-7</v>
      </c>
      <c r="AE60" s="8">
        <f t="shared" si="23"/>
        <v>5.1853179931640625E-2</v>
      </c>
      <c r="AF60" s="8">
        <f t="shared" si="17"/>
        <v>-3.4667762422585513E-7</v>
      </c>
      <c r="AG60" s="8">
        <f t="shared" si="18"/>
        <v>5.1852941513061523E-2</v>
      </c>
      <c r="AH60" s="8">
        <f t="shared" si="16"/>
        <v>-1.0534819365470849E-7</v>
      </c>
      <c r="AI60" s="8">
        <f t="shared" si="19"/>
        <v>-1.432537639278883E-14</v>
      </c>
      <c r="AJ60" s="8">
        <f t="shared" si="20"/>
        <v>3.6521861492699642E-14</v>
      </c>
      <c r="AK60" s="8">
        <f t="shared" si="21"/>
        <v>4.76837158203125E-7</v>
      </c>
    </row>
    <row r="61" spans="2:39" x14ac:dyDescent="0.2">
      <c r="AB61" s="8">
        <v>22</v>
      </c>
      <c r="AC61" s="8">
        <f t="shared" si="22"/>
        <v>5.1852703094482422E-2</v>
      </c>
      <c r="AD61" s="8">
        <f t="shared" si="15"/>
        <v>1.3598122469704599E-7</v>
      </c>
      <c r="AE61" s="8">
        <f t="shared" si="23"/>
        <v>5.1852941513061523E-2</v>
      </c>
      <c r="AF61" s="8">
        <f t="shared" si="17"/>
        <v>-1.0534819365470849E-7</v>
      </c>
      <c r="AG61" s="8">
        <f t="shared" si="18"/>
        <v>5.1852822303771973E-2</v>
      </c>
      <c r="AH61" s="8">
        <f t="shared" si="16"/>
        <v>1.5316517047725409E-8</v>
      </c>
      <c r="AI61" s="8">
        <f t="shared" si="19"/>
        <v>2.0827587462428841E-15</v>
      </c>
      <c r="AJ61" s="8">
        <f t="shared" si="20"/>
        <v>-1.6135674040594202E-15</v>
      </c>
      <c r="AK61" s="8">
        <f t="shared" si="21"/>
        <v>2.384185791015625E-7</v>
      </c>
    </row>
    <row r="62" spans="2:39" x14ac:dyDescent="0.2">
      <c r="AB62" s="8">
        <v>23</v>
      </c>
      <c r="AC62" s="8">
        <f t="shared" si="22"/>
        <v>5.1852822303771973E-2</v>
      </c>
      <c r="AD62" s="8">
        <f t="shared" si="15"/>
        <v>1.5316517047725409E-8</v>
      </c>
      <c r="AE62" s="8">
        <f t="shared" si="23"/>
        <v>5.1852941513061523E-2</v>
      </c>
      <c r="AF62" s="8">
        <f t="shared" si="17"/>
        <v>-1.0534819365470849E-7</v>
      </c>
      <c r="AG62" s="8">
        <f t="shared" si="18"/>
        <v>5.1852881908416748E-2</v>
      </c>
      <c r="AH62" s="8">
        <f t="shared" si="16"/>
        <v>-4.5015837918382928E-8</v>
      </c>
      <c r="AI62" s="8">
        <f t="shared" si="19"/>
        <v>-6.8948584889455595E-16</v>
      </c>
      <c r="AJ62" s="8">
        <f t="shared" si="20"/>
        <v>4.7423372105547745E-15</v>
      </c>
      <c r="AK62" s="8">
        <f t="shared" si="21"/>
        <v>1.1920928955078125E-7</v>
      </c>
    </row>
    <row r="63" spans="2:39" x14ac:dyDescent="0.2">
      <c r="AB63" s="8">
        <v>24</v>
      </c>
      <c r="AC63" s="8">
        <f t="shared" si="22"/>
        <v>5.1852822303771973E-2</v>
      </c>
      <c r="AD63" s="8">
        <f t="shared" si="15"/>
        <v>1.5316517047725409E-8</v>
      </c>
      <c r="AE63" s="8">
        <f t="shared" si="23"/>
        <v>5.1852881908416748E-2</v>
      </c>
      <c r="AF63" s="8">
        <f t="shared" si="17"/>
        <v>-4.5015837918382928E-8</v>
      </c>
      <c r="AG63" s="8">
        <f t="shared" si="18"/>
        <v>5.185285210609436E-2</v>
      </c>
      <c r="AH63" s="8">
        <f t="shared" si="16"/>
        <v>-1.4849660341653692E-8</v>
      </c>
      <c r="AI63" s="8">
        <f t="shared" si="19"/>
        <v>-2.2744507577587071E-16</v>
      </c>
      <c r="AJ63" s="8">
        <f t="shared" si="20"/>
        <v>6.6846990308292148E-16</v>
      </c>
      <c r="AK63" s="8">
        <f t="shared" si="21"/>
        <v>5.9604644775390625E-8</v>
      </c>
    </row>
    <row r="64" spans="2:39" x14ac:dyDescent="0.2">
      <c r="AB64" s="8">
        <v>25</v>
      </c>
      <c r="AC64" s="8">
        <f t="shared" si="22"/>
        <v>5.1852822303771973E-2</v>
      </c>
      <c r="AD64" s="8">
        <f t="shared" si="15"/>
        <v>1.5316517047725409E-8</v>
      </c>
      <c r="AE64" s="8">
        <f t="shared" si="23"/>
        <v>5.185285210609436E-2</v>
      </c>
      <c r="AF64" s="8">
        <f t="shared" si="17"/>
        <v>-1.4849660341653692E-8</v>
      </c>
      <c r="AG64" s="8">
        <f t="shared" si="18"/>
        <v>5.1852837204933167E-2</v>
      </c>
      <c r="AH64" s="8">
        <f t="shared" si="16"/>
        <v>2.3342837385254001E-10</v>
      </c>
      <c r="AI64" s="8">
        <f t="shared" si="19"/>
        <v>3.5753096675352489E-18</v>
      </c>
      <c r="AJ64" s="8">
        <f t="shared" si="20"/>
        <v>-3.4663320658147751E-18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5.1852837204933167E-2</v>
      </c>
      <c r="AD65" s="8">
        <f t="shared" si="15"/>
        <v>2.3342837385254001E-10</v>
      </c>
      <c r="AE65" s="8">
        <f t="shared" si="23"/>
        <v>5.185285210609436E-2</v>
      </c>
      <c r="AF65" s="8">
        <f t="shared" si="17"/>
        <v>-1.4849660341653692E-8</v>
      </c>
      <c r="AG65" s="8">
        <f t="shared" si="18"/>
        <v>5.1852844655513763E-2</v>
      </c>
      <c r="AH65" s="8">
        <f t="shared" si="16"/>
        <v>-7.3081159734922352E-9</v>
      </c>
      <c r="AI65" s="8">
        <f t="shared" si="19"/>
        <v>-1.7059216276180648E-18</v>
      </c>
      <c r="AJ65" s="8">
        <f t="shared" si="20"/>
        <v>1.0852303994377351E-16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5.1852837204933167E-2</v>
      </c>
      <c r="AD66" s="8">
        <f t="shared" si="15"/>
        <v>2.3342837385254001E-10</v>
      </c>
      <c r="AE66" s="8">
        <f t="shared" si="23"/>
        <v>5.1852844655513763E-2</v>
      </c>
      <c r="AF66" s="8">
        <f t="shared" si="17"/>
        <v>-7.3081159734922352E-9</v>
      </c>
      <c r="AG66" s="8">
        <f t="shared" si="18"/>
        <v>5.1852840930223465E-2</v>
      </c>
      <c r="AH66" s="8">
        <f t="shared" si="16"/>
        <v>-3.5373437998198476E-9</v>
      </c>
      <c r="AI66" s="8">
        <f t="shared" si="19"/>
        <v>-8.2571641094931182E-19</v>
      </c>
      <c r="AJ66" s="8">
        <f t="shared" si="20"/>
        <v>2.5851318727197147E-17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5.1852837204933167E-2</v>
      </c>
      <c r="AD67" s="8">
        <f t="shared" si="15"/>
        <v>2.3342837385254001E-10</v>
      </c>
      <c r="AE67" s="8">
        <f t="shared" si="23"/>
        <v>5.1852840930223465E-2</v>
      </c>
      <c r="AF67" s="8">
        <f t="shared" si="17"/>
        <v>-3.5373437998198476E-9</v>
      </c>
      <c r="AG67" s="8">
        <f t="shared" si="18"/>
        <v>5.1852839067578316E-2</v>
      </c>
      <c r="AH67" s="8">
        <f t="shared" si="16"/>
        <v>-1.6519577095142068E-9</v>
      </c>
      <c r="AI67" s="8">
        <f t="shared" si="19"/>
        <v>-3.8561380180506796E-19</v>
      </c>
      <c r="AJ67" s="8">
        <f t="shared" si="20"/>
        <v>5.8435423613146766E-18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5.1852837204933167E-2</v>
      </c>
      <c r="AD68" s="8">
        <f t="shared" si="15"/>
        <v>2.3342837385254001E-10</v>
      </c>
      <c r="AE68" s="8">
        <f t="shared" si="23"/>
        <v>5.1852839067578316E-2</v>
      </c>
      <c r="AF68" s="8">
        <f t="shared" si="17"/>
        <v>-1.6519577095142068E-9</v>
      </c>
      <c r="AG68" s="8">
        <f t="shared" si="18"/>
        <v>5.1852838136255741E-2</v>
      </c>
      <c r="AH68" s="8">
        <f t="shared" si="16"/>
        <v>-7.0926466089193951E-10</v>
      </c>
      <c r="AI68" s="8">
        <f t="shared" si="19"/>
        <v>-1.6556249642307867E-19</v>
      </c>
      <c r="AJ68" s="8">
        <f t="shared" si="20"/>
        <v>1.171675224646419E-18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5.1852837204933167E-2</v>
      </c>
      <c r="AD69" s="8">
        <f t="shared" si="15"/>
        <v>2.3342837385254001E-10</v>
      </c>
      <c r="AE69" s="8">
        <f t="shared" si="23"/>
        <v>5.1852838136255741E-2</v>
      </c>
      <c r="AF69" s="8">
        <f t="shared" si="17"/>
        <v>-7.0926466089193951E-10</v>
      </c>
      <c r="AG69" s="8">
        <f t="shared" si="18"/>
        <v>5.1852837670594454E-2</v>
      </c>
      <c r="AH69" s="8">
        <f t="shared" si="16"/>
        <v>-2.3791814351969975E-10</v>
      </c>
      <c r="AI69" s="8">
        <f t="shared" si="19"/>
        <v>-5.5536845351818742E-20</v>
      </c>
      <c r="AJ69" s="8">
        <f t="shared" si="20"/>
        <v>1.6874693138353964E-19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t="shared" ref="AD74:AD104" si="24" xml:space="preserve"> $C$10 * TAN($W$18/180*PI()) + $W$21 / (2 * SQRT($C$10^2 + AC74^2)) - AC74</f>
        <v>2.7457037398626646E-2</v>
      </c>
      <c r="AE74" s="9">
        <v>1</v>
      </c>
      <c r="AF74" s="8">
        <f t="shared" ref="AF74:AF104" si="25" xml:space="preserve"> $C$10 * TAN($W$18/180*PI()) + $W$21 / (2 * SQRT($C$10^2 + AE74^2)) - AE74</f>
        <v>-0.98811318351030764</v>
      </c>
      <c r="AG74" s="8">
        <f xml:space="preserve"> (AC74 + AE74)/2</f>
        <v>0.5</v>
      </c>
      <c r="AH74" s="8">
        <f t="shared" ref="AH74:AH104" si="26" xml:space="preserve"> $C$10 * TAN($W$18/180*PI()) + $W$21 / (2 * SQRT($C$10^2 + AG74^2)) - AG74</f>
        <v>-0.48315039389514863</v>
      </c>
      <c r="AI74" s="8">
        <f>AD74*AH74</f>
        <v>-1.3265878434340291E-2</v>
      </c>
      <c r="AJ74" s="8">
        <f>AF74*AH74</f>
        <v>0.4774072738259944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si="24"/>
        <v>2.7457037398626646E-2</v>
      </c>
      <c r="AE75" s="8">
        <f>IF(AJ74&gt;0, AG74, AE74)</f>
        <v>0.5</v>
      </c>
      <c r="AF75" s="8">
        <f t="shared" si="25"/>
        <v>-0.48315039389514863</v>
      </c>
      <c r="AG75" s="8">
        <f t="shared" ref="AG75:AG104" si="27" xml:space="preserve"> (AC75 + AE75)/2</f>
        <v>0.25</v>
      </c>
      <c r="AH75" s="8">
        <f t="shared" si="26"/>
        <v>-0.2276069283226102</v>
      </c>
      <c r="AI75" s="8">
        <f t="shared" ref="AI75:AI104" si="28">AD75*AH75</f>
        <v>-6.2494119431404423E-3</v>
      </c>
      <c r="AJ75" s="8">
        <f t="shared" ref="AJ75:AJ104" si="29">AF75*AH75</f>
        <v>0.10996837707233398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2.7457037398626646E-2</v>
      </c>
      <c r="AE76" s="8">
        <f t="shared" ref="AE76:AE104" si="32">IF(AJ75&gt;0, AG75, AE75)</f>
        <v>0.25</v>
      </c>
      <c r="AF76" s="8">
        <f t="shared" si="25"/>
        <v>-0.2276069283226102</v>
      </c>
      <c r="AG76" s="8">
        <f t="shared" si="27"/>
        <v>0.125</v>
      </c>
      <c r="AH76" s="8">
        <f t="shared" si="26"/>
        <v>-9.9223599305354904E-2</v>
      </c>
      <c r="AI76" s="8">
        <f t="shared" si="28"/>
        <v>-2.7243860769534745E-3</v>
      </c>
      <c r="AJ76" s="8">
        <f t="shared" si="29"/>
        <v>2.2583978655005308E-2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2.7457037398626646E-2</v>
      </c>
      <c r="AE77" s="8">
        <f t="shared" si="32"/>
        <v>0.125</v>
      </c>
      <c r="AF77" s="8">
        <f t="shared" si="25"/>
        <v>-9.9223599305354904E-2</v>
      </c>
      <c r="AG77" s="8">
        <f t="shared" si="27"/>
        <v>6.25E-2</v>
      </c>
      <c r="AH77" s="8">
        <f t="shared" si="26"/>
        <v>-3.5502204216559821E-2</v>
      </c>
      <c r="AI77" s="8">
        <f t="shared" si="28"/>
        <v>-9.7478534890776361E-4</v>
      </c>
      <c r="AJ77" s="8">
        <f t="shared" si="29"/>
        <v>3.522656485640813E-3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</v>
      </c>
      <c r="AD78" s="8">
        <f t="shared" si="24"/>
        <v>2.7457037398626646E-2</v>
      </c>
      <c r="AE78" s="8">
        <f t="shared" si="32"/>
        <v>6.25E-2</v>
      </c>
      <c r="AF78" s="8">
        <f t="shared" si="25"/>
        <v>-3.5502204216559821E-2</v>
      </c>
      <c r="AG78" s="8">
        <f t="shared" si="27"/>
        <v>3.125E-2</v>
      </c>
      <c r="AH78" s="8">
        <f t="shared" si="26"/>
        <v>-3.9105410954450893E-3</v>
      </c>
      <c r="AI78" s="8">
        <f t="shared" si="28"/>
        <v>-1.0737187310650223E-4</v>
      </c>
      <c r="AJ78" s="8">
        <f t="shared" si="29"/>
        <v>1.3883282856774111E-4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</v>
      </c>
      <c r="AD79" s="8">
        <f t="shared" si="24"/>
        <v>2.7457037398626646E-2</v>
      </c>
      <c r="AE79" s="8">
        <f t="shared" si="32"/>
        <v>3.125E-2</v>
      </c>
      <c r="AF79" s="8">
        <f t="shared" si="25"/>
        <v>-3.9105410954450893E-3</v>
      </c>
      <c r="AG79" s="8">
        <f t="shared" si="27"/>
        <v>1.5625E-2</v>
      </c>
      <c r="AH79" s="8">
        <f t="shared" si="26"/>
        <v>1.1802463929980935E-2</v>
      </c>
      <c r="AI79" s="8">
        <f t="shared" si="28"/>
        <v>3.2406069352142853E-4</v>
      </c>
      <c r="AJ79" s="8">
        <f t="shared" si="29"/>
        <v>-4.61540202256988E-5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1.5625E-2</v>
      </c>
      <c r="AD80" s="8">
        <f t="shared" si="24"/>
        <v>1.1802463929980935E-2</v>
      </c>
      <c r="AE80" s="8">
        <f t="shared" si="32"/>
        <v>3.125E-2</v>
      </c>
      <c r="AF80" s="8">
        <f t="shared" si="25"/>
        <v>-3.9105410954450893E-3</v>
      </c>
      <c r="AG80" s="8">
        <f t="shared" si="27"/>
        <v>2.34375E-2</v>
      </c>
      <c r="AH80" s="8">
        <f t="shared" si="26"/>
        <v>3.9531654208770466E-3</v>
      </c>
      <c r="AI80" s="8">
        <f t="shared" si="28"/>
        <v>4.6657092289149248E-5</v>
      </c>
      <c r="AJ80" s="8">
        <f t="shared" si="29"/>
        <v>-1.5459015835432174E-5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2.34375E-2</v>
      </c>
      <c r="AD81" s="8">
        <f t="shared" si="24"/>
        <v>3.9531654208770466E-3</v>
      </c>
      <c r="AE81" s="8">
        <f t="shared" si="32"/>
        <v>3.125E-2</v>
      </c>
      <c r="AF81" s="8">
        <f t="shared" si="25"/>
        <v>-3.9105410954450893E-3</v>
      </c>
      <c r="AG81" s="8">
        <f t="shared" si="27"/>
        <v>2.734375E-2</v>
      </c>
      <c r="AH81" s="8">
        <f t="shared" si="26"/>
        <v>2.3095995544654413E-5</v>
      </c>
      <c r="AI81" s="8">
        <f t="shared" si="28"/>
        <v>9.130229094785815E-8</v>
      </c>
      <c r="AJ81" s="8">
        <f t="shared" si="29"/>
        <v>-9.0317839717587771E-8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2.734375E-2</v>
      </c>
      <c r="AD82" s="8">
        <f t="shared" si="24"/>
        <v>2.3095995544654413E-5</v>
      </c>
      <c r="AE82" s="8">
        <f t="shared" si="32"/>
        <v>3.125E-2</v>
      </c>
      <c r="AF82" s="8">
        <f t="shared" si="25"/>
        <v>-3.9105410954450893E-3</v>
      </c>
      <c r="AG82" s="8">
        <f t="shared" si="27"/>
        <v>2.9296875E-2</v>
      </c>
      <c r="AH82" s="8">
        <f t="shared" si="26"/>
        <v>-1.9432790197893846E-3</v>
      </c>
      <c r="AI82" s="8">
        <f t="shared" si="28"/>
        <v>-4.4881963583076023E-8</v>
      </c>
      <c r="AJ82" s="8">
        <f t="shared" si="29"/>
        <v>7.5992724668026392E-6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2.734375E-2</v>
      </c>
      <c r="AD83" s="8">
        <f t="shared" si="24"/>
        <v>2.3095995544654413E-5</v>
      </c>
      <c r="AE83" s="8">
        <f t="shared" si="32"/>
        <v>2.9296875E-2</v>
      </c>
      <c r="AF83" s="8">
        <f t="shared" si="25"/>
        <v>-1.9432790197893846E-3</v>
      </c>
      <c r="AG83" s="8">
        <f t="shared" si="27"/>
        <v>2.83203125E-2</v>
      </c>
      <c r="AH83" s="8">
        <f t="shared" si="26"/>
        <v>-9.5998031372220363E-4</v>
      </c>
      <c r="AI83" s="8">
        <f t="shared" si="28"/>
        <v>-2.2171701048683962E-8</v>
      </c>
      <c r="AJ83" s="8">
        <f t="shared" si="29"/>
        <v>1.8655096030671898E-6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2.734375E-2</v>
      </c>
      <c r="AD84" s="8">
        <f t="shared" si="24"/>
        <v>2.3095995544654413E-5</v>
      </c>
      <c r="AE84" s="8">
        <f t="shared" si="32"/>
        <v>2.83203125E-2</v>
      </c>
      <c r="AF84" s="8">
        <f t="shared" si="25"/>
        <v>-9.5998031372220363E-4</v>
      </c>
      <c r="AG84" s="8">
        <f t="shared" si="27"/>
        <v>2.783203125E-2</v>
      </c>
      <c r="AH84" s="8">
        <f t="shared" si="26"/>
        <v>-4.6841432107956257E-4</v>
      </c>
      <c r="AI84" s="8">
        <f t="shared" si="28"/>
        <v>-1.0818495072705899E-8</v>
      </c>
      <c r="AJ84" s="8">
        <f t="shared" si="29"/>
        <v>4.4966852690193151E-7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2.734375E-2</v>
      </c>
      <c r="AD85" s="8">
        <f t="shared" si="24"/>
        <v>2.3095995544654413E-5</v>
      </c>
      <c r="AE85" s="8">
        <f t="shared" si="32"/>
        <v>2.783203125E-2</v>
      </c>
      <c r="AF85" s="8">
        <f t="shared" si="25"/>
        <v>-4.6841432107956257E-4</v>
      </c>
      <c r="AG85" s="8">
        <f t="shared" si="27"/>
        <v>2.7587890625E-2</v>
      </c>
      <c r="AH85" s="8">
        <f t="shared" si="26"/>
        <v>-2.2265219853149359E-4</v>
      </c>
      <c r="AI85" s="8">
        <f t="shared" si="28"/>
        <v>-5.1423741852908857E-9</v>
      </c>
      <c r="AJ85" s="8">
        <f t="shared" si="29"/>
        <v>1.0429347841200156E-7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2.734375E-2</v>
      </c>
      <c r="AD86" s="8">
        <f t="shared" si="24"/>
        <v>2.3095995544654413E-5</v>
      </c>
      <c r="AE86" s="8">
        <f t="shared" si="32"/>
        <v>2.7587890625E-2</v>
      </c>
      <c r="AF86" s="8">
        <f t="shared" si="25"/>
        <v>-2.2265219853149359E-4</v>
      </c>
      <c r="AG86" s="8">
        <f t="shared" si="27"/>
        <v>2.74658203125E-2</v>
      </c>
      <c r="AH86" s="8">
        <f t="shared" si="26"/>
        <v>-9.9776359846957124E-5</v>
      </c>
      <c r="AI86" s="8">
        <f t="shared" si="28"/>
        <v>-2.3044343624871572E-9</v>
      </c>
      <c r="AJ86" s="8">
        <f t="shared" si="29"/>
        <v>2.2215425881394444E-8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2.734375E-2</v>
      </c>
      <c r="AD87" s="8">
        <f t="shared" si="24"/>
        <v>2.3095995544654413E-5</v>
      </c>
      <c r="AE87" s="8">
        <f t="shared" si="32"/>
        <v>2.74658203125E-2</v>
      </c>
      <c r="AF87" s="8">
        <f t="shared" si="25"/>
        <v>-9.9776359846957124E-5</v>
      </c>
      <c r="AG87" s="8">
        <f t="shared" si="27"/>
        <v>2.740478515625E-2</v>
      </c>
      <c r="AH87" s="8">
        <f t="shared" si="26"/>
        <v>-3.833974666636597E-5</v>
      </c>
      <c r="AI87" s="8">
        <f t="shared" si="28"/>
        <v>-8.8549461818956728E-10</v>
      </c>
      <c r="AJ87" s="8">
        <f t="shared" si="29"/>
        <v>3.8254003598245058E-9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2.734375E-2</v>
      </c>
      <c r="AD88" s="8">
        <f t="shared" si="24"/>
        <v>2.3095995544654413E-5</v>
      </c>
      <c r="AE88" s="8">
        <f t="shared" si="32"/>
        <v>2.740478515625E-2</v>
      </c>
      <c r="AF88" s="8">
        <f t="shared" si="25"/>
        <v>-3.833974666636597E-5</v>
      </c>
      <c r="AG88" s="8">
        <f t="shared" si="27"/>
        <v>2.7374267578125E-2</v>
      </c>
      <c r="AH88" s="8">
        <f t="shared" si="26"/>
        <v>-7.6217666805274142E-6</v>
      </c>
      <c r="AI88" s="8">
        <f t="shared" si="28"/>
        <v>-1.7603228929585661E-10</v>
      </c>
      <c r="AJ88" s="8">
        <f t="shared" si="29"/>
        <v>2.9221660368157013E-10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2.734375E-2</v>
      </c>
      <c r="AD89" s="8">
        <f t="shared" si="24"/>
        <v>2.3095995544654413E-5</v>
      </c>
      <c r="AE89" s="8">
        <f t="shared" si="32"/>
        <v>2.7374267578125E-2</v>
      </c>
      <c r="AF89" s="8">
        <f t="shared" si="25"/>
        <v>-7.6217666805274142E-6</v>
      </c>
      <c r="AG89" s="8">
        <f t="shared" si="27"/>
        <v>2.73590087890625E-2</v>
      </c>
      <c r="AH89" s="8">
        <f t="shared" si="26"/>
        <v>7.7371416532835691E-6</v>
      </c>
      <c r="AI89" s="8">
        <f t="shared" si="28"/>
        <v>1.786969891525974E-10</v>
      </c>
      <c r="AJ89" s="8">
        <f t="shared" si="29"/>
        <v>-5.8970688455517494E-11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2.73590087890625E-2</v>
      </c>
      <c r="AD90" s="8">
        <f t="shared" si="24"/>
        <v>7.7371416532835691E-6</v>
      </c>
      <c r="AE90" s="8">
        <f t="shared" si="32"/>
        <v>2.7374267578125E-2</v>
      </c>
      <c r="AF90" s="8">
        <f t="shared" si="25"/>
        <v>-7.6217666805274142E-6</v>
      </c>
      <c r="AG90" s="8">
        <f t="shared" si="27"/>
        <v>2.736663818359375E-2</v>
      </c>
      <c r="AH90" s="8">
        <f t="shared" si="26"/>
        <v>5.7694291542148557E-8</v>
      </c>
      <c r="AI90" s="8">
        <f t="shared" si="28"/>
        <v>4.4638890624744354E-13</v>
      </c>
      <c r="AJ90" s="8">
        <f t="shared" si="29"/>
        <v>-4.3973242893258245E-13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2.736663818359375E-2</v>
      </c>
      <c r="AD91" s="8">
        <f t="shared" si="24"/>
        <v>5.7694291542148557E-8</v>
      </c>
      <c r="AE91" s="8">
        <f t="shared" si="32"/>
        <v>2.7374267578125E-2</v>
      </c>
      <c r="AF91" s="8">
        <f t="shared" si="25"/>
        <v>-7.6217666805274142E-6</v>
      </c>
      <c r="AG91" s="8">
        <f t="shared" si="27"/>
        <v>2.7370452880859375E-2</v>
      </c>
      <c r="AH91" s="8">
        <f t="shared" si="26"/>
        <v>-3.7820344932215644E-6</v>
      </c>
      <c r="AI91" s="8">
        <f t="shared" si="28"/>
        <v>-2.1820180067438701E-13</v>
      </c>
      <c r="AJ91" s="8">
        <f t="shared" si="29"/>
        <v>2.8825784485041503E-11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2.736663818359375E-2</v>
      </c>
      <c r="AD92" s="8">
        <f t="shared" si="24"/>
        <v>5.7694291542148557E-8</v>
      </c>
      <c r="AE92" s="8">
        <f t="shared" si="32"/>
        <v>2.7370452880859375E-2</v>
      </c>
      <c r="AF92" s="8">
        <f t="shared" si="25"/>
        <v>-3.7820344932215644E-6</v>
      </c>
      <c r="AG92" s="8">
        <f t="shared" si="27"/>
        <v>2.7368545532226562E-2</v>
      </c>
      <c r="AH92" s="8">
        <f t="shared" si="26"/>
        <v>-1.8621696755184713E-6</v>
      </c>
      <c r="AI92" s="8">
        <f t="shared" si="28"/>
        <v>-1.0743656016031087E-13</v>
      </c>
      <c r="AJ92" s="8">
        <f t="shared" si="29"/>
        <v>7.0427899450420665E-12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2.736663818359375E-2</v>
      </c>
      <c r="AD93" s="8">
        <f t="shared" si="24"/>
        <v>5.7694291542148557E-8</v>
      </c>
      <c r="AE93" s="8">
        <f t="shared" si="32"/>
        <v>2.7368545532226562E-2</v>
      </c>
      <c r="AF93" s="8">
        <f t="shared" si="25"/>
        <v>-1.8621696755184713E-6</v>
      </c>
      <c r="AG93" s="8">
        <f t="shared" si="27"/>
        <v>2.7367591857910156E-2</v>
      </c>
      <c r="AH93" s="8">
        <f t="shared" si="26"/>
        <v>-9.0223758565655121E-7</v>
      </c>
      <c r="AI93" s="8">
        <f t="shared" si="28"/>
        <v>-5.2053958307153296E-14</v>
      </c>
      <c r="AJ93" s="8">
        <f t="shared" si="29"/>
        <v>1.680119472122629E-12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2.736663818359375E-2</v>
      </c>
      <c r="AD94" s="8">
        <f t="shared" si="24"/>
        <v>5.7694291542148557E-8</v>
      </c>
      <c r="AE94" s="8">
        <f t="shared" si="32"/>
        <v>2.7367591857910156E-2</v>
      </c>
      <c r="AF94" s="8">
        <f t="shared" si="25"/>
        <v>-9.0223758565655121E-7</v>
      </c>
      <c r="AG94" s="8">
        <f t="shared" si="27"/>
        <v>2.7367115020751953E-2</v>
      </c>
      <c r="AH94" s="8">
        <f t="shared" si="26"/>
        <v>-4.222716204760335E-7</v>
      </c>
      <c r="AI94" s="8">
        <f t="shared" si="28"/>
        <v>-2.4362661981719786E-14</v>
      </c>
      <c r="AJ94" s="8">
        <f t="shared" si="29"/>
        <v>3.8098932734957597E-13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2.736663818359375E-2</v>
      </c>
      <c r="AD95" s="8">
        <f t="shared" si="24"/>
        <v>5.7694291542148557E-8</v>
      </c>
      <c r="AE95" s="8">
        <f t="shared" si="32"/>
        <v>2.7367115020751953E-2</v>
      </c>
      <c r="AF95" s="8">
        <f t="shared" si="25"/>
        <v>-4.222716204760335E-7</v>
      </c>
      <c r="AG95" s="8">
        <f t="shared" si="27"/>
        <v>2.7366876602172852E-2</v>
      </c>
      <c r="AH95" s="8">
        <f t="shared" si="26"/>
        <v>-1.8228865782121684E-7</v>
      </c>
      <c r="AI95" s="8">
        <f t="shared" si="28"/>
        <v>-1.0517014969164243E-14</v>
      </c>
      <c r="AJ95" s="8">
        <f t="shared" si="29"/>
        <v>7.6975326932566408E-14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2.736663818359375E-2</v>
      </c>
      <c r="AD96" s="8">
        <f t="shared" si="24"/>
        <v>5.7694291542148557E-8</v>
      </c>
      <c r="AE96" s="8">
        <f t="shared" si="32"/>
        <v>2.7366876602172852E-2</v>
      </c>
      <c r="AF96" s="8">
        <f t="shared" si="25"/>
        <v>-1.8228865782121684E-7</v>
      </c>
      <c r="AG96" s="8">
        <f t="shared" si="27"/>
        <v>2.7366757392883301E-2</v>
      </c>
      <c r="AH96" s="8">
        <f t="shared" si="26"/>
        <v>-6.2297181479403774E-8</v>
      </c>
      <c r="AI96" s="8">
        <f t="shared" si="28"/>
        <v>-3.5941917505268587E-15</v>
      </c>
      <c r="AJ96" s="8">
        <f t="shared" si="29"/>
        <v>1.1356069597925281E-14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2.736663818359375E-2</v>
      </c>
      <c r="AD97" s="8">
        <f t="shared" si="24"/>
        <v>5.7694291542148557E-8</v>
      </c>
      <c r="AE97" s="8">
        <f t="shared" si="32"/>
        <v>2.7366757392883301E-2</v>
      </c>
      <c r="AF97" s="8">
        <f t="shared" si="25"/>
        <v>-6.2297181479403774E-8</v>
      </c>
      <c r="AG97" s="8">
        <f t="shared" si="27"/>
        <v>2.7366697788238525E-2</v>
      </c>
      <c r="AH97" s="8">
        <f t="shared" si="26"/>
        <v>-2.3014445557634211E-9</v>
      </c>
      <c r="AI97" s="8">
        <f t="shared" si="28"/>
        <v>-1.3278021316830538E-16</v>
      </c>
      <c r="AJ97" s="8">
        <f t="shared" si="29"/>
        <v>1.4337350915517965E-16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2.736663818359375E-2</v>
      </c>
      <c r="AD98" s="8">
        <f t="shared" si="24"/>
        <v>5.7694291542148557E-8</v>
      </c>
      <c r="AE98" s="8">
        <f t="shared" si="32"/>
        <v>2.7366697788238525E-2</v>
      </c>
      <c r="AF98" s="8">
        <f t="shared" si="25"/>
        <v>-2.3014445557634211E-9</v>
      </c>
      <c r="AG98" s="8">
        <f t="shared" si="27"/>
        <v>2.7366667985916138E-2</v>
      </c>
      <c r="AH98" s="8">
        <f t="shared" si="26"/>
        <v>2.76964235990107E-8</v>
      </c>
      <c r="AI98" s="8">
        <f t="shared" si="28"/>
        <v>1.5979255377961667E-15</v>
      </c>
      <c r="AJ98" s="8">
        <f t="shared" si="29"/>
        <v>-6.3741783306060712E-17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2.7366667985916138E-2</v>
      </c>
      <c r="AD99" s="8">
        <f t="shared" si="24"/>
        <v>2.76964235990107E-8</v>
      </c>
      <c r="AE99" s="8">
        <f t="shared" si="32"/>
        <v>2.7366697788238525E-2</v>
      </c>
      <c r="AF99" s="8">
        <f t="shared" si="25"/>
        <v>-2.3014445557634211E-9</v>
      </c>
      <c r="AG99" s="8">
        <f t="shared" si="27"/>
        <v>2.7366682887077332E-2</v>
      </c>
      <c r="AH99" s="8">
        <f t="shared" si="26"/>
        <v>1.2697489545909768E-8</v>
      </c>
      <c r="AI99" s="8">
        <f t="shared" si="28"/>
        <v>3.5167504910752698E-16</v>
      </c>
      <c r="AJ99" s="8">
        <f t="shared" si="29"/>
        <v>-2.922256818729699E-17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2.7366682887077332E-2</v>
      </c>
      <c r="AD100" s="8">
        <f t="shared" si="24"/>
        <v>1.2697489545909768E-8</v>
      </c>
      <c r="AE100" s="8">
        <f t="shared" si="32"/>
        <v>2.7366697788238525E-2</v>
      </c>
      <c r="AF100" s="8">
        <f t="shared" si="25"/>
        <v>-2.3014445557634211E-9</v>
      </c>
      <c r="AG100" s="8">
        <f t="shared" si="27"/>
        <v>2.7366690337657928E-2</v>
      </c>
      <c r="AH100" s="8">
        <f t="shared" si="26"/>
        <v>5.1980225054815143E-9</v>
      </c>
      <c r="AI100" s="8">
        <f t="shared" si="28"/>
        <v>6.6001836422755228E-17</v>
      </c>
      <c r="AJ100" s="8">
        <f t="shared" si="29"/>
        <v>-1.1962960595976169E-17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2.7366690337657928E-2</v>
      </c>
      <c r="AD101" s="8">
        <f t="shared" si="24"/>
        <v>5.1980225054815143E-9</v>
      </c>
      <c r="AE101" s="8">
        <f t="shared" si="32"/>
        <v>2.7366697788238525E-2</v>
      </c>
      <c r="AF101" s="8">
        <f t="shared" si="25"/>
        <v>-2.3014445557634211E-9</v>
      </c>
      <c r="AG101" s="8">
        <f t="shared" si="27"/>
        <v>2.7366694062948227E-2</v>
      </c>
      <c r="AH101" s="8">
        <f t="shared" si="26"/>
        <v>1.4482889748590466E-9</v>
      </c>
      <c r="AI101" s="8">
        <f t="shared" si="28"/>
        <v>7.5282386857580757E-18</v>
      </c>
      <c r="AJ101" s="8">
        <f t="shared" si="29"/>
        <v>-3.333156776361539E-18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2.7366694062948227E-2</v>
      </c>
      <c r="AD102" s="8">
        <f t="shared" si="24"/>
        <v>1.4482889748590466E-9</v>
      </c>
      <c r="AE102" s="8">
        <f t="shared" si="32"/>
        <v>2.7366697788238525E-2</v>
      </c>
      <c r="AF102" s="8">
        <f t="shared" si="25"/>
        <v>-2.3014445557634211E-9</v>
      </c>
      <c r="AG102" s="8">
        <f t="shared" si="27"/>
        <v>2.7366695925593376E-2</v>
      </c>
      <c r="AH102" s="8">
        <f t="shared" si="26"/>
        <v>-4.2657778698274029E-10</v>
      </c>
      <c r="AI102" s="8">
        <f t="shared" si="28"/>
        <v>-6.178079058068737E-19</v>
      </c>
      <c r="AJ102" s="8">
        <f t="shared" si="29"/>
        <v>9.8174512546103611E-19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2.7366694062948227E-2</v>
      </c>
      <c r="AD103" s="8">
        <f t="shared" si="24"/>
        <v>1.4482889748590466E-9</v>
      </c>
      <c r="AE103" s="8">
        <f t="shared" si="32"/>
        <v>2.7366695925593376E-2</v>
      </c>
      <c r="AF103" s="8">
        <f t="shared" si="25"/>
        <v>-4.2657778698274029E-10</v>
      </c>
      <c r="AG103" s="8">
        <f t="shared" si="27"/>
        <v>2.7366694994270802E-2</v>
      </c>
      <c r="AH103" s="8">
        <f t="shared" si="26"/>
        <v>5.1085559393815316E-10</v>
      </c>
      <c r="AI103" s="8">
        <f t="shared" si="28"/>
        <v>7.3986652444569723E-19</v>
      </c>
      <c r="AJ103" s="8">
        <f t="shared" si="29"/>
        <v>-2.1791964872989077E-19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2.7366694994270802E-2</v>
      </c>
      <c r="AD104" s="8">
        <f t="shared" si="24"/>
        <v>5.1085559393815316E-10</v>
      </c>
      <c r="AE104" s="8">
        <f t="shared" si="32"/>
        <v>2.7366695925593376E-2</v>
      </c>
      <c r="AF104" s="8">
        <f t="shared" si="25"/>
        <v>-4.2657778698274029E-10</v>
      </c>
      <c r="AG104" s="8">
        <f t="shared" si="27"/>
        <v>2.7366695459932089E-2</v>
      </c>
      <c r="AH104" s="8">
        <f t="shared" si="26"/>
        <v>4.2138903477706435E-11</v>
      </c>
      <c r="AI104" s="8">
        <f t="shared" si="28"/>
        <v>2.1526894564006229E-20</v>
      </c>
      <c r="AJ104" s="8">
        <f t="shared" si="29"/>
        <v>-1.797552019139931E-20</v>
      </c>
      <c r="AK104" s="8">
        <f t="shared" si="30"/>
        <v>9.3132257461547852E-10</v>
      </c>
    </row>
  </sheetData>
  <mergeCells count="28">
    <mergeCell ref="B1:D1"/>
    <mergeCell ref="B3:D3"/>
    <mergeCell ref="F3:H3"/>
    <mergeCell ref="J3:L3"/>
    <mergeCell ref="N3:P3"/>
    <mergeCell ref="B27:D27"/>
    <mergeCell ref="V3:X3"/>
    <mergeCell ref="J7:L7"/>
    <mergeCell ref="J11:L11"/>
    <mergeCell ref="B12:D12"/>
    <mergeCell ref="F12:H12"/>
    <mergeCell ref="N13:P13"/>
    <mergeCell ref="R13:T13"/>
    <mergeCell ref="V13:X13"/>
    <mergeCell ref="R3:T3"/>
    <mergeCell ref="B16:D16"/>
    <mergeCell ref="N17:P17"/>
    <mergeCell ref="R17:T17"/>
    <mergeCell ref="V17:X17"/>
    <mergeCell ref="F25:H25"/>
    <mergeCell ref="F45:H45"/>
    <mergeCell ref="B49:D49"/>
    <mergeCell ref="J30:L30"/>
    <mergeCell ref="B32:D32"/>
    <mergeCell ref="F32:H32"/>
    <mergeCell ref="J38:L38"/>
    <mergeCell ref="B38:D38"/>
    <mergeCell ref="B43:D43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02F2-2FDE-5A44-A0C0-5755377D5D47}">
  <dimension ref="B1:AV104"/>
  <sheetViews>
    <sheetView tabSelected="1" zoomScale="150" workbookViewId="0">
      <selection activeCell="E9" sqref="E9"/>
    </sheetView>
  </sheetViews>
  <sheetFormatPr baseColWidth="10" defaultRowHeight="16" x14ac:dyDescent="0.2"/>
  <cols>
    <col min="1" max="1" width="4.1640625" customWidth="1"/>
    <col min="2" max="2" width="20.5" customWidth="1"/>
    <col min="3" max="3" width="11" bestFit="1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83203125" customWidth="1"/>
    <col min="15" max="15" width="11" customWidth="1"/>
    <col min="16" max="16" width="6.6640625" customWidth="1"/>
    <col min="17" max="17" width="6" customWidth="1"/>
    <col min="18" max="18" width="14" customWidth="1"/>
    <col min="19" max="19" width="11" bestFit="1" customWidth="1"/>
    <col min="20" max="20" width="6.33203125" customWidth="1"/>
    <col min="21" max="21" width="6.1640625" customWidth="1"/>
    <col min="22" max="22" width="14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0" max="40" width="11" bestFit="1" customWidth="1"/>
    <col min="41" max="41" width="13.1640625" bestFit="1" customWidth="1"/>
    <col min="42" max="42" width="11" bestFit="1" customWidth="1"/>
    <col min="43" max="43" width="13.1640625" bestFit="1" customWidth="1"/>
    <col min="44" max="44" width="18.33203125" customWidth="1"/>
    <col min="45" max="48" width="11" bestFit="1" customWidth="1"/>
  </cols>
  <sheetData>
    <row r="1" spans="2:48" x14ac:dyDescent="0.2">
      <c r="B1" s="65" t="s">
        <v>0</v>
      </c>
      <c r="C1" s="65"/>
      <c r="D1" s="65"/>
    </row>
    <row r="2" spans="2:48" x14ac:dyDescent="0.2">
      <c r="AB2" s="6" t="s">
        <v>141</v>
      </c>
      <c r="AM2" s="6" t="s">
        <v>93</v>
      </c>
    </row>
    <row r="3" spans="2:48" x14ac:dyDescent="0.2">
      <c r="B3" s="58" t="s">
        <v>205</v>
      </c>
      <c r="C3" s="62"/>
      <c r="D3" s="62"/>
      <c r="F3" s="63" t="s">
        <v>110</v>
      </c>
      <c r="G3" s="64"/>
      <c r="H3" s="64"/>
      <c r="J3" s="58" t="s">
        <v>157</v>
      </c>
      <c r="K3" s="58"/>
      <c r="L3" s="58"/>
      <c r="N3" s="61" t="s">
        <v>136</v>
      </c>
      <c r="O3" s="61"/>
      <c r="P3" s="61"/>
      <c r="R3" s="61" t="s">
        <v>134</v>
      </c>
      <c r="S3" s="61"/>
      <c r="T3" s="61"/>
      <c r="V3" s="61" t="s">
        <v>148</v>
      </c>
      <c r="W3" s="61"/>
      <c r="X3" s="61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37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MAX(G6,G48)</f>
        <v>241.64139293782242</v>
      </c>
      <c r="L4" t="s">
        <v>162</v>
      </c>
      <c r="N4" t="s">
        <v>36</v>
      </c>
      <c r="O4">
        <f>$C$5*$C$67*COS(G18/180*PI())</f>
        <v>11884.542150629697</v>
      </c>
      <c r="P4" t="s">
        <v>31</v>
      </c>
      <c r="R4" t="s">
        <v>36</v>
      </c>
      <c r="S4">
        <f xml:space="preserve"> $C$5 * $C$67</f>
        <v>11899.906757350011</v>
      </c>
      <c r="T4" t="s">
        <v>31</v>
      </c>
      <c r="V4" t="s">
        <v>36</v>
      </c>
      <c r="W4">
        <f>$C$5*$C$67*COS(G38/180*PI())</f>
        <v>11894.377785338478</v>
      </c>
      <c r="X4" t="s">
        <v>31</v>
      </c>
      <c r="AB4" s="8">
        <v>0</v>
      </c>
      <c r="AC4" s="9">
        <v>0</v>
      </c>
      <c r="AD4" s="8">
        <f t="shared" ref="AD4:AD34" si="0" xml:space="preserve"> $S$22 * TAN($S$19/180*PI()) + $S$23 / (2 * SQRT($S$22^2 + AC4^2)) - AC4</f>
        <v>0.51128949618404929</v>
      </c>
      <c r="AE4" s="9">
        <v>1</v>
      </c>
      <c r="AF4" s="8">
        <f t="shared" ref="AF4:AF34" si="1" xml:space="preserve"> $S$22 * TAN($S$19/180*PI()) + $S$23 / (2 * SQRT($S$22^2 + AE4^2)) - AE4</f>
        <v>-0.6775161039527744</v>
      </c>
      <c r="AG4" s="8">
        <f xml:space="preserve"> (AC4 + AE4)/2</f>
        <v>0.5</v>
      </c>
      <c r="AH4" s="8">
        <f t="shared" ref="AH4:AH34" si="2" xml:space="preserve"> $S$22 * TAN($S$19/180*PI()) + $S$23 / (2 * SQRT($S$22^2 + AG4^2)) - AG4</f>
        <v>-0.17214323215331873</v>
      </c>
      <c r="AI4" s="8">
        <f>AD4*AH4</f>
        <v>-8.801502643916416E-2</v>
      </c>
      <c r="AJ4" s="8">
        <f>AF4*AH4</f>
        <v>0.11662981197035446</v>
      </c>
      <c r="AK4" s="8">
        <f>AE4-AC4</f>
        <v>1</v>
      </c>
      <c r="AM4" s="8">
        <v>0</v>
      </c>
      <c r="AN4" s="8"/>
      <c r="AO4" s="8">
        <f>K31</f>
        <v>6.9189809437375516E-10</v>
      </c>
      <c r="AP4" s="8"/>
      <c r="AQ4" s="8">
        <f>K31</f>
        <v>6.9189809437375516E-10</v>
      </c>
      <c r="AR4" s="8"/>
      <c r="AS4" s="8">
        <f>K31</f>
        <v>6.9189809437375516E-10</v>
      </c>
      <c r="AT4" s="8"/>
      <c r="AU4" s="8"/>
      <c r="AV4" s="8"/>
    </row>
    <row r="5" spans="2:48" x14ac:dyDescent="0.2">
      <c r="B5" s="3" t="s">
        <v>54</v>
      </c>
      <c r="C5" s="3">
        <f>AR44</f>
        <v>1213.4527853395412</v>
      </c>
      <c r="D5" s="3" t="s">
        <v>12</v>
      </c>
      <c r="F5" t="s">
        <v>119</v>
      </c>
      <c r="G5" s="1">
        <v>152.4</v>
      </c>
      <c r="H5" t="s">
        <v>14</v>
      </c>
      <c r="J5" t="s">
        <v>159</v>
      </c>
      <c r="K5">
        <f>K4/$C$21</f>
        <v>30.205174117227802</v>
      </c>
      <c r="L5" t="s">
        <v>162</v>
      </c>
      <c r="N5" t="s">
        <v>37</v>
      </c>
      <c r="O5">
        <f>0.5*$C$65*$G$13^2</f>
        <v>1531.25</v>
      </c>
      <c r="P5" t="s">
        <v>38</v>
      </c>
      <c r="R5" t="s">
        <v>37</v>
      </c>
      <c r="S5">
        <f xml:space="preserve"> 0.5 * $C$65 * $C$12^2</f>
        <v>1531.25</v>
      </c>
      <c r="T5" t="s">
        <v>38</v>
      </c>
      <c r="V5" t="s">
        <v>37</v>
      </c>
      <c r="W5">
        <f>0.5*$C$65*$G$33^2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si="0"/>
        <v>0.51128949618404929</v>
      </c>
      <c r="AE5" s="8">
        <f>IF(AJ4&gt;0, AG4, AE4)</f>
        <v>0.5</v>
      </c>
      <c r="AF5" s="8">
        <f t="shared" si="1"/>
        <v>-0.17214323215331873</v>
      </c>
      <c r="AG5" s="8">
        <f t="shared" ref="AG5:AG34" si="3" xml:space="preserve"> (AC5 + AE5)/2</f>
        <v>0.25</v>
      </c>
      <c r="AH5" s="8">
        <f t="shared" si="2"/>
        <v>8.8516538637578634E-2</v>
      </c>
      <c r="AI5" s="8">
        <f t="shared" ref="AI5:AI34" si="4">AD5*AH5</f>
        <v>4.5257576443963513E-2</v>
      </c>
      <c r="AJ5" s="8">
        <f t="shared" ref="AJ5:AJ34" si="5">AF5*AH5</f>
        <v>-1.5237523060096906E-2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5"/>
        <v>-388.66840481854427</v>
      </c>
      <c r="AP5" s="9">
        <v>2500</v>
      </c>
      <c r="AQ5" s="8">
        <f t="dataTable" ref="AQ5:AQ44" dt2D="0" dtr="0" r1="C5" ca="1"/>
        <v>524.82736936627907</v>
      </c>
      <c r="AR5" s="8">
        <f>(AN5+AP5)/2</f>
        <v>1500</v>
      </c>
      <c r="AS5" s="8">
        <f t="dataTable" ref="AS5:AS44" dt2D="0" dtr="0" r1="C5" ca="1"/>
        <v>137.9853286995243</v>
      </c>
      <c r="AT5" s="8">
        <f>AO5*AS5</f>
        <v>-53630.537594006608</v>
      </c>
      <c r="AU5" s="8">
        <f>AQ5*AS5</f>
        <v>72418.477072512673</v>
      </c>
      <c r="AV5" s="8">
        <f>AP5-AN5</f>
        <v>2000</v>
      </c>
    </row>
    <row r="6" spans="2:48" x14ac:dyDescent="0.2">
      <c r="B6" t="s">
        <v>147</v>
      </c>
      <c r="C6" s="1">
        <v>1</v>
      </c>
      <c r="D6" t="s">
        <v>14</v>
      </c>
      <c r="F6" t="s">
        <v>112</v>
      </c>
      <c r="G6">
        <f xml:space="preserve"> 1/1000 * ($C$5*$C$67)/$C$24 * ( ($G$4/2) + SQRT( ($G$4/2)^2 + ($C$5*$C$67)/(2*$C$65*$C$21*PI()*$C$6*$C$6 ) ) )</f>
        <v>241.64139293782242</v>
      </c>
      <c r="H6" t="s">
        <v>162</v>
      </c>
      <c r="J6" t="s">
        <v>160</v>
      </c>
      <c r="K6">
        <f>MAX(G20,G27,G40)</f>
        <v>91.703611287871553</v>
      </c>
      <c r="L6" t="s">
        <v>162</v>
      </c>
      <c r="N6" s="20" t="s">
        <v>197</v>
      </c>
      <c r="O6" s="20">
        <f xml:space="preserve"> 0.4 * ($C$5 *2.20462/1000)^(2/3) * 0.3048^2</f>
        <v>7.1613406695793261E-2</v>
      </c>
      <c r="P6" s="20" t="s">
        <v>198</v>
      </c>
      <c r="R6" s="20" t="s">
        <v>197</v>
      </c>
      <c r="S6" s="20">
        <f xml:space="preserve"> 0.4 * ($C$5 *2.20462/1000)^(2/3) * 0.3048^2</f>
        <v>7.1613406695793261E-2</v>
      </c>
      <c r="T6" s="20" t="s">
        <v>198</v>
      </c>
      <c r="V6" s="20" t="s">
        <v>197</v>
      </c>
      <c r="W6" s="20">
        <f xml:space="preserve"> 0.4 * ($C$5 *2.20462/1000)^(2/3) * 0.3048^2</f>
        <v>7.1613406695793261E-2</v>
      </c>
      <c r="X6" s="20" t="s">
        <v>198</v>
      </c>
      <c r="AB6" s="8">
        <v>2</v>
      </c>
      <c r="AC6" s="8">
        <f t="shared" ref="AC6:AC34" si="7">IF(AI5&gt;0, AG5, AC5)</f>
        <v>0.25</v>
      </c>
      <c r="AD6" s="8">
        <f t="shared" si="0"/>
        <v>8.8516538637578634E-2</v>
      </c>
      <c r="AE6" s="8">
        <f t="shared" ref="AE6:AE34" si="8">IF(AJ5&gt;0, AG5, AE5)</f>
        <v>0.5</v>
      </c>
      <c r="AF6" s="8">
        <f t="shared" si="1"/>
        <v>-0.17214323215331873</v>
      </c>
      <c r="AG6" s="8">
        <f t="shared" si="3"/>
        <v>0.375</v>
      </c>
      <c r="AH6" s="8">
        <f t="shared" si="2"/>
        <v>-4.3574273204894709E-2</v>
      </c>
      <c r="AI6" s="8">
        <f t="shared" si="4"/>
        <v>-3.8570438377454699E-3</v>
      </c>
      <c r="AJ6" s="8">
        <f t="shared" si="5"/>
        <v>7.5010162282223257E-3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-388.66840481854427</v>
      </c>
      <c r="AP6" s="8">
        <f>IF(AU5&gt;0,AR5,AP5)</f>
        <v>1500</v>
      </c>
      <c r="AQ6" s="8">
        <v>137.9853286995243</v>
      </c>
      <c r="AR6" s="8">
        <f t="shared" ref="AR6:AR44" si="9">(AN6+AP6)/2</f>
        <v>1000</v>
      </c>
      <c r="AS6" s="8">
        <v>-110.03119790543008</v>
      </c>
      <c r="AT6" s="8">
        <f t="shared" ref="AT6:AT44" si="10">AO6*AS6</f>
        <v>42765.650170177061</v>
      </c>
      <c r="AU6" s="8">
        <f t="shared" ref="AU6:AU44" si="11">AQ6*AS6</f>
        <v>-15182.691010183178</v>
      </c>
      <c r="AV6" s="8">
        <f t="shared" ref="AV6:AV44" si="12">AP6-AN6</f>
        <v>1000</v>
      </c>
    </row>
    <row r="7" spans="2:48" x14ac:dyDescent="0.2">
      <c r="B7" t="s">
        <v>206</v>
      </c>
      <c r="C7" s="1">
        <v>0.20419999999999999</v>
      </c>
      <c r="D7" t="s">
        <v>14</v>
      </c>
      <c r="F7" t="s">
        <v>30</v>
      </c>
      <c r="G7">
        <f xml:space="preserve"> $C$5 * $C$67 / $C$21</f>
        <v>1487.4883446687513</v>
      </c>
      <c r="H7" t="s">
        <v>31</v>
      </c>
      <c r="J7" t="s">
        <v>161</v>
      </c>
      <c r="K7">
        <f>K6/$C$28</f>
        <v>91.703611287871553</v>
      </c>
      <c r="L7" t="s">
        <v>162</v>
      </c>
      <c r="N7" t="s">
        <v>199</v>
      </c>
      <c r="O7">
        <f xml:space="preserve"> O6 / $C$10</f>
        <v>4.4205806602341524E-3</v>
      </c>
      <c r="R7" t="s">
        <v>199</v>
      </c>
      <c r="S7">
        <f xml:space="preserve"> S6 / $C$10</f>
        <v>4.4205806602341524E-3</v>
      </c>
      <c r="V7" t="s">
        <v>199</v>
      </c>
      <c r="W7">
        <f xml:space="preserve"> W6 / $C$10</f>
        <v>4.4205806602341524E-3</v>
      </c>
      <c r="AB7" s="8">
        <v>3</v>
      </c>
      <c r="AC7" s="8">
        <f t="shared" si="7"/>
        <v>0.25</v>
      </c>
      <c r="AD7" s="8">
        <f t="shared" si="0"/>
        <v>8.8516538637578634E-2</v>
      </c>
      <c r="AE7" s="8">
        <f t="shared" si="8"/>
        <v>0.375</v>
      </c>
      <c r="AF7" s="8">
        <f t="shared" si="1"/>
        <v>-4.3574273204894709E-2</v>
      </c>
      <c r="AG7" s="8">
        <f t="shared" si="3"/>
        <v>0.3125</v>
      </c>
      <c r="AH7" s="8">
        <f t="shared" si="2"/>
        <v>2.1770596512323714E-2</v>
      </c>
      <c r="AI7" s="8">
        <f t="shared" si="4"/>
        <v>1.9270578473462368E-3</v>
      </c>
      <c r="AJ7" s="8">
        <f t="shared" si="5"/>
        <v>-9.486379202615214E-4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-110.03119790543008</v>
      </c>
      <c r="AP7" s="8">
        <f t="shared" ref="AP7:AP44" si="14">IF(AU6&gt;0,AR6,AP6)</f>
        <v>1500</v>
      </c>
      <c r="AQ7" s="8">
        <v>137.9853286995243</v>
      </c>
      <c r="AR7" s="8">
        <f t="shared" si="9"/>
        <v>1250</v>
      </c>
      <c r="AS7" s="8">
        <v>18.231969264597865</v>
      </c>
      <c r="AT7" s="8">
        <f t="shared" si="10"/>
        <v>-2006.0854183586862</v>
      </c>
      <c r="AU7" s="8">
        <f t="shared" si="11"/>
        <v>2515.7442718151606</v>
      </c>
      <c r="AV7" s="8">
        <f t="shared" si="12"/>
        <v>500</v>
      </c>
    </row>
    <row r="8" spans="2:48" x14ac:dyDescent="0.2">
      <c r="B8" t="s">
        <v>146</v>
      </c>
      <c r="C8" s="1">
        <v>1</v>
      </c>
      <c r="D8" t="s">
        <v>14</v>
      </c>
      <c r="F8" t="s">
        <v>120</v>
      </c>
      <c r="G8">
        <f xml:space="preserve"> $G$5/$G$4</f>
        <v>60</v>
      </c>
      <c r="H8" t="s">
        <v>22</v>
      </c>
      <c r="N8" t="s">
        <v>201</v>
      </c>
      <c r="O8" s="1">
        <v>2.476619E-2</v>
      </c>
      <c r="R8" t="s">
        <v>201</v>
      </c>
      <c r="S8" s="1">
        <v>2.476619E-2</v>
      </c>
      <c r="V8" t="s">
        <v>201</v>
      </c>
      <c r="W8" s="1">
        <v>2.476619E-2</v>
      </c>
      <c r="AB8" s="8">
        <v>4</v>
      </c>
      <c r="AC8" s="8">
        <f t="shared" si="7"/>
        <v>0.3125</v>
      </c>
      <c r="AD8" s="8">
        <f t="shared" si="0"/>
        <v>2.1770596512323714E-2</v>
      </c>
      <c r="AE8" s="8">
        <f t="shared" si="8"/>
        <v>0.375</v>
      </c>
      <c r="AF8" s="8">
        <f t="shared" si="1"/>
        <v>-4.3574273204894709E-2</v>
      </c>
      <c r="AG8" s="8">
        <f t="shared" si="3"/>
        <v>0.34375</v>
      </c>
      <c r="AH8" s="8">
        <f t="shared" si="2"/>
        <v>-1.1029888491406292E-2</v>
      </c>
      <c r="AI8" s="8">
        <f t="shared" si="4"/>
        <v>-2.401272519223293E-4</v>
      </c>
      <c r="AJ8" s="8">
        <f t="shared" si="5"/>
        <v>4.8061937454406173E-4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-110.03119790543008</v>
      </c>
      <c r="AP8" s="8">
        <f t="shared" si="14"/>
        <v>1250</v>
      </c>
      <c r="AQ8" s="8">
        <v>18.231969264597865</v>
      </c>
      <c r="AR8" s="8">
        <f t="shared" si="9"/>
        <v>1125</v>
      </c>
      <c r="AS8" s="8">
        <v>-44.869560030272169</v>
      </c>
      <c r="AT8" s="8">
        <f t="shared" si="10"/>
        <v>4937.0514396204517</v>
      </c>
      <c r="AU8" s="8">
        <f t="shared" si="11"/>
        <v>-818.06043938795096</v>
      </c>
      <c r="AV8" s="8">
        <f t="shared" si="12"/>
        <v>250</v>
      </c>
    </row>
    <row r="9" spans="2:48" x14ac:dyDescent="0.2">
      <c r="B9" t="s">
        <v>207</v>
      </c>
      <c r="C9" s="1">
        <v>0.1021</v>
      </c>
      <c r="D9" t="s">
        <v>14</v>
      </c>
      <c r="F9" t="s">
        <v>214</v>
      </c>
      <c r="G9">
        <f>$C$13*2*PI()*$C$6/60 * $C$6</f>
        <v>169.64600329384882</v>
      </c>
      <c r="H9" t="s">
        <v>16</v>
      </c>
      <c r="N9" t="s">
        <v>200</v>
      </c>
      <c r="O9">
        <f>$O$8 + O7</f>
        <v>2.9186770660234153E-2</v>
      </c>
      <c r="R9" t="s">
        <v>200</v>
      </c>
      <c r="S9">
        <f xml:space="preserve"> $S$8 + S7</f>
        <v>2.9186770660234153E-2</v>
      </c>
      <c r="V9" t="s">
        <v>200</v>
      </c>
      <c r="W9">
        <f xml:space="preserve"> $W$8 + W7</f>
        <v>2.9186770660234153E-2</v>
      </c>
      <c r="AB9" s="8">
        <v>5</v>
      </c>
      <c r="AC9" s="8">
        <f t="shared" si="7"/>
        <v>0.3125</v>
      </c>
      <c r="AD9" s="8">
        <f t="shared" si="0"/>
        <v>2.1770596512323714E-2</v>
      </c>
      <c r="AE9" s="8">
        <f t="shared" si="8"/>
        <v>0.34375</v>
      </c>
      <c r="AF9" s="8">
        <f t="shared" si="1"/>
        <v>-1.1029888491406292E-2</v>
      </c>
      <c r="AG9" s="8">
        <f t="shared" si="3"/>
        <v>0.328125</v>
      </c>
      <c r="AH9" s="8">
        <f t="shared" si="2"/>
        <v>5.3338313230674173E-3</v>
      </c>
      <c r="AI9" s="8">
        <f t="shared" si="4"/>
        <v>1.161206895992945E-4</v>
      </c>
      <c r="AJ9" s="8">
        <f t="shared" si="5"/>
        <v>-5.8831564725403701E-5</v>
      </c>
      <c r="AK9" s="8">
        <f t="shared" si="6"/>
        <v>3.125E-2</v>
      </c>
      <c r="AM9" s="8">
        <v>5</v>
      </c>
      <c r="AN9" s="8">
        <f t="shared" si="13"/>
        <v>1125</v>
      </c>
      <c r="AO9" s="8">
        <v>-44.869560030272169</v>
      </c>
      <c r="AP9" s="8">
        <f t="shared" si="14"/>
        <v>1250</v>
      </c>
      <c r="AQ9" s="8">
        <v>18.231969264597865</v>
      </c>
      <c r="AR9" s="8">
        <f t="shared" si="9"/>
        <v>1187.5</v>
      </c>
      <c r="AS9" s="8">
        <v>-13.056559129423135</v>
      </c>
      <c r="AT9" s="8">
        <f t="shared" si="10"/>
        <v>585.84206364644945</v>
      </c>
      <c r="AU9" s="8">
        <f t="shared" si="11"/>
        <v>-238.04678474904725</v>
      </c>
      <c r="AV9" s="8">
        <f t="shared" si="12"/>
        <v>125</v>
      </c>
    </row>
    <row r="10" spans="2:48" x14ac:dyDescent="0.2">
      <c r="B10" t="s">
        <v>17</v>
      </c>
      <c r="C10" s="1">
        <v>16.2</v>
      </c>
      <c r="D10" t="s">
        <v>18</v>
      </c>
      <c r="F10" s="20" t="s">
        <v>217</v>
      </c>
      <c r="G10">
        <f>G9/$C$66</f>
        <v>0.49834908845015752</v>
      </c>
      <c r="H10" t="s">
        <v>215</v>
      </c>
      <c r="J10" s="58" t="s">
        <v>34</v>
      </c>
      <c r="K10" s="58"/>
      <c r="L10" s="58"/>
      <c r="N10" t="s">
        <v>57</v>
      </c>
      <c r="O10">
        <f xml:space="preserve"> O5 * $C$10 * O9</f>
        <v>724.01432969043344</v>
      </c>
      <c r="P10" t="s">
        <v>31</v>
      </c>
      <c r="R10" t="s">
        <v>57</v>
      </c>
      <c r="S10">
        <f xml:space="preserve"> S5 * $C$10 * S9</f>
        <v>724.01432969043344</v>
      </c>
      <c r="T10" t="s">
        <v>31</v>
      </c>
      <c r="V10" t="s">
        <v>57</v>
      </c>
      <c r="W10">
        <f xml:space="preserve"> W5*W9*$C$10</f>
        <v>724.01432969043344</v>
      </c>
      <c r="X10" t="s">
        <v>31</v>
      </c>
      <c r="AB10" s="8">
        <v>6</v>
      </c>
      <c r="AC10" s="8">
        <f t="shared" si="7"/>
        <v>0.328125</v>
      </c>
      <c r="AD10" s="8">
        <f t="shared" si="0"/>
        <v>5.3338313230674173E-3</v>
      </c>
      <c r="AE10" s="8">
        <f t="shared" si="8"/>
        <v>0.34375</v>
      </c>
      <c r="AF10" s="8">
        <f t="shared" si="1"/>
        <v>-1.1029888491406292E-2</v>
      </c>
      <c r="AG10" s="8">
        <f t="shared" si="3"/>
        <v>0.3359375</v>
      </c>
      <c r="AH10" s="8">
        <f t="shared" si="2"/>
        <v>-2.8565310420639589E-3</v>
      </c>
      <c r="AI10" s="8">
        <f t="shared" si="4"/>
        <v>-1.5236254747475154E-5</v>
      </c>
      <c r="AJ10" s="8">
        <f t="shared" si="5"/>
        <v>3.1507218866206085E-5</v>
      </c>
      <c r="AK10" s="8">
        <f t="shared" si="6"/>
        <v>1.5625E-2</v>
      </c>
      <c r="AM10" s="8">
        <v>6</v>
      </c>
      <c r="AN10" s="8">
        <f t="shared" si="13"/>
        <v>1187.5</v>
      </c>
      <c r="AO10" s="8">
        <v>-13.056559129423135</v>
      </c>
      <c r="AP10" s="8">
        <f t="shared" si="14"/>
        <v>1250</v>
      </c>
      <c r="AQ10" s="8">
        <v>18.231969264597865</v>
      </c>
      <c r="AR10" s="8">
        <f t="shared" si="9"/>
        <v>1218.75</v>
      </c>
      <c r="AS10" s="8">
        <v>2.653800895370523</v>
      </c>
      <c r="AT10" s="8">
        <f t="shared" si="10"/>
        <v>-34.649508308121291</v>
      </c>
      <c r="AU10" s="8">
        <f t="shared" si="11"/>
        <v>48.38401635875767</v>
      </c>
      <c r="AV10" s="8">
        <f t="shared" si="12"/>
        <v>62.5</v>
      </c>
    </row>
    <row r="11" spans="2:48" x14ac:dyDescent="0.2">
      <c r="B11" t="s">
        <v>5</v>
      </c>
      <c r="C11" s="1">
        <v>7.32</v>
      </c>
      <c r="J11" t="s">
        <v>153</v>
      </c>
      <c r="K11">
        <f xml:space="preserve"> (G6*G8 + G20*G21 + G27*G28 + G40*G41 + G48*G50)/3600</f>
        <v>40.549737233004265</v>
      </c>
      <c r="L11" t="s">
        <v>163</v>
      </c>
      <c r="N11" t="s">
        <v>58</v>
      </c>
      <c r="O11">
        <f xml:space="preserve"> 1.78 * (1 - 0.045 * $C$11^0.68) - 0.64</f>
        <v>0.82990122458567595</v>
      </c>
      <c r="R11" t="s">
        <v>58</v>
      </c>
      <c r="S11">
        <f xml:space="preserve"> 1.78 * (1 - 0.045 * $C$11^0.68) - 0.64</f>
        <v>0.82990122458567595</v>
      </c>
      <c r="V11" t="s">
        <v>58</v>
      </c>
      <c r="W11">
        <f xml:space="preserve"> 1.78 * (1 - 0.045 * $C$11^0.68) - 0.64</f>
        <v>0.82990122458567595</v>
      </c>
      <c r="AB11" s="8">
        <v>7</v>
      </c>
      <c r="AC11" s="8">
        <f t="shared" si="7"/>
        <v>0.328125</v>
      </c>
      <c r="AD11" s="8">
        <f t="shared" si="0"/>
        <v>5.3338313230674173E-3</v>
      </c>
      <c r="AE11" s="8">
        <f t="shared" si="8"/>
        <v>0.3359375</v>
      </c>
      <c r="AF11" s="8">
        <f t="shared" si="1"/>
        <v>-2.8565310420639589E-3</v>
      </c>
      <c r="AG11" s="8">
        <f t="shared" si="3"/>
        <v>0.33203125</v>
      </c>
      <c r="AH11" s="8">
        <f t="shared" si="2"/>
        <v>1.2364505375518364E-3</v>
      </c>
      <c r="AI11" s="8">
        <f t="shared" si="4"/>
        <v>6.5950186066175305E-6</v>
      </c>
      <c r="AJ11" s="8">
        <f t="shared" si="5"/>
        <v>-3.5319593424934894E-6</v>
      </c>
      <c r="AK11" s="8">
        <f t="shared" si="6"/>
        <v>7.8125E-3</v>
      </c>
      <c r="AM11" s="8">
        <v>7</v>
      </c>
      <c r="AN11" s="8">
        <f t="shared" si="13"/>
        <v>1187.5</v>
      </c>
      <c r="AO11" s="8">
        <v>-13.056559129423135</v>
      </c>
      <c r="AP11" s="8">
        <f t="shared" si="14"/>
        <v>1218.75</v>
      </c>
      <c r="AQ11" s="8">
        <v>2.653800895370523</v>
      </c>
      <c r="AR11" s="8">
        <f t="shared" si="9"/>
        <v>1203.125</v>
      </c>
      <c r="AS11" s="8">
        <v>-5.1849207560826471</v>
      </c>
      <c r="AT11" s="8">
        <f t="shared" si="10"/>
        <v>67.697224433166397</v>
      </c>
      <c r="AU11" s="8">
        <f t="shared" si="11"/>
        <v>-13.759747344917338</v>
      </c>
      <c r="AV11" s="8">
        <f t="shared" si="12"/>
        <v>31.25</v>
      </c>
    </row>
    <row r="12" spans="2:48" x14ac:dyDescent="0.2">
      <c r="B12" t="s">
        <v>15</v>
      </c>
      <c r="C12" s="1">
        <v>50</v>
      </c>
      <c r="D12" t="s">
        <v>16</v>
      </c>
      <c r="F12" s="63" t="s">
        <v>124</v>
      </c>
      <c r="G12" s="64"/>
      <c r="H12" s="64"/>
      <c r="J12" t="s">
        <v>35</v>
      </c>
      <c r="K12">
        <f xml:space="preserve"> (G8 + G21 + G28 + G41 +G50)/60</f>
        <v>34.67079771753523</v>
      </c>
      <c r="L12" t="s">
        <v>164</v>
      </c>
      <c r="N12" t="s">
        <v>138</v>
      </c>
      <c r="O12">
        <f>O4/(O5*$C$10)</f>
        <v>0.47909466971548287</v>
      </c>
      <c r="R12" t="s">
        <v>138</v>
      </c>
      <c r="S12">
        <f xml:space="preserve"> S4 / (S5 * $C$10)</f>
        <v>0.47971405421416019</v>
      </c>
      <c r="V12" t="s">
        <v>138</v>
      </c>
      <c r="W12">
        <f>W4 / ( W5 * $C$10)</f>
        <v>0.47949116796526997</v>
      </c>
      <c r="AB12" s="8">
        <v>8</v>
      </c>
      <c r="AC12" s="8">
        <f t="shared" si="7"/>
        <v>0.33203125</v>
      </c>
      <c r="AD12" s="8">
        <f t="shared" si="0"/>
        <v>1.2364505375518364E-3</v>
      </c>
      <c r="AE12" s="8">
        <f t="shared" si="8"/>
        <v>0.3359375</v>
      </c>
      <c r="AF12" s="8">
        <f t="shared" si="1"/>
        <v>-2.8565310420639589E-3</v>
      </c>
      <c r="AG12" s="8">
        <f t="shared" si="3"/>
        <v>0.333984375</v>
      </c>
      <c r="AH12" s="8">
        <f t="shared" si="2"/>
        <v>-8.1058063865535601E-4</v>
      </c>
      <c r="AI12" s="8">
        <f t="shared" si="4"/>
        <v>-1.0022428663945259E-6</v>
      </c>
      <c r="AJ12" s="8">
        <f t="shared" si="5"/>
        <v>2.3154487564150535E-6</v>
      </c>
      <c r="AK12" s="8">
        <f t="shared" si="6"/>
        <v>3.90625E-3</v>
      </c>
      <c r="AM12" s="8">
        <v>8</v>
      </c>
      <c r="AN12" s="8">
        <f t="shared" si="13"/>
        <v>1203.125</v>
      </c>
      <c r="AO12" s="8">
        <v>-5.1849207560826471</v>
      </c>
      <c r="AP12" s="8">
        <f t="shared" si="14"/>
        <v>1218.75</v>
      </c>
      <c r="AQ12" s="8">
        <v>2.653800895370523</v>
      </c>
      <c r="AR12" s="8">
        <f t="shared" si="9"/>
        <v>1210.9375</v>
      </c>
      <c r="AS12" s="8">
        <v>-1.2614370561926762</v>
      </c>
      <c r="AT12" s="8">
        <f t="shared" si="10"/>
        <v>6.5404511751451997</v>
      </c>
      <c r="AU12" s="8">
        <f t="shared" si="11"/>
        <v>-3.3476027891776807</v>
      </c>
      <c r="AV12" s="8">
        <f t="shared" si="12"/>
        <v>15.625</v>
      </c>
    </row>
    <row r="13" spans="2:48" x14ac:dyDescent="0.2">
      <c r="B13" t="s">
        <v>219</v>
      </c>
      <c r="C13" s="1">
        <v>1620</v>
      </c>
      <c r="D13" t="s">
        <v>218</v>
      </c>
      <c r="F13" s="4" t="s">
        <v>154</v>
      </c>
      <c r="G13" s="1">
        <f>$C$12</f>
        <v>50</v>
      </c>
      <c r="H13" t="s">
        <v>16</v>
      </c>
      <c r="N13" t="s">
        <v>137</v>
      </c>
      <c r="O13">
        <f>O9+O12^2/(PI()*O11*$C$11)</f>
        <v>4.1213715493448017E-2</v>
      </c>
      <c r="R13" t="s">
        <v>137</v>
      </c>
      <c r="S13">
        <f xml:space="preserve"> S9 + S12^2 / ( PI() * S11 * $C$11 )</f>
        <v>4.1244833011474122E-2</v>
      </c>
      <c r="V13" t="s">
        <v>137</v>
      </c>
      <c r="W13">
        <f xml:space="preserve"> W9 + W12^2 / (PI() * W11 * $C$11)</f>
        <v>4.1233630704984724E-2</v>
      </c>
      <c r="AB13" s="8">
        <v>9</v>
      </c>
      <c r="AC13" s="8">
        <f t="shared" si="7"/>
        <v>0.33203125</v>
      </c>
      <c r="AD13" s="8">
        <f t="shared" si="0"/>
        <v>1.2364505375518364E-3</v>
      </c>
      <c r="AE13" s="8">
        <f t="shared" si="8"/>
        <v>0.333984375</v>
      </c>
      <c r="AF13" s="8">
        <f t="shared" si="1"/>
        <v>-8.1058063865535601E-4</v>
      </c>
      <c r="AG13" s="8">
        <f t="shared" si="3"/>
        <v>0.3330078125</v>
      </c>
      <c r="AH13" s="8">
        <f t="shared" si="2"/>
        <v>2.127986806920168E-4</v>
      </c>
      <c r="AI13" s="8">
        <f t="shared" si="4"/>
        <v>2.6311504313196578E-7</v>
      </c>
      <c r="AJ13" s="8">
        <f t="shared" si="5"/>
        <v>-1.7249049050035214E-7</v>
      </c>
      <c r="AK13" s="8">
        <f t="shared" si="6"/>
        <v>1.953125E-3</v>
      </c>
      <c r="AM13" s="8">
        <v>9</v>
      </c>
      <c r="AN13" s="8">
        <f t="shared" si="13"/>
        <v>1210.9375</v>
      </c>
      <c r="AO13" s="8">
        <v>-1.2614370561926762</v>
      </c>
      <c r="AP13" s="8">
        <f t="shared" si="14"/>
        <v>1218.75</v>
      </c>
      <c r="AQ13" s="8">
        <v>2.653800895370523</v>
      </c>
      <c r="AR13" s="8">
        <f t="shared" si="9"/>
        <v>1214.84375</v>
      </c>
      <c r="AS13" s="8">
        <v>0.69721379850477661</v>
      </c>
      <c r="AT13" s="8">
        <f t="shared" si="10"/>
        <v>-0.87949132152277909</v>
      </c>
      <c r="AU13" s="8">
        <f t="shared" si="11"/>
        <v>1.8502666027366597</v>
      </c>
      <c r="AV13" s="8">
        <f t="shared" si="12"/>
        <v>7.8125</v>
      </c>
    </row>
    <row r="14" spans="2:48" x14ac:dyDescent="0.2">
      <c r="B14" t="s">
        <v>208</v>
      </c>
      <c r="C14" s="1">
        <v>1</v>
      </c>
      <c r="F14" t="s">
        <v>126</v>
      </c>
      <c r="G14" s="1">
        <v>2.54</v>
      </c>
      <c r="H14" t="s">
        <v>16</v>
      </c>
      <c r="N14" t="s">
        <v>139</v>
      </c>
      <c r="O14">
        <f>O5*O13*$C$10</f>
        <v>1022.3577299593449</v>
      </c>
      <c r="P14" t="s">
        <v>31</v>
      </c>
      <c r="R14" t="s">
        <v>60</v>
      </c>
      <c r="S14">
        <f xml:space="preserve"> S5 * S13 * $C$10</f>
        <v>1023.12963889088</v>
      </c>
      <c r="T14" t="s">
        <v>31</v>
      </c>
      <c r="V14" t="s">
        <v>139</v>
      </c>
      <c r="W14">
        <f xml:space="preserve"> W5 * $C$10 * W13</f>
        <v>1022.8517516755273</v>
      </c>
      <c r="X14" t="s">
        <v>31</v>
      </c>
      <c r="AB14" s="8">
        <v>10</v>
      </c>
      <c r="AC14" s="8">
        <f t="shared" si="7"/>
        <v>0.3330078125</v>
      </c>
      <c r="AD14" s="8">
        <f t="shared" si="0"/>
        <v>2.127986806920168E-4</v>
      </c>
      <c r="AE14" s="8">
        <f t="shared" si="8"/>
        <v>0.333984375</v>
      </c>
      <c r="AF14" s="8">
        <f t="shared" si="1"/>
        <v>-8.1058063865535601E-4</v>
      </c>
      <c r="AG14" s="8">
        <f t="shared" si="3"/>
        <v>0.33349609375</v>
      </c>
      <c r="AH14" s="8">
        <f t="shared" si="2"/>
        <v>-2.9892489859711935E-4</v>
      </c>
      <c r="AI14" s="8">
        <f t="shared" si="4"/>
        <v>-6.3610824047461899E-8</v>
      </c>
      <c r="AJ14" s="8">
        <f t="shared" si="5"/>
        <v>2.4230273521484055E-7</v>
      </c>
      <c r="AK14" s="8">
        <f t="shared" si="6"/>
        <v>9.765625E-4</v>
      </c>
      <c r="AM14" s="8">
        <v>10</v>
      </c>
      <c r="AN14" s="8">
        <f t="shared" si="13"/>
        <v>1210.9375</v>
      </c>
      <c r="AO14" s="8">
        <v>-1.2614370561926762</v>
      </c>
      <c r="AP14" s="8">
        <f t="shared" si="14"/>
        <v>1214.84375</v>
      </c>
      <c r="AQ14" s="8">
        <v>0.69721379850477661</v>
      </c>
      <c r="AR14" s="8">
        <f t="shared" si="9"/>
        <v>1212.890625</v>
      </c>
      <c r="AS14" s="8">
        <v>-0.28185399693222735</v>
      </c>
      <c r="AT14" s="8">
        <f t="shared" si="10"/>
        <v>0.35554107616632846</v>
      </c>
      <c r="AU14" s="8">
        <f t="shared" si="11"/>
        <v>-0.19651249582487187</v>
      </c>
      <c r="AV14" s="8">
        <f t="shared" si="12"/>
        <v>3.90625</v>
      </c>
    </row>
    <row r="15" spans="2:48" x14ac:dyDescent="0.2">
      <c r="F15" t="s">
        <v>125</v>
      </c>
      <c r="G15" s="1">
        <v>304.8</v>
      </c>
      <c r="H15" t="s">
        <v>14</v>
      </c>
      <c r="J15" s="21" t="s">
        <v>73</v>
      </c>
      <c r="K15" s="21"/>
      <c r="L15" s="21"/>
      <c r="N15" t="s">
        <v>106</v>
      </c>
      <c r="O15">
        <f>O4/O14</f>
        <v>11.624641553893566</v>
      </c>
      <c r="R15" t="s">
        <v>106</v>
      </c>
      <c r="S15">
        <f>S4/S14</f>
        <v>11.630888506221032</v>
      </c>
      <c r="V15" t="s">
        <v>106</v>
      </c>
      <c r="W15">
        <f>W4/W14</f>
        <v>11.628642924895392</v>
      </c>
      <c r="AB15" s="8">
        <v>11</v>
      </c>
      <c r="AC15" s="8">
        <f t="shared" si="7"/>
        <v>0.3330078125</v>
      </c>
      <c r="AD15" s="8">
        <f t="shared" si="0"/>
        <v>2.127986806920168E-4</v>
      </c>
      <c r="AE15" s="8">
        <f t="shared" si="8"/>
        <v>0.33349609375</v>
      </c>
      <c r="AF15" s="8">
        <f t="shared" si="1"/>
        <v>-2.9892489859711935E-4</v>
      </c>
      <c r="AG15" s="8">
        <f t="shared" si="3"/>
        <v>0.333251953125</v>
      </c>
      <c r="AH15" s="8">
        <f t="shared" si="2"/>
        <v>-4.3071607236710996E-5</v>
      </c>
      <c r="AI15" s="8">
        <f t="shared" si="4"/>
        <v>-9.1655811952568236E-9</v>
      </c>
      <c r="AJ15" s="8">
        <f t="shared" si="5"/>
        <v>1.2875175825648786E-8</v>
      </c>
      <c r="AK15" s="8">
        <f t="shared" si="6"/>
        <v>4.8828125E-4</v>
      </c>
      <c r="AM15" s="8">
        <v>11</v>
      </c>
      <c r="AN15" s="8">
        <f t="shared" si="13"/>
        <v>1212.890625</v>
      </c>
      <c r="AO15" s="8">
        <v>-0.28185399693222735</v>
      </c>
      <c r="AP15" s="8">
        <f t="shared" si="14"/>
        <v>1214.84375</v>
      </c>
      <c r="AQ15" s="8">
        <v>0.69721379850477661</v>
      </c>
      <c r="AR15" s="8">
        <f t="shared" si="9"/>
        <v>1213.8671875</v>
      </c>
      <c r="AS15" s="8">
        <v>0.20774451394345306</v>
      </c>
      <c r="AT15" s="8">
        <f t="shared" si="10"/>
        <v>-5.8553621595705083E-2</v>
      </c>
      <c r="AU15" s="8">
        <f t="shared" si="11"/>
        <v>0.14484234168504342</v>
      </c>
      <c r="AV15" s="8">
        <f t="shared" si="12"/>
        <v>1.953125</v>
      </c>
    </row>
    <row r="16" spans="2:48" x14ac:dyDescent="0.2">
      <c r="B16" s="61" t="s">
        <v>20</v>
      </c>
      <c r="C16" s="61"/>
      <c r="D16" s="61"/>
      <c r="F16" t="s">
        <v>127</v>
      </c>
      <c r="G16">
        <f>SQRT($G$13^2-$G$14^2)</f>
        <v>49.935442323063484</v>
      </c>
      <c r="H16" t="s">
        <v>16</v>
      </c>
      <c r="J16" s="3" t="s">
        <v>109</v>
      </c>
      <c r="K16" s="5">
        <f>C5</f>
        <v>1213.4527853395412</v>
      </c>
      <c r="L16" t="s">
        <v>12</v>
      </c>
      <c r="N16" s="20" t="s">
        <v>195</v>
      </c>
      <c r="O16" s="20">
        <f>(O13*$C$10)/(0.3048^2)/($C$5*2.20462/1000)^(2/3)</f>
        <v>3.7292580917426337</v>
      </c>
      <c r="P16" s="20"/>
      <c r="R16" s="20" t="s">
        <v>195</v>
      </c>
      <c r="S16" s="20">
        <f>(S13*$C$10)/(0.3048^2)/($C$5*2.20462/1000)^(2/3)</f>
        <v>3.7320737868214295</v>
      </c>
      <c r="V16" s="20" t="s">
        <v>195</v>
      </c>
      <c r="W16" s="20">
        <f>(W13*$C$10)/(0.3048^2)/($C$5*2.20462/1000)^(2/3)</f>
        <v>3.7310601365930625</v>
      </c>
      <c r="AB16" s="8">
        <v>12</v>
      </c>
      <c r="AC16" s="8">
        <f t="shared" si="7"/>
        <v>0.3330078125</v>
      </c>
      <c r="AD16" s="8">
        <f t="shared" si="0"/>
        <v>2.127986806920168E-4</v>
      </c>
      <c r="AE16" s="8">
        <f t="shared" si="8"/>
        <v>0.333251953125</v>
      </c>
      <c r="AF16" s="8">
        <f t="shared" si="1"/>
        <v>-4.3071607236710996E-5</v>
      </c>
      <c r="AG16" s="8">
        <f t="shared" si="3"/>
        <v>0.3331298828125</v>
      </c>
      <c r="AH16" s="8">
        <f t="shared" si="2"/>
        <v>8.4861409853254077E-5</v>
      </c>
      <c r="AI16" s="8">
        <f t="shared" si="4"/>
        <v>1.8058396058436981E-8</v>
      </c>
      <c r="AJ16" s="8">
        <f t="shared" si="5"/>
        <v>-3.655117314752916E-9</v>
      </c>
      <c r="AK16" s="8">
        <f t="shared" si="6"/>
        <v>2.44140625E-4</v>
      </c>
      <c r="AM16" s="8">
        <v>12</v>
      </c>
      <c r="AN16" s="8">
        <f t="shared" si="13"/>
        <v>1212.890625</v>
      </c>
      <c r="AO16" s="8">
        <v>-0.28185399693222735</v>
      </c>
      <c r="AP16" s="8">
        <f t="shared" si="14"/>
        <v>1213.8671875</v>
      </c>
      <c r="AQ16" s="8">
        <v>0.20774451394345306</v>
      </c>
      <c r="AR16" s="8">
        <f t="shared" si="9"/>
        <v>1213.37890625</v>
      </c>
      <c r="AS16" s="8">
        <v>-3.7038528675338966E-2</v>
      </c>
      <c r="AT16" s="8">
        <f t="shared" si="10"/>
        <v>1.0439457347633204E-2</v>
      </c>
      <c r="AU16" s="8">
        <f t="shared" si="11"/>
        <v>-7.6945511368389421E-3</v>
      </c>
      <c r="AV16" s="8">
        <f t="shared" si="12"/>
        <v>0.9765625</v>
      </c>
    </row>
    <row r="17" spans="2:48" x14ac:dyDescent="0.2">
      <c r="B17" t="s">
        <v>92</v>
      </c>
      <c r="C17">
        <f>C35*100</f>
        <v>400</v>
      </c>
      <c r="D17" t="s">
        <v>12</v>
      </c>
      <c r="F17" t="s">
        <v>128</v>
      </c>
      <c r="G17">
        <f>$G$16 * ($G$15/$G$14)</f>
        <v>5992.2530787676178</v>
      </c>
      <c r="H17" t="s">
        <v>14</v>
      </c>
      <c r="J17" s="16" t="s">
        <v>74</v>
      </c>
      <c r="K17">
        <f xml:space="preserve"> 1000 * K11 / ($C$60 * $C$61 * $C$62)</f>
        <v>238.52786607649566</v>
      </c>
      <c r="L17" t="s">
        <v>12</v>
      </c>
      <c r="AB17" s="8">
        <v>13</v>
      </c>
      <c r="AC17" s="8">
        <f t="shared" si="7"/>
        <v>0.3331298828125</v>
      </c>
      <c r="AD17" s="8">
        <f t="shared" si="0"/>
        <v>8.4861409853254077E-5</v>
      </c>
      <c r="AE17" s="8">
        <f t="shared" si="8"/>
        <v>0.333251953125</v>
      </c>
      <c r="AF17" s="8">
        <f t="shared" si="1"/>
        <v>-4.3071607236710996E-5</v>
      </c>
      <c r="AG17" s="8">
        <f t="shared" si="3"/>
        <v>0.33319091796875</v>
      </c>
      <c r="AH17" s="8">
        <f t="shared" si="2"/>
        <v>2.0894369877844099E-5</v>
      </c>
      <c r="AI17" s="8">
        <f t="shared" si="4"/>
        <v>1.7731256858292144E-9</v>
      </c>
      <c r="AJ17" s="8">
        <f t="shared" si="5"/>
        <v>-8.9995409283706613E-10</v>
      </c>
      <c r="AK17" s="8">
        <f t="shared" si="6"/>
        <v>1.220703125E-4</v>
      </c>
      <c r="AM17" s="8">
        <v>13</v>
      </c>
      <c r="AN17" s="8">
        <f t="shared" si="13"/>
        <v>1213.37890625</v>
      </c>
      <c r="AO17" s="8">
        <v>-3.7038528675338966E-2</v>
      </c>
      <c r="AP17" s="8">
        <f t="shared" si="14"/>
        <v>1213.8671875</v>
      </c>
      <c r="AQ17" s="8">
        <v>0.20774451394345306</v>
      </c>
      <c r="AR17" s="8">
        <f t="shared" si="9"/>
        <v>1213.623046875</v>
      </c>
      <c r="AS17" s="8">
        <v>8.5357056390193975E-2</v>
      </c>
      <c r="AT17" s="8">
        <f t="shared" si="10"/>
        <v>-3.1614997807507248E-3</v>
      </c>
      <c r="AU17" s="8">
        <f t="shared" si="11"/>
        <v>1.773246019142476E-2</v>
      </c>
      <c r="AV17" s="8">
        <f t="shared" si="12"/>
        <v>0.48828125</v>
      </c>
    </row>
    <row r="18" spans="2:48" x14ac:dyDescent="0.2">
      <c r="B18" t="s">
        <v>21</v>
      </c>
      <c r="C18" s="1">
        <v>96000</v>
      </c>
      <c r="D18" t="s">
        <v>14</v>
      </c>
      <c r="F18" t="s">
        <v>152</v>
      </c>
      <c r="G18">
        <f>ATAN(G14/G16)/PI()*180</f>
        <v>2.9118789347687013</v>
      </c>
      <c r="H18" t="s">
        <v>62</v>
      </c>
      <c r="J18" s="12" t="s">
        <v>75</v>
      </c>
      <c r="K18">
        <f xml:space="preserve"> $C$69 * ($C$21 * $C$25 * (2*$C$6*3.28084 * (K5*1000*0.00134102) * $C$22^0.5)^0.782 * 0.453592 + C28 * $C$28 * $C$25 * (2*$C$8*3.28084 * (K7*1000*0.00134102) * $C$29^0.5)^0.782 * 0.453592)</f>
        <v>59.994115562873347</v>
      </c>
      <c r="L18" t="s">
        <v>12</v>
      </c>
      <c r="N18" s="63" t="s">
        <v>140</v>
      </c>
      <c r="O18" s="67"/>
      <c r="P18" s="67"/>
      <c r="R18" s="63" t="s">
        <v>135</v>
      </c>
      <c r="S18" s="67"/>
      <c r="T18" s="67"/>
      <c r="V18" s="63" t="s">
        <v>149</v>
      </c>
      <c r="W18" s="67"/>
      <c r="X18" s="67"/>
      <c r="AB18" s="8">
        <v>14</v>
      </c>
      <c r="AC18" s="8">
        <f t="shared" si="7"/>
        <v>0.33319091796875</v>
      </c>
      <c r="AD18" s="8">
        <f t="shared" si="0"/>
        <v>2.0894369877844099E-5</v>
      </c>
      <c r="AE18" s="8">
        <f t="shared" si="8"/>
        <v>0.333251953125</v>
      </c>
      <c r="AF18" s="8">
        <f t="shared" si="1"/>
        <v>-4.3071607236710996E-5</v>
      </c>
      <c r="AG18" s="8">
        <f t="shared" si="3"/>
        <v>0.333221435546875</v>
      </c>
      <c r="AH18" s="8">
        <f t="shared" si="2"/>
        <v>-1.1088751501020511E-5</v>
      </c>
      <c r="AI18" s="8">
        <f t="shared" si="4"/>
        <v>-2.3169247534582148E-10</v>
      </c>
      <c r="AJ18" s="8">
        <f t="shared" si="5"/>
        <v>4.7761034939744491E-10</v>
      </c>
      <c r="AK18" s="8">
        <f t="shared" si="6"/>
        <v>6.103515625E-5</v>
      </c>
      <c r="AM18" s="8">
        <v>14</v>
      </c>
      <c r="AN18" s="8">
        <f t="shared" si="13"/>
        <v>1213.37890625</v>
      </c>
      <c r="AO18" s="8">
        <v>-3.7038528675338966E-2</v>
      </c>
      <c r="AP18" s="8">
        <f t="shared" si="14"/>
        <v>1213.623046875</v>
      </c>
      <c r="AQ18" s="8">
        <v>8.5357056390193975E-2</v>
      </c>
      <c r="AR18" s="8">
        <f t="shared" si="9"/>
        <v>1213.5009765625</v>
      </c>
      <c r="AS18" s="8">
        <v>2.4160113635502967E-2</v>
      </c>
      <c r="AT18" s="8">
        <f t="shared" si="10"/>
        <v>-8.9485506168802454E-4</v>
      </c>
      <c r="AU18" s="8">
        <f t="shared" si="11"/>
        <v>2.0622361819791213E-3</v>
      </c>
      <c r="AV18" s="8">
        <f t="shared" si="12"/>
        <v>0.244140625</v>
      </c>
    </row>
    <row r="19" spans="2:48" x14ac:dyDescent="0.2">
      <c r="F19" t="s">
        <v>143</v>
      </c>
      <c r="G19">
        <f xml:space="preserve"> 1/1000 * (O25 + O20 * (O30 * O27 + $G$13 * SIN(O19/180*PI())))</f>
        <v>91.703611287871553</v>
      </c>
      <c r="H19" t="s">
        <v>162</v>
      </c>
      <c r="J19" s="13" t="s">
        <v>76</v>
      </c>
      <c r="K19">
        <f xml:space="preserve"> 0.2138 * K4 + 0.2138 * K6</f>
        <v>71.269161903453366</v>
      </c>
      <c r="L19" t="s">
        <v>12</v>
      </c>
      <c r="N19" t="s">
        <v>41</v>
      </c>
      <c r="O19">
        <f xml:space="preserve"> 90 - $C$68</f>
        <v>85</v>
      </c>
      <c r="P19" t="s">
        <v>62</v>
      </c>
      <c r="R19" t="s">
        <v>41</v>
      </c>
      <c r="S19">
        <f xml:space="preserve"> 90 - $C$68</f>
        <v>85</v>
      </c>
      <c r="T19" t="s">
        <v>62</v>
      </c>
      <c r="V19" t="s">
        <v>41</v>
      </c>
      <c r="W19">
        <f xml:space="preserve"> 90 - $C$68</f>
        <v>85</v>
      </c>
      <c r="X19" t="s">
        <v>62</v>
      </c>
      <c r="AB19" s="8">
        <v>15</v>
      </c>
      <c r="AC19" s="8">
        <f t="shared" si="7"/>
        <v>0.33319091796875</v>
      </c>
      <c r="AD19" s="8">
        <f t="shared" si="0"/>
        <v>2.0894369877844099E-5</v>
      </c>
      <c r="AE19" s="8">
        <f t="shared" si="8"/>
        <v>0.333221435546875</v>
      </c>
      <c r="AF19" s="8">
        <f t="shared" si="1"/>
        <v>-1.1088751501020511E-5</v>
      </c>
      <c r="AG19" s="8">
        <f t="shared" si="3"/>
        <v>0.3332061767578125</v>
      </c>
      <c r="AH19" s="8">
        <f t="shared" si="2"/>
        <v>4.9027759785325031E-6</v>
      </c>
      <c r="AI19" s="8">
        <f t="shared" si="4"/>
        <v>1.0244041472366716E-10</v>
      </c>
      <c r="AJ19" s="8">
        <f t="shared" si="5"/>
        <v>-5.4365664491119599E-11</v>
      </c>
      <c r="AK19" s="8">
        <f t="shared" si="6"/>
        <v>3.0517578125E-5</v>
      </c>
      <c r="AM19" s="8">
        <v>15</v>
      </c>
      <c r="AN19" s="8">
        <f t="shared" si="13"/>
        <v>1213.37890625</v>
      </c>
      <c r="AO19" s="8">
        <v>-3.7038528675338966E-2</v>
      </c>
      <c r="AP19" s="8">
        <f t="shared" si="14"/>
        <v>1213.5009765625</v>
      </c>
      <c r="AQ19" s="8">
        <v>2.4160113635502967E-2</v>
      </c>
      <c r="AR19" s="8">
        <f t="shared" si="9"/>
        <v>1213.43994140625</v>
      </c>
      <c r="AS19" s="8">
        <v>-6.4390594128553857E-3</v>
      </c>
      <c r="AT19" s="8">
        <f t="shared" si="10"/>
        <v>2.3849328670525551E-4</v>
      </c>
      <c r="AU19" s="8">
        <f t="shared" si="11"/>
        <v>-1.5556840712034113E-4</v>
      </c>
      <c r="AV19" s="8">
        <f t="shared" si="12"/>
        <v>0.1220703125</v>
      </c>
    </row>
    <row r="20" spans="2:48" x14ac:dyDescent="0.2">
      <c r="B20" s="61" t="s">
        <v>184</v>
      </c>
      <c r="C20" s="61"/>
      <c r="D20" s="61"/>
      <c r="F20" t="s">
        <v>129</v>
      </c>
      <c r="G20">
        <f>$C$28*G19</f>
        <v>91.703611287871553</v>
      </c>
      <c r="H20" t="s">
        <v>162</v>
      </c>
      <c r="J20" s="13" t="s">
        <v>107</v>
      </c>
      <c r="K20">
        <f xml:space="preserve"> 0.1149 * K4 + 0.1149 * K6</f>
        <v>38.301340985532235</v>
      </c>
      <c r="L20" t="s">
        <v>12</v>
      </c>
      <c r="N20" t="s">
        <v>30</v>
      </c>
      <c r="O20">
        <f>(O14+$C$5*$C$67*SIN(G18/180*PI()))/$C$28</f>
        <v>1626.8729932327255</v>
      </c>
      <c r="P20" t="s">
        <v>31</v>
      </c>
      <c r="R20" t="s">
        <v>30</v>
      </c>
      <c r="S20">
        <f xml:space="preserve"> S14 / $C$28</f>
        <v>1023.12963889088</v>
      </c>
      <c r="T20" t="s">
        <v>31</v>
      </c>
      <c r="V20" t="s">
        <v>30</v>
      </c>
      <c r="W20">
        <f>(W14-$C$5*$C$67*SIN(G38/180*PI()))/$C$28</f>
        <v>660.14259371149888</v>
      </c>
      <c r="X20" t="s">
        <v>31</v>
      </c>
      <c r="AB20" s="8">
        <v>16</v>
      </c>
      <c r="AC20" s="8">
        <f t="shared" si="7"/>
        <v>0.3332061767578125</v>
      </c>
      <c r="AD20" s="8">
        <f t="shared" si="0"/>
        <v>4.9027759785325031E-6</v>
      </c>
      <c r="AE20" s="8">
        <f t="shared" si="8"/>
        <v>0.333221435546875</v>
      </c>
      <c r="AF20" s="8">
        <f t="shared" si="1"/>
        <v>-1.1088751501020511E-5</v>
      </c>
      <c r="AG20" s="8">
        <f t="shared" si="3"/>
        <v>0.33321380615234375</v>
      </c>
      <c r="AH20" s="8">
        <f t="shared" si="2"/>
        <v>-3.092996063158715E-6</v>
      </c>
      <c r="AI20" s="8">
        <f t="shared" si="4"/>
        <v>-1.516426680015015E-11</v>
      </c>
      <c r="AJ20" s="8">
        <f t="shared" si="5"/>
        <v>3.4297464738001731E-11</v>
      </c>
      <c r="AK20" s="8">
        <f t="shared" si="6"/>
        <v>1.52587890625E-5</v>
      </c>
      <c r="AM20" s="8">
        <v>16</v>
      </c>
      <c r="AN20" s="8">
        <f t="shared" si="13"/>
        <v>1213.43994140625</v>
      </c>
      <c r="AO20" s="8">
        <v>-6.4390594128553857E-3</v>
      </c>
      <c r="AP20" s="8">
        <f t="shared" si="14"/>
        <v>1213.5009765625</v>
      </c>
      <c r="AQ20" s="8">
        <v>2.4160113635502967E-2</v>
      </c>
      <c r="AR20" s="8">
        <f t="shared" si="9"/>
        <v>1213.470458984375</v>
      </c>
      <c r="AS20" s="8">
        <v>8.8608142299335668E-3</v>
      </c>
      <c r="AT20" s="8">
        <f t="shared" si="10"/>
        <v>-5.7055309272816682E-5</v>
      </c>
      <c r="AU20" s="8">
        <f t="shared" si="11"/>
        <v>2.1407827869827668E-4</v>
      </c>
      <c r="AV20" s="8">
        <f t="shared" si="12"/>
        <v>6.103515625E-2</v>
      </c>
    </row>
    <row r="21" spans="2:48" x14ac:dyDescent="0.2">
      <c r="B21" t="s">
        <v>144</v>
      </c>
      <c r="C21" s="1">
        <v>8</v>
      </c>
      <c r="F21" t="s">
        <v>130</v>
      </c>
      <c r="G21">
        <f>$G$15/$G$14</f>
        <v>120</v>
      </c>
      <c r="H21" t="s">
        <v>22</v>
      </c>
      <c r="J21" s="14" t="s">
        <v>84</v>
      </c>
      <c r="K21">
        <f xml:space="preserve"> $C$69 * (14.86 * ($C$5*2.20462)^0.144 * ($C$36/(PI()*$C$37))^0.778 * ($C$36*3.28084)^0.383 * $C$35^0.455 * 0.453592)</f>
        <v>165.71585086374088</v>
      </c>
      <c r="L21" t="s">
        <v>12</v>
      </c>
      <c r="N21" t="s">
        <v>42</v>
      </c>
      <c r="O21">
        <f xml:space="preserve"> PI() * $G$13 / ($C$8 * $C$14)</f>
        <v>157.07963267948966</v>
      </c>
      <c r="P21" t="s">
        <v>43</v>
      </c>
      <c r="R21" t="s">
        <v>42</v>
      </c>
      <c r="S21">
        <f xml:space="preserve"> PI() * $C$12 / ($C$8 * $C$14)</f>
        <v>157.07963267948966</v>
      </c>
      <c r="T21" t="s">
        <v>43</v>
      </c>
      <c r="V21" t="s">
        <v>42</v>
      </c>
      <c r="W21">
        <f xml:space="preserve"> PI() * $G$33 / ($C$8 * $C$14)</f>
        <v>157.07963267948966</v>
      </c>
      <c r="X21" t="s">
        <v>43</v>
      </c>
      <c r="AB21" s="8">
        <v>17</v>
      </c>
      <c r="AC21" s="8">
        <f t="shared" si="7"/>
        <v>0.3332061767578125</v>
      </c>
      <c r="AD21" s="8">
        <f t="shared" si="0"/>
        <v>4.9027759785325031E-6</v>
      </c>
      <c r="AE21" s="8">
        <f t="shared" si="8"/>
        <v>0.33321380615234375</v>
      </c>
      <c r="AF21" s="8">
        <f t="shared" si="1"/>
        <v>-3.092996063158715E-6</v>
      </c>
      <c r="AG21" s="8">
        <f t="shared" si="3"/>
        <v>0.33320999145507812</v>
      </c>
      <c r="AH21" s="8">
        <f t="shared" si="2"/>
        <v>9.0488788212494953E-7</v>
      </c>
      <c r="AI21" s="8">
        <f t="shared" si="4"/>
        <v>4.4364625717473535E-12</v>
      </c>
      <c r="AJ21" s="8">
        <f t="shared" si="5"/>
        <v>-2.7988146570124961E-12</v>
      </c>
      <c r="AK21" s="8">
        <f t="shared" si="6"/>
        <v>7.62939453125E-6</v>
      </c>
      <c r="AM21" s="8">
        <v>17</v>
      </c>
      <c r="AN21" s="8">
        <f t="shared" si="13"/>
        <v>1213.43994140625</v>
      </c>
      <c r="AO21" s="8">
        <v>-6.4390594128553857E-3</v>
      </c>
      <c r="AP21" s="8">
        <f t="shared" si="14"/>
        <v>1213.470458984375</v>
      </c>
      <c r="AQ21" s="8">
        <v>8.8608142299335668E-3</v>
      </c>
      <c r="AR21" s="8">
        <f t="shared" si="9"/>
        <v>1213.4552001953125</v>
      </c>
      <c r="AS21" s="8">
        <v>1.2109108520235168E-3</v>
      </c>
      <c r="AT21" s="8">
        <f t="shared" si="10"/>
        <v>-7.7971269198507601E-6</v>
      </c>
      <c r="AU21" s="8">
        <f t="shared" si="11"/>
        <v>1.0729656108790956E-5</v>
      </c>
      <c r="AV21" s="8">
        <f t="shared" si="12"/>
        <v>3.0517578125E-2</v>
      </c>
    </row>
    <row r="22" spans="2:48" x14ac:dyDescent="0.2">
      <c r="B22" t="s">
        <v>182</v>
      </c>
      <c r="C22" s="1">
        <v>2</v>
      </c>
      <c r="F22" t="s">
        <v>220</v>
      </c>
      <c r="G22">
        <f>O21*$C$8</f>
        <v>157.07963267948966</v>
      </c>
      <c r="H22" t="s">
        <v>16</v>
      </c>
      <c r="J22" s="14" t="s">
        <v>85</v>
      </c>
      <c r="K22">
        <f xml:space="preserve"> $C$69 * C43 * $C$5</f>
        <v>31.549772418828073</v>
      </c>
      <c r="L22" t="s">
        <v>12</v>
      </c>
      <c r="N22" t="s">
        <v>44</v>
      </c>
      <c r="O22">
        <f xml:space="preserve"> $G$13 * COS(O19/180*PI()) / (O21 * $C$8)</f>
        <v>2.7742534554270868E-2</v>
      </c>
      <c r="R22" t="s">
        <v>44</v>
      </c>
      <c r="S22">
        <f xml:space="preserve"> $C$12 * COS(S19/180*PI()) / (S21 * $C$8)</f>
        <v>2.7742534554270868E-2</v>
      </c>
      <c r="V22" t="s">
        <v>44</v>
      </c>
      <c r="W22">
        <f xml:space="preserve"> $G$33 * COS(W19/180*PI()) / (W21 * $C$8)</f>
        <v>2.7742534554270868E-2</v>
      </c>
      <c r="AB22" s="8">
        <v>18</v>
      </c>
      <c r="AC22" s="8">
        <f t="shared" si="7"/>
        <v>0.33320999145507812</v>
      </c>
      <c r="AD22" s="8">
        <f t="shared" si="0"/>
        <v>9.0488788212494953E-7</v>
      </c>
      <c r="AE22" s="8">
        <f t="shared" si="8"/>
        <v>0.33321380615234375</v>
      </c>
      <c r="AF22" s="8">
        <f t="shared" si="1"/>
        <v>-3.092996063158715E-6</v>
      </c>
      <c r="AG22" s="8">
        <f t="shared" si="3"/>
        <v>0.33321189880371094</v>
      </c>
      <c r="AH22" s="8">
        <f t="shared" si="2"/>
        <v>-1.0940546094073689E-6</v>
      </c>
      <c r="AI22" s="8">
        <f t="shared" si="4"/>
        <v>-9.8999675843567287E-13</v>
      </c>
      <c r="AJ22" s="8">
        <f t="shared" si="5"/>
        <v>3.3839065997776374E-12</v>
      </c>
      <c r="AK22" s="8">
        <f t="shared" si="6"/>
        <v>3.814697265625E-6</v>
      </c>
      <c r="AM22" s="8">
        <v>18</v>
      </c>
      <c r="AN22" s="8">
        <f t="shared" si="13"/>
        <v>1213.43994140625</v>
      </c>
      <c r="AO22" s="8">
        <v>-6.4390594128553857E-3</v>
      </c>
      <c r="AP22" s="8">
        <f t="shared" si="14"/>
        <v>1213.4552001953125</v>
      </c>
      <c r="AQ22" s="8">
        <v>1.2109108520235168E-3</v>
      </c>
      <c r="AR22" s="8">
        <f t="shared" si="9"/>
        <v>1213.4475708007812</v>
      </c>
      <c r="AS22" s="8">
        <v>-2.6140704563886175E-3</v>
      </c>
      <c r="AT22" s="8">
        <f t="shared" si="10"/>
        <v>1.6832154978076302E-5</v>
      </c>
      <c r="AU22" s="8">
        <f t="shared" si="11"/>
        <v>-3.1654062835950443E-6</v>
      </c>
      <c r="AV22" s="8">
        <f t="shared" si="12"/>
        <v>1.52587890625E-2</v>
      </c>
    </row>
    <row r="23" spans="2:48" x14ac:dyDescent="0.2">
      <c r="B23" t="s">
        <v>209</v>
      </c>
      <c r="C23">
        <f>$C$22*$C$7/(PI()*$C$6)</f>
        <v>0.12999775751746012</v>
      </c>
      <c r="F23" s="20" t="s">
        <v>221</v>
      </c>
      <c r="G23">
        <f>G22/$C$66</f>
        <v>0.46143434115755327</v>
      </c>
      <c r="H23" t="s">
        <v>215</v>
      </c>
      <c r="J23" s="14" t="s">
        <v>77</v>
      </c>
      <c r="K23">
        <f xml:space="preserve"> $C$69 * (0.04674 * ($C$5*2.20462)^0.397 * ($C$10*3.28084^2)^0.36 * $C$46^0.397 * $C$11^1.712 * 0.453592)</f>
        <v>116.54654750983694</v>
      </c>
      <c r="L23" t="s">
        <v>12</v>
      </c>
      <c r="N23" t="s">
        <v>45</v>
      </c>
      <c r="O23">
        <f xml:space="preserve"> O20 / ( $C$65 * PI() * $C$8^2 * O21^2 * $C$8^2)</f>
        <v>1.7132783790918388E-2</v>
      </c>
      <c r="R23" t="s">
        <v>45</v>
      </c>
      <c r="S23">
        <f xml:space="preserve"> S20 / ( $C$65 * PI() * $C$8^2 * S21^2 * $C$8^2)</f>
        <v>1.0774694131695076E-2</v>
      </c>
      <c r="V23" t="s">
        <v>45</v>
      </c>
      <c r="W23">
        <f xml:space="preserve"> W20 / ( $C$65 * PI() * $C$8^2 * W21^2 * $C$8^2)</f>
        <v>6.9520364381740491E-3</v>
      </c>
      <c r="AB23" s="8">
        <v>19</v>
      </c>
      <c r="AC23" s="8">
        <f t="shared" si="7"/>
        <v>0.33320999145507812</v>
      </c>
      <c r="AD23" s="8">
        <f t="shared" si="0"/>
        <v>9.0488788212494953E-7</v>
      </c>
      <c r="AE23" s="8">
        <f t="shared" si="8"/>
        <v>0.33321189880371094</v>
      </c>
      <c r="AF23" s="8">
        <f t="shared" si="1"/>
        <v>-1.0940546094073689E-6</v>
      </c>
      <c r="AG23" s="8">
        <f t="shared" si="3"/>
        <v>0.33321094512939453</v>
      </c>
      <c r="AH23" s="8">
        <f t="shared" si="2"/>
        <v>-9.45834933707701E-8</v>
      </c>
      <c r="AI23" s="8">
        <f t="shared" si="4"/>
        <v>-8.5587457000255365E-14</v>
      </c>
      <c r="AJ23" s="8">
        <f t="shared" si="5"/>
        <v>1.0347950689614235E-13</v>
      </c>
      <c r="AK23" s="8">
        <f t="shared" si="6"/>
        <v>1.9073486328125E-6</v>
      </c>
      <c r="AM23" s="8">
        <v>19</v>
      </c>
      <c r="AN23" s="8">
        <f t="shared" si="13"/>
        <v>1213.4475708007812</v>
      </c>
      <c r="AO23" s="8">
        <v>-2.6140704563886175E-3</v>
      </c>
      <c r="AP23" s="8">
        <f t="shared" si="14"/>
        <v>1213.4552001953125</v>
      </c>
      <c r="AQ23" s="8">
        <v>1.2109108520235168E-3</v>
      </c>
      <c r="AR23" s="8">
        <f t="shared" si="9"/>
        <v>1213.4513854980469</v>
      </c>
      <c r="AS23" s="8">
        <v>-7.0148219094789965E-4</v>
      </c>
      <c r="AT23" s="8">
        <f t="shared" si="10"/>
        <v>1.8337238710396634E-6</v>
      </c>
      <c r="AU23" s="8">
        <f t="shared" si="11"/>
        <v>-8.4943239752004442E-7</v>
      </c>
      <c r="AV23" s="8">
        <f t="shared" si="12"/>
        <v>7.62939453125E-3</v>
      </c>
    </row>
    <row r="24" spans="2:48" x14ac:dyDescent="0.2">
      <c r="B24" t="s">
        <v>211</v>
      </c>
      <c r="C24" s="1">
        <v>0.75</v>
      </c>
      <c r="J24" s="14" t="s">
        <v>86</v>
      </c>
      <c r="K24">
        <f xml:space="preserve"> $C$69 * (3.184 * ($C$5*2.20462)^0.887 * ($C$50*3.28084*3.28084)^0.101 * ($C$49)^0.138 ) / ( 174.04 * ($C$51*3.28084)^0.223 ) * 0.453592</f>
        <v>12.172390714371634</v>
      </c>
      <c r="L24" t="s">
        <v>12</v>
      </c>
      <c r="N24" t="s">
        <v>4</v>
      </c>
      <c r="O24" s="1">
        <v>1.2E-2</v>
      </c>
      <c r="R24" t="s">
        <v>4</v>
      </c>
      <c r="S24" s="1">
        <v>1.2E-2</v>
      </c>
      <c r="V24" t="s">
        <v>4</v>
      </c>
      <c r="W24" s="1">
        <v>1.2E-2</v>
      </c>
      <c r="AB24" s="8">
        <v>20</v>
      </c>
      <c r="AC24" s="8">
        <f t="shared" si="7"/>
        <v>0.33320999145507812</v>
      </c>
      <c r="AD24" s="8">
        <f t="shared" si="0"/>
        <v>9.0488788212494953E-7</v>
      </c>
      <c r="AE24" s="8">
        <f t="shared" si="8"/>
        <v>0.33321094512939453</v>
      </c>
      <c r="AF24" s="8">
        <f t="shared" si="1"/>
        <v>-9.45834933707701E-8</v>
      </c>
      <c r="AG24" s="8">
        <f t="shared" si="3"/>
        <v>0.33321046829223633</v>
      </c>
      <c r="AH24" s="8">
        <f t="shared" si="2"/>
        <v>4.0515216193082182E-7</v>
      </c>
      <c r="AI24" s="8">
        <f t="shared" si="4"/>
        <v>3.6661728174792598E-13</v>
      </c>
      <c r="AJ24" s="8">
        <f t="shared" si="5"/>
        <v>-3.8320706822137059E-14</v>
      </c>
      <c r="AK24" s="8">
        <f t="shared" si="6"/>
        <v>9.5367431640625E-7</v>
      </c>
      <c r="AM24" s="8">
        <v>20</v>
      </c>
      <c r="AN24" s="8">
        <f t="shared" si="13"/>
        <v>1213.4513854980469</v>
      </c>
      <c r="AO24" s="8">
        <v>-7.0148219094789965E-4</v>
      </c>
      <c r="AP24" s="8">
        <f t="shared" si="14"/>
        <v>1213.4552001953125</v>
      </c>
      <c r="AQ24" s="8">
        <v>1.2109108520235168E-3</v>
      </c>
      <c r="AR24" s="8">
        <f t="shared" si="9"/>
        <v>1213.4532928466797</v>
      </c>
      <c r="AS24" s="8">
        <v>2.5471456956438487E-4</v>
      </c>
      <c r="AT24" s="8">
        <f t="shared" si="10"/>
        <v>-1.7867773432437589E-7</v>
      </c>
      <c r="AU24" s="8">
        <f t="shared" si="11"/>
        <v>3.0843663645401263E-7</v>
      </c>
      <c r="AV24" s="8">
        <f t="shared" si="12"/>
        <v>3.814697265625E-3</v>
      </c>
    </row>
    <row r="25" spans="2:48" x14ac:dyDescent="0.2">
      <c r="B25" t="s">
        <v>185</v>
      </c>
      <c r="C25" s="1">
        <v>0.14399999999999999</v>
      </c>
      <c r="F25" s="63" t="s">
        <v>118</v>
      </c>
      <c r="G25" s="64"/>
      <c r="H25" s="64"/>
      <c r="J25" s="14" t="s">
        <v>87</v>
      </c>
      <c r="K25">
        <f xml:space="preserve"> $C$69 * ( 1.68 * ($C$5*2.20462)^0.567 * ($C$55*3.28084*3.28084)^1.249 * ($C$54)^0.482 ) / (639.95 * ($C$56*3.28084)^0.747 * (COS($C$57/180*PI()))^0.882 ) * 0.453592</f>
        <v>5.9914948124599157</v>
      </c>
      <c r="L25" t="s">
        <v>12</v>
      </c>
      <c r="N25" t="s">
        <v>46</v>
      </c>
      <c r="O25">
        <f xml:space="preserve"> ($C$30 * $O$24 / 8) * (1 + 4.65 * O22^2) * ( PI() * $C$65 * O21^3 * $C$8^ 5)</f>
        <v>2918.9336190549043</v>
      </c>
      <c r="P25" t="s">
        <v>29</v>
      </c>
      <c r="R25" t="s">
        <v>46</v>
      </c>
      <c r="S25">
        <f xml:space="preserve"> ($C$30 * $S$24 / 8) * (1 + 4.65 * S22^2) * ( PI() * $C$65 * S21^3 * $C$8^5)</f>
        <v>2918.9336190549043</v>
      </c>
      <c r="T25" t="s">
        <v>29</v>
      </c>
      <c r="V25" t="s">
        <v>46</v>
      </c>
      <c r="W25">
        <f xml:space="preserve"> ($C$30 * $W$24 / 8) * (1 + 4.65 * W22^2) * ( PI() * $C$65 * W21^3 * $C$8^ 5)</f>
        <v>2918.9336190549043</v>
      </c>
      <c r="X25" t="s">
        <v>29</v>
      </c>
      <c r="AB25" s="8">
        <v>21</v>
      </c>
      <c r="AC25" s="8">
        <f t="shared" si="7"/>
        <v>0.33321046829223633</v>
      </c>
      <c r="AD25" s="8">
        <f t="shared" si="0"/>
        <v>4.0515216193082182E-7</v>
      </c>
      <c r="AE25" s="8">
        <f t="shared" si="8"/>
        <v>0.33321094512939453</v>
      </c>
      <c r="AF25" s="8">
        <f t="shared" si="1"/>
        <v>-9.45834933707701E-8</v>
      </c>
      <c r="AG25" s="8">
        <f t="shared" si="3"/>
        <v>0.33321070671081543</v>
      </c>
      <c r="AH25" s="8">
        <f t="shared" si="2"/>
        <v>1.5528432617539778E-7</v>
      </c>
      <c r="AI25" s="8">
        <f t="shared" si="4"/>
        <v>6.2913780463933309E-14</v>
      </c>
      <c r="AJ25" s="8">
        <f t="shared" si="5"/>
        <v>-1.4687334035395238E-14</v>
      </c>
      <c r="AK25" s="8">
        <f t="shared" si="6"/>
        <v>4.76837158203125E-7</v>
      </c>
      <c r="AM25" s="8">
        <v>21</v>
      </c>
      <c r="AN25" s="8">
        <f t="shared" si="13"/>
        <v>1213.4513854980469</v>
      </c>
      <c r="AO25" s="8">
        <v>-7.0148219094789965E-4</v>
      </c>
      <c r="AP25" s="8">
        <f t="shared" si="14"/>
        <v>1213.4532928466797</v>
      </c>
      <c r="AQ25" s="8">
        <v>2.5471456956438487E-4</v>
      </c>
      <c r="AR25" s="8">
        <f t="shared" si="9"/>
        <v>1213.4523391723633</v>
      </c>
      <c r="AS25" s="8">
        <v>-2.2370633280388574E-4</v>
      </c>
      <c r="AT25" s="8">
        <f t="shared" si="10"/>
        <v>1.5692600846418977E-7</v>
      </c>
      <c r="AU25" s="8">
        <f t="shared" si="11"/>
        <v>-5.6981262268968791E-8</v>
      </c>
      <c r="AV25" s="8">
        <f t="shared" si="12"/>
        <v>1.9073486328125E-3</v>
      </c>
    </row>
    <row r="26" spans="2:48" x14ac:dyDescent="0.2">
      <c r="F26" s="4" t="s">
        <v>114</v>
      </c>
      <c r="G26">
        <f xml:space="preserve"> 1/1000 * (S25 + S20 * (S30 * S27 + $C$12 * SIN(S19/180*PI())))</f>
        <v>56.870378993092466</v>
      </c>
      <c r="H26" t="s">
        <v>162</v>
      </c>
      <c r="J26" s="14" t="s">
        <v>192</v>
      </c>
      <c r="K26">
        <f>$C$69*(0.14*$G$6*1000/745.7)*0.453592</f>
        <v>16.462303209079664</v>
      </c>
      <c r="L26" t="s">
        <v>12</v>
      </c>
      <c r="N26" t="s">
        <v>47</v>
      </c>
      <c r="O26" s="5">
        <f>AG69</f>
        <v>0.34206018084660172</v>
      </c>
      <c r="R26" t="s">
        <v>47</v>
      </c>
      <c r="S26" s="5">
        <f>AG34</f>
        <v>0.33321085525676608</v>
      </c>
      <c r="V26" t="s">
        <v>47</v>
      </c>
      <c r="W26" s="5">
        <f>AG104</f>
        <v>0.32766911992803216</v>
      </c>
      <c r="AB26" s="8">
        <v>22</v>
      </c>
      <c r="AC26" s="8">
        <f t="shared" si="7"/>
        <v>0.33321070671081543</v>
      </c>
      <c r="AD26" s="8">
        <f t="shared" si="0"/>
        <v>1.5528432617539778E-7</v>
      </c>
      <c r="AE26" s="8">
        <f t="shared" si="8"/>
        <v>0.33321094512939453</v>
      </c>
      <c r="AF26" s="8">
        <f t="shared" si="1"/>
        <v>-9.45834933707701E-8</v>
      </c>
      <c r="AG26" s="8">
        <f t="shared" si="3"/>
        <v>0.33321082592010498</v>
      </c>
      <c r="AH26" s="8">
        <f t="shared" si="2"/>
        <v>3.0350414403912396E-8</v>
      </c>
      <c r="AI26" s="8">
        <f t="shared" si="4"/>
        <v>4.7129436498556232E-15</v>
      </c>
      <c r="AJ26" s="8">
        <f t="shared" si="5"/>
        <v>-2.8706482195725736E-15</v>
      </c>
      <c r="AK26" s="8">
        <f t="shared" si="6"/>
        <v>2.384185791015625E-7</v>
      </c>
      <c r="AM26" s="8">
        <v>22</v>
      </c>
      <c r="AN26" s="8">
        <f t="shared" si="13"/>
        <v>1213.4523391723633</v>
      </c>
      <c r="AO26" s="8">
        <v>-2.2370633280388574E-4</v>
      </c>
      <c r="AP26" s="8">
        <f t="shared" si="14"/>
        <v>1213.4532928466797</v>
      </c>
      <c r="AQ26" s="8">
        <v>2.5471456956438487E-4</v>
      </c>
      <c r="AR26" s="8">
        <f t="shared" si="9"/>
        <v>1213.4528160095215</v>
      </c>
      <c r="AS26" s="8">
        <v>1.5407478031193023E-5</v>
      </c>
      <c r="AT26" s="8">
        <f t="shared" si="10"/>
        <v>-3.4467504081146245E-9</v>
      </c>
      <c r="AU26" s="8">
        <f t="shared" si="11"/>
        <v>3.9245091347880471E-9</v>
      </c>
      <c r="AV26" s="8">
        <f t="shared" si="12"/>
        <v>9.5367431640625E-4</v>
      </c>
    </row>
    <row r="27" spans="2:48" x14ac:dyDescent="0.2">
      <c r="B27" s="61" t="s">
        <v>212</v>
      </c>
      <c r="C27" s="61"/>
      <c r="D27" s="61"/>
      <c r="F27" s="4" t="s">
        <v>113</v>
      </c>
      <c r="G27">
        <f xml:space="preserve"> $C$28 * G26</f>
        <v>56.870378993092466</v>
      </c>
      <c r="H27" t="s">
        <v>162</v>
      </c>
      <c r="J27" s="15" t="s">
        <v>88</v>
      </c>
      <c r="K27">
        <f xml:space="preserve"> $C$69 * (0.0268 * $C$5)</f>
        <v>26.016427717679761</v>
      </c>
      <c r="L27" t="s">
        <v>12</v>
      </c>
      <c r="N27" t="s">
        <v>48</v>
      </c>
      <c r="O27">
        <f xml:space="preserve"> O21 * $C$8 * O26 - $G$13 * SIN(O19/180*PI())</f>
        <v>3.9209526570767252</v>
      </c>
      <c r="P27" t="s">
        <v>16</v>
      </c>
      <c r="R27" t="s">
        <v>48</v>
      </c>
      <c r="S27">
        <f xml:space="preserve"> S21 * $C$8 * S26 - $C$12 * SIN(S19/180*PI())</f>
        <v>2.5309038439641327</v>
      </c>
      <c r="T27" t="s">
        <v>16</v>
      </c>
      <c r="V27" t="s">
        <v>48</v>
      </c>
      <c r="W27">
        <f xml:space="preserve"> W21 * $C$8 * W26 - $G$33 * SIN(W19/180*PI())</f>
        <v>1.6604100941196549</v>
      </c>
      <c r="X27" t="s">
        <v>16</v>
      </c>
      <c r="AB27" s="8">
        <v>23</v>
      </c>
      <c r="AC27" s="8">
        <f t="shared" si="7"/>
        <v>0.33321082592010498</v>
      </c>
      <c r="AD27" s="8">
        <f t="shared" si="0"/>
        <v>3.0350414403912396E-8</v>
      </c>
      <c r="AE27" s="8">
        <f t="shared" si="8"/>
        <v>0.33321094512939453</v>
      </c>
      <c r="AF27" s="8">
        <f t="shared" si="1"/>
        <v>-9.45834933707701E-8</v>
      </c>
      <c r="AG27" s="8">
        <f t="shared" si="3"/>
        <v>0.33321088552474976</v>
      </c>
      <c r="AH27" s="8">
        <f t="shared" si="2"/>
        <v>-3.2116539983029213E-8</v>
      </c>
      <c r="AI27" s="8">
        <f t="shared" si="4"/>
        <v>-9.7475029770475817E-16</v>
      </c>
      <c r="AJ27" s="8">
        <f t="shared" si="5"/>
        <v>3.0376945465769166E-15</v>
      </c>
      <c r="AK27" s="8">
        <f t="shared" si="6"/>
        <v>1.1920928955078125E-7</v>
      </c>
      <c r="AM27" s="8">
        <v>23</v>
      </c>
      <c r="AN27" s="8">
        <f t="shared" si="13"/>
        <v>1213.4523391723633</v>
      </c>
      <c r="AO27" s="8">
        <v>-2.2370633280388574E-4</v>
      </c>
      <c r="AP27" s="8">
        <f t="shared" si="14"/>
        <v>1213.4528160095215</v>
      </c>
      <c r="AQ27" s="8">
        <v>1.5407478031193023E-5</v>
      </c>
      <c r="AR27" s="8">
        <f t="shared" si="9"/>
        <v>1213.4525775909424</v>
      </c>
      <c r="AS27" s="8">
        <v>-1.041494235778373E-4</v>
      </c>
      <c r="AT27" s="8">
        <f t="shared" si="10"/>
        <v>2.3298885612236535E-8</v>
      </c>
      <c r="AU27" s="8">
        <f t="shared" si="11"/>
        <v>-1.6046799557369447E-9</v>
      </c>
      <c r="AV27" s="8">
        <f t="shared" si="12"/>
        <v>4.76837158203125E-4</v>
      </c>
    </row>
    <row r="28" spans="2:48" x14ac:dyDescent="0.2">
      <c r="B28" t="s">
        <v>145</v>
      </c>
      <c r="C28" s="1">
        <v>1</v>
      </c>
      <c r="F28" s="4" t="s">
        <v>121</v>
      </c>
      <c r="G28">
        <f xml:space="preserve"> ($C$18-G17-G37)/$C$12</f>
        <v>1600.2478630521136</v>
      </c>
      <c r="H28" t="s">
        <v>22</v>
      </c>
      <c r="J28" s="15" t="s">
        <v>89</v>
      </c>
      <c r="K28">
        <f xml:space="preserve"> $C$69 * (11.5 * ($C$5*2.20462/1000)^0.4 * 0.453592)</f>
        <v>6.1857998539608481</v>
      </c>
      <c r="L28" t="s">
        <v>12</v>
      </c>
      <c r="N28" t="s">
        <v>49</v>
      </c>
      <c r="O28">
        <f xml:space="preserve"> 1/$C$31 - O25 * SQRT( (2*$C$65*PI()*$C$8^2) / O20^3 )</f>
        <v>1.209922943977779</v>
      </c>
      <c r="R28" t="s">
        <v>49</v>
      </c>
      <c r="S28">
        <f xml:space="preserve"> 1/$C$31 - S25 * SQRT( (2*$C$65*PI()*$C$8^2) / S20^3 )</f>
        <v>1.0858840511451595</v>
      </c>
      <c r="V28" t="s">
        <v>49</v>
      </c>
      <c r="W28">
        <f xml:space="preserve"> 1/$C$31 - W25 * SQRT( (2*$C$65*PI()*$C$8^2) / W20^3 )</f>
        <v>0.85588589854504504</v>
      </c>
      <c r="AB28" s="8">
        <v>24</v>
      </c>
      <c r="AC28" s="8">
        <f t="shared" si="7"/>
        <v>0.33321082592010498</v>
      </c>
      <c r="AD28" s="8">
        <f t="shared" si="0"/>
        <v>3.0350414403912396E-8</v>
      </c>
      <c r="AE28" s="8">
        <f t="shared" si="8"/>
        <v>0.33321088552474976</v>
      </c>
      <c r="AF28" s="8">
        <f t="shared" si="1"/>
        <v>-3.2116539983029213E-8</v>
      </c>
      <c r="AG28" s="8">
        <f t="shared" si="3"/>
        <v>0.33321085572242737</v>
      </c>
      <c r="AH28" s="8">
        <f t="shared" si="2"/>
        <v>-8.8306290058071113E-10</v>
      </c>
      <c r="AI28" s="8">
        <f t="shared" si="4"/>
        <v>-2.6801324977345475E-17</v>
      </c>
      <c r="AJ28" s="8">
        <f t="shared" si="5"/>
        <v>2.836092495403016E-17</v>
      </c>
      <c r="AK28" s="8">
        <f t="shared" si="6"/>
        <v>5.9604644775390625E-8</v>
      </c>
      <c r="AM28" s="8">
        <v>24</v>
      </c>
      <c r="AN28" s="8">
        <f t="shared" si="13"/>
        <v>1213.4525775909424</v>
      </c>
      <c r="AO28" s="8">
        <v>-1.041494235778373E-4</v>
      </c>
      <c r="AP28" s="8">
        <f t="shared" si="14"/>
        <v>1213.4528160095215</v>
      </c>
      <c r="AQ28" s="8">
        <v>1.5407478031193023E-5</v>
      </c>
      <c r="AR28" s="8">
        <f t="shared" si="9"/>
        <v>1213.4526968002319</v>
      </c>
      <c r="AS28" s="8">
        <v>-4.4389119125298748E-5</v>
      </c>
      <c r="AT28" s="8">
        <f t="shared" si="10"/>
        <v>4.623101170027818E-9</v>
      </c>
      <c r="AU28" s="8">
        <f t="shared" si="11"/>
        <v>-6.8392437774705048E-10</v>
      </c>
      <c r="AV28" s="8">
        <f t="shared" si="12"/>
        <v>2.384185791015625E-4</v>
      </c>
    </row>
    <row r="29" spans="2:48" x14ac:dyDescent="0.2">
      <c r="B29" t="s">
        <v>183</v>
      </c>
      <c r="C29" s="1">
        <v>4</v>
      </c>
      <c r="F29" t="s">
        <v>220</v>
      </c>
      <c r="G29">
        <f>S21*$C$8</f>
        <v>157.07963267948966</v>
      </c>
      <c r="H29" t="s">
        <v>16</v>
      </c>
      <c r="J29" s="15" t="s">
        <v>90</v>
      </c>
      <c r="K29">
        <f xml:space="preserve"> $C$69 * (8 * ($C$5/1000))</f>
        <v>7.7660978261730635</v>
      </c>
      <c r="L29" t="s">
        <v>12</v>
      </c>
      <c r="N29" t="s">
        <v>50</v>
      </c>
      <c r="O29" s="1">
        <v>1.1499999999999999</v>
      </c>
      <c r="R29" t="s">
        <v>50</v>
      </c>
      <c r="S29" s="1">
        <v>1.1499999999999999</v>
      </c>
      <c r="V29" t="s">
        <v>50</v>
      </c>
      <c r="W29" s="1">
        <v>1.1499999999999999</v>
      </c>
      <c r="AB29" s="8">
        <v>25</v>
      </c>
      <c r="AC29" s="8">
        <f t="shared" si="7"/>
        <v>0.33321082592010498</v>
      </c>
      <c r="AD29" s="8">
        <f t="shared" si="0"/>
        <v>3.0350414403912396E-8</v>
      </c>
      <c r="AE29" s="8">
        <f t="shared" si="8"/>
        <v>0.33321085572242737</v>
      </c>
      <c r="AF29" s="8">
        <f t="shared" si="1"/>
        <v>-8.8306290058071113E-10</v>
      </c>
      <c r="AG29" s="8">
        <f t="shared" si="3"/>
        <v>0.33321084082126617</v>
      </c>
      <c r="AH29" s="8">
        <f t="shared" si="2"/>
        <v>1.4733675723910267E-8</v>
      </c>
      <c r="AI29" s="8">
        <f t="shared" si="4"/>
        <v>4.4717316391354058E-16</v>
      </c>
      <c r="AJ29" s="8">
        <f t="shared" si="5"/>
        <v>-1.3010762420971809E-17</v>
      </c>
      <c r="AK29" s="8">
        <f t="shared" si="6"/>
        <v>2.9802322387695312E-8</v>
      </c>
      <c r="AM29" s="8">
        <v>25</v>
      </c>
      <c r="AN29" s="8">
        <f t="shared" si="13"/>
        <v>1213.4526968002319</v>
      </c>
      <c r="AO29" s="8">
        <v>-4.4389119125298748E-5</v>
      </c>
      <c r="AP29" s="8">
        <f t="shared" si="14"/>
        <v>1213.4528160095215</v>
      </c>
      <c r="AQ29" s="8">
        <v>1.5407478031193023E-5</v>
      </c>
      <c r="AR29" s="8">
        <f t="shared" si="9"/>
        <v>1213.4527564048767</v>
      </c>
      <c r="AS29" s="8">
        <v>-1.4264893479776219E-5</v>
      </c>
      <c r="AT29" s="8">
        <f t="shared" si="10"/>
        <v>6.3320605598348397E-10</v>
      </c>
      <c r="AU29" s="8">
        <f t="shared" si="11"/>
        <v>-2.1978603290696069E-10</v>
      </c>
      <c r="AV29" s="8">
        <f t="shared" si="12"/>
        <v>1.1920928955078125E-4</v>
      </c>
    </row>
    <row r="30" spans="2:48" x14ac:dyDescent="0.2">
      <c r="B30" t="s">
        <v>151</v>
      </c>
      <c r="C30">
        <f>$C$29*$C$9/(PI()*$C$8)</f>
        <v>0.12999775751746012</v>
      </c>
      <c r="F30" s="20" t="s">
        <v>221</v>
      </c>
      <c r="G30">
        <f>G29/$C$66</f>
        <v>0.46143434115755327</v>
      </c>
      <c r="H30" t="s">
        <v>215</v>
      </c>
      <c r="J30" s="15" t="s">
        <v>91</v>
      </c>
      <c r="K30">
        <f xml:space="preserve"> $C$69 * (13 * ($C$5*2.20462/1000)^1.3 * 0.453592)</f>
        <v>16.953615884363749</v>
      </c>
      <c r="L30" t="s">
        <v>12</v>
      </c>
      <c r="N30" t="s">
        <v>51</v>
      </c>
      <c r="O30">
        <f xml:space="preserve"> 1/$C$72 * LN( EXP($C$72 * O28) + EXP($C$72 * O29) )</f>
        <v>1.2150331389885336</v>
      </c>
      <c r="R30" t="s">
        <v>51</v>
      </c>
      <c r="S30">
        <f xml:space="preserve"> 1/$C$72 * LN( EXP($C$72 * S28) + EXP($C$72 * S29) )</f>
        <v>1.1545454341814139</v>
      </c>
      <c r="V30" t="s">
        <v>51</v>
      </c>
      <c r="W30">
        <f xml:space="preserve"> 1/$C$72 * LN( EXP($C$72 * W28) + EXP($C$72 * W29) )</f>
        <v>1.15000490775455</v>
      </c>
      <c r="AB30" s="8">
        <v>26</v>
      </c>
      <c r="AC30" s="8">
        <f>IF(AI29&gt;0, AG29, AC29)</f>
        <v>0.33321084082126617</v>
      </c>
      <c r="AD30" s="8">
        <f t="shared" si="0"/>
        <v>1.4733675723910267E-8</v>
      </c>
      <c r="AE30" s="8">
        <f t="shared" si="8"/>
        <v>0.33321085572242737</v>
      </c>
      <c r="AF30" s="8">
        <f t="shared" si="1"/>
        <v>-8.8306290058071113E-10</v>
      </c>
      <c r="AG30" s="8">
        <f t="shared" si="3"/>
        <v>0.33321084827184677</v>
      </c>
      <c r="AH30" s="8">
        <f t="shared" si="2"/>
        <v>6.9253063839092022E-9</v>
      </c>
      <c r="AI30" s="8">
        <f t="shared" si="4"/>
        <v>1.020352185492438E-16</v>
      </c>
      <c r="AJ30" s="8">
        <f t="shared" si="5"/>
        <v>-6.1154811427849759E-18</v>
      </c>
      <c r="AK30" s="8">
        <f t="shared" si="6"/>
        <v>1.4901161193847656E-8</v>
      </c>
      <c r="AM30" s="8">
        <v>26</v>
      </c>
      <c r="AN30" s="8">
        <f t="shared" si="13"/>
        <v>1213.4527564048767</v>
      </c>
      <c r="AO30" s="8">
        <v>-1.4264893479776219E-5</v>
      </c>
      <c r="AP30" s="8">
        <f t="shared" si="14"/>
        <v>1213.4528160095215</v>
      </c>
      <c r="AQ30" s="8">
        <v>1.5407478031193023E-5</v>
      </c>
      <c r="AR30" s="8">
        <f t="shared" si="9"/>
        <v>1213.4527862071991</v>
      </c>
      <c r="AS30" s="8">
        <v>4.4202090521139326E-7</v>
      </c>
      <c r="AT30" s="8">
        <f t="shared" si="10"/>
        <v>-6.305381128674786E-12</v>
      </c>
      <c r="AU30" s="8">
        <f t="shared" si="11"/>
        <v>6.810427386372595E-12</v>
      </c>
      <c r="AV30" s="8">
        <f t="shared" si="12"/>
        <v>5.9604644775390625E-5</v>
      </c>
    </row>
    <row r="31" spans="2:48" x14ac:dyDescent="0.2">
      <c r="B31" t="s">
        <v>213</v>
      </c>
      <c r="C31" s="1">
        <v>0.75</v>
      </c>
      <c r="J31" s="3" t="s">
        <v>78</v>
      </c>
      <c r="K31" s="3">
        <f>$C$5 - $C$17 - SUM(K17:K30)</f>
        <v>6.9189809437375516E-10</v>
      </c>
      <c r="L31" s="3" t="s">
        <v>12</v>
      </c>
      <c r="AB31" s="8">
        <v>27</v>
      </c>
      <c r="AC31" s="8">
        <f t="shared" si="7"/>
        <v>0.33321084827184677</v>
      </c>
      <c r="AD31" s="8">
        <f t="shared" si="0"/>
        <v>6.9253063839092022E-9</v>
      </c>
      <c r="AE31" s="8">
        <f t="shared" si="8"/>
        <v>0.33321085572242737</v>
      </c>
      <c r="AF31" s="8">
        <f t="shared" si="1"/>
        <v>-8.8306290058071113E-10</v>
      </c>
      <c r="AG31" s="8">
        <f t="shared" si="3"/>
        <v>0.33321085199713707</v>
      </c>
      <c r="AH31" s="8">
        <f t="shared" si="2"/>
        <v>3.0211217416642455E-9</v>
      </c>
      <c r="AI31" s="8">
        <f t="shared" si="4"/>
        <v>2.0922193684114287E-17</v>
      </c>
      <c r="AJ31" s="8">
        <f t="shared" si="5"/>
        <v>-2.6678405282014785E-18</v>
      </c>
      <c r="AK31" s="8">
        <f t="shared" si="6"/>
        <v>7.4505805969238281E-9</v>
      </c>
      <c r="AM31" s="8">
        <v>27</v>
      </c>
      <c r="AN31" s="8">
        <f t="shared" si="13"/>
        <v>1213.4527564048767</v>
      </c>
      <c r="AO31" s="8">
        <v>-1.4264893479776219E-5</v>
      </c>
      <c r="AP31" s="8">
        <f t="shared" si="14"/>
        <v>1213.4527862071991</v>
      </c>
      <c r="AQ31" s="8">
        <v>4.4202090521139326E-7</v>
      </c>
      <c r="AR31" s="8">
        <f t="shared" si="9"/>
        <v>1213.4527713060379</v>
      </c>
      <c r="AS31" s="8">
        <v>-6.6855096747531206E-6</v>
      </c>
      <c r="AT31" s="8">
        <f t="shared" si="10"/>
        <v>9.5368083368366624E-11</v>
      </c>
      <c r="AU31" s="8">
        <f t="shared" si="11"/>
        <v>-2.9551350382339017E-12</v>
      </c>
      <c r="AV31" s="8">
        <f t="shared" si="12"/>
        <v>2.9802322387695312E-5</v>
      </c>
    </row>
    <row r="32" spans="2:48" x14ac:dyDescent="0.2">
      <c r="B32" t="s">
        <v>185</v>
      </c>
      <c r="C32" s="1">
        <v>0.14399999999999999</v>
      </c>
      <c r="F32" s="63" t="s">
        <v>131</v>
      </c>
      <c r="G32" s="64"/>
      <c r="H32" s="64"/>
      <c r="J32" t="s">
        <v>79</v>
      </c>
      <c r="K32" s="10" t="str">
        <f>IF(ABS(K31)&lt;0.00001, "TRUE", "FALSE")</f>
        <v>TRUE</v>
      </c>
      <c r="AB32" s="8">
        <v>28</v>
      </c>
      <c r="AC32" s="8">
        <f t="shared" si="7"/>
        <v>0.33321085199713707</v>
      </c>
      <c r="AD32" s="8">
        <f t="shared" si="0"/>
        <v>3.0211217416642455E-9</v>
      </c>
      <c r="AE32" s="8">
        <f t="shared" si="8"/>
        <v>0.33321085572242737</v>
      </c>
      <c r="AF32" s="8">
        <f t="shared" si="1"/>
        <v>-8.8306290058071113E-10</v>
      </c>
      <c r="AG32" s="8">
        <f t="shared" si="3"/>
        <v>0.33321085385978222</v>
      </c>
      <c r="AH32" s="8">
        <f t="shared" si="2"/>
        <v>1.0690294205417672E-9</v>
      </c>
      <c r="AI32" s="8">
        <f t="shared" si="4"/>
        <v>3.2296680248774629E-18</v>
      </c>
      <c r="AJ32" s="8">
        <f t="shared" si="5"/>
        <v>-9.4402022090972979E-19</v>
      </c>
      <c r="AK32" s="8">
        <f t="shared" si="6"/>
        <v>3.7252902984619141E-9</v>
      </c>
      <c r="AM32" s="8">
        <v>28</v>
      </c>
      <c r="AN32" s="8">
        <f t="shared" si="13"/>
        <v>1213.4527713060379</v>
      </c>
      <c r="AO32" s="8">
        <v>-6.6855096747531206E-6</v>
      </c>
      <c r="AP32" s="8">
        <f t="shared" si="14"/>
        <v>1213.4527862071991</v>
      </c>
      <c r="AQ32" s="8">
        <v>4.4202090521139326E-7</v>
      </c>
      <c r="AR32" s="8">
        <f t="shared" si="9"/>
        <v>1213.4527787566185</v>
      </c>
      <c r="AS32" s="8">
        <v>-3.347671054143575E-6</v>
      </c>
      <c r="AT32" s="8">
        <f t="shared" si="10"/>
        <v>2.2380887220367849E-11</v>
      </c>
      <c r="AU32" s="8">
        <f t="shared" si="11"/>
        <v>-1.4797405897025221E-12</v>
      </c>
      <c r="AV32" s="8">
        <f t="shared" si="12"/>
        <v>1.4901161193847656E-5</v>
      </c>
    </row>
    <row r="33" spans="2:48" x14ac:dyDescent="0.2">
      <c r="F33" s="4" t="s">
        <v>154</v>
      </c>
      <c r="G33" s="1">
        <f>$C$12</f>
        <v>50</v>
      </c>
      <c r="H33" t="s">
        <v>16</v>
      </c>
      <c r="AB33" s="8">
        <v>29</v>
      </c>
      <c r="AC33" s="8">
        <f t="shared" si="7"/>
        <v>0.33321085385978222</v>
      </c>
      <c r="AD33" s="8">
        <f t="shared" si="0"/>
        <v>1.0690294205417672E-9</v>
      </c>
      <c r="AE33" s="8">
        <f t="shared" si="8"/>
        <v>0.33321085572242737</v>
      </c>
      <c r="AF33" s="8">
        <f t="shared" si="1"/>
        <v>-8.8306290058071113E-10</v>
      </c>
      <c r="AG33" s="8">
        <f t="shared" si="3"/>
        <v>0.33321085479110479</v>
      </c>
      <c r="AH33" s="8">
        <f t="shared" si="2"/>
        <v>9.2983232224952417E-11</v>
      </c>
      <c r="AI33" s="8">
        <f t="shared" si="4"/>
        <v>9.9401810865541457E-20</v>
      </c>
      <c r="AJ33" s="8">
        <f t="shared" si="5"/>
        <v>-8.2110042753936331E-20</v>
      </c>
      <c r="AK33" s="8">
        <f t="shared" si="6"/>
        <v>1.862645149230957E-9</v>
      </c>
      <c r="AM33" s="8">
        <v>29</v>
      </c>
      <c r="AN33" s="8">
        <f t="shared" si="13"/>
        <v>1213.4527787566185</v>
      </c>
      <c r="AO33" s="8">
        <v>-3.347671054143575E-6</v>
      </c>
      <c r="AP33" s="8">
        <f t="shared" si="14"/>
        <v>1213.4527862071991</v>
      </c>
      <c r="AQ33" s="8">
        <v>4.4202090521139326E-7</v>
      </c>
      <c r="AR33" s="8">
        <f t="shared" si="9"/>
        <v>1213.4527824819088</v>
      </c>
      <c r="AS33" s="8">
        <v>-1.452825017622672E-6</v>
      </c>
      <c r="AT33" s="8">
        <f t="shared" si="10"/>
        <v>4.8635802582310484E-12</v>
      </c>
      <c r="AU33" s="8">
        <f t="shared" si="11"/>
        <v>-6.4217902940333185E-13</v>
      </c>
      <c r="AV33" s="8">
        <f t="shared" si="12"/>
        <v>7.4505805969238281E-6</v>
      </c>
    </row>
    <row r="34" spans="2:48" x14ac:dyDescent="0.2">
      <c r="B34" s="61" t="s">
        <v>165</v>
      </c>
      <c r="C34" s="61"/>
      <c r="D34" s="61"/>
      <c r="F34" t="s">
        <v>126</v>
      </c>
      <c r="G34" s="1">
        <v>1.524</v>
      </c>
      <c r="H34" t="s">
        <v>16</v>
      </c>
      <c r="J34" s="2" t="s">
        <v>80</v>
      </c>
      <c r="K34" s="2"/>
      <c r="L34" s="2"/>
      <c r="AB34" s="8">
        <v>30</v>
      </c>
      <c r="AC34" s="8">
        <f t="shared" si="7"/>
        <v>0.33321085479110479</v>
      </c>
      <c r="AD34" s="8">
        <f t="shared" si="0"/>
        <v>9.2983232224952417E-11</v>
      </c>
      <c r="AE34" s="8">
        <f t="shared" si="8"/>
        <v>0.33321085572242737</v>
      </c>
      <c r="AF34" s="8">
        <f t="shared" si="1"/>
        <v>-8.8306290058071113E-10</v>
      </c>
      <c r="AG34" s="8">
        <f t="shared" si="3"/>
        <v>0.33321085525676608</v>
      </c>
      <c r="AH34" s="8">
        <f t="shared" si="2"/>
        <v>-3.9503983417787936E-10</v>
      </c>
      <c r="AI34" s="8">
        <f t="shared" si="4"/>
        <v>-3.6732080639468451E-20</v>
      </c>
      <c r="AJ34" s="8">
        <f t="shared" si="5"/>
        <v>3.4884502181404129E-19</v>
      </c>
      <c r="AK34" s="8">
        <f t="shared" si="6"/>
        <v>9.3132257461547852E-10</v>
      </c>
      <c r="AM34" s="8">
        <v>30</v>
      </c>
      <c r="AN34" s="8">
        <f t="shared" si="13"/>
        <v>1213.4527824819088</v>
      </c>
      <c r="AO34" s="8">
        <v>-1.452825017622672E-6</v>
      </c>
      <c r="AP34" s="8">
        <f t="shared" si="14"/>
        <v>1213.4527862071991</v>
      </c>
      <c r="AQ34" s="8">
        <v>4.4202090521139326E-7</v>
      </c>
      <c r="AR34" s="8">
        <f t="shared" si="9"/>
        <v>1213.4527843445539</v>
      </c>
      <c r="AS34" s="8">
        <v>-5.0540211304905824E-7</v>
      </c>
      <c r="AT34" s="8">
        <f t="shared" si="10"/>
        <v>7.3426083379703372E-13</v>
      </c>
      <c r="AU34" s="8">
        <f t="shared" si="11"/>
        <v>-2.2339829950569563E-13</v>
      </c>
      <c r="AV34" s="8">
        <f t="shared" si="12"/>
        <v>3.7252902984619141E-6</v>
      </c>
    </row>
    <row r="35" spans="2:48" x14ac:dyDescent="0.2">
      <c r="B35" t="s">
        <v>166</v>
      </c>
      <c r="C35" s="1">
        <v>4</v>
      </c>
      <c r="F35" t="s">
        <v>125</v>
      </c>
      <c r="G35" s="1">
        <v>304.8</v>
      </c>
      <c r="H35" t="s">
        <v>14</v>
      </c>
      <c r="J35" t="s">
        <v>81</v>
      </c>
      <c r="K35">
        <f>ROUND($C$17/$C$5 * 100, 2)</f>
        <v>32.96</v>
      </c>
      <c r="L35" t="s">
        <v>82</v>
      </c>
      <c r="AM35" s="8">
        <v>31</v>
      </c>
      <c r="AN35" s="8">
        <f t="shared" si="13"/>
        <v>1213.4527843445539</v>
      </c>
      <c r="AO35">
        <v>-5.0540211304905824E-7</v>
      </c>
      <c r="AP35" s="8">
        <f t="shared" si="14"/>
        <v>1213.4527862071991</v>
      </c>
      <c r="AQ35">
        <v>4.4202090521139326E-7</v>
      </c>
      <c r="AR35" s="8">
        <f t="shared" si="9"/>
        <v>1213.4527852758765</v>
      </c>
      <c r="AS35">
        <v>-3.1690660762251355E-8</v>
      </c>
      <c r="AT35" s="8">
        <f t="shared" si="10"/>
        <v>1.6016526913162713E-14</v>
      </c>
      <c r="AU35" s="8">
        <f t="shared" si="11"/>
        <v>-1.4007934556877526E-14</v>
      </c>
      <c r="AV35" s="8">
        <f t="shared" si="12"/>
        <v>1.862645149230957E-6</v>
      </c>
    </row>
    <row r="36" spans="2:48" x14ac:dyDescent="0.2">
      <c r="B36" t="s">
        <v>167</v>
      </c>
      <c r="C36" s="1">
        <v>9</v>
      </c>
      <c r="D36" t="s">
        <v>14</v>
      </c>
      <c r="F36" t="s">
        <v>127</v>
      </c>
      <c r="G36">
        <f>SQRT($G$33^2-$G$34^2)</f>
        <v>49.976768843133506</v>
      </c>
      <c r="H36" t="s">
        <v>16</v>
      </c>
      <c r="J36" s="16" t="s">
        <v>74</v>
      </c>
      <c r="K36">
        <f>ROUND(K17/$C$5 * 100, 2)</f>
        <v>19.66</v>
      </c>
      <c r="L36" t="s">
        <v>82</v>
      </c>
      <c r="V36" s="20"/>
      <c r="W36" s="20"/>
      <c r="X36" s="20"/>
      <c r="AM36" s="8">
        <v>32</v>
      </c>
      <c r="AN36" s="8">
        <f t="shared" si="13"/>
        <v>1213.4527852758765</v>
      </c>
      <c r="AO36">
        <v>-3.1690660762251355E-8</v>
      </c>
      <c r="AP36" s="8">
        <f t="shared" si="14"/>
        <v>1213.4527862071991</v>
      </c>
      <c r="AQ36">
        <v>4.4202090521139326E-7</v>
      </c>
      <c r="AR36" s="8">
        <f t="shared" si="9"/>
        <v>1213.4527857415378</v>
      </c>
      <c r="AS36">
        <v>2.0516517906798981E-7</v>
      </c>
      <c r="AT36" s="8">
        <f t="shared" si="10"/>
        <v>-6.5018200900702177E-15</v>
      </c>
      <c r="AU36" s="8">
        <f t="shared" si="11"/>
        <v>9.0687298169490448E-14</v>
      </c>
      <c r="AV36" s="8">
        <f t="shared" si="12"/>
        <v>9.3132257461547852E-7</v>
      </c>
    </row>
    <row r="37" spans="2:48" x14ac:dyDescent="0.2">
      <c r="B37" t="s">
        <v>168</v>
      </c>
      <c r="C37" s="1">
        <v>1.8</v>
      </c>
      <c r="D37" t="s">
        <v>14</v>
      </c>
      <c r="F37" t="s">
        <v>128</v>
      </c>
      <c r="G37">
        <f>$G$36 * ($G$35/$G$34)</f>
        <v>9995.3537686267009</v>
      </c>
      <c r="H37" t="s">
        <v>14</v>
      </c>
      <c r="J37" s="18" t="s">
        <v>108</v>
      </c>
      <c r="K37">
        <f>ROUND(SUM(K18:K20)/$C$5 * 100, 2)</f>
        <v>13.97</v>
      </c>
      <c r="L37" t="s">
        <v>82</v>
      </c>
      <c r="V37" s="20"/>
      <c r="W37" s="20"/>
      <c r="X37" s="20"/>
      <c r="AB37" s="6" t="s">
        <v>142</v>
      </c>
      <c r="AM37" s="8">
        <v>33</v>
      </c>
      <c r="AN37" s="8">
        <f t="shared" si="13"/>
        <v>1213.4527852758765</v>
      </c>
      <c r="AO37">
        <v>-3.1690660762251355E-8</v>
      </c>
      <c r="AP37" s="8">
        <f t="shared" si="14"/>
        <v>1213.4527857415378</v>
      </c>
      <c r="AQ37">
        <v>2.0516517906798981E-7</v>
      </c>
      <c r="AR37" s="8">
        <f t="shared" si="9"/>
        <v>1213.4527855087072</v>
      </c>
      <c r="AS37">
        <v>8.673737283970695E-8</v>
      </c>
      <c r="AT37" s="8">
        <f t="shared" si="10"/>
        <v>-2.7487646580720674E-15</v>
      </c>
      <c r="AU37" s="8">
        <f t="shared" si="11"/>
        <v>1.7795488630545472E-14</v>
      </c>
      <c r="AV37" s="8">
        <f t="shared" si="12"/>
        <v>4.6566128730773926E-7</v>
      </c>
    </row>
    <row r="38" spans="2:48" x14ac:dyDescent="0.2">
      <c r="F38" t="s">
        <v>152</v>
      </c>
      <c r="G38">
        <f>ATAN(G34/G36)/PI()*180</f>
        <v>1.7466458786346903</v>
      </c>
      <c r="H38" t="s">
        <v>62</v>
      </c>
      <c r="J38" s="17" t="s">
        <v>95</v>
      </c>
      <c r="K38">
        <f>ROUND(SUM(K21:K26)/$C$5 * 100, 2)</f>
        <v>28.71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1213.4527852758765</v>
      </c>
      <c r="AO38">
        <v>-3.1690660762251355E-8</v>
      </c>
      <c r="AP38" s="8">
        <f t="shared" si="14"/>
        <v>1213.4527855087072</v>
      </c>
      <c r="AQ38">
        <v>8.673737283970695E-8</v>
      </c>
      <c r="AR38" s="8">
        <f t="shared" si="9"/>
        <v>1213.4527853922918</v>
      </c>
      <c r="AS38">
        <v>2.7523583412403241E-8</v>
      </c>
      <c r="AT38" s="8">
        <f t="shared" si="10"/>
        <v>-8.7224054488399963E-16</v>
      </c>
      <c r="AU38" s="8">
        <f t="shared" si="11"/>
        <v>2.3873233163263936E-15</v>
      </c>
      <c r="AV38" s="8">
        <f t="shared" si="12"/>
        <v>2.3283064365386963E-7</v>
      </c>
    </row>
    <row r="39" spans="2:48" x14ac:dyDescent="0.2">
      <c r="B39" s="61" t="s">
        <v>169</v>
      </c>
      <c r="C39" s="61"/>
      <c r="D39" s="61"/>
      <c r="F39" t="s">
        <v>143</v>
      </c>
      <c r="G39">
        <f>1/1000 * (W25 + W20 * (W30 * W27 + $G$33 * SIN(W19/180*PI())))</f>
        <v>37.060990130557975</v>
      </c>
      <c r="H39" t="s">
        <v>162</v>
      </c>
      <c r="J39" s="15" t="s">
        <v>96</v>
      </c>
      <c r="K39">
        <f>ROUND(SUM(K27:K30)/$C$5*100, 2)</f>
        <v>4.6900000000000004</v>
      </c>
      <c r="L39" t="s">
        <v>82</v>
      </c>
      <c r="AB39" s="8">
        <v>0</v>
      </c>
      <c r="AC39" s="9">
        <v>0</v>
      </c>
      <c r="AD39" s="8">
        <f t="shared" ref="AD39:AD69" si="15" xml:space="preserve"> $O$22 * TAN($O$19/180*PI()) + $O$23 / (2 * SQRT($O$22^2 + AC39^2)) - AC39</f>
        <v>0.62588049807656576</v>
      </c>
      <c r="AE39" s="9">
        <v>1</v>
      </c>
      <c r="AF39" s="8">
        <f t="shared" ref="AF39:AF69" si="16" xml:space="preserve"> $O$22 * TAN($O$19/180*PI()) + $O$23 / (2 * SQRT($O$22^2 + AE39^2)) - AE39</f>
        <v>-0.674338281790543</v>
      </c>
      <c r="AG39" s="8">
        <f xml:space="preserve"> (AC39 + AE39)/2</f>
        <v>0.5</v>
      </c>
      <c r="AH39" s="8">
        <f t="shared" ref="AH39:AH69" si="17" xml:space="preserve"> $O$22 * TAN($O$19/180*PI()) + $O$23 / (2 * SQRT($O$22^2 + AG39^2)) - AG39</f>
        <v>-0.16579490693912935</v>
      </c>
      <c r="AI39" s="8">
        <f>AD39*AH39</f>
        <v>-0.10376779893362015</v>
      </c>
      <c r="AJ39" s="8">
        <f>AF39*AH39</f>
        <v>0.11180185267495546</v>
      </c>
      <c r="AK39" s="8">
        <f>AE39-AC39</f>
        <v>1</v>
      </c>
      <c r="AM39" s="8">
        <v>35</v>
      </c>
      <c r="AN39" s="8">
        <f t="shared" si="13"/>
        <v>1213.4527852758765</v>
      </c>
      <c r="AO39">
        <v>-3.1690660762251355E-8</v>
      </c>
      <c r="AP39" s="8">
        <f t="shared" si="14"/>
        <v>1213.4527853922918</v>
      </c>
      <c r="AQ39">
        <v>2.7523583412403241E-8</v>
      </c>
      <c r="AR39" s="8">
        <f t="shared" si="9"/>
        <v>1213.4527853340842</v>
      </c>
      <c r="AS39">
        <v>-2.0837660485995002E-9</v>
      </c>
      <c r="AT39" s="8">
        <f t="shared" si="10"/>
        <v>6.6035922954063731E-17</v>
      </c>
      <c r="AU39" s="8">
        <f t="shared" si="11"/>
        <v>-5.7352708650562249E-17</v>
      </c>
      <c r="AV39" s="8">
        <f t="shared" si="12"/>
        <v>1.1641532182693481E-7</v>
      </c>
    </row>
    <row r="40" spans="2:48" x14ac:dyDescent="0.2">
      <c r="B40" t="s">
        <v>170</v>
      </c>
      <c r="C40" s="1">
        <v>0.3</v>
      </c>
      <c r="D40" t="s">
        <v>14</v>
      </c>
      <c r="F40" t="s">
        <v>133</v>
      </c>
      <c r="G40">
        <f>$C$28*G39</f>
        <v>37.060990130557975</v>
      </c>
      <c r="H40" t="s">
        <v>162</v>
      </c>
      <c r="J40" s="3" t="s">
        <v>83</v>
      </c>
      <c r="K40" s="3">
        <f>SUM(K35:K39)</f>
        <v>99.990000000000009</v>
      </c>
      <c r="L40" s="3" t="s">
        <v>82</v>
      </c>
      <c r="AB40" s="8">
        <v>1</v>
      </c>
      <c r="AC40" s="8">
        <f>IF(AI39&gt;0, AG39, AC39)</f>
        <v>0</v>
      </c>
      <c r="AD40" s="8">
        <f t="shared" si="15"/>
        <v>0.62588049807656576</v>
      </c>
      <c r="AE40" s="8">
        <f>IF(AJ39&gt;0, AG39, AE39)</f>
        <v>0.5</v>
      </c>
      <c r="AF40" s="8">
        <f t="shared" si="16"/>
        <v>-0.16579490693912935</v>
      </c>
      <c r="AG40" s="8">
        <f t="shared" ref="AG40:AG69" si="18" xml:space="preserve"> (AC40 + AE40)/2</f>
        <v>0.25</v>
      </c>
      <c r="AH40" s="8">
        <f t="shared" si="17"/>
        <v>0.10115513785926161</v>
      </c>
      <c r="AI40" s="8">
        <f t="shared" ref="AI40:AI69" si="19">AD40*AH40</f>
        <v>6.3311028066358327E-2</v>
      </c>
      <c r="AJ40" s="8">
        <f t="shared" ref="AJ40:AJ69" si="20">AF40*AH40</f>
        <v>-1.6771006667791077E-2</v>
      </c>
      <c r="AK40" s="8">
        <f t="shared" ref="AK40:AK69" si="21">AE40-AC40</f>
        <v>0.5</v>
      </c>
      <c r="AM40" s="8">
        <v>36</v>
      </c>
      <c r="AN40" s="8">
        <f t="shared" si="13"/>
        <v>1213.4527853340842</v>
      </c>
      <c r="AO40">
        <v>-2.0837660485995002E-9</v>
      </c>
      <c r="AP40" s="8">
        <f t="shared" si="14"/>
        <v>1213.4527853922918</v>
      </c>
      <c r="AQ40">
        <v>2.7523583412403241E-8</v>
      </c>
      <c r="AR40" s="8">
        <f t="shared" si="9"/>
        <v>1213.452785363188</v>
      </c>
      <c r="AS40">
        <v>1.2719965525320731E-8</v>
      </c>
      <c r="AT40" s="8">
        <f t="shared" si="10"/>
        <v>-2.6505432301019446E-17</v>
      </c>
      <c r="AU40" s="8">
        <f t="shared" si="11"/>
        <v>3.5009903213905875E-16</v>
      </c>
      <c r="AV40" s="8">
        <f t="shared" si="12"/>
        <v>5.8207660913467407E-8</v>
      </c>
    </row>
    <row r="41" spans="2:48" x14ac:dyDescent="0.2">
      <c r="B41" t="s">
        <v>171</v>
      </c>
      <c r="C41" s="1">
        <v>5.7</v>
      </c>
      <c r="F41" t="s">
        <v>132</v>
      </c>
      <c r="G41">
        <f>$G$35/$G$34</f>
        <v>200</v>
      </c>
      <c r="H41" t="s">
        <v>22</v>
      </c>
      <c r="AB41" s="8">
        <v>2</v>
      </c>
      <c r="AC41" s="8">
        <f t="shared" ref="AC41:AC69" si="22">IF(AI40&gt;0, AG40, AC40)</f>
        <v>0.25</v>
      </c>
      <c r="AD41" s="8">
        <f t="shared" si="15"/>
        <v>0.10115513785926161</v>
      </c>
      <c r="AE41" s="8">
        <f t="shared" ref="AE41:AE69" si="23">IF(AJ40&gt;0, AG40, AE40)</f>
        <v>0.5</v>
      </c>
      <c r="AF41" s="8">
        <f t="shared" si="16"/>
        <v>-0.16579490693912935</v>
      </c>
      <c r="AG41" s="8">
        <f t="shared" si="18"/>
        <v>0.375</v>
      </c>
      <c r="AH41" s="8">
        <f t="shared" si="17"/>
        <v>-3.5119924310885287E-2</v>
      </c>
      <c r="AI41" s="8">
        <f t="shared" si="19"/>
        <v>-3.5525607852744346E-3</v>
      </c>
      <c r="AJ41" s="8">
        <f t="shared" si="20"/>
        <v>5.8227045828324929E-3</v>
      </c>
      <c r="AK41" s="8">
        <f t="shared" si="21"/>
        <v>0.25</v>
      </c>
      <c r="AM41" s="8">
        <v>37</v>
      </c>
      <c r="AN41" s="8">
        <f t="shared" si="13"/>
        <v>1213.4527853340842</v>
      </c>
      <c r="AO41">
        <v>-2.0837660485995002E-9</v>
      </c>
      <c r="AP41" s="8">
        <f t="shared" si="14"/>
        <v>1213.452785363188</v>
      </c>
      <c r="AQ41">
        <v>1.2719965525320731E-8</v>
      </c>
      <c r="AR41" s="8">
        <f t="shared" si="9"/>
        <v>1213.4527853486361</v>
      </c>
      <c r="AS41">
        <v>5.3181565817794763E-9</v>
      </c>
      <c r="AT41" s="8">
        <f t="shared" si="10"/>
        <v>-1.1081794126248044E-17</v>
      </c>
      <c r="AU41" s="8">
        <f t="shared" si="11"/>
        <v>6.7646768378492479E-17</v>
      </c>
      <c r="AV41" s="8">
        <f t="shared" si="12"/>
        <v>2.9103830456733704E-8</v>
      </c>
    </row>
    <row r="42" spans="2:48" x14ac:dyDescent="0.2">
      <c r="B42" s="20" t="s">
        <v>202</v>
      </c>
      <c r="C42" s="37" t="s">
        <v>203</v>
      </c>
      <c r="D42" s="20"/>
      <c r="F42" t="s">
        <v>220</v>
      </c>
      <c r="G42">
        <f>W21*$C$8</f>
        <v>157.07963267948966</v>
      </c>
      <c r="H42" t="s">
        <v>16</v>
      </c>
      <c r="J42" s="58" t="s">
        <v>188</v>
      </c>
      <c r="K42" s="58"/>
      <c r="L42" s="58"/>
      <c r="AB42" s="8">
        <v>3</v>
      </c>
      <c r="AC42" s="8">
        <f>IF(AI41&gt;0, AG41, AC41)</f>
        <v>0.25</v>
      </c>
      <c r="AD42" s="8">
        <f t="shared" si="15"/>
        <v>0.10115513785926161</v>
      </c>
      <c r="AE42" s="8">
        <f t="shared" si="23"/>
        <v>0.375</v>
      </c>
      <c r="AF42" s="8">
        <f t="shared" si="16"/>
        <v>-3.5119924310885287E-2</v>
      </c>
      <c r="AG42" s="8">
        <f t="shared" si="18"/>
        <v>0.3125</v>
      </c>
      <c r="AH42" s="8">
        <f t="shared" si="17"/>
        <v>3.1903687884755338E-2</v>
      </c>
      <c r="AI42" s="8">
        <f t="shared" si="19"/>
        <v>3.2272219462012807E-3</v>
      </c>
      <c r="AJ42" s="8">
        <f t="shared" si="20"/>
        <v>-1.1204551037507155E-3</v>
      </c>
      <c r="AK42" s="8">
        <f t="shared" si="21"/>
        <v>0.125</v>
      </c>
      <c r="AM42" s="8">
        <v>38</v>
      </c>
      <c r="AN42" s="8">
        <f t="shared" si="13"/>
        <v>1213.4527853340842</v>
      </c>
      <c r="AO42">
        <v>-2.0837660485995002E-9</v>
      </c>
      <c r="AP42" s="8">
        <f t="shared" si="14"/>
        <v>1213.4527853486361</v>
      </c>
      <c r="AQ42">
        <v>5.3181565817794763E-9</v>
      </c>
      <c r="AR42" s="8">
        <f t="shared" si="9"/>
        <v>1213.4527853413601</v>
      </c>
      <c r="AS42">
        <v>1.617195266589988E-9</v>
      </c>
      <c r="AT42" s="8">
        <f t="shared" si="10"/>
        <v>-3.3698565904760347E-18</v>
      </c>
      <c r="AU42" s="8">
        <f t="shared" si="11"/>
        <v>8.6004976510381595E-18</v>
      </c>
      <c r="AV42" s="8">
        <f t="shared" si="12"/>
        <v>1.4551915228366852E-8</v>
      </c>
    </row>
    <row r="43" spans="2:48" x14ac:dyDescent="0.2">
      <c r="B43" s="20" t="s">
        <v>204</v>
      </c>
      <c r="C43" s="20">
        <f>IF(C42="wheeled",0.0325,0.014)</f>
        <v>3.2500000000000001E-2</v>
      </c>
      <c r="D43" s="20"/>
      <c r="F43" s="20" t="s">
        <v>221</v>
      </c>
      <c r="G43">
        <f>G42/$C$66</f>
        <v>0.46143434115755327</v>
      </c>
      <c r="H43" t="s">
        <v>215</v>
      </c>
      <c r="J43" t="s">
        <v>81</v>
      </c>
      <c r="K43">
        <f>C17</f>
        <v>400</v>
      </c>
      <c r="L43" t="s">
        <v>12</v>
      </c>
      <c r="AB43" s="8">
        <v>4</v>
      </c>
      <c r="AC43" s="8">
        <f t="shared" si="22"/>
        <v>0.3125</v>
      </c>
      <c r="AD43" s="8">
        <f t="shared" si="15"/>
        <v>3.1903687884755338E-2</v>
      </c>
      <c r="AE43" s="8">
        <f t="shared" si="23"/>
        <v>0.375</v>
      </c>
      <c r="AF43" s="8">
        <f t="shared" si="16"/>
        <v>-3.5119924310885287E-2</v>
      </c>
      <c r="AG43" s="8">
        <f t="shared" si="18"/>
        <v>0.34375</v>
      </c>
      <c r="AH43" s="8">
        <f t="shared" si="17"/>
        <v>-1.8117300672796377E-3</v>
      </c>
      <c r="AI43" s="8">
        <f t="shared" si="19"/>
        <v>-5.7800870597916352E-5</v>
      </c>
      <c r="AJ43" s="8">
        <f t="shared" si="20"/>
        <v>6.3627822834615987E-5</v>
      </c>
      <c r="AK43" s="8">
        <f t="shared" si="21"/>
        <v>6.25E-2</v>
      </c>
      <c r="AM43" s="8">
        <v>39</v>
      </c>
      <c r="AN43" s="8">
        <f t="shared" si="13"/>
        <v>1213.4527853340842</v>
      </c>
      <c r="AO43">
        <v>-2.0837660485995002E-9</v>
      </c>
      <c r="AP43" s="8">
        <f t="shared" si="14"/>
        <v>1213.4527853413601</v>
      </c>
      <c r="AQ43">
        <v>1.617195266589988E-9</v>
      </c>
      <c r="AR43" s="8">
        <f t="shared" si="9"/>
        <v>1213.4527853377222</v>
      </c>
      <c r="AS43">
        <v>-2.3305801732931286E-10</v>
      </c>
      <c r="AT43" s="8">
        <f t="shared" si="10"/>
        <v>4.856383838647361E-19</v>
      </c>
      <c r="AU43" s="8">
        <f t="shared" si="11"/>
        <v>-3.7690032246581216E-19</v>
      </c>
      <c r="AV43" s="8">
        <f t="shared" si="12"/>
        <v>7.2759576141834259E-9</v>
      </c>
    </row>
    <row r="44" spans="2:48" x14ac:dyDescent="0.2">
      <c r="J44" s="16" t="s">
        <v>74</v>
      </c>
      <c r="K44">
        <f>ROUND(K17, 2)</f>
        <v>238.53</v>
      </c>
      <c r="L44" t="s">
        <v>12</v>
      </c>
      <c r="AB44" s="8">
        <v>5</v>
      </c>
      <c r="AC44" s="8">
        <f t="shared" si="22"/>
        <v>0.3125</v>
      </c>
      <c r="AD44" s="8">
        <f t="shared" si="15"/>
        <v>3.1903687884755338E-2</v>
      </c>
      <c r="AE44" s="8">
        <f t="shared" si="23"/>
        <v>0.34375</v>
      </c>
      <c r="AF44" s="8">
        <f t="shared" si="16"/>
        <v>-1.8117300672796377E-3</v>
      </c>
      <c r="AG44" s="8">
        <f t="shared" si="18"/>
        <v>0.328125</v>
      </c>
      <c r="AH44" s="8">
        <f t="shared" si="17"/>
        <v>1.4987904377907535E-2</v>
      </c>
      <c r="AI44" s="8">
        <f t="shared" si="19"/>
        <v>4.781694233193201E-4</v>
      </c>
      <c r="AJ44" s="8">
        <f t="shared" si="20"/>
        <v>-2.7154037006967194E-5</v>
      </c>
      <c r="AK44" s="8">
        <f t="shared" si="21"/>
        <v>3.125E-2</v>
      </c>
      <c r="AM44" s="8">
        <v>40</v>
      </c>
      <c r="AN44" s="8">
        <f t="shared" si="13"/>
        <v>1213.4527853377222</v>
      </c>
      <c r="AO44">
        <v>-2.3305801732931286E-10</v>
      </c>
      <c r="AP44" s="8">
        <f t="shared" si="14"/>
        <v>1213.4527853413601</v>
      </c>
      <c r="AQ44">
        <v>1.617195266589988E-9</v>
      </c>
      <c r="AR44" s="11">
        <f t="shared" si="9"/>
        <v>1213.4527853395412</v>
      </c>
      <c r="AS44">
        <v>6.9189809437375516E-10</v>
      </c>
      <c r="AT44" s="8">
        <f t="shared" si="10"/>
        <v>-1.6125239806867717E-19</v>
      </c>
      <c r="AU44" s="8">
        <f t="shared" si="11"/>
        <v>1.1189343231838697E-18</v>
      </c>
      <c r="AV44" s="8">
        <f t="shared" si="12"/>
        <v>3.637978807091713E-9</v>
      </c>
    </row>
    <row r="45" spans="2:48" x14ac:dyDescent="0.2">
      <c r="B45" s="61" t="s">
        <v>181</v>
      </c>
      <c r="C45" s="61"/>
      <c r="D45" s="61"/>
      <c r="F45" s="61" t="s">
        <v>111</v>
      </c>
      <c r="G45" s="61"/>
      <c r="H45" s="61"/>
      <c r="J45" s="18" t="s">
        <v>108</v>
      </c>
      <c r="K45">
        <f>ROUND(SUM(K18:K20), 2)</f>
        <v>169.56</v>
      </c>
      <c r="L45" t="s">
        <v>12</v>
      </c>
      <c r="AB45" s="8">
        <v>6</v>
      </c>
      <c r="AC45" s="8">
        <f t="shared" si="22"/>
        <v>0.328125</v>
      </c>
      <c r="AD45" s="8">
        <f t="shared" si="15"/>
        <v>1.4987904377907535E-2</v>
      </c>
      <c r="AE45" s="8">
        <f t="shared" si="23"/>
        <v>0.34375</v>
      </c>
      <c r="AF45" s="8">
        <f t="shared" si="16"/>
        <v>-1.8117300672796377E-3</v>
      </c>
      <c r="AG45" s="8">
        <f t="shared" si="18"/>
        <v>0.3359375</v>
      </c>
      <c r="AH45" s="8">
        <f t="shared" si="17"/>
        <v>6.574567442269863E-3</v>
      </c>
      <c r="AI45" s="8">
        <f t="shared" si="19"/>
        <v>9.8538988150844825E-5</v>
      </c>
      <c r="AJ45" s="8">
        <f t="shared" si="20"/>
        <v>-1.1911341514518095E-5</v>
      </c>
      <c r="AK45" s="8">
        <f t="shared" si="21"/>
        <v>1.5625E-2</v>
      </c>
    </row>
    <row r="46" spans="2:48" x14ac:dyDescent="0.2">
      <c r="B46" t="s">
        <v>171</v>
      </c>
      <c r="C46" s="1">
        <v>3</v>
      </c>
      <c r="F46" t="s">
        <v>117</v>
      </c>
      <c r="G46" s="1">
        <v>1.524</v>
      </c>
      <c r="H46" t="s">
        <v>16</v>
      </c>
      <c r="J46" s="17" t="s">
        <v>95</v>
      </c>
      <c r="K46">
        <f>ROUND(SUM(K21:K26), 2)</f>
        <v>348.44</v>
      </c>
      <c r="L46" t="s">
        <v>12</v>
      </c>
      <c r="AB46" s="8">
        <v>7</v>
      </c>
      <c r="AC46" s="8">
        <f t="shared" si="22"/>
        <v>0.3359375</v>
      </c>
      <c r="AD46" s="8">
        <f t="shared" si="15"/>
        <v>6.574567442269863E-3</v>
      </c>
      <c r="AE46" s="8">
        <f t="shared" si="23"/>
        <v>0.34375</v>
      </c>
      <c r="AF46" s="8">
        <f t="shared" si="16"/>
        <v>-1.8117300672796377E-3</v>
      </c>
      <c r="AG46" s="8">
        <f t="shared" si="18"/>
        <v>0.33984375</v>
      </c>
      <c r="AH46" s="8">
        <f t="shared" si="17"/>
        <v>2.3781537488772875E-3</v>
      </c>
      <c r="AI46" s="8">
        <f t="shared" si="19"/>
        <v>1.5635332210080634E-5</v>
      </c>
      <c r="AJ46" s="8">
        <f t="shared" si="20"/>
        <v>-4.3085726514547709E-6</v>
      </c>
      <c r="AK46" s="8">
        <f t="shared" si="21"/>
        <v>7.8125E-3</v>
      </c>
    </row>
    <row r="47" spans="2:48" x14ac:dyDescent="0.2">
      <c r="F47" t="s">
        <v>123</v>
      </c>
      <c r="G47" s="1">
        <v>152.4</v>
      </c>
      <c r="H47" t="s">
        <v>14</v>
      </c>
      <c r="J47" s="15" t="s">
        <v>96</v>
      </c>
      <c r="K47">
        <f>ROUND(SUM(K27:K30), 2)</f>
        <v>56.92</v>
      </c>
      <c r="L47" t="s">
        <v>12</v>
      </c>
      <c r="AB47" s="8">
        <v>8</v>
      </c>
      <c r="AC47" s="8">
        <f t="shared" si="22"/>
        <v>0.33984375</v>
      </c>
      <c r="AD47" s="8">
        <f t="shared" si="15"/>
        <v>2.3781537488772875E-3</v>
      </c>
      <c r="AE47" s="8">
        <f t="shared" si="23"/>
        <v>0.34375</v>
      </c>
      <c r="AF47" s="8">
        <f t="shared" si="16"/>
        <v>-1.8117300672796377E-3</v>
      </c>
      <c r="AG47" s="8">
        <f t="shared" si="18"/>
        <v>0.341796875</v>
      </c>
      <c r="AH47" s="8">
        <f t="shared" si="17"/>
        <v>2.8240941446938672E-4</v>
      </c>
      <c r="AI47" s="8">
        <f t="shared" si="19"/>
        <v>6.7161300773861169E-7</v>
      </c>
      <c r="AJ47" s="8">
        <f t="shared" si="20"/>
        <v>-5.1164962747702506E-7</v>
      </c>
      <c r="AK47" s="8">
        <f t="shared" si="21"/>
        <v>3.90625E-3</v>
      </c>
    </row>
    <row r="48" spans="2:48" x14ac:dyDescent="0.2">
      <c r="B48" s="61" t="s">
        <v>172</v>
      </c>
      <c r="C48" s="61"/>
      <c r="D48" s="61"/>
      <c r="F48" t="s">
        <v>115</v>
      </c>
      <c r="G48">
        <f xml:space="preserve"> 1/1000 * IF( $G$46&gt;=2*SQRT(($C$5*$C$67)/(2*$C$65*$C$21*PI()*$C$6*$C$6)), ($C$5*$C$67)/$C$24 * ( ($G$46/2) - SQRT( ($G$46/2)^2 - ($C$5*$C$67)/(2*$C$65*$C$21*PI()*$C$6*$C$6 ) ) ), 1/$C$24 * SQRT(($C$5*$C$67)^3/(2*$C$65*$C$21*PI()*$C$6*$C$6)) )</f>
        <v>220.57236627229807</v>
      </c>
      <c r="H48" t="s">
        <v>162</v>
      </c>
      <c r="J48" s="3" t="s">
        <v>83</v>
      </c>
      <c r="K48" s="3">
        <f>SUM(K43:K47)</f>
        <v>1213.45</v>
      </c>
      <c r="L48" t="s">
        <v>12</v>
      </c>
      <c r="AB48" s="8">
        <v>9</v>
      </c>
      <c r="AC48" s="8">
        <f t="shared" si="22"/>
        <v>0.341796875</v>
      </c>
      <c r="AD48" s="8">
        <f t="shared" si="15"/>
        <v>2.8240941446938672E-4</v>
      </c>
      <c r="AE48" s="8">
        <f t="shared" si="23"/>
        <v>0.34375</v>
      </c>
      <c r="AF48" s="8">
        <f t="shared" si="16"/>
        <v>-1.8117300672796377E-3</v>
      </c>
      <c r="AG48" s="8">
        <f t="shared" si="18"/>
        <v>0.3427734375</v>
      </c>
      <c r="AH48" s="8">
        <f t="shared" si="17"/>
        <v>-7.6485924080321732E-4</v>
      </c>
      <c r="AI48" s="8">
        <f t="shared" si="19"/>
        <v>-2.1600345034673627E-7</v>
      </c>
      <c r="AJ48" s="8">
        <f t="shared" si="20"/>
        <v>1.3857184837998654E-6</v>
      </c>
      <c r="AK48" s="8">
        <f t="shared" si="21"/>
        <v>1.953125E-3</v>
      </c>
    </row>
    <row r="49" spans="2:39" x14ac:dyDescent="0.2">
      <c r="B49" t="s">
        <v>173</v>
      </c>
      <c r="C49" s="1">
        <v>2</v>
      </c>
      <c r="F49" t="s">
        <v>30</v>
      </c>
      <c r="G49">
        <f xml:space="preserve"> $C$5 * $C$67 / $C$21</f>
        <v>1487.4883446687513</v>
      </c>
      <c r="H49" t="s">
        <v>31</v>
      </c>
      <c r="AB49" s="8">
        <v>10</v>
      </c>
      <c r="AC49" s="8">
        <f t="shared" si="22"/>
        <v>0.341796875</v>
      </c>
      <c r="AD49" s="8">
        <f t="shared" si="15"/>
        <v>2.8240941446938672E-4</v>
      </c>
      <c r="AE49" s="8">
        <f t="shared" si="23"/>
        <v>0.3427734375</v>
      </c>
      <c r="AF49" s="8">
        <f t="shared" si="16"/>
        <v>-7.6485924080321732E-4</v>
      </c>
      <c r="AG49" s="8">
        <f t="shared" si="18"/>
        <v>0.34228515625</v>
      </c>
      <c r="AH49" s="8">
        <f t="shared" si="17"/>
        <v>-2.4127485180547303E-4</v>
      </c>
      <c r="AI49" s="8">
        <f t="shared" si="19"/>
        <v>-6.8138289624571695E-8</v>
      </c>
      <c r="AJ49" s="8">
        <f t="shared" si="20"/>
        <v>1.8454129997684287E-7</v>
      </c>
      <c r="AK49" s="8">
        <f t="shared" si="21"/>
        <v>9.765625E-4</v>
      </c>
    </row>
    <row r="50" spans="2:39" x14ac:dyDescent="0.2">
      <c r="B50" t="s">
        <v>175</v>
      </c>
      <c r="C50" s="1">
        <v>2</v>
      </c>
      <c r="D50" t="s">
        <v>18</v>
      </c>
      <c r="F50" t="s">
        <v>122</v>
      </c>
      <c r="G50">
        <f xml:space="preserve"> $G$47/$G$46</f>
        <v>100</v>
      </c>
      <c r="H50" t="s">
        <v>22</v>
      </c>
      <c r="AB50" s="8">
        <v>11</v>
      </c>
      <c r="AC50" s="8">
        <f t="shared" si="22"/>
        <v>0.341796875</v>
      </c>
      <c r="AD50" s="8">
        <f t="shared" si="15"/>
        <v>2.8240941446938672E-4</v>
      </c>
      <c r="AE50" s="8">
        <f t="shared" si="23"/>
        <v>0.34228515625</v>
      </c>
      <c r="AF50" s="8">
        <f t="shared" si="16"/>
        <v>-2.4127485180547303E-4</v>
      </c>
      <c r="AG50" s="8">
        <f t="shared" si="18"/>
        <v>0.342041015625</v>
      </c>
      <c r="AH50" s="8">
        <f t="shared" si="17"/>
        <v>2.0554770288394586E-5</v>
      </c>
      <c r="AI50" s="8">
        <f t="shared" si="19"/>
        <v>5.8048606416982623E-9</v>
      </c>
      <c r="AJ50" s="8">
        <f t="shared" si="20"/>
        <v>-4.959349155227944E-9</v>
      </c>
      <c r="AK50" s="8">
        <f t="shared" si="21"/>
        <v>4.8828125E-4</v>
      </c>
    </row>
    <row r="51" spans="2:39" x14ac:dyDescent="0.2">
      <c r="B51" t="s">
        <v>174</v>
      </c>
      <c r="C51" s="1">
        <f>0.15*1.25</f>
        <v>0.1875</v>
      </c>
      <c r="D51" t="s">
        <v>14</v>
      </c>
      <c r="F51" t="s">
        <v>214</v>
      </c>
      <c r="G51">
        <f>$C$13*2*PI()*$C$6/60 * $C$6</f>
        <v>169.64600329384882</v>
      </c>
      <c r="H51" t="s">
        <v>16</v>
      </c>
      <c r="AB51" s="8">
        <v>12</v>
      </c>
      <c r="AC51" s="8">
        <f t="shared" si="22"/>
        <v>0.342041015625</v>
      </c>
      <c r="AD51" s="8">
        <f t="shared" si="15"/>
        <v>2.0554770288394586E-5</v>
      </c>
      <c r="AE51" s="8">
        <f t="shared" si="23"/>
        <v>0.34228515625</v>
      </c>
      <c r="AF51" s="8">
        <f t="shared" si="16"/>
        <v>-2.4127485180547303E-4</v>
      </c>
      <c r="AG51" s="8">
        <f t="shared" si="18"/>
        <v>0.3421630859375</v>
      </c>
      <c r="AH51" s="8">
        <f t="shared" si="17"/>
        <v>-1.1036316521567668E-4</v>
      </c>
      <c r="AI51" s="8">
        <f t="shared" si="19"/>
        <v>-2.268489509308374E-9</v>
      </c>
      <c r="AJ51" s="8">
        <f t="shared" si="20"/>
        <v>2.6627856332195329E-8</v>
      </c>
      <c r="AK51" s="8">
        <f t="shared" si="21"/>
        <v>2.44140625E-4</v>
      </c>
    </row>
    <row r="52" spans="2:39" x14ac:dyDescent="0.2">
      <c r="F52" s="20" t="s">
        <v>217</v>
      </c>
      <c r="G52">
        <f>G51/$C$66</f>
        <v>0.49834908845015752</v>
      </c>
      <c r="H52" t="s">
        <v>215</v>
      </c>
      <c r="AB52" s="8">
        <v>13</v>
      </c>
      <c r="AC52" s="8">
        <f t="shared" si="22"/>
        <v>0.342041015625</v>
      </c>
      <c r="AD52" s="8">
        <f t="shared" si="15"/>
        <v>2.0554770288394586E-5</v>
      </c>
      <c r="AE52" s="8">
        <f t="shared" si="23"/>
        <v>0.3421630859375</v>
      </c>
      <c r="AF52" s="8">
        <f t="shared" si="16"/>
        <v>-1.1036316521567668E-4</v>
      </c>
      <c r="AG52" s="8">
        <f t="shared" si="18"/>
        <v>0.34210205078125</v>
      </c>
      <c r="AH52" s="8">
        <f t="shared" si="17"/>
        <v>-4.4904978990512046E-5</v>
      </c>
      <c r="AI52" s="8">
        <f t="shared" si="19"/>
        <v>-9.2301152795516009E-10</v>
      </c>
      <c r="AJ52" s="8">
        <f t="shared" si="20"/>
        <v>4.9558556153363712E-9</v>
      </c>
      <c r="AK52" s="8">
        <f t="shared" si="21"/>
        <v>1.220703125E-4</v>
      </c>
    </row>
    <row r="53" spans="2:39" x14ac:dyDescent="0.2">
      <c r="B53" s="61" t="s">
        <v>176</v>
      </c>
      <c r="C53" s="61"/>
      <c r="D53" s="61"/>
      <c r="AB53" s="8">
        <v>14</v>
      </c>
      <c r="AC53" s="8">
        <f t="shared" si="22"/>
        <v>0.342041015625</v>
      </c>
      <c r="AD53" s="8">
        <f t="shared" si="15"/>
        <v>2.0554770288394586E-5</v>
      </c>
      <c r="AE53" s="8">
        <f t="shared" si="23"/>
        <v>0.34210205078125</v>
      </c>
      <c r="AF53" s="8">
        <f t="shared" si="16"/>
        <v>-4.4904978990512046E-5</v>
      </c>
      <c r="AG53" s="8">
        <f t="shared" si="18"/>
        <v>0.342071533203125</v>
      </c>
      <c r="AH53" s="8">
        <f t="shared" si="17"/>
        <v>-1.2175299784422666E-5</v>
      </c>
      <c r="AI53" s="8">
        <f t="shared" si="19"/>
        <v>-2.5026049026114804E-10</v>
      </c>
      <c r="AJ53" s="8">
        <f t="shared" si="20"/>
        <v>5.4673158102268562E-10</v>
      </c>
      <c r="AK53" s="8">
        <f t="shared" si="21"/>
        <v>6.103515625E-5</v>
      </c>
    </row>
    <row r="54" spans="2:39" x14ac:dyDescent="0.2">
      <c r="B54" t="s">
        <v>177</v>
      </c>
      <c r="C54" s="1">
        <v>1.2</v>
      </c>
      <c r="AB54" s="8">
        <v>15</v>
      </c>
      <c r="AC54" s="8">
        <f t="shared" si="22"/>
        <v>0.342041015625</v>
      </c>
      <c r="AD54" s="8">
        <f t="shared" si="15"/>
        <v>2.0554770288394586E-5</v>
      </c>
      <c r="AE54" s="8">
        <f t="shared" si="23"/>
        <v>0.342071533203125</v>
      </c>
      <c r="AF54" s="8">
        <f t="shared" si="16"/>
        <v>-1.2175299784422666E-5</v>
      </c>
      <c r="AG54" s="8">
        <f t="shared" si="18"/>
        <v>0.3420562744140625</v>
      </c>
      <c r="AH54" s="8">
        <f t="shared" si="17"/>
        <v>4.1896863872126211E-6</v>
      </c>
      <c r="AI54" s="8">
        <f t="shared" si="19"/>
        <v>8.6118041269569239E-11</v>
      </c>
      <c r="AJ54" s="8">
        <f t="shared" si="20"/>
        <v>-5.1010687767028403E-11</v>
      </c>
      <c r="AK54" s="8">
        <f t="shared" si="21"/>
        <v>3.0517578125E-5</v>
      </c>
    </row>
    <row r="55" spans="2:39" x14ac:dyDescent="0.2">
      <c r="B55" t="s">
        <v>178</v>
      </c>
      <c r="C55" s="1">
        <v>2.5</v>
      </c>
      <c r="D55" t="s">
        <v>18</v>
      </c>
      <c r="AB55" s="8">
        <v>16</v>
      </c>
      <c r="AC55" s="8">
        <f t="shared" si="22"/>
        <v>0.3420562744140625</v>
      </c>
      <c r="AD55" s="8">
        <f t="shared" si="15"/>
        <v>4.1896863872126211E-6</v>
      </c>
      <c r="AE55" s="8">
        <f t="shared" si="23"/>
        <v>0.342071533203125</v>
      </c>
      <c r="AF55" s="8">
        <f t="shared" si="16"/>
        <v>-1.2175299784422666E-5</v>
      </c>
      <c r="AG55" s="8">
        <f t="shared" si="18"/>
        <v>0.34206390380859375</v>
      </c>
      <c r="AH55" s="8">
        <f t="shared" si="17"/>
        <v>-3.9928189140003845E-6</v>
      </c>
      <c r="AI55" s="8">
        <f t="shared" si="19"/>
        <v>-1.6728659050592491E-11</v>
      </c>
      <c r="AJ55" s="8">
        <f t="shared" si="20"/>
        <v>4.8613767262867624E-11</v>
      </c>
      <c r="AK55" s="8">
        <f t="shared" si="21"/>
        <v>1.52587890625E-5</v>
      </c>
      <c r="AM55" s="8"/>
    </row>
    <row r="56" spans="2:39" x14ac:dyDescent="0.2">
      <c r="B56" t="s">
        <v>179</v>
      </c>
      <c r="C56" s="1">
        <f>0.12*2.92</f>
        <v>0.35039999999999999</v>
      </c>
      <c r="D56" t="s">
        <v>14</v>
      </c>
      <c r="AB56" s="8">
        <v>17</v>
      </c>
      <c r="AC56" s="8">
        <f t="shared" si="22"/>
        <v>0.3420562744140625</v>
      </c>
      <c r="AD56" s="8">
        <f t="shared" si="15"/>
        <v>4.1896863872126211E-6</v>
      </c>
      <c r="AE56" s="8">
        <f t="shared" si="23"/>
        <v>0.34206390380859375</v>
      </c>
      <c r="AF56" s="8">
        <f t="shared" si="16"/>
        <v>-3.9928189140003845E-6</v>
      </c>
      <c r="AG56" s="8">
        <f t="shared" si="18"/>
        <v>0.34206008911132812</v>
      </c>
      <c r="AH56" s="8">
        <f t="shared" si="17"/>
        <v>9.8430682660133328E-8</v>
      </c>
      <c r="AI56" s="8">
        <f t="shared" si="19"/>
        <v>4.12393691225206E-13</v>
      </c>
      <c r="AJ56" s="8">
        <f t="shared" si="20"/>
        <v>-3.9301589144335004E-13</v>
      </c>
      <c r="AK56" s="8">
        <f t="shared" si="21"/>
        <v>7.62939453125E-6</v>
      </c>
      <c r="AM56" s="8"/>
    </row>
    <row r="57" spans="2:39" x14ac:dyDescent="0.2">
      <c r="B57" t="s">
        <v>180</v>
      </c>
      <c r="C57" s="1">
        <v>35</v>
      </c>
      <c r="D57" t="s">
        <v>62</v>
      </c>
      <c r="AB57" s="8">
        <v>18</v>
      </c>
      <c r="AC57" s="8">
        <f t="shared" si="22"/>
        <v>0.34206008911132812</v>
      </c>
      <c r="AD57" s="8">
        <f t="shared" si="15"/>
        <v>9.8430682660133328E-8</v>
      </c>
      <c r="AE57" s="8">
        <f t="shared" si="23"/>
        <v>0.34206390380859375</v>
      </c>
      <c r="AF57" s="8">
        <f t="shared" si="16"/>
        <v>-3.9928189140003845E-6</v>
      </c>
      <c r="AG57" s="8">
        <f t="shared" si="18"/>
        <v>0.34206199645996094</v>
      </c>
      <c r="AH57" s="8">
        <f t="shared" si="17"/>
        <v>-1.9471948791149885E-6</v>
      </c>
      <c r="AI57" s="8">
        <f t="shared" si="19"/>
        <v>-1.9166372122360412E-13</v>
      </c>
      <c r="AJ57" s="8">
        <f t="shared" si="20"/>
        <v>7.7747965425750176E-12</v>
      </c>
      <c r="AK57" s="8">
        <f t="shared" si="21"/>
        <v>3.814697265625E-6</v>
      </c>
      <c r="AM57" s="8"/>
    </row>
    <row r="58" spans="2:39" x14ac:dyDescent="0.2">
      <c r="AB58" s="8">
        <v>19</v>
      </c>
      <c r="AC58" s="8">
        <f t="shared" si="22"/>
        <v>0.34206008911132812</v>
      </c>
      <c r="AD58" s="8">
        <f t="shared" si="15"/>
        <v>9.8430682660133328E-8</v>
      </c>
      <c r="AE58" s="8">
        <f t="shared" si="23"/>
        <v>0.34206199645996094</v>
      </c>
      <c r="AF58" s="8">
        <f t="shared" si="16"/>
        <v>-1.9471948791149885E-6</v>
      </c>
      <c r="AG58" s="8">
        <f t="shared" si="18"/>
        <v>0.34206104278564453</v>
      </c>
      <c r="AH58" s="8">
        <f t="shared" si="17"/>
        <v>-9.2438228910252107E-7</v>
      </c>
      <c r="AI58" s="8">
        <f t="shared" si="19"/>
        <v>-9.0987579755297877E-14</v>
      </c>
      <c r="AJ58" s="8">
        <f t="shared" si="20"/>
        <v>1.7999524596850198E-12</v>
      </c>
      <c r="AK58" s="8">
        <f t="shared" si="21"/>
        <v>1.9073486328125E-6</v>
      </c>
    </row>
    <row r="59" spans="2:39" x14ac:dyDescent="0.2">
      <c r="B59" s="59" t="s">
        <v>6</v>
      </c>
      <c r="C59" s="60"/>
      <c r="D59" s="60"/>
      <c r="AB59" s="8">
        <v>20</v>
      </c>
      <c r="AC59" s="8">
        <f t="shared" si="22"/>
        <v>0.34206008911132812</v>
      </c>
      <c r="AD59" s="8">
        <f t="shared" si="15"/>
        <v>9.8430682660133328E-8</v>
      </c>
      <c r="AE59" s="8">
        <f t="shared" si="23"/>
        <v>0.34206104278564453</v>
      </c>
      <c r="AF59" s="8">
        <f t="shared" si="16"/>
        <v>-9.2438228910252107E-7</v>
      </c>
      <c r="AG59" s="8">
        <f t="shared" si="18"/>
        <v>0.34206056594848633</v>
      </c>
      <c r="AH59" s="8">
        <f t="shared" si="17"/>
        <v>-4.1297585096078393E-7</v>
      </c>
      <c r="AI59" s="8">
        <f t="shared" si="19"/>
        <v>-4.0649494932219441E-14</v>
      </c>
      <c r="AJ59" s="8">
        <f t="shared" si="20"/>
        <v>3.81747562455191E-13</v>
      </c>
      <c r="AK59" s="8">
        <f t="shared" si="21"/>
        <v>9.5367431640625E-7</v>
      </c>
    </row>
    <row r="60" spans="2:39" x14ac:dyDescent="0.2">
      <c r="B60" t="s">
        <v>7</v>
      </c>
      <c r="C60" s="1">
        <v>250</v>
      </c>
      <c r="D60" t="s">
        <v>8</v>
      </c>
      <c r="AB60" s="8">
        <v>21</v>
      </c>
      <c r="AC60" s="8">
        <f t="shared" si="22"/>
        <v>0.34206008911132812</v>
      </c>
      <c r="AD60" s="8">
        <f t="shared" si="15"/>
        <v>9.8430682660133328E-8</v>
      </c>
      <c r="AE60" s="8">
        <f t="shared" si="23"/>
        <v>0.34206056594848633</v>
      </c>
      <c r="AF60" s="8">
        <f t="shared" si="16"/>
        <v>-4.1297585096078393E-7</v>
      </c>
      <c r="AG60" s="8">
        <f t="shared" si="18"/>
        <v>0.34206032752990723</v>
      </c>
      <c r="AH60" s="8">
        <f t="shared" si="17"/>
        <v>-1.5727259605746724E-7</v>
      </c>
      <c r="AI60" s="8">
        <f t="shared" si="19"/>
        <v>-1.5480448993667894E-14</v>
      </c>
      <c r="AJ60" s="8">
        <f t="shared" si="20"/>
        <v>6.494978418964416E-14</v>
      </c>
      <c r="AK60" s="8">
        <f t="shared" si="21"/>
        <v>4.76837158203125E-7</v>
      </c>
    </row>
    <row r="61" spans="2:39" x14ac:dyDescent="0.2">
      <c r="B61" t="s">
        <v>9</v>
      </c>
      <c r="C61" s="1">
        <v>0.85</v>
      </c>
      <c r="F61" s="4"/>
      <c r="AB61" s="8">
        <v>22</v>
      </c>
      <c r="AC61" s="8">
        <f t="shared" si="22"/>
        <v>0.34206008911132812</v>
      </c>
      <c r="AD61" s="8">
        <f t="shared" si="15"/>
        <v>9.8430682660133328E-8</v>
      </c>
      <c r="AE61" s="8">
        <f t="shared" si="23"/>
        <v>0.34206032752990723</v>
      </c>
      <c r="AF61" s="8">
        <f t="shared" si="16"/>
        <v>-1.5727259605746724E-7</v>
      </c>
      <c r="AG61" s="8">
        <f t="shared" si="18"/>
        <v>0.34206020832061768</v>
      </c>
      <c r="AH61" s="8">
        <f t="shared" si="17"/>
        <v>-2.9420959668513547E-8</v>
      </c>
      <c r="AI61" s="8">
        <f t="shared" si="19"/>
        <v>-2.8959251446880384E-15</v>
      </c>
      <c r="AJ61" s="8">
        <f t="shared" si="20"/>
        <v>4.6271107055691665E-15</v>
      </c>
      <c r="AK61" s="8">
        <f t="shared" si="21"/>
        <v>2.384185791015625E-7</v>
      </c>
    </row>
    <row r="62" spans="2:39" x14ac:dyDescent="0.2">
      <c r="B62" t="s">
        <v>10</v>
      </c>
      <c r="C62" s="1">
        <v>0.8</v>
      </c>
      <c r="AB62" s="8">
        <v>23</v>
      </c>
      <c r="AC62" s="8">
        <f t="shared" si="22"/>
        <v>0.34206008911132812</v>
      </c>
      <c r="AD62" s="8">
        <f t="shared" si="15"/>
        <v>9.8430682660133328E-8</v>
      </c>
      <c r="AE62" s="8">
        <f t="shared" si="23"/>
        <v>0.34206020832061768</v>
      </c>
      <c r="AF62" s="8">
        <f t="shared" si="16"/>
        <v>-2.9420959668513547E-8</v>
      </c>
      <c r="AG62" s="8">
        <f t="shared" si="18"/>
        <v>0.3420601487159729</v>
      </c>
      <c r="AH62" s="8">
        <f t="shared" si="17"/>
        <v>3.4504860746409349E-8</v>
      </c>
      <c r="AI62" s="8">
        <f t="shared" si="19"/>
        <v>3.3963369983619099E-15</v>
      </c>
      <c r="AJ62" s="8">
        <f t="shared" si="20"/>
        <v>-1.0151661163877856E-15</v>
      </c>
      <c r="AK62" s="8">
        <f t="shared" si="21"/>
        <v>1.1920928955078125E-7</v>
      </c>
    </row>
    <row r="63" spans="2:39" x14ac:dyDescent="0.2">
      <c r="AB63" s="8">
        <v>24</v>
      </c>
      <c r="AC63" s="8">
        <f t="shared" si="22"/>
        <v>0.3420601487159729</v>
      </c>
      <c r="AD63" s="8">
        <f t="shared" si="15"/>
        <v>3.4504860746409349E-8</v>
      </c>
      <c r="AE63" s="8">
        <f t="shared" si="23"/>
        <v>0.34206020832061768</v>
      </c>
      <c r="AF63" s="8">
        <f t="shared" si="16"/>
        <v>-2.9420959668513547E-8</v>
      </c>
      <c r="AG63" s="8">
        <f t="shared" si="18"/>
        <v>0.34206017851829529</v>
      </c>
      <c r="AH63" s="8">
        <f t="shared" si="17"/>
        <v>2.5419503169032964E-9</v>
      </c>
      <c r="AI63" s="8">
        <f t="shared" si="19"/>
        <v>8.7709641709039359E-17</v>
      </c>
      <c r="AJ63" s="8">
        <f t="shared" si="20"/>
        <v>-7.4786617752977113E-17</v>
      </c>
      <c r="AK63" s="8">
        <f t="shared" si="21"/>
        <v>5.9604644775390625E-8</v>
      </c>
    </row>
    <row r="64" spans="2:39" x14ac:dyDescent="0.2">
      <c r="B64" s="19" t="s">
        <v>97</v>
      </c>
      <c r="C64" s="19"/>
      <c r="D64" s="19"/>
      <c r="AB64" s="8">
        <v>25</v>
      </c>
      <c r="AC64" s="8">
        <f t="shared" si="22"/>
        <v>0.34206017851829529</v>
      </c>
      <c r="AD64" s="8">
        <f t="shared" si="15"/>
        <v>2.5419503169032964E-9</v>
      </c>
      <c r="AE64" s="8">
        <f t="shared" si="23"/>
        <v>0.34206020832061768</v>
      </c>
      <c r="AF64" s="8">
        <f t="shared" si="16"/>
        <v>-2.9420959668513547E-8</v>
      </c>
      <c r="AG64" s="8">
        <f t="shared" si="18"/>
        <v>0.34206019341945648</v>
      </c>
      <c r="AH64" s="8">
        <f t="shared" si="17"/>
        <v>-1.3439504731316276E-8</v>
      </c>
      <c r="AI64" s="8">
        <f t="shared" si="19"/>
        <v>-3.416255331079276E-17</v>
      </c>
      <c r="AJ64" s="8">
        <f t="shared" si="20"/>
        <v>3.9540312666485318E-16</v>
      </c>
      <c r="AK64" s="8">
        <f t="shared" si="21"/>
        <v>2.9802322387695312E-8</v>
      </c>
    </row>
    <row r="65" spans="2:37" x14ac:dyDescent="0.2">
      <c r="B65" t="s">
        <v>23</v>
      </c>
      <c r="C65" s="1">
        <v>1.2250000000000001</v>
      </c>
      <c r="D65" t="s">
        <v>24</v>
      </c>
      <c r="AB65" s="8">
        <v>26</v>
      </c>
      <c r="AC65" s="8">
        <f t="shared" si="22"/>
        <v>0.34206017851829529</v>
      </c>
      <c r="AD65" s="8">
        <f t="shared" si="15"/>
        <v>2.5419503169032964E-9</v>
      </c>
      <c r="AE65" s="8">
        <f t="shared" si="23"/>
        <v>0.34206019341945648</v>
      </c>
      <c r="AF65" s="8">
        <f t="shared" si="16"/>
        <v>-1.3439504731316276E-8</v>
      </c>
      <c r="AG65" s="8">
        <f t="shared" si="18"/>
        <v>0.34206018596887589</v>
      </c>
      <c r="AH65" s="8">
        <f t="shared" si="17"/>
        <v>-5.4487772072064899E-9</v>
      </c>
      <c r="AI65" s="8">
        <f t="shared" si="19"/>
        <v>-1.3850520948593996E-17</v>
      </c>
      <c r="AJ65" s="8">
        <f t="shared" si="20"/>
        <v>7.3228867056139908E-17</v>
      </c>
      <c r="AK65" s="8">
        <f t="shared" si="21"/>
        <v>1.4901161193847656E-8</v>
      </c>
    </row>
    <row r="66" spans="2:37" x14ac:dyDescent="0.2">
      <c r="B66" s="20" t="s">
        <v>216</v>
      </c>
      <c r="C66" s="33">
        <v>340.416</v>
      </c>
      <c r="D66" s="20" t="s">
        <v>16</v>
      </c>
      <c r="AB66" s="8">
        <v>27</v>
      </c>
      <c r="AC66" s="8">
        <f t="shared" si="22"/>
        <v>0.34206017851829529</v>
      </c>
      <c r="AD66" s="8">
        <f t="shared" si="15"/>
        <v>2.5419503169032964E-9</v>
      </c>
      <c r="AE66" s="8">
        <f t="shared" si="23"/>
        <v>0.34206018596887589</v>
      </c>
      <c r="AF66" s="8">
        <f t="shared" si="16"/>
        <v>-5.4487772072064899E-9</v>
      </c>
      <c r="AG66" s="8">
        <f t="shared" si="18"/>
        <v>0.34206018224358559</v>
      </c>
      <c r="AH66" s="8">
        <f t="shared" si="17"/>
        <v>-1.4534134451515968E-9</v>
      </c>
      <c r="AI66" s="8">
        <f t="shared" si="19"/>
        <v>-3.6945047674946132E-18</v>
      </c>
      <c r="AJ66" s="8">
        <f t="shared" si="20"/>
        <v>7.9193260525894804E-18</v>
      </c>
      <c r="AK66" s="8">
        <f t="shared" si="21"/>
        <v>7.4505805969238281E-9</v>
      </c>
    </row>
    <row r="67" spans="2:37" x14ac:dyDescent="0.2">
      <c r="B67" t="s">
        <v>25</v>
      </c>
      <c r="C67" s="1">
        <v>9.8066499999999994</v>
      </c>
      <c r="D67" t="s">
        <v>26</v>
      </c>
      <c r="AB67" s="8">
        <v>28</v>
      </c>
      <c r="AC67" s="8">
        <f t="shared" si="22"/>
        <v>0.34206017851829529</v>
      </c>
      <c r="AD67" s="8">
        <f t="shared" si="15"/>
        <v>2.5419503169032964E-9</v>
      </c>
      <c r="AE67" s="8">
        <f t="shared" si="23"/>
        <v>0.34206018224358559</v>
      </c>
      <c r="AF67" s="8">
        <f t="shared" si="16"/>
        <v>-1.4534134451515968E-9</v>
      </c>
      <c r="AG67" s="8">
        <f t="shared" si="18"/>
        <v>0.34206018038094044</v>
      </c>
      <c r="AH67" s="8">
        <f t="shared" si="17"/>
        <v>5.4426846363142545E-10</v>
      </c>
      <c r="AI67" s="8">
        <f t="shared" si="19"/>
        <v>1.3835033936083722E-18</v>
      </c>
      <c r="AJ67" s="8">
        <f t="shared" si="20"/>
        <v>-7.9104710281391661E-19</v>
      </c>
      <c r="AK67" s="8">
        <f t="shared" si="21"/>
        <v>3.7252902984619141E-9</v>
      </c>
    </row>
    <row r="68" spans="2:37" x14ac:dyDescent="0.2">
      <c r="B68" t="s">
        <v>61</v>
      </c>
      <c r="C68" s="1">
        <v>5</v>
      </c>
      <c r="D68" t="s">
        <v>62</v>
      </c>
      <c r="AB68" s="8">
        <v>29</v>
      </c>
      <c r="AC68" s="8">
        <f t="shared" si="22"/>
        <v>0.34206018038094044</v>
      </c>
      <c r="AD68" s="8">
        <f t="shared" si="15"/>
        <v>5.4426846363142545E-10</v>
      </c>
      <c r="AE68" s="8">
        <f t="shared" si="23"/>
        <v>0.34206018224358559</v>
      </c>
      <c r="AF68" s="8">
        <f t="shared" si="16"/>
        <v>-1.4534134451515968E-9</v>
      </c>
      <c r="AG68" s="8">
        <f t="shared" si="18"/>
        <v>0.34206018131226301</v>
      </c>
      <c r="AH68" s="8">
        <f t="shared" si="17"/>
        <v>-4.5457249076008566E-10</v>
      </c>
      <c r="AI68" s="8">
        <f t="shared" si="19"/>
        <v>-2.4740947115510216E-19</v>
      </c>
      <c r="AJ68" s="8">
        <f t="shared" si="20"/>
        <v>6.6068176986675848E-19</v>
      </c>
      <c r="AK68" s="8">
        <f t="shared" si="21"/>
        <v>1.862645149230957E-9</v>
      </c>
    </row>
    <row r="69" spans="2:37" x14ac:dyDescent="0.2">
      <c r="B69" t="s">
        <v>105</v>
      </c>
      <c r="C69" s="1">
        <v>0.8</v>
      </c>
      <c r="AB69" s="8">
        <v>30</v>
      </c>
      <c r="AC69" s="8">
        <f t="shared" si="22"/>
        <v>0.34206018038094044</v>
      </c>
      <c r="AD69" s="8">
        <f t="shared" si="15"/>
        <v>5.4426846363142545E-10</v>
      </c>
      <c r="AE69" s="8">
        <f t="shared" si="23"/>
        <v>0.34206018131226301</v>
      </c>
      <c r="AF69" s="8">
        <f t="shared" si="16"/>
        <v>-4.5457249076008566E-10</v>
      </c>
      <c r="AG69" s="8">
        <f t="shared" si="18"/>
        <v>0.34206018084660172</v>
      </c>
      <c r="AH69" s="8">
        <f t="shared" si="17"/>
        <v>4.484795868009428E-11</v>
      </c>
      <c r="AI69" s="8">
        <f t="shared" si="19"/>
        <v>2.4409329567820565E-20</v>
      </c>
      <c r="AJ69" s="8">
        <f t="shared" si="20"/>
        <v>-2.038664828271586E-20</v>
      </c>
      <c r="AK69" s="8">
        <f t="shared" si="21"/>
        <v>9.3132257461547852E-10</v>
      </c>
    </row>
    <row r="71" spans="2:37" x14ac:dyDescent="0.2">
      <c r="B71" s="58" t="s">
        <v>27</v>
      </c>
      <c r="C71" s="58"/>
      <c r="D71" s="58"/>
    </row>
    <row r="72" spans="2:37" x14ac:dyDescent="0.2">
      <c r="B72" t="s">
        <v>28</v>
      </c>
      <c r="C72" s="1">
        <v>30</v>
      </c>
      <c r="AB72" s="6" t="s">
        <v>150</v>
      </c>
    </row>
    <row r="73" spans="2:37" x14ac:dyDescent="0.2"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2:37" x14ac:dyDescent="0.2">
      <c r="AB74" s="8">
        <v>0</v>
      </c>
      <c r="AC74" s="9">
        <v>0</v>
      </c>
      <c r="AD74" s="8">
        <f xml:space="preserve"> $W$22 * TAN($W$19/180*PI()) + $W$23 / (2 * SQRT($W$22^2 + AC74^2)) - AC74</f>
        <v>0.44239424643599512</v>
      </c>
      <c r="AE74" s="9">
        <v>1</v>
      </c>
      <c r="AF74" s="8">
        <f xml:space="preserve"> $W$22 * TAN($W$19/180*PI()) + $W$23 / (2 * SQRT($W$22^2 + AE74^2)) - AE74</f>
        <v>-0.67942669769840902</v>
      </c>
      <c r="AG74" s="8">
        <f xml:space="preserve"> (AC74 + AE74)/2</f>
        <v>0.5</v>
      </c>
      <c r="AH74" s="8">
        <f xml:space="preserve"> $W$22 * TAN($W$19/180*PI()) + $W$23 / (2 * SQRT($W$22^2 + AG74^2)) - AG74</f>
        <v>-0.17596001919497223</v>
      </c>
      <c r="AI74" s="8">
        <f>AD74*AH74</f>
        <v>-7.7843700094622978E-2</v>
      </c>
      <c r="AJ74" s="8">
        <f>AF74*AH74</f>
        <v>0.11955193476858865</v>
      </c>
      <c r="AK74" s="8">
        <f>AE74-AC74</f>
        <v>1</v>
      </c>
    </row>
    <row r="75" spans="2:37" x14ac:dyDescent="0.2">
      <c r="AB75" s="8">
        <v>1</v>
      </c>
      <c r="AC75" s="8">
        <f>IF(AI74&gt;0, AG74, AC74)</f>
        <v>0</v>
      </c>
      <c r="AD75" s="8">
        <f t="shared" ref="AD75:AD104" si="24" xml:space="preserve"> $W$22 * TAN($W$19/180*PI()) + $W$23 / (2 * SQRT($W$22^2 + AC75^2)) - AC75</f>
        <v>0.44239424643599512</v>
      </c>
      <c r="AE75" s="8">
        <f>IF(AJ74&gt;0, AG74, AE74)</f>
        <v>0.5</v>
      </c>
      <c r="AF75" s="8">
        <f t="shared" ref="AF75:AF104" si="25" xml:space="preserve"> $W$22 * TAN($W$19/180*PI()) + $W$23 / (2 * SQRT($W$22^2 + AE75^2)) - AE75</f>
        <v>-0.17596001919497223</v>
      </c>
      <c r="AG75" s="8">
        <f t="shared" ref="AG75:AG104" si="26" xml:space="preserve"> (AC75 + AE75)/2</f>
        <v>0.25</v>
      </c>
      <c r="AH75" s="8">
        <f t="shared" ref="AH75:AH104" si="27" xml:space="preserve"> $W$22 * TAN($W$19/180*PI()) + $W$23 / (2 * SQRT($W$22^2 + AG75^2)) - AG75</f>
        <v>8.0917866530146154E-2</v>
      </c>
      <c r="AI75" s="8">
        <f t="shared" ref="AI75:AI104" si="28">AD75*AH75</f>
        <v>3.5797598586812439E-2</v>
      </c>
      <c r="AJ75" s="8">
        <f t="shared" ref="AJ75:AJ104" si="29">AF75*AH75</f>
        <v>-1.4238309347860719E-2</v>
      </c>
      <c r="AK75" s="8">
        <f t="shared" ref="AK75:AK104" si="30">AE75-AC75</f>
        <v>0.5</v>
      </c>
    </row>
    <row r="76" spans="2:37" x14ac:dyDescent="0.2">
      <c r="AB76" s="8">
        <v>2</v>
      </c>
      <c r="AC76" s="8">
        <f t="shared" ref="AC76:AC104" si="31">IF(AI75&gt;0, AG75, AC75)</f>
        <v>0.25</v>
      </c>
      <c r="AD76" s="8">
        <f t="shared" si="24"/>
        <v>8.0917866530146154E-2</v>
      </c>
      <c r="AE76" s="8">
        <f t="shared" ref="AE76:AE104" si="32">IF(AJ75&gt;0, AG75, AE75)</f>
        <v>0.5</v>
      </c>
      <c r="AF76" s="8">
        <f t="shared" si="25"/>
        <v>-0.17596001919497223</v>
      </c>
      <c r="AG76" s="8">
        <f t="shared" si="26"/>
        <v>0.375</v>
      </c>
      <c r="AH76" s="8">
        <f t="shared" si="27"/>
        <v>-4.8657259380862461E-2</v>
      </c>
      <c r="AI76" s="8">
        <f t="shared" si="28"/>
        <v>-3.9372416203033306E-3</v>
      </c>
      <c r="AJ76" s="8">
        <f t="shared" si="29"/>
        <v>8.561732294631301E-3</v>
      </c>
      <c r="AK76" s="8">
        <f t="shared" si="30"/>
        <v>0.25</v>
      </c>
    </row>
    <row r="77" spans="2:37" x14ac:dyDescent="0.2">
      <c r="AB77" s="8">
        <v>3</v>
      </c>
      <c r="AC77" s="8">
        <f t="shared" si="31"/>
        <v>0.25</v>
      </c>
      <c r="AD77" s="8">
        <f t="shared" si="24"/>
        <v>8.0917866530146154E-2</v>
      </c>
      <c r="AE77" s="8">
        <f t="shared" si="32"/>
        <v>0.375</v>
      </c>
      <c r="AF77" s="8">
        <f t="shared" si="25"/>
        <v>-4.8657259380862461E-2</v>
      </c>
      <c r="AG77" s="8">
        <f t="shared" si="26"/>
        <v>0.3125</v>
      </c>
      <c r="AH77" s="8">
        <f t="shared" si="27"/>
        <v>1.5678304366397999E-2</v>
      </c>
      <c r="AI77" s="8">
        <f t="shared" si="28"/>
        <v>1.268654940139201E-3</v>
      </c>
      <c r="AJ77" s="8">
        <f t="shared" si="29"/>
        <v>-7.6286332220793591E-4</v>
      </c>
      <c r="AK77" s="8">
        <f t="shared" si="30"/>
        <v>0.125</v>
      </c>
    </row>
    <row r="78" spans="2:37" x14ac:dyDescent="0.2">
      <c r="AB78" s="8">
        <v>4</v>
      </c>
      <c r="AC78" s="8">
        <f t="shared" si="31"/>
        <v>0.3125</v>
      </c>
      <c r="AD78" s="8">
        <f t="shared" si="24"/>
        <v>1.5678304366397999E-2</v>
      </c>
      <c r="AE78" s="8">
        <f t="shared" si="32"/>
        <v>0.375</v>
      </c>
      <c r="AF78" s="8">
        <f t="shared" si="25"/>
        <v>-4.8657259380862461E-2</v>
      </c>
      <c r="AG78" s="8">
        <f t="shared" si="26"/>
        <v>0.34375</v>
      </c>
      <c r="AH78" s="8">
        <f t="shared" si="27"/>
        <v>-1.6572097882707637E-2</v>
      </c>
      <c r="AI78" s="8">
        <f t="shared" si="28"/>
        <v>-2.5982239459483017E-4</v>
      </c>
      <c r="AJ78" s="8">
        <f t="shared" si="29"/>
        <v>8.0635286516394708E-4</v>
      </c>
      <c r="AK78" s="8">
        <f t="shared" si="30"/>
        <v>6.25E-2</v>
      </c>
    </row>
    <row r="79" spans="2:37" x14ac:dyDescent="0.2">
      <c r="AB79" s="8">
        <v>5</v>
      </c>
      <c r="AC79" s="8">
        <f t="shared" si="31"/>
        <v>0.3125</v>
      </c>
      <c r="AD79" s="8">
        <f t="shared" si="24"/>
        <v>1.5678304366397999E-2</v>
      </c>
      <c r="AE79" s="8">
        <f t="shared" si="32"/>
        <v>0.34375</v>
      </c>
      <c r="AF79" s="8">
        <f t="shared" si="25"/>
        <v>-1.6572097882707637E-2</v>
      </c>
      <c r="AG79" s="8">
        <f t="shared" si="26"/>
        <v>0.328125</v>
      </c>
      <c r="AH79" s="8">
        <f t="shared" si="27"/>
        <v>-4.7046188682209333E-4</v>
      </c>
      <c r="AI79" s="8">
        <f t="shared" si="28"/>
        <v>-7.3760446543866669E-6</v>
      </c>
      <c r="AJ79" s="8">
        <f t="shared" si="29"/>
        <v>7.7965404384990533E-6</v>
      </c>
      <c r="AK79" s="8">
        <f t="shared" si="30"/>
        <v>3.125E-2</v>
      </c>
    </row>
    <row r="80" spans="2:37" x14ac:dyDescent="0.2">
      <c r="AB80" s="8">
        <v>6</v>
      </c>
      <c r="AC80" s="8">
        <f t="shared" si="31"/>
        <v>0.3125</v>
      </c>
      <c r="AD80" s="8">
        <f t="shared" si="24"/>
        <v>1.5678304366397999E-2</v>
      </c>
      <c r="AE80" s="8">
        <f t="shared" si="32"/>
        <v>0.328125</v>
      </c>
      <c r="AF80" s="8">
        <f t="shared" si="25"/>
        <v>-4.7046188682209333E-4</v>
      </c>
      <c r="AG80" s="8">
        <f t="shared" si="26"/>
        <v>0.3203125</v>
      </c>
      <c r="AH80" s="8">
        <f t="shared" si="27"/>
        <v>7.5976052112418646E-3</v>
      </c>
      <c r="AI80" s="8">
        <f t="shared" si="28"/>
        <v>1.1911756695758151E-4</v>
      </c>
      <c r="AJ80" s="8">
        <f t="shared" si="29"/>
        <v>-3.5743836830102167E-6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0.3203125</v>
      </c>
      <c r="AD81" s="8">
        <f t="shared" si="24"/>
        <v>7.5976052112418646E-3</v>
      </c>
      <c r="AE81" s="8">
        <f t="shared" si="32"/>
        <v>0.328125</v>
      </c>
      <c r="AF81" s="8">
        <f t="shared" si="25"/>
        <v>-4.7046188682209333E-4</v>
      </c>
      <c r="AG81" s="8">
        <f t="shared" si="26"/>
        <v>0.32421875</v>
      </c>
      <c r="AH81" s="8">
        <f t="shared" si="27"/>
        <v>3.562048888546554E-3</v>
      </c>
      <c r="AI81" s="8">
        <f t="shared" si="28"/>
        <v>2.7063041198319592E-5</v>
      </c>
      <c r="AJ81" s="8">
        <f t="shared" si="29"/>
        <v>-1.6758082410581522E-6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0.32421875</v>
      </c>
      <c r="AD82" s="8">
        <f t="shared" si="24"/>
        <v>3.562048888546554E-3</v>
      </c>
      <c r="AE82" s="8">
        <f t="shared" si="32"/>
        <v>0.328125</v>
      </c>
      <c r="AF82" s="8">
        <f t="shared" si="25"/>
        <v>-4.7046188682209333E-4</v>
      </c>
      <c r="AG82" s="8">
        <f t="shared" si="26"/>
        <v>0.326171875</v>
      </c>
      <c r="AH82" s="8">
        <f t="shared" si="27"/>
        <v>1.5454195473806887E-3</v>
      </c>
      <c r="AI82" s="8">
        <f t="shared" si="28"/>
        <v>5.5048599810855004E-6</v>
      </c>
      <c r="AJ82" s="8">
        <f t="shared" si="29"/>
        <v>-7.2706099619246427E-7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0.326171875</v>
      </c>
      <c r="AD83" s="8">
        <f t="shared" si="24"/>
        <v>1.5454195473806887E-3</v>
      </c>
      <c r="AE83" s="8">
        <f t="shared" si="32"/>
        <v>0.328125</v>
      </c>
      <c r="AF83" s="8">
        <f t="shared" si="25"/>
        <v>-4.7046188682209333E-4</v>
      </c>
      <c r="AG83" s="8">
        <f t="shared" si="26"/>
        <v>0.3271484375</v>
      </c>
      <c r="AH83" s="8">
        <f t="shared" si="27"/>
        <v>5.3738616711423992E-4</v>
      </c>
      <c r="AI83" s="8">
        <f t="shared" si="28"/>
        <v>8.3048708715033182E-7</v>
      </c>
      <c r="AJ83" s="8">
        <f t="shared" si="29"/>
        <v>-2.5281971013265808E-7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0.3271484375</v>
      </c>
      <c r="AD84" s="8">
        <f t="shared" si="24"/>
        <v>5.3738616711423992E-4</v>
      </c>
      <c r="AE84" s="8">
        <f t="shared" si="32"/>
        <v>0.328125</v>
      </c>
      <c r="AF84" s="8">
        <f t="shared" si="25"/>
        <v>-4.7046188682209333E-4</v>
      </c>
      <c r="AG84" s="8">
        <f t="shared" si="26"/>
        <v>0.32763671875</v>
      </c>
      <c r="AH84" s="8">
        <f t="shared" si="27"/>
        <v>3.3439076448704697E-5</v>
      </c>
      <c r="AI84" s="8">
        <f t="shared" si="28"/>
        <v>1.7969697124609466E-8</v>
      </c>
      <c r="AJ84" s="8">
        <f t="shared" si="29"/>
        <v>-1.5731810999645835E-8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0.32763671875</v>
      </c>
      <c r="AD85" s="8">
        <f t="shared" si="24"/>
        <v>3.3439076448704697E-5</v>
      </c>
      <c r="AE85" s="8">
        <f t="shared" si="32"/>
        <v>0.328125</v>
      </c>
      <c r="AF85" s="8">
        <f t="shared" si="25"/>
        <v>-4.7046188682209333E-4</v>
      </c>
      <c r="AG85" s="8">
        <f t="shared" si="26"/>
        <v>0.327880859375</v>
      </c>
      <c r="AH85" s="8">
        <f t="shared" si="27"/>
        <v>-2.1851715841464392E-4</v>
      </c>
      <c r="AI85" s="8">
        <f t="shared" si="28"/>
        <v>-7.3070119655809926E-9</v>
      </c>
      <c r="AJ85" s="8">
        <f t="shared" si="29"/>
        <v>1.0280399465075564E-7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0.32763671875</v>
      </c>
      <c r="AD86" s="8">
        <f t="shared" si="24"/>
        <v>3.3439076448704697E-5</v>
      </c>
      <c r="AE86" s="8">
        <f t="shared" si="32"/>
        <v>0.327880859375</v>
      </c>
      <c r="AF86" s="8">
        <f t="shared" si="25"/>
        <v>-2.1851715841464392E-4</v>
      </c>
      <c r="AG86" s="8">
        <f t="shared" si="26"/>
        <v>0.3277587890625</v>
      </c>
      <c r="AH86" s="8">
        <f t="shared" si="27"/>
        <v>-9.2540480874092612E-5</v>
      </c>
      <c r="AI86" s="8">
        <f t="shared" si="28"/>
        <v>-3.0944682145486778E-9</v>
      </c>
      <c r="AJ86" s="8">
        <f t="shared" si="29"/>
        <v>2.0221682918931422E-8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0.32763671875</v>
      </c>
      <c r="AD87" s="8">
        <f t="shared" si="24"/>
        <v>3.3439076448704697E-5</v>
      </c>
      <c r="AE87" s="8">
        <f t="shared" si="32"/>
        <v>0.3277587890625</v>
      </c>
      <c r="AF87" s="8">
        <f t="shared" si="25"/>
        <v>-9.2540480874092612E-5</v>
      </c>
      <c r="AG87" s="8">
        <f t="shared" si="26"/>
        <v>0.32769775390625</v>
      </c>
      <c r="AH87" s="8">
        <f t="shared" si="27"/>
        <v>-2.9551062383725846E-5</v>
      </c>
      <c r="AI87" s="8">
        <f t="shared" si="28"/>
        <v>-9.8816023418985015E-10</v>
      </c>
      <c r="AJ87" s="8">
        <f t="shared" si="29"/>
        <v>2.7346695233302994E-9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0.32763671875</v>
      </c>
      <c r="AD88" s="8">
        <f t="shared" si="24"/>
        <v>3.3439076448704697E-5</v>
      </c>
      <c r="AE88" s="8">
        <f t="shared" si="32"/>
        <v>0.32769775390625</v>
      </c>
      <c r="AF88" s="8">
        <f t="shared" si="25"/>
        <v>-2.9551062383725846E-5</v>
      </c>
      <c r="AG88" s="8">
        <f t="shared" si="26"/>
        <v>0.327667236328125</v>
      </c>
      <c r="AH88" s="8">
        <f t="shared" si="27"/>
        <v>1.9439169649526633E-6</v>
      </c>
      <c r="AI88" s="8">
        <f t="shared" si="28"/>
        <v>6.5002788000986118E-11</v>
      </c>
      <c r="AJ88" s="8">
        <f t="shared" si="29"/>
        <v>-5.7444811500099164E-11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0.327667236328125</v>
      </c>
      <c r="AD89" s="8">
        <f t="shared" si="24"/>
        <v>1.9439169649526633E-6</v>
      </c>
      <c r="AE89" s="8">
        <f t="shared" si="32"/>
        <v>0.32769775390625</v>
      </c>
      <c r="AF89" s="8">
        <f t="shared" si="25"/>
        <v>-2.9551062383725846E-5</v>
      </c>
      <c r="AG89" s="8">
        <f t="shared" si="26"/>
        <v>0.3276824951171875</v>
      </c>
      <c r="AH89" s="8">
        <f t="shared" si="27"/>
        <v>-1.3803595223182974E-5</v>
      </c>
      <c r="AI89" s="8">
        <f t="shared" si="28"/>
        <v>-2.6833042931684929E-11</v>
      </c>
      <c r="AJ89" s="8">
        <f t="shared" si="29"/>
        <v>4.0791090355998013E-10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0.327667236328125</v>
      </c>
      <c r="AD90" s="8">
        <f t="shared" si="24"/>
        <v>1.9439169649526633E-6</v>
      </c>
      <c r="AE90" s="8">
        <f t="shared" si="32"/>
        <v>0.3276824951171875</v>
      </c>
      <c r="AF90" s="8">
        <f t="shared" si="25"/>
        <v>-1.3803595223182974E-5</v>
      </c>
      <c r="AG90" s="8">
        <f t="shared" si="26"/>
        <v>0.32767486572265625</v>
      </c>
      <c r="AH90" s="8">
        <f t="shared" si="27"/>
        <v>-5.9298447579458902E-6</v>
      </c>
      <c r="AI90" s="8">
        <f t="shared" si="28"/>
        <v>-1.1527125824506636E-11</v>
      </c>
      <c r="AJ90" s="8">
        <f t="shared" si="29"/>
        <v>8.1853176774998484E-11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0.327667236328125</v>
      </c>
      <c r="AD91" s="8">
        <f t="shared" si="24"/>
        <v>1.9439169649526633E-6</v>
      </c>
      <c r="AE91" s="8">
        <f t="shared" si="32"/>
        <v>0.32767486572265625</v>
      </c>
      <c r="AF91" s="8">
        <f t="shared" si="25"/>
        <v>-5.9298447579458902E-6</v>
      </c>
      <c r="AG91" s="8">
        <f t="shared" si="26"/>
        <v>0.32767105102539062</v>
      </c>
      <c r="AH91" s="8">
        <f t="shared" si="27"/>
        <v>-1.9929653037875639E-6</v>
      </c>
      <c r="AI91" s="8">
        <f t="shared" si="28"/>
        <v>-3.8741590645946838E-12</v>
      </c>
      <c r="AJ91" s="8">
        <f t="shared" si="29"/>
        <v>1.1817974859432723E-11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0.327667236328125</v>
      </c>
      <c r="AD92" s="8">
        <f t="shared" si="24"/>
        <v>1.9439169649526633E-6</v>
      </c>
      <c r="AE92" s="8">
        <f t="shared" si="32"/>
        <v>0.32767105102539062</v>
      </c>
      <c r="AF92" s="8">
        <f t="shared" si="25"/>
        <v>-1.9929653037875639E-6</v>
      </c>
      <c r="AG92" s="8">
        <f t="shared" si="26"/>
        <v>0.32766914367675781</v>
      </c>
      <c r="AH92" s="8">
        <f t="shared" si="27"/>
        <v>-2.4524521247126785E-8</v>
      </c>
      <c r="AI92" s="8">
        <f t="shared" si="28"/>
        <v>-4.7673632909631802E-14</v>
      </c>
      <c r="AJ92" s="8">
        <f t="shared" si="29"/>
        <v>4.88765199375246E-14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0.327667236328125</v>
      </c>
      <c r="AD93" s="8">
        <f t="shared" si="24"/>
        <v>1.9439169649526633E-6</v>
      </c>
      <c r="AE93" s="8">
        <f t="shared" si="32"/>
        <v>0.32766914367675781</v>
      </c>
      <c r="AF93" s="8">
        <f t="shared" si="25"/>
        <v>-2.4524521247126785E-8</v>
      </c>
      <c r="AG93" s="8">
        <f t="shared" si="26"/>
        <v>0.32766819000244141</v>
      </c>
      <c r="AH93" s="8">
        <f t="shared" si="27"/>
        <v>9.5969613389534913E-7</v>
      </c>
      <c r="AI93" s="8">
        <f t="shared" si="28"/>
        <v>1.865569595878652E-12</v>
      </c>
      <c r="AJ93" s="8">
        <f t="shared" si="29"/>
        <v>-2.3536088226501921E-14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0.32766819000244141</v>
      </c>
      <c r="AD94" s="8">
        <f t="shared" si="24"/>
        <v>9.5969613389534913E-7</v>
      </c>
      <c r="AE94" s="8">
        <f t="shared" si="32"/>
        <v>0.32766914367675781</v>
      </c>
      <c r="AF94" s="8">
        <f t="shared" si="25"/>
        <v>-2.4524521247126785E-8</v>
      </c>
      <c r="AG94" s="8">
        <f t="shared" si="26"/>
        <v>0.32766866683959961</v>
      </c>
      <c r="AH94" s="8">
        <f t="shared" si="27"/>
        <v>4.6758578431393971E-7</v>
      </c>
      <c r="AI94" s="8">
        <f t="shared" si="28"/>
        <v>4.4874026947051255E-13</v>
      </c>
      <c r="AJ94" s="8">
        <f t="shared" si="29"/>
        <v>-1.1467317502261657E-14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0.32766866683959961</v>
      </c>
      <c r="AD95" s="8">
        <f t="shared" si="24"/>
        <v>4.6758578431393971E-7</v>
      </c>
      <c r="AE95" s="8">
        <f t="shared" si="32"/>
        <v>0.32766914367675781</v>
      </c>
      <c r="AF95" s="8">
        <f t="shared" si="25"/>
        <v>-2.4524521247126785E-8</v>
      </c>
      <c r="AG95" s="8">
        <f t="shared" si="26"/>
        <v>0.32766890525817871</v>
      </c>
      <c r="AH95" s="8">
        <f t="shared" si="27"/>
        <v>2.2153062606555807E-7</v>
      </c>
      <c r="AI95" s="8">
        <f t="shared" si="28"/>
        <v>1.0358457153842207E-13</v>
      </c>
      <c r="AJ95" s="8">
        <f t="shared" si="29"/>
        <v>-5.4329325458340777E-15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0.32766890525817871</v>
      </c>
      <c r="AD96" s="8">
        <f t="shared" si="24"/>
        <v>2.2153062606555807E-7</v>
      </c>
      <c r="AE96" s="8">
        <f t="shared" si="32"/>
        <v>0.32766914367675781</v>
      </c>
      <c r="AF96" s="8">
        <f t="shared" si="25"/>
        <v>-2.4524521247126785E-8</v>
      </c>
      <c r="AG96" s="8">
        <f t="shared" si="26"/>
        <v>0.32766902446746826</v>
      </c>
      <c r="AH96" s="8">
        <f t="shared" si="27"/>
        <v>9.8503051049192436E-8</v>
      </c>
      <c r="AI96" s="8">
        <f t="shared" si="28"/>
        <v>2.1821442568295227E-14</v>
      </c>
      <c r="AJ96" s="8">
        <f t="shared" si="29"/>
        <v>-2.4157401683627342E-15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0.32766902446746826</v>
      </c>
      <c r="AD97" s="8">
        <f t="shared" si="24"/>
        <v>9.8503051049192436E-8</v>
      </c>
      <c r="AE97" s="8">
        <f t="shared" si="32"/>
        <v>0.32766914367675781</v>
      </c>
      <c r="AF97" s="8">
        <f t="shared" si="25"/>
        <v>-2.4524521247126785E-8</v>
      </c>
      <c r="AG97" s="8">
        <f t="shared" si="26"/>
        <v>0.32766908407211304</v>
      </c>
      <c r="AH97" s="8">
        <f t="shared" si="27"/>
        <v>3.6989264540210343E-8</v>
      </c>
      <c r="AI97" s="8">
        <f t="shared" si="28"/>
        <v>3.643555413276423E-15</v>
      </c>
      <c r="AJ97" s="8">
        <f t="shared" si="29"/>
        <v>-9.0714400413198189E-16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0.32766908407211304</v>
      </c>
      <c r="AD98" s="8">
        <f t="shared" si="24"/>
        <v>3.6989264540210343E-8</v>
      </c>
      <c r="AE98" s="8">
        <f t="shared" si="32"/>
        <v>0.32766914367675781</v>
      </c>
      <c r="AF98" s="8">
        <f t="shared" si="25"/>
        <v>-2.4524521247126785E-8</v>
      </c>
      <c r="AG98" s="8">
        <f t="shared" si="26"/>
        <v>0.32766911387443542</v>
      </c>
      <c r="AH98" s="8">
        <f t="shared" si="27"/>
        <v>6.232371563275052E-9</v>
      </c>
      <c r="AI98" s="8">
        <f t="shared" si="28"/>
        <v>2.3053084046686521E-16</v>
      </c>
      <c r="AJ98" s="8">
        <f t="shared" si="29"/>
        <v>-1.5284592882352778E-16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0.32766911387443542</v>
      </c>
      <c r="AD99" s="8">
        <f t="shared" si="24"/>
        <v>6.232371563275052E-9</v>
      </c>
      <c r="AE99" s="8">
        <f t="shared" si="32"/>
        <v>0.32766914367675781</v>
      </c>
      <c r="AF99" s="8">
        <f t="shared" si="25"/>
        <v>-2.4524521247126785E-8</v>
      </c>
      <c r="AG99" s="8">
        <f t="shared" si="26"/>
        <v>0.32766912877559662</v>
      </c>
      <c r="AH99" s="8">
        <f t="shared" si="27"/>
        <v>-9.1460748419258664E-9</v>
      </c>
      <c r="AI99" s="8">
        <f t="shared" si="28"/>
        <v>-5.7001736760404133E-17</v>
      </c>
      <c r="AJ99" s="8">
        <f t="shared" si="29"/>
        <v>2.2430310678862264E-16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0.32766911387443542</v>
      </c>
      <c r="AD100" s="8">
        <f t="shared" si="24"/>
        <v>6.232371563275052E-9</v>
      </c>
      <c r="AE100" s="8">
        <f t="shared" si="32"/>
        <v>0.32766912877559662</v>
      </c>
      <c r="AF100" s="8">
        <f t="shared" si="25"/>
        <v>-9.1460748419258664E-9</v>
      </c>
      <c r="AG100" s="8">
        <f t="shared" si="26"/>
        <v>0.32766912132501602</v>
      </c>
      <c r="AH100" s="8">
        <f t="shared" si="27"/>
        <v>-1.4568516393254072E-9</v>
      </c>
      <c r="AI100" s="8">
        <f t="shared" si="28"/>
        <v>-9.0796407288423102E-18</v>
      </c>
      <c r="AJ100" s="8">
        <f t="shared" si="29"/>
        <v>1.3324474126852563E-17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0.32766911387443542</v>
      </c>
      <c r="AD101" s="8">
        <f t="shared" si="24"/>
        <v>6.232371563275052E-9</v>
      </c>
      <c r="AE101" s="8">
        <f t="shared" si="32"/>
        <v>0.32766912132501602</v>
      </c>
      <c r="AF101" s="8">
        <f t="shared" si="25"/>
        <v>-1.4568516393254072E-9</v>
      </c>
      <c r="AG101" s="8">
        <f t="shared" si="26"/>
        <v>0.32766911759972572</v>
      </c>
      <c r="AH101" s="8">
        <f t="shared" si="27"/>
        <v>2.3877599342192468E-9</v>
      </c>
      <c r="AI101" s="8">
        <f t="shared" si="28"/>
        <v>1.4881407113955543E-17</v>
      </c>
      <c r="AJ101" s="8">
        <f t="shared" si="29"/>
        <v>-3.4786119744828361E-18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0.32766911759972572</v>
      </c>
      <c r="AD102" s="8">
        <f t="shared" si="24"/>
        <v>2.3877599342192468E-9</v>
      </c>
      <c r="AE102" s="8">
        <f t="shared" si="32"/>
        <v>0.32766912132501602</v>
      </c>
      <c r="AF102" s="8">
        <f t="shared" si="25"/>
        <v>-1.4568516393254072E-9</v>
      </c>
      <c r="AG102" s="8">
        <f t="shared" si="26"/>
        <v>0.32766911946237087</v>
      </c>
      <c r="AH102" s="8">
        <f t="shared" si="27"/>
        <v>4.6545417520249543E-10</v>
      </c>
      <c r="AI102" s="8">
        <f t="shared" si="28"/>
        <v>1.1113928307635843E-18</v>
      </c>
      <c r="AJ102" s="8">
        <f t="shared" si="29"/>
        <v>-6.7809767817461076E-19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0.32766911946237087</v>
      </c>
      <c r="AD103" s="8">
        <f t="shared" si="24"/>
        <v>4.6545417520249543E-10</v>
      </c>
      <c r="AE103" s="8">
        <f t="shared" si="32"/>
        <v>0.32766912132501602</v>
      </c>
      <c r="AF103" s="8">
        <f t="shared" si="25"/>
        <v>-1.4568516393254072E-9</v>
      </c>
      <c r="AG103" s="8">
        <f t="shared" si="26"/>
        <v>0.32766912039369345</v>
      </c>
      <c r="AH103" s="8">
        <f t="shared" si="27"/>
        <v>-4.9569875981703149E-10</v>
      </c>
      <c r="AI103" s="8">
        <f t="shared" si="28"/>
        <v>-2.3072505739953628E-19</v>
      </c>
      <c r="AJ103" s="8">
        <f t="shared" si="29"/>
        <v>7.221595508510136E-19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0.32766911946237087</v>
      </c>
      <c r="AD104" s="8">
        <f t="shared" si="24"/>
        <v>4.6545417520249543E-10</v>
      </c>
      <c r="AE104" s="8">
        <f t="shared" si="32"/>
        <v>0.32766912039369345</v>
      </c>
      <c r="AF104" s="8">
        <f t="shared" si="25"/>
        <v>-4.9569875981703149E-10</v>
      </c>
      <c r="AG104" s="8">
        <f t="shared" si="26"/>
        <v>0.32766911992803216</v>
      </c>
      <c r="AH104" s="8">
        <f t="shared" si="27"/>
        <v>-1.5122292307268026E-11</v>
      </c>
      <c r="AI104" s="8">
        <f t="shared" si="28"/>
        <v>-7.0387340930504807E-21</v>
      </c>
      <c r="AJ104" s="8">
        <f t="shared" si="29"/>
        <v>7.4961015423033961E-21</v>
      </c>
      <c r="AK104" s="8">
        <f t="shared" si="30"/>
        <v>9.3132257461547852E-10</v>
      </c>
    </row>
  </sheetData>
  <mergeCells count="26">
    <mergeCell ref="B1:D1"/>
    <mergeCell ref="B3:D3"/>
    <mergeCell ref="F3:H3"/>
    <mergeCell ref="J3:L3"/>
    <mergeCell ref="N3:P3"/>
    <mergeCell ref="V3:X3"/>
    <mergeCell ref="F12:H12"/>
    <mergeCell ref="J10:L10"/>
    <mergeCell ref="B59:D59"/>
    <mergeCell ref="N18:P18"/>
    <mergeCell ref="R18:T18"/>
    <mergeCell ref="V18:X18"/>
    <mergeCell ref="R3:T3"/>
    <mergeCell ref="B27:D27"/>
    <mergeCell ref="B53:D53"/>
    <mergeCell ref="F25:H25"/>
    <mergeCell ref="B16:D16"/>
    <mergeCell ref="F32:H32"/>
    <mergeCell ref="F45:H45"/>
    <mergeCell ref="B71:D71"/>
    <mergeCell ref="B20:D20"/>
    <mergeCell ref="J42:L42"/>
    <mergeCell ref="B34:D34"/>
    <mergeCell ref="B39:D39"/>
    <mergeCell ref="B45:D45"/>
    <mergeCell ref="B48:D48"/>
  </mergeCells>
  <conditionalFormatting sqref="K32">
    <cfRule type="containsText" dxfId="29" priority="1" operator="containsText" text="FALSE">
      <formula>NOT(ISERROR(SEARCH("FALSE",K32)))</formula>
    </cfRule>
    <cfRule type="containsText" dxfId="28" priority="2" operator="containsText" text="TRUE">
      <formula>NOT(ISERROR(SEARCH("TRUE",K32)))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NOT(ISERROR(SEARCH("YES",K32)))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6062-F7DA-5D49-8AE8-90F36B32B0CF}">
  <dimension ref="B1:AV104"/>
  <sheetViews>
    <sheetView topLeftCell="A19" zoomScale="90" workbookViewId="0">
      <selection activeCell="K44" sqref="K44"/>
    </sheetView>
  </sheetViews>
  <sheetFormatPr baseColWidth="10" defaultRowHeight="16" x14ac:dyDescent="0.2"/>
  <cols>
    <col min="1" max="1" width="4.1640625" customWidth="1"/>
    <col min="2" max="2" width="20.5" customWidth="1"/>
    <col min="3" max="3" width="11" bestFit="1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83203125" customWidth="1"/>
    <col min="15" max="15" width="11" customWidth="1"/>
    <col min="16" max="16" width="6.6640625" customWidth="1"/>
    <col min="17" max="17" width="6" customWidth="1"/>
    <col min="18" max="18" width="14" customWidth="1"/>
    <col min="19" max="19" width="11" bestFit="1" customWidth="1"/>
    <col min="20" max="20" width="6.33203125" customWidth="1"/>
    <col min="21" max="21" width="6.1640625" customWidth="1"/>
    <col min="22" max="22" width="14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0" max="40" width="11" bestFit="1" customWidth="1"/>
    <col min="41" max="41" width="13.1640625" bestFit="1" customWidth="1"/>
    <col min="42" max="42" width="11" bestFit="1" customWidth="1"/>
    <col min="43" max="43" width="13.1640625" bestFit="1" customWidth="1"/>
    <col min="44" max="44" width="18.33203125" customWidth="1"/>
    <col min="45" max="48" width="11" bestFit="1" customWidth="1"/>
  </cols>
  <sheetData>
    <row r="1" spans="2:48" x14ac:dyDescent="0.2">
      <c r="B1" s="65" t="s">
        <v>0</v>
      </c>
      <c r="C1" s="65"/>
      <c r="D1" s="65"/>
    </row>
    <row r="2" spans="2:48" x14ac:dyDescent="0.2">
      <c r="AB2" s="6" t="s">
        <v>141</v>
      </c>
      <c r="AM2" s="6" t="s">
        <v>93</v>
      </c>
    </row>
    <row r="3" spans="2:48" x14ac:dyDescent="0.2">
      <c r="B3" s="58" t="s">
        <v>205</v>
      </c>
      <c r="C3" s="62"/>
      <c r="D3" s="62"/>
      <c r="F3" s="63" t="s">
        <v>110</v>
      </c>
      <c r="G3" s="64"/>
      <c r="H3" s="64"/>
      <c r="J3" s="58" t="s">
        <v>157</v>
      </c>
      <c r="K3" s="58"/>
      <c r="L3" s="58"/>
      <c r="N3" s="61" t="s">
        <v>136</v>
      </c>
      <c r="O3" s="61"/>
      <c r="P3" s="61"/>
      <c r="R3" s="61" t="s">
        <v>134</v>
      </c>
      <c r="S3" s="61"/>
      <c r="T3" s="61"/>
      <c r="V3" s="61" t="s">
        <v>148</v>
      </c>
      <c r="W3" s="61"/>
      <c r="X3" s="61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37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MAX(G6,G48)</f>
        <v>276.07193790730281</v>
      </c>
      <c r="L4" t="s">
        <v>162</v>
      </c>
      <c r="N4" t="s">
        <v>36</v>
      </c>
      <c r="O4">
        <f>$C$5*$C$67*COS(G18/180*PI())</f>
        <v>13023.511788083846</v>
      </c>
      <c r="P4" t="s">
        <v>31</v>
      </c>
      <c r="R4" t="s">
        <v>36</v>
      </c>
      <c r="S4">
        <f xml:space="preserve"> $C$5 * $C$67</f>
        <v>13040.348880687423</v>
      </c>
      <c r="T4" t="s">
        <v>31</v>
      </c>
      <c r="V4" t="s">
        <v>36</v>
      </c>
      <c r="W4">
        <f>$C$5*$C$67*COS(G38/180*PI())</f>
        <v>13034.290032878602</v>
      </c>
      <c r="X4" t="s">
        <v>31</v>
      </c>
      <c r="AB4" s="8">
        <v>0</v>
      </c>
      <c r="AC4" s="9">
        <v>0</v>
      </c>
      <c r="AD4" s="8">
        <f t="shared" ref="AD4:AD34" si="0" xml:space="preserve"> $S$22 * TAN($S$19/180*PI()) + $S$23 / (2 * SQRT($S$22^2 + AC4^2)) - AC4</f>
        <v>0.52400200829765031</v>
      </c>
      <c r="AE4" s="9">
        <v>1</v>
      </c>
      <c r="AF4" s="8">
        <f t="shared" ref="AF4:AF34" si="1" xml:space="preserve"> $S$22 * TAN($S$19/180*PI()) + $S$23 / (2 * SQRT($S$22^2 + AE4^2)) - AE4</f>
        <v>-0.67716356228663099</v>
      </c>
      <c r="AG4" s="8">
        <f xml:space="preserve"> (AC4 + AE4)/2</f>
        <v>0.5</v>
      </c>
      <c r="AH4" s="8">
        <f t="shared" ref="AH4:AH34" si="2" xml:space="preserve"> $S$22 * TAN($S$19/180*PI()) + $S$23 / (2 * SQRT($S$22^2 + AG4^2)) - AG4</f>
        <v>-0.17143896078948023</v>
      </c>
      <c r="AI4" s="8">
        <f>AD4*AH4</f>
        <v>-8.9834359754149773E-2</v>
      </c>
      <c r="AJ4" s="8">
        <f>AF4*AH4</f>
        <v>0.11609221740292248</v>
      </c>
      <c r="AK4" s="8">
        <f>AE4-AC4</f>
        <v>1</v>
      </c>
      <c r="AM4" s="8">
        <v>0</v>
      </c>
      <c r="AN4" s="8"/>
      <c r="AO4" s="8">
        <f>K31</f>
        <v>-3.3344349503749982E-10</v>
      </c>
      <c r="AP4" s="8"/>
      <c r="AQ4" s="8">
        <f>K31</f>
        <v>-3.3344349503749982E-10</v>
      </c>
      <c r="AR4" s="8"/>
      <c r="AS4" s="8">
        <f>K31</f>
        <v>-3.3344349503749982E-10</v>
      </c>
      <c r="AT4" s="8"/>
      <c r="AU4" s="8"/>
      <c r="AV4" s="8"/>
    </row>
    <row r="5" spans="2:48" x14ac:dyDescent="0.2">
      <c r="B5" s="3" t="s">
        <v>54</v>
      </c>
      <c r="C5" s="3">
        <f>AR44</f>
        <v>1329.7455176525546</v>
      </c>
      <c r="D5" s="3" t="s">
        <v>12</v>
      </c>
      <c r="F5" t="s">
        <v>119</v>
      </c>
      <c r="G5" s="1">
        <v>152.4</v>
      </c>
      <c r="H5" t="s">
        <v>14</v>
      </c>
      <c r="J5" t="s">
        <v>159</v>
      </c>
      <c r="K5">
        <f>K4/$C$21</f>
        <v>34.508992238412851</v>
      </c>
      <c r="L5" t="s">
        <v>162</v>
      </c>
      <c r="N5" t="s">
        <v>37</v>
      </c>
      <c r="O5">
        <f>0.5*$C$65*$G$13^2</f>
        <v>1531.25</v>
      </c>
      <c r="P5" t="s">
        <v>38</v>
      </c>
      <c r="R5" t="s">
        <v>37</v>
      </c>
      <c r="S5">
        <f xml:space="preserve"> 0.5 * $C$65 * $C$12^2</f>
        <v>1531.25</v>
      </c>
      <c r="T5" t="s">
        <v>38</v>
      </c>
      <c r="V5" t="s">
        <v>37</v>
      </c>
      <c r="W5">
        <f>0.5*$C$65*$G$33^2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si="0"/>
        <v>0.52400200829765031</v>
      </c>
      <c r="AE5" s="8">
        <f>IF(AJ4&gt;0, AG4, AE4)</f>
        <v>0.5</v>
      </c>
      <c r="AF5" s="8">
        <f t="shared" si="1"/>
        <v>-0.17143896078948023</v>
      </c>
      <c r="AG5" s="8">
        <f t="shared" ref="AG5:AG34" si="3" xml:space="preserve"> (AC5 + AE5)/2</f>
        <v>0.25</v>
      </c>
      <c r="AH5" s="8">
        <f t="shared" si="2"/>
        <v>8.9918641272611843E-2</v>
      </c>
      <c r="AI5" s="8">
        <f t="shared" ref="AI5:AI34" si="4">AD5*AH5</f>
        <v>4.7117548610244593E-2</v>
      </c>
      <c r="AJ5" s="8">
        <f t="shared" ref="AJ5:AJ34" si="5">AF5*AH5</f>
        <v>-1.5415558415378641E-2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5"/>
        <v>-400.1303102737557</v>
      </c>
      <c r="AP5" s="9">
        <v>2500</v>
      </c>
      <c r="AQ5" s="8">
        <f t="dataTable" ref="AQ5:AQ44" dt2D="0" dtr="0" r1="C5" ca="1"/>
        <v>407.37992972067013</v>
      </c>
      <c r="AR5" s="8">
        <f>(AN5+AP5)/2</f>
        <v>1500</v>
      </c>
      <c r="AS5" s="8">
        <f t="dataTable" ref="AS5:AS44" dt2D="0" dtr="0" r1="C5" ca="1"/>
        <v>71.601128275534847</v>
      </c>
      <c r="AT5" s="8">
        <f>AO5*AS5</f>
        <v>-28649.781672840742</v>
      </c>
      <c r="AU5" s="8">
        <f>AQ5*AS5</f>
        <v>29168.862604808073</v>
      </c>
      <c r="AV5" s="8">
        <f>AP5-AN5</f>
        <v>2000</v>
      </c>
    </row>
    <row r="6" spans="2:48" x14ac:dyDescent="0.2">
      <c r="B6" t="s">
        <v>147</v>
      </c>
      <c r="C6" s="1">
        <v>1</v>
      </c>
      <c r="D6" t="s">
        <v>14</v>
      </c>
      <c r="F6" t="s">
        <v>112</v>
      </c>
      <c r="G6">
        <f xml:space="preserve"> 1/1000 * ($C$5*$C$67)/$C$24 * ( ($G$4/2) + SQRT( ($G$4/2)^2 + ($C$5*$C$67)/(2*$C$65*$C$21*PI()*$C$6*$C$6 ) ) )</f>
        <v>276.07193790730281</v>
      </c>
      <c r="H6" t="s">
        <v>162</v>
      </c>
      <c r="J6" t="s">
        <v>160</v>
      </c>
      <c r="K6">
        <f>MAX(G20,G27,G40)</f>
        <v>99.189694263019277</v>
      </c>
      <c r="L6" t="s">
        <v>162</v>
      </c>
      <c r="N6" s="20" t="s">
        <v>197</v>
      </c>
      <c r="O6" s="20">
        <f xml:space="preserve"> 0.4 * ($C$5 *2.20462/1000)^(2/3) * 0.3048^2</f>
        <v>7.6118712759391402E-2</v>
      </c>
      <c r="P6" s="20" t="s">
        <v>198</v>
      </c>
      <c r="R6" s="20" t="s">
        <v>197</v>
      </c>
      <c r="S6" s="20">
        <f xml:space="preserve"> 0.4 * ($C$5 *2.20462/1000)^(2/3) * 0.3048^2</f>
        <v>7.6118712759391402E-2</v>
      </c>
      <c r="T6" s="20" t="s">
        <v>198</v>
      </c>
      <c r="V6" s="20" t="s">
        <v>197</v>
      </c>
      <c r="W6" s="20">
        <f xml:space="preserve"> 0.4 * ($C$5 *2.20462/1000)^(2/3) * 0.3048^2</f>
        <v>7.6118712759391402E-2</v>
      </c>
      <c r="X6" s="20" t="s">
        <v>198</v>
      </c>
      <c r="AB6" s="8">
        <v>2</v>
      </c>
      <c r="AC6" s="8">
        <f t="shared" ref="AC6:AC34" si="7">IF(AI5&gt;0, AG5, AC5)</f>
        <v>0.25</v>
      </c>
      <c r="AD6" s="8">
        <f t="shared" si="0"/>
        <v>8.9918641272611843E-2</v>
      </c>
      <c r="AE6" s="8">
        <f t="shared" ref="AE6:AE34" si="8">IF(AJ5&gt;0, AG5, AE5)</f>
        <v>0.5</v>
      </c>
      <c r="AF6" s="8">
        <f t="shared" si="1"/>
        <v>-0.17143896078948023</v>
      </c>
      <c r="AG6" s="8">
        <f t="shared" si="3"/>
        <v>0.375</v>
      </c>
      <c r="AH6" s="8">
        <f t="shared" si="2"/>
        <v>-4.2636363500356877E-2</v>
      </c>
      <c r="AI6" s="8">
        <f t="shared" si="4"/>
        <v>-3.8338038747572712E-3</v>
      </c>
      <c r="AJ6" s="8">
        <f t="shared" si="5"/>
        <v>7.3095338503437086E-3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-400.1303102737557</v>
      </c>
      <c r="AP6" s="8">
        <f>IF(AU5&gt;0,AR5,AP5)</f>
        <v>1500</v>
      </c>
      <c r="AQ6" s="8">
        <v>71.601128275534847</v>
      </c>
      <c r="AR6" s="8">
        <f t="shared" ref="AR6:AR44" si="9">(AN6+AP6)/2</f>
        <v>1000</v>
      </c>
      <c r="AS6" s="8">
        <v>-149.62671861212095</v>
      </c>
      <c r="AT6" s="8">
        <f t="shared" ref="AT6:AT44" si="10">AO6*AS6</f>
        <v>59870.18534351189</v>
      </c>
      <c r="AU6" s="8">
        <f t="shared" ref="AU6:AU44" si="11">AQ6*AS6</f>
        <v>-10713.44187279383</v>
      </c>
      <c r="AV6" s="8">
        <f t="shared" ref="AV6:AV44" si="12">AP6-AN6</f>
        <v>1000</v>
      </c>
    </row>
    <row r="7" spans="2:48" x14ac:dyDescent="0.2">
      <c r="B7" t="s">
        <v>206</v>
      </c>
      <c r="C7" s="1">
        <v>0.20419999999999999</v>
      </c>
      <c r="D7" t="s">
        <v>14</v>
      </c>
      <c r="F7" t="s">
        <v>30</v>
      </c>
      <c r="G7">
        <f xml:space="preserve"> $C$5 * $C$67 / $C$21</f>
        <v>1630.0436100859279</v>
      </c>
      <c r="H7" t="s">
        <v>31</v>
      </c>
      <c r="J7" t="s">
        <v>161</v>
      </c>
      <c r="K7">
        <f>K6/$C$28</f>
        <v>99.189694263019277</v>
      </c>
      <c r="L7" t="s">
        <v>162</v>
      </c>
      <c r="N7" t="s">
        <v>199</v>
      </c>
      <c r="O7">
        <f xml:space="preserve"> O6 / $C$10</f>
        <v>4.698685972801939E-3</v>
      </c>
      <c r="R7" t="s">
        <v>199</v>
      </c>
      <c r="S7">
        <f xml:space="preserve"> S6 / $C$10</f>
        <v>4.698685972801939E-3</v>
      </c>
      <c r="V7" t="s">
        <v>199</v>
      </c>
      <c r="W7">
        <f xml:space="preserve"> W6 / $C$10</f>
        <v>4.698685972801939E-3</v>
      </c>
      <c r="AB7" s="8">
        <v>3</v>
      </c>
      <c r="AC7" s="8">
        <f t="shared" si="7"/>
        <v>0.25</v>
      </c>
      <c r="AD7" s="8">
        <f t="shared" si="0"/>
        <v>8.9918641272611843E-2</v>
      </c>
      <c r="AE7" s="8">
        <f t="shared" si="8"/>
        <v>0.375</v>
      </c>
      <c r="AF7" s="8">
        <f t="shared" si="1"/>
        <v>-4.2636363500356877E-2</v>
      </c>
      <c r="AG7" s="8">
        <f t="shared" si="3"/>
        <v>0.3125</v>
      </c>
      <c r="AH7" s="8">
        <f t="shared" si="2"/>
        <v>2.2894742777674337E-2</v>
      </c>
      <c r="AI7" s="8">
        <f t="shared" si="4"/>
        <v>2.0586641628544196E-3</v>
      </c>
      <c r="AJ7" s="8">
        <f t="shared" si="5"/>
        <v>-9.761485753160933E-4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-149.62671861212095</v>
      </c>
      <c r="AP7" s="8">
        <f t="shared" ref="AP7:AP44" si="14">IF(AU6&gt;0,AR6,AP6)</f>
        <v>1500</v>
      </c>
      <c r="AQ7" s="8">
        <v>71.601128275534847</v>
      </c>
      <c r="AR7" s="8">
        <f t="shared" si="9"/>
        <v>1250</v>
      </c>
      <c r="AS7" s="8">
        <v>-34.89055798516597</v>
      </c>
      <c r="AT7" s="8">
        <f t="shared" si="10"/>
        <v>5220.5597018663184</v>
      </c>
      <c r="AU7" s="8">
        <f t="shared" si="11"/>
        <v>-2498.2033179008554</v>
      </c>
      <c r="AV7" s="8">
        <f t="shared" si="12"/>
        <v>500</v>
      </c>
    </row>
    <row r="8" spans="2:48" x14ac:dyDescent="0.2">
      <c r="B8" t="s">
        <v>146</v>
      </c>
      <c r="C8" s="1">
        <v>1</v>
      </c>
      <c r="D8" t="s">
        <v>14</v>
      </c>
      <c r="F8" t="s">
        <v>120</v>
      </c>
      <c r="G8">
        <f xml:space="preserve"> $G$5/$G$4</f>
        <v>60</v>
      </c>
      <c r="H8" t="s">
        <v>22</v>
      </c>
      <c r="N8" t="s">
        <v>201</v>
      </c>
      <c r="O8" s="1">
        <v>2.476619E-2</v>
      </c>
      <c r="R8" t="s">
        <v>201</v>
      </c>
      <c r="S8" s="1">
        <v>2.476619E-2</v>
      </c>
      <c r="V8" t="s">
        <v>201</v>
      </c>
      <c r="W8" s="1">
        <v>2.476619E-2</v>
      </c>
      <c r="AB8" s="8">
        <v>4</v>
      </c>
      <c r="AC8" s="8">
        <f t="shared" si="7"/>
        <v>0.3125</v>
      </c>
      <c r="AD8" s="8">
        <f t="shared" si="0"/>
        <v>2.2894742777674337E-2</v>
      </c>
      <c r="AE8" s="8">
        <f t="shared" si="8"/>
        <v>0.375</v>
      </c>
      <c r="AF8" s="8">
        <f t="shared" si="1"/>
        <v>-4.2636363500356877E-2</v>
      </c>
      <c r="AG8" s="8">
        <f t="shared" si="3"/>
        <v>0.34375</v>
      </c>
      <c r="AH8" s="8">
        <f t="shared" si="2"/>
        <v>-1.0007243181596348E-2</v>
      </c>
      <c r="AI8" s="8">
        <f t="shared" si="4"/>
        <v>-2.2911325855628375E-4</v>
      </c>
      <c r="AJ8" s="8">
        <f t="shared" si="5"/>
        <v>4.2667245792700974E-4</v>
      </c>
      <c r="AK8" s="8">
        <f t="shared" si="6"/>
        <v>6.25E-2</v>
      </c>
      <c r="AM8" s="8">
        <v>4</v>
      </c>
      <c r="AN8" s="8">
        <f t="shared" si="13"/>
        <v>1250</v>
      </c>
      <c r="AO8" s="8">
        <v>-34.89055798516597</v>
      </c>
      <c r="AP8" s="8">
        <f t="shared" si="14"/>
        <v>1500</v>
      </c>
      <c r="AQ8" s="8">
        <v>71.601128275534847</v>
      </c>
      <c r="AR8" s="8">
        <f t="shared" si="9"/>
        <v>1375</v>
      </c>
      <c r="AS8" s="8">
        <v>19.419507242138593</v>
      </c>
      <c r="AT8" s="8">
        <f t="shared" si="10"/>
        <v>-677.55744347518703</v>
      </c>
      <c r="AU8" s="8">
        <f t="shared" si="11"/>
        <v>1390.4586290920433</v>
      </c>
      <c r="AV8" s="8">
        <f t="shared" si="12"/>
        <v>250</v>
      </c>
    </row>
    <row r="9" spans="2:48" x14ac:dyDescent="0.2">
      <c r="B9" t="s">
        <v>207</v>
      </c>
      <c r="C9" s="1">
        <v>0.1021</v>
      </c>
      <c r="D9" t="s">
        <v>14</v>
      </c>
      <c r="F9" t="s">
        <v>214</v>
      </c>
      <c r="G9">
        <f>$C$13*2*PI()*$C$6/60 * $C$6</f>
        <v>169.64600329384882</v>
      </c>
      <c r="H9" t="s">
        <v>16</v>
      </c>
      <c r="N9" t="s">
        <v>200</v>
      </c>
      <c r="O9">
        <f>$O$8 + O7</f>
        <v>2.9464875972801938E-2</v>
      </c>
      <c r="R9" t="s">
        <v>200</v>
      </c>
      <c r="S9">
        <f xml:space="preserve"> $S$8 + S7</f>
        <v>2.9464875972801938E-2</v>
      </c>
      <c r="V9" t="s">
        <v>200</v>
      </c>
      <c r="W9">
        <f xml:space="preserve"> $W$8 + W7</f>
        <v>2.9464875972801938E-2</v>
      </c>
      <c r="AB9" s="8">
        <v>5</v>
      </c>
      <c r="AC9" s="8">
        <f t="shared" si="7"/>
        <v>0.3125</v>
      </c>
      <c r="AD9" s="8">
        <f t="shared" si="0"/>
        <v>2.2894742777674337E-2</v>
      </c>
      <c r="AE9" s="8">
        <f t="shared" si="8"/>
        <v>0.34375</v>
      </c>
      <c r="AF9" s="8">
        <f t="shared" si="1"/>
        <v>-1.0007243181596348E-2</v>
      </c>
      <c r="AG9" s="8">
        <f t="shared" si="3"/>
        <v>0.328125</v>
      </c>
      <c r="AH9" s="8">
        <f t="shared" si="2"/>
        <v>6.4048361893165318E-3</v>
      </c>
      <c r="AI9" s="8">
        <f t="shared" si="4"/>
        <v>1.4663707708754189E-4</v>
      </c>
      <c r="AJ9" s="8">
        <f t="shared" si="5"/>
        <v>-6.4094753284779402E-5</v>
      </c>
      <c r="AK9" s="8">
        <f t="shared" si="6"/>
        <v>3.125E-2</v>
      </c>
      <c r="AM9" s="8">
        <v>5</v>
      </c>
      <c r="AN9" s="8">
        <f t="shared" si="13"/>
        <v>1250</v>
      </c>
      <c r="AO9" s="8">
        <v>-34.89055798516597</v>
      </c>
      <c r="AP9" s="8">
        <f t="shared" si="14"/>
        <v>1375</v>
      </c>
      <c r="AQ9" s="8">
        <v>19.419507242138593</v>
      </c>
      <c r="AR9" s="8">
        <f t="shared" si="9"/>
        <v>1312.5</v>
      </c>
      <c r="AS9" s="8">
        <v>-7.4732069436042821</v>
      </c>
      <c r="AT9" s="8">
        <f t="shared" si="10"/>
        <v>260.74436020097016</v>
      </c>
      <c r="AU9" s="8">
        <f t="shared" si="11"/>
        <v>-145.12599636332376</v>
      </c>
      <c r="AV9" s="8">
        <f t="shared" si="12"/>
        <v>125</v>
      </c>
    </row>
    <row r="10" spans="2:48" x14ac:dyDescent="0.2">
      <c r="B10" t="s">
        <v>17</v>
      </c>
      <c r="C10" s="1">
        <v>16.2</v>
      </c>
      <c r="D10" t="s">
        <v>18</v>
      </c>
      <c r="F10" s="20" t="s">
        <v>217</v>
      </c>
      <c r="G10">
        <f>G9/$C$66</f>
        <v>0.49834908845015752</v>
      </c>
      <c r="H10" t="s">
        <v>215</v>
      </c>
      <c r="J10" s="58" t="s">
        <v>34</v>
      </c>
      <c r="K10" s="58"/>
      <c r="L10" s="58"/>
      <c r="N10" t="s">
        <v>57</v>
      </c>
      <c r="O10">
        <f xml:space="preserve"> O5 * $C$10 * O9</f>
        <v>730.91307960031804</v>
      </c>
      <c r="P10" t="s">
        <v>31</v>
      </c>
      <c r="R10" t="s">
        <v>57</v>
      </c>
      <c r="S10">
        <f xml:space="preserve"> S5 * $C$10 * S9</f>
        <v>730.91307960031804</v>
      </c>
      <c r="T10" t="s">
        <v>31</v>
      </c>
      <c r="V10" t="s">
        <v>57</v>
      </c>
      <c r="W10">
        <f xml:space="preserve"> W5*W9*$C$10</f>
        <v>730.91307960031804</v>
      </c>
      <c r="X10" t="s">
        <v>31</v>
      </c>
      <c r="AB10" s="8">
        <v>6</v>
      </c>
      <c r="AC10" s="8">
        <f t="shared" si="7"/>
        <v>0.328125</v>
      </c>
      <c r="AD10" s="8">
        <f t="shared" si="0"/>
        <v>6.4048361893165318E-3</v>
      </c>
      <c r="AE10" s="8">
        <f t="shared" si="8"/>
        <v>0.34375</v>
      </c>
      <c r="AF10" s="8">
        <f t="shared" si="1"/>
        <v>-1.0007243181596348E-2</v>
      </c>
      <c r="AG10" s="8">
        <f t="shared" si="3"/>
        <v>0.3359375</v>
      </c>
      <c r="AH10" s="8">
        <f t="shared" si="2"/>
        <v>-1.8102625589668797E-3</v>
      </c>
      <c r="AI10" s="8">
        <f t="shared" si="4"/>
        <v>-1.1594435149835823E-5</v>
      </c>
      <c r="AJ10" s="8">
        <f t="shared" si="5"/>
        <v>1.8115737650120465E-5</v>
      </c>
      <c r="AK10" s="8">
        <f t="shared" si="6"/>
        <v>1.5625E-2</v>
      </c>
      <c r="AM10" s="8">
        <v>6</v>
      </c>
      <c r="AN10" s="8">
        <f t="shared" si="13"/>
        <v>1312.5</v>
      </c>
      <c r="AO10" s="8">
        <v>-7.4732069436042821</v>
      </c>
      <c r="AP10" s="8">
        <f t="shared" si="14"/>
        <v>1375</v>
      </c>
      <c r="AQ10" s="8">
        <v>19.419507242138593</v>
      </c>
      <c r="AR10" s="8">
        <f t="shared" si="9"/>
        <v>1343.75</v>
      </c>
      <c r="AS10" s="8">
        <v>6.0392237986628743</v>
      </c>
      <c r="AT10" s="8">
        <f t="shared" si="10"/>
        <v>-45.132369226147624</v>
      </c>
      <c r="AU10" s="8">
        <f t="shared" si="11"/>
        <v>117.27875029502943</v>
      </c>
      <c r="AV10" s="8">
        <f t="shared" si="12"/>
        <v>62.5</v>
      </c>
    </row>
    <row r="11" spans="2:48" x14ac:dyDescent="0.2">
      <c r="B11" t="s">
        <v>5</v>
      </c>
      <c r="C11" s="1">
        <v>7.32</v>
      </c>
      <c r="J11" t="s">
        <v>153</v>
      </c>
      <c r="K11">
        <f xml:space="preserve"> (G6*G8 + G20*G21 + G27*G28 + G40*G41 + G48*G50)/3600</f>
        <v>44.03372853462735</v>
      </c>
      <c r="L11" t="s">
        <v>163</v>
      </c>
      <c r="N11" t="s">
        <v>58</v>
      </c>
      <c r="O11">
        <f xml:space="preserve"> 1.78 * (1 - 0.045 * $C$11^0.68) - 0.64</f>
        <v>0.82990122458567595</v>
      </c>
      <c r="R11" t="s">
        <v>58</v>
      </c>
      <c r="S11">
        <f xml:space="preserve"> 1.78 * (1 - 0.045 * $C$11^0.68) - 0.64</f>
        <v>0.82990122458567595</v>
      </c>
      <c r="V11" t="s">
        <v>58</v>
      </c>
      <c r="W11">
        <f xml:space="preserve"> 1.78 * (1 - 0.045 * $C$11^0.68) - 0.64</f>
        <v>0.82990122458567595</v>
      </c>
      <c r="AB11" s="8">
        <v>7</v>
      </c>
      <c r="AC11" s="8">
        <f t="shared" si="7"/>
        <v>0.328125</v>
      </c>
      <c r="AD11" s="8">
        <f t="shared" si="0"/>
        <v>6.4048361893165318E-3</v>
      </c>
      <c r="AE11" s="8">
        <f t="shared" si="8"/>
        <v>0.3359375</v>
      </c>
      <c r="AF11" s="8">
        <f t="shared" si="1"/>
        <v>-1.8102625589668797E-3</v>
      </c>
      <c r="AG11" s="8">
        <f t="shared" si="3"/>
        <v>0.33203125</v>
      </c>
      <c r="AH11" s="8">
        <f t="shared" si="2"/>
        <v>2.2949432174099726E-3</v>
      </c>
      <c r="AI11" s="8">
        <f t="shared" si="4"/>
        <v>1.469873537129391E-5</v>
      </c>
      <c r="AJ11" s="8">
        <f t="shared" si="5"/>
        <v>-4.1544497814322609E-6</v>
      </c>
      <c r="AK11" s="8">
        <f t="shared" si="6"/>
        <v>7.8125E-3</v>
      </c>
      <c r="AM11" s="8">
        <v>7</v>
      </c>
      <c r="AN11" s="8">
        <f t="shared" si="13"/>
        <v>1312.5</v>
      </c>
      <c r="AO11" s="8">
        <v>-7.4732069436042821</v>
      </c>
      <c r="AP11" s="8">
        <f t="shared" si="14"/>
        <v>1343.75</v>
      </c>
      <c r="AQ11" s="8">
        <v>6.0392237986628743</v>
      </c>
      <c r="AR11" s="8">
        <f t="shared" si="9"/>
        <v>1328.125</v>
      </c>
      <c r="AS11" s="8">
        <v>-0.70053306569764118</v>
      </c>
      <c r="AT11" s="8">
        <f t="shared" si="10"/>
        <v>5.2352285707960071</v>
      </c>
      <c r="AU11" s="8">
        <f t="shared" si="11"/>
        <v>-4.2306759621114578</v>
      </c>
      <c r="AV11" s="8">
        <f t="shared" si="12"/>
        <v>31.25</v>
      </c>
    </row>
    <row r="12" spans="2:48" x14ac:dyDescent="0.2">
      <c r="B12" t="s">
        <v>15</v>
      </c>
      <c r="C12" s="1">
        <v>50</v>
      </c>
      <c r="D12" t="s">
        <v>16</v>
      </c>
      <c r="F12" s="63" t="s">
        <v>124</v>
      </c>
      <c r="G12" s="64"/>
      <c r="H12" s="64"/>
      <c r="J12" t="s">
        <v>35</v>
      </c>
      <c r="K12">
        <f xml:space="preserve"> (G8 + G21 + G28 + G41 +G50)/60</f>
        <v>34.67079771753523</v>
      </c>
      <c r="L12" t="s">
        <v>164</v>
      </c>
      <c r="N12" t="s">
        <v>138</v>
      </c>
      <c r="O12">
        <f>O4/(O5*$C$10)</f>
        <v>0.52500929354835357</v>
      </c>
      <c r="R12" t="s">
        <v>138</v>
      </c>
      <c r="S12">
        <f xml:space="preserve"> S4 / (S5 * $C$10)</f>
        <v>0.52568803751826343</v>
      </c>
      <c r="V12" t="s">
        <v>138</v>
      </c>
      <c r="W12">
        <f>W4 / ( W5 * $C$10)</f>
        <v>0.52544379069301494</v>
      </c>
      <c r="AB12" s="8">
        <v>8</v>
      </c>
      <c r="AC12" s="8">
        <f t="shared" si="7"/>
        <v>0.33203125</v>
      </c>
      <c r="AD12" s="8">
        <f t="shared" si="0"/>
        <v>2.2949432174099726E-3</v>
      </c>
      <c r="AE12" s="8">
        <f t="shared" si="8"/>
        <v>0.3359375</v>
      </c>
      <c r="AF12" s="8">
        <f t="shared" si="1"/>
        <v>-1.8102625589668797E-3</v>
      </c>
      <c r="AG12" s="8">
        <f t="shared" si="3"/>
        <v>0.333984375</v>
      </c>
      <c r="AH12" s="8">
        <f t="shared" si="2"/>
        <v>2.4176456696511917E-4</v>
      </c>
      <c r="AI12" s="8">
        <f t="shared" si="4"/>
        <v>5.5483595316665939E-7</v>
      </c>
      <c r="AJ12" s="8">
        <f t="shared" si="5"/>
        <v>-4.3765734366179617E-7</v>
      </c>
      <c r="AK12" s="8">
        <f t="shared" si="6"/>
        <v>3.90625E-3</v>
      </c>
      <c r="AM12" s="8">
        <v>8</v>
      </c>
      <c r="AN12" s="8">
        <f t="shared" si="13"/>
        <v>1328.125</v>
      </c>
      <c r="AO12" s="8">
        <v>-0.70053306569764118</v>
      </c>
      <c r="AP12" s="8">
        <f t="shared" si="14"/>
        <v>1343.75</v>
      </c>
      <c r="AQ12" s="8">
        <v>6.0392237986628743</v>
      </c>
      <c r="AR12" s="8">
        <f t="shared" si="9"/>
        <v>1335.9375</v>
      </c>
      <c r="AS12" s="8">
        <v>2.6734676238078237</v>
      </c>
      <c r="AT12" s="8">
        <f t="shared" si="10"/>
        <v>-1.8728524705494827</v>
      </c>
      <c r="AU12" s="8">
        <f t="shared" si="11"/>
        <v>16.145669298654894</v>
      </c>
      <c r="AV12" s="8">
        <f t="shared" si="12"/>
        <v>15.625</v>
      </c>
    </row>
    <row r="13" spans="2:48" x14ac:dyDescent="0.2">
      <c r="B13" t="s">
        <v>219</v>
      </c>
      <c r="C13" s="1">
        <v>1620</v>
      </c>
      <c r="D13" t="s">
        <v>218</v>
      </c>
      <c r="F13" s="4" t="s">
        <v>154</v>
      </c>
      <c r="G13" s="1">
        <f>$C$12</f>
        <v>50</v>
      </c>
      <c r="H13" t="s">
        <v>16</v>
      </c>
      <c r="N13" t="s">
        <v>137</v>
      </c>
      <c r="O13">
        <f>O9+O12^2/(PI()*O11*$C$11)</f>
        <v>4.3907517209331323E-2</v>
      </c>
      <c r="R13" t="s">
        <v>137</v>
      </c>
      <c r="S13">
        <f xml:space="preserve"> S9 + S12^2 / ( PI() * S11 * $C$11 )</f>
        <v>4.394488489956809E-2</v>
      </c>
      <c r="V13" t="s">
        <v>137</v>
      </c>
      <c r="W13">
        <f xml:space="preserve"> W9 + W12^2 / (PI() * W11 * $C$11)</f>
        <v>4.3931432531082851E-2</v>
      </c>
      <c r="AB13" s="8">
        <v>9</v>
      </c>
      <c r="AC13" s="8">
        <f t="shared" si="7"/>
        <v>0.333984375</v>
      </c>
      <c r="AD13" s="8">
        <f t="shared" si="0"/>
        <v>2.4176456696511917E-4</v>
      </c>
      <c r="AE13" s="8">
        <f t="shared" si="8"/>
        <v>0.3359375</v>
      </c>
      <c r="AF13" s="8">
        <f t="shared" si="1"/>
        <v>-1.8102625589668797E-3</v>
      </c>
      <c r="AG13" s="8">
        <f t="shared" si="3"/>
        <v>0.3349609375</v>
      </c>
      <c r="AH13" s="8">
        <f t="shared" si="2"/>
        <v>-7.8439169483163207E-4</v>
      </c>
      <c r="AI13" s="8">
        <f t="shared" si="4"/>
        <v>-1.8963811843200544E-7</v>
      </c>
      <c r="AJ13" s="8">
        <f t="shared" si="5"/>
        <v>1.4199549167182781E-6</v>
      </c>
      <c r="AK13" s="8">
        <f t="shared" si="6"/>
        <v>1.953125E-3</v>
      </c>
      <c r="AM13" s="8">
        <v>9</v>
      </c>
      <c r="AN13" s="8">
        <f t="shared" si="13"/>
        <v>1328.125</v>
      </c>
      <c r="AO13" s="8">
        <v>-0.70053306569764118</v>
      </c>
      <c r="AP13" s="8">
        <f t="shared" si="14"/>
        <v>1335.9375</v>
      </c>
      <c r="AQ13" s="8">
        <v>2.6734676238078237</v>
      </c>
      <c r="AR13" s="8">
        <f t="shared" si="9"/>
        <v>1332.03125</v>
      </c>
      <c r="AS13" s="8">
        <v>0.98749706239220814</v>
      </c>
      <c r="AT13" s="8">
        <f t="shared" si="10"/>
        <v>-0.69177434448502839</v>
      </c>
      <c r="AU13" s="8">
        <f t="shared" si="11"/>
        <v>2.640041424910903</v>
      </c>
      <c r="AV13" s="8">
        <f t="shared" si="12"/>
        <v>7.8125</v>
      </c>
    </row>
    <row r="14" spans="2:48" x14ac:dyDescent="0.2">
      <c r="B14" t="s">
        <v>208</v>
      </c>
      <c r="C14" s="1">
        <v>1</v>
      </c>
      <c r="F14" t="s">
        <v>126</v>
      </c>
      <c r="G14" s="1">
        <v>2.54</v>
      </c>
      <c r="H14" t="s">
        <v>16</v>
      </c>
      <c r="N14" t="s">
        <v>139</v>
      </c>
      <c r="O14">
        <f>O5*O13*$C$10</f>
        <v>1089.180848773975</v>
      </c>
      <c r="P14" t="s">
        <v>31</v>
      </c>
      <c r="R14" t="s">
        <v>60</v>
      </c>
      <c r="S14">
        <f xml:space="preserve"> S5 * S13 * $C$10</f>
        <v>1090.1078010399108</v>
      </c>
      <c r="T14" t="s">
        <v>31</v>
      </c>
      <c r="V14" t="s">
        <v>139</v>
      </c>
      <c r="W14">
        <f xml:space="preserve"> W5 * $C$10 * W13</f>
        <v>1089.7740982241739</v>
      </c>
      <c r="X14" t="s">
        <v>31</v>
      </c>
      <c r="AB14" s="8">
        <v>10</v>
      </c>
      <c r="AC14" s="8">
        <f t="shared" si="7"/>
        <v>0.333984375</v>
      </c>
      <c r="AD14" s="8">
        <f t="shared" si="0"/>
        <v>2.4176456696511917E-4</v>
      </c>
      <c r="AE14" s="8">
        <f t="shared" si="8"/>
        <v>0.3349609375</v>
      </c>
      <c r="AF14" s="8">
        <f t="shared" si="1"/>
        <v>-7.8439169483163207E-4</v>
      </c>
      <c r="AG14" s="8">
        <f t="shared" si="3"/>
        <v>0.33447265625</v>
      </c>
      <c r="AH14" s="8">
        <f t="shared" si="2"/>
        <v>-2.7134939274409131E-4</v>
      </c>
      <c r="AI14" s="8">
        <f t="shared" si="4"/>
        <v>-6.5602668433023289E-8</v>
      </c>
      <c r="AJ14" s="8">
        <f t="shared" si="5"/>
        <v>2.1284421006607195E-7</v>
      </c>
      <c r="AK14" s="8">
        <f t="shared" si="6"/>
        <v>9.765625E-4</v>
      </c>
      <c r="AM14" s="8">
        <v>10</v>
      </c>
      <c r="AN14" s="8">
        <f t="shared" si="13"/>
        <v>1328.125</v>
      </c>
      <c r="AO14" s="8">
        <v>-0.70053306569764118</v>
      </c>
      <c r="AP14" s="8">
        <f t="shared" si="14"/>
        <v>1332.03125</v>
      </c>
      <c r="AQ14" s="8">
        <v>0.98749706239220814</v>
      </c>
      <c r="AR14" s="8">
        <f t="shared" si="9"/>
        <v>1330.078125</v>
      </c>
      <c r="AS14" s="8">
        <v>0.1437389121782644</v>
      </c>
      <c r="AT14" s="8">
        <f t="shared" si="10"/>
        <v>-0.10069386080828358</v>
      </c>
      <c r="AU14" s="8">
        <f t="shared" si="11"/>
        <v>0.1419417535274877</v>
      </c>
      <c r="AV14" s="8">
        <f t="shared" si="12"/>
        <v>3.90625</v>
      </c>
    </row>
    <row r="15" spans="2:48" x14ac:dyDescent="0.2">
      <c r="F15" t="s">
        <v>125</v>
      </c>
      <c r="G15" s="1">
        <v>304.8</v>
      </c>
      <c r="H15" t="s">
        <v>14</v>
      </c>
      <c r="J15" s="21" t="s">
        <v>73</v>
      </c>
      <c r="K15" s="21"/>
      <c r="L15" s="21"/>
      <c r="N15" t="s">
        <v>106</v>
      </c>
      <c r="O15">
        <f>O4/O14</f>
        <v>11.95716193756402</v>
      </c>
      <c r="R15" t="s">
        <v>106</v>
      </c>
      <c r="S15">
        <f>S4/S14</f>
        <v>11.962439740590384</v>
      </c>
      <c r="V15" t="s">
        <v>106</v>
      </c>
      <c r="W15">
        <f>W4/W14</f>
        <v>11.96054306495121</v>
      </c>
      <c r="AB15" s="8">
        <v>11</v>
      </c>
      <c r="AC15" s="8">
        <f t="shared" si="7"/>
        <v>0.333984375</v>
      </c>
      <c r="AD15" s="8">
        <f t="shared" si="0"/>
        <v>2.4176456696511917E-4</v>
      </c>
      <c r="AE15" s="8">
        <f t="shared" si="8"/>
        <v>0.33447265625</v>
      </c>
      <c r="AF15" s="8">
        <f t="shared" si="1"/>
        <v>-2.7134939274409131E-4</v>
      </c>
      <c r="AG15" s="8">
        <f t="shared" si="3"/>
        <v>0.334228515625</v>
      </c>
      <c r="AH15" s="8">
        <f t="shared" si="2"/>
        <v>-1.4801389451868374E-5</v>
      </c>
      <c r="AI15" s="8">
        <f t="shared" si="4"/>
        <v>-3.5784515113130401E-9</v>
      </c>
      <c r="AJ15" s="8">
        <f t="shared" si="5"/>
        <v>4.016348039533282E-9</v>
      </c>
      <c r="AK15" s="8">
        <f t="shared" si="6"/>
        <v>4.8828125E-4</v>
      </c>
      <c r="AM15" s="8">
        <v>11</v>
      </c>
      <c r="AN15" s="8">
        <f t="shared" si="13"/>
        <v>1328.125</v>
      </c>
      <c r="AO15" s="8">
        <v>-0.70053306569764118</v>
      </c>
      <c r="AP15" s="8">
        <f t="shared" si="14"/>
        <v>1330.078125</v>
      </c>
      <c r="AQ15" s="8">
        <v>0.1437389121782644</v>
      </c>
      <c r="AR15" s="8">
        <f t="shared" si="9"/>
        <v>1329.1015625</v>
      </c>
      <c r="AS15" s="8">
        <v>-0.2783327059335079</v>
      </c>
      <c r="AT15" s="8">
        <f t="shared" si="10"/>
        <v>0.19498126377152034</v>
      </c>
      <c r="AU15" s="8">
        <f t="shared" si="11"/>
        <v>-4.0007240374515182E-2</v>
      </c>
      <c r="AV15" s="8">
        <f t="shared" si="12"/>
        <v>1.953125</v>
      </c>
    </row>
    <row r="16" spans="2:48" x14ac:dyDescent="0.2">
      <c r="B16" s="61" t="s">
        <v>20</v>
      </c>
      <c r="C16" s="61"/>
      <c r="D16" s="61"/>
      <c r="F16" t="s">
        <v>127</v>
      </c>
      <c r="G16">
        <f>SQRT($G$13^2-$G$14^2)</f>
        <v>49.935442323063484</v>
      </c>
      <c r="H16" t="s">
        <v>16</v>
      </c>
      <c r="J16" s="3" t="s">
        <v>109</v>
      </c>
      <c r="K16" s="5">
        <f>C5</f>
        <v>1329.7455176525546</v>
      </c>
      <c r="L16" t="s">
        <v>12</v>
      </c>
      <c r="N16" s="20" t="s">
        <v>195</v>
      </c>
      <c r="O16" s="20">
        <f>(O13*$C$10)/(0.3048^2)/($C$5*2.20462/1000)^(2/3)</f>
        <v>3.7378550057175435</v>
      </c>
      <c r="P16" s="20"/>
      <c r="R16" s="20" t="s">
        <v>195</v>
      </c>
      <c r="S16" s="20">
        <f>(S13*$C$10)/(0.3048^2)/($C$5*2.20462/1000)^(2/3)</f>
        <v>3.7410361240517385</v>
      </c>
      <c r="V16" s="20" t="s">
        <v>195</v>
      </c>
      <c r="W16" s="20">
        <f>(W13*$C$10)/(0.3048^2)/($C$5*2.20462/1000)^(2/3)</f>
        <v>3.739890921451428</v>
      </c>
      <c r="AB16" s="8">
        <v>12</v>
      </c>
      <c r="AC16" s="8">
        <f t="shared" si="7"/>
        <v>0.333984375</v>
      </c>
      <c r="AD16" s="8">
        <f t="shared" si="0"/>
        <v>2.4176456696511917E-4</v>
      </c>
      <c r="AE16" s="8">
        <f t="shared" si="8"/>
        <v>0.334228515625</v>
      </c>
      <c r="AF16" s="8">
        <f t="shared" si="1"/>
        <v>-1.4801389451868374E-5</v>
      </c>
      <c r="AG16" s="8">
        <f t="shared" si="3"/>
        <v>0.3341064453125</v>
      </c>
      <c r="AH16" s="8">
        <f t="shared" si="2"/>
        <v>1.1347934218997047E-4</v>
      </c>
      <c r="AI16" s="8">
        <f t="shared" si="4"/>
        <v>2.7435284024044789E-8</v>
      </c>
      <c r="AJ16" s="8">
        <f t="shared" si="5"/>
        <v>-1.6796519384955905E-9</v>
      </c>
      <c r="AK16" s="8">
        <f t="shared" si="6"/>
        <v>2.44140625E-4</v>
      </c>
      <c r="AM16" s="8">
        <v>12</v>
      </c>
      <c r="AN16" s="8">
        <f t="shared" si="13"/>
        <v>1329.1015625</v>
      </c>
      <c r="AO16" s="8">
        <v>-0.2783327059335079</v>
      </c>
      <c r="AP16" s="8">
        <f t="shared" si="14"/>
        <v>1330.078125</v>
      </c>
      <c r="AQ16" s="8">
        <v>0.1437389121782644</v>
      </c>
      <c r="AR16" s="8">
        <f t="shared" si="9"/>
        <v>1329.58984375</v>
      </c>
      <c r="AS16" s="8">
        <v>-6.7280845324262373E-2</v>
      </c>
      <c r="AT16" s="8">
        <f t="shared" si="10"/>
        <v>1.8726459736595747E-2</v>
      </c>
      <c r="AU16" s="8">
        <f t="shared" si="11"/>
        <v>-9.6708755173435402E-3</v>
      </c>
      <c r="AV16" s="8">
        <f t="shared" si="12"/>
        <v>0.9765625</v>
      </c>
    </row>
    <row r="17" spans="2:48" x14ac:dyDescent="0.2">
      <c r="B17" t="s">
        <v>92</v>
      </c>
      <c r="C17">
        <f>C35*100</f>
        <v>400</v>
      </c>
      <c r="D17" t="s">
        <v>12</v>
      </c>
      <c r="F17" t="s">
        <v>128</v>
      </c>
      <c r="G17">
        <f>$G$16 * ($G$15/$G$14)</f>
        <v>5992.2530787676178</v>
      </c>
      <c r="H17" t="s">
        <v>14</v>
      </c>
      <c r="J17" s="16" t="s">
        <v>74</v>
      </c>
      <c r="K17">
        <f xml:space="preserve"> 1000 * K11 / ($C$60 * $C$61 * $C$62)</f>
        <v>259.02193255663144</v>
      </c>
      <c r="L17" t="s">
        <v>12</v>
      </c>
      <c r="AB17" s="8">
        <v>13</v>
      </c>
      <c r="AC17" s="8">
        <f t="shared" si="7"/>
        <v>0.3341064453125</v>
      </c>
      <c r="AD17" s="8">
        <f t="shared" si="0"/>
        <v>1.1347934218997047E-4</v>
      </c>
      <c r="AE17" s="8">
        <f t="shared" si="8"/>
        <v>0.334228515625</v>
      </c>
      <c r="AF17" s="8">
        <f t="shared" si="1"/>
        <v>-1.4801389451868374E-5</v>
      </c>
      <c r="AG17" s="8">
        <f t="shared" si="3"/>
        <v>0.33416748046875</v>
      </c>
      <c r="AH17" s="8">
        <f t="shared" si="2"/>
        <v>4.9338415030908411E-5</v>
      </c>
      <c r="AI17" s="8">
        <f t="shared" si="4"/>
        <v>5.5988908824032381E-9</v>
      </c>
      <c r="AJ17" s="8">
        <f t="shared" si="5"/>
        <v>-7.3027709581039181E-10</v>
      </c>
      <c r="AK17" s="8">
        <f t="shared" si="6"/>
        <v>1.220703125E-4</v>
      </c>
      <c r="AM17" s="8">
        <v>13</v>
      </c>
      <c r="AN17" s="8">
        <f t="shared" si="13"/>
        <v>1329.58984375</v>
      </c>
      <c r="AO17" s="8">
        <v>-6.7280845324262373E-2</v>
      </c>
      <c r="AP17" s="8">
        <f t="shared" si="14"/>
        <v>1330.078125</v>
      </c>
      <c r="AQ17" s="8">
        <v>0.1437389121782644</v>
      </c>
      <c r="AR17" s="8">
        <f t="shared" si="9"/>
        <v>1329.833984375</v>
      </c>
      <c r="AS17" s="8">
        <v>3.8233041674175183E-2</v>
      </c>
      <c r="AT17" s="8">
        <f t="shared" si="10"/>
        <v>-2.5723513631562577E-3</v>
      </c>
      <c r="AU17" s="8">
        <f t="shared" si="11"/>
        <v>5.4955758195121898E-3</v>
      </c>
      <c r="AV17" s="8">
        <f t="shared" si="12"/>
        <v>0.48828125</v>
      </c>
    </row>
    <row r="18" spans="2:48" x14ac:dyDescent="0.2">
      <c r="B18" t="s">
        <v>21</v>
      </c>
      <c r="C18" s="1">
        <v>96000</v>
      </c>
      <c r="D18" t="s">
        <v>14</v>
      </c>
      <c r="F18" t="s">
        <v>152</v>
      </c>
      <c r="G18">
        <f>ATAN(G14/G16)/PI()*180</f>
        <v>2.9118789347687013</v>
      </c>
      <c r="H18" t="s">
        <v>62</v>
      </c>
      <c r="J18" s="12" t="s">
        <v>229</v>
      </c>
      <c r="K18">
        <f xml:space="preserve"> $C$21 * (0.0095 * G7 - 1.9275) + $C$28 * (0.0095 * MAX(O20,S20,W20) - 1.9275)</f>
        <v>123.17630479970302</v>
      </c>
      <c r="L18" t="s">
        <v>12</v>
      </c>
      <c r="N18" s="63" t="s">
        <v>140</v>
      </c>
      <c r="O18" s="67"/>
      <c r="P18" s="67"/>
      <c r="R18" s="63" t="s">
        <v>135</v>
      </c>
      <c r="S18" s="67"/>
      <c r="T18" s="67"/>
      <c r="V18" s="63" t="s">
        <v>149</v>
      </c>
      <c r="W18" s="67"/>
      <c r="X18" s="67"/>
      <c r="AB18" s="8">
        <v>14</v>
      </c>
      <c r="AC18" s="8">
        <f t="shared" si="7"/>
        <v>0.33416748046875</v>
      </c>
      <c r="AD18" s="8">
        <f t="shared" si="0"/>
        <v>4.9338415030908411E-5</v>
      </c>
      <c r="AE18" s="8">
        <f t="shared" si="8"/>
        <v>0.334228515625</v>
      </c>
      <c r="AF18" s="8">
        <f t="shared" si="1"/>
        <v>-1.4801389451868374E-5</v>
      </c>
      <c r="AG18" s="8">
        <f t="shared" si="3"/>
        <v>0.334197998046875</v>
      </c>
      <c r="AH18" s="8">
        <f t="shared" si="2"/>
        <v>1.7268372492884598E-5</v>
      </c>
      <c r="AI18" s="8">
        <f t="shared" si="4"/>
        <v>8.519941289622628E-10</v>
      </c>
      <c r="AJ18" s="8">
        <f t="shared" si="5"/>
        <v>-2.5559590646711606E-10</v>
      </c>
      <c r="AK18" s="8">
        <f t="shared" si="6"/>
        <v>6.103515625E-5</v>
      </c>
      <c r="AM18" s="8">
        <v>14</v>
      </c>
      <c r="AN18" s="8">
        <f t="shared" si="13"/>
        <v>1329.58984375</v>
      </c>
      <c r="AO18" s="8">
        <v>-6.7280845324262373E-2</v>
      </c>
      <c r="AP18" s="8">
        <f t="shared" si="14"/>
        <v>1329.833984375</v>
      </c>
      <c r="AQ18" s="8">
        <v>3.8233041674175183E-2</v>
      </c>
      <c r="AR18" s="8">
        <f t="shared" si="9"/>
        <v>1329.7119140625</v>
      </c>
      <c r="AS18" s="8">
        <v>-1.4522785139433836E-2</v>
      </c>
      <c r="AT18" s="8">
        <f t="shared" si="10"/>
        <v>9.7710526064374403E-4</v>
      </c>
      <c r="AU18" s="8">
        <f t="shared" si="11"/>
        <v>-5.5525024946106592E-4</v>
      </c>
      <c r="AV18" s="8">
        <f t="shared" si="12"/>
        <v>0.244140625</v>
      </c>
    </row>
    <row r="19" spans="2:48" x14ac:dyDescent="0.2">
      <c r="F19" t="s">
        <v>143</v>
      </c>
      <c r="G19">
        <f xml:space="preserve"> 1/1000 * (O25 + O20 * (O30 * O27 + $G$13 * SIN(O19/180*PI())))</f>
        <v>99.189694263019277</v>
      </c>
      <c r="H19" t="s">
        <v>162</v>
      </c>
      <c r="J19" s="13" t="s">
        <v>76</v>
      </c>
      <c r="K19">
        <f xml:space="preserve"> 0.2138 * K4 + 0.2138 * K6</f>
        <v>80.230936958014865</v>
      </c>
      <c r="L19" t="s">
        <v>12</v>
      </c>
      <c r="N19" t="s">
        <v>41</v>
      </c>
      <c r="O19">
        <f xml:space="preserve"> 90 - $C$68</f>
        <v>85</v>
      </c>
      <c r="P19" t="s">
        <v>62</v>
      </c>
      <c r="R19" t="s">
        <v>41</v>
      </c>
      <c r="S19">
        <f xml:space="preserve"> 90 - $C$68</f>
        <v>85</v>
      </c>
      <c r="T19" t="s">
        <v>62</v>
      </c>
      <c r="V19" t="s">
        <v>41</v>
      </c>
      <c r="W19">
        <f xml:space="preserve"> 90 - $C$68</f>
        <v>85</v>
      </c>
      <c r="X19" t="s">
        <v>62</v>
      </c>
      <c r="AB19" s="8">
        <v>15</v>
      </c>
      <c r="AC19" s="8">
        <f t="shared" si="7"/>
        <v>0.334197998046875</v>
      </c>
      <c r="AD19" s="8">
        <f t="shared" si="0"/>
        <v>1.7268372492884598E-5</v>
      </c>
      <c r="AE19" s="8">
        <f t="shared" si="8"/>
        <v>0.334228515625</v>
      </c>
      <c r="AF19" s="8">
        <f t="shared" si="1"/>
        <v>-1.4801389451868374E-5</v>
      </c>
      <c r="AG19" s="8">
        <f t="shared" si="3"/>
        <v>0.3342132568359375</v>
      </c>
      <c r="AH19" s="8">
        <f t="shared" si="2"/>
        <v>1.2334564510885215E-6</v>
      </c>
      <c r="AI19" s="8">
        <f t="shared" si="4"/>
        <v>2.1299785451148082E-11</v>
      </c>
      <c r="AJ19" s="8">
        <f t="shared" si="5"/>
        <v>-1.8256869304480643E-11</v>
      </c>
      <c r="AK19" s="8">
        <f t="shared" si="6"/>
        <v>3.0517578125E-5</v>
      </c>
      <c r="AM19" s="8">
        <v>15</v>
      </c>
      <c r="AN19" s="8">
        <f t="shared" si="13"/>
        <v>1329.7119140625</v>
      </c>
      <c r="AO19" s="8">
        <v>-1.4522785139433836E-2</v>
      </c>
      <c r="AP19" s="8">
        <f t="shared" si="14"/>
        <v>1329.833984375</v>
      </c>
      <c r="AQ19" s="8">
        <v>3.8233041674175183E-2</v>
      </c>
      <c r="AR19" s="8">
        <f t="shared" si="9"/>
        <v>1329.77294921875</v>
      </c>
      <c r="AS19" s="8">
        <v>1.1855613961415656E-2</v>
      </c>
      <c r="AT19" s="8">
        <f t="shared" si="10"/>
        <v>-1.721765342577116E-4</v>
      </c>
      <c r="AU19" s="8">
        <f t="shared" si="11"/>
        <v>4.5327618265973794E-4</v>
      </c>
      <c r="AV19" s="8">
        <f t="shared" si="12"/>
        <v>0.1220703125</v>
      </c>
    </row>
    <row r="20" spans="2:48" x14ac:dyDescent="0.2">
      <c r="B20" s="61" t="s">
        <v>184</v>
      </c>
      <c r="C20" s="61"/>
      <c r="D20" s="61"/>
      <c r="F20" t="s">
        <v>129</v>
      </c>
      <c r="G20">
        <f>$C$28*G19</f>
        <v>99.189694263019277</v>
      </c>
      <c r="H20" t="s">
        <v>162</v>
      </c>
      <c r="J20" s="13" t="s">
        <v>107</v>
      </c>
      <c r="K20">
        <f xml:space="preserve"> 0.1149 * K4 + 0.1149 * K6</f>
        <v>43.117561536370012</v>
      </c>
      <c r="L20" t="s">
        <v>12</v>
      </c>
      <c r="N20" t="s">
        <v>30</v>
      </c>
      <c r="O20">
        <f>(O14+$C$5*$C$67*SIN(G18/180*PI()))/$C$28</f>
        <v>1751.6305719128961</v>
      </c>
      <c r="P20" t="s">
        <v>31</v>
      </c>
      <c r="R20" t="s">
        <v>30</v>
      </c>
      <c r="S20">
        <f xml:space="preserve"> S14 / $C$28</f>
        <v>1090.1078010399108</v>
      </c>
      <c r="T20" t="s">
        <v>31</v>
      </c>
      <c r="V20" t="s">
        <v>30</v>
      </c>
      <c r="W20">
        <f>(W14-$C$5*$C$67*SIN(G38/180*PI()))/$C$28</f>
        <v>692.30426434082119</v>
      </c>
      <c r="X20" t="s">
        <v>31</v>
      </c>
      <c r="AB20" s="8">
        <v>16</v>
      </c>
      <c r="AC20" s="8">
        <f t="shared" si="7"/>
        <v>0.3342132568359375</v>
      </c>
      <c r="AD20" s="8">
        <f t="shared" si="0"/>
        <v>1.2334564510885215E-6</v>
      </c>
      <c r="AE20" s="8">
        <f t="shared" si="8"/>
        <v>0.334228515625</v>
      </c>
      <c r="AF20" s="8">
        <f t="shared" si="1"/>
        <v>-1.4801389451868374E-5</v>
      </c>
      <c r="AG20" s="8">
        <f t="shared" si="3"/>
        <v>0.33422088623046875</v>
      </c>
      <c r="AH20" s="8">
        <f t="shared" si="2"/>
        <v>-6.783975267155018E-6</v>
      </c>
      <c r="AI20" s="8">
        <f t="shared" si="4"/>
        <v>-8.367738057297333E-12</v>
      </c>
      <c r="AJ20" s="8">
        <f t="shared" si="5"/>
        <v>1.0041225996100422E-10</v>
      </c>
      <c r="AK20" s="8">
        <f t="shared" si="6"/>
        <v>1.52587890625E-5</v>
      </c>
      <c r="AM20" s="8">
        <v>16</v>
      </c>
      <c r="AN20" s="8">
        <f t="shared" si="13"/>
        <v>1329.7119140625</v>
      </c>
      <c r="AO20" s="8">
        <v>-1.4522785139433836E-2</v>
      </c>
      <c r="AP20" s="8">
        <f t="shared" si="14"/>
        <v>1329.77294921875</v>
      </c>
      <c r="AQ20" s="8">
        <v>1.1855613961415656E-2</v>
      </c>
      <c r="AR20" s="8">
        <f t="shared" si="9"/>
        <v>1329.742431640625</v>
      </c>
      <c r="AS20" s="8">
        <v>-1.3334230574173489E-3</v>
      </c>
      <c r="AT20" s="8">
        <f t="shared" si="10"/>
        <v>1.9365016562839105E-5</v>
      </c>
      <c r="AU20" s="8">
        <f t="shared" si="11"/>
        <v>-1.5808549015990671E-5</v>
      </c>
      <c r="AV20" s="8">
        <f t="shared" si="12"/>
        <v>6.103515625E-2</v>
      </c>
    </row>
    <row r="21" spans="2:48" x14ac:dyDescent="0.2">
      <c r="B21" t="s">
        <v>144</v>
      </c>
      <c r="C21" s="1">
        <v>8</v>
      </c>
      <c r="F21" t="s">
        <v>130</v>
      </c>
      <c r="G21">
        <f>$G$15/$G$14</f>
        <v>120</v>
      </c>
      <c r="H21" t="s">
        <v>22</v>
      </c>
      <c r="J21" s="14" t="s">
        <v>84</v>
      </c>
      <c r="K21">
        <f xml:space="preserve"> $C$69 * (14.86 * ($C$5*2.20462)^0.144 * ($C$36/(PI()*$C$37))^0.778 * ($C$36*3.28084)^0.383 * $C$35^0.455 * 0.453592)</f>
        <v>167.91420011177217</v>
      </c>
      <c r="L21" t="s">
        <v>12</v>
      </c>
      <c r="N21" t="s">
        <v>42</v>
      </c>
      <c r="O21">
        <f xml:space="preserve"> PI() * $G$13 / ($C$8 * $C$14)</f>
        <v>157.07963267948966</v>
      </c>
      <c r="P21" t="s">
        <v>43</v>
      </c>
      <c r="R21" t="s">
        <v>42</v>
      </c>
      <c r="S21">
        <f xml:space="preserve"> PI() * $C$12 / ($C$8 * $C$14)</f>
        <v>157.07963267948966</v>
      </c>
      <c r="T21" t="s">
        <v>43</v>
      </c>
      <c r="V21" t="s">
        <v>42</v>
      </c>
      <c r="W21">
        <f xml:space="preserve"> PI() * $G$33 / ($C$8 * $C$14)</f>
        <v>157.07963267948966</v>
      </c>
      <c r="X21" t="s">
        <v>43</v>
      </c>
      <c r="AB21" s="8">
        <v>17</v>
      </c>
      <c r="AC21" s="8">
        <f t="shared" si="7"/>
        <v>0.3342132568359375</v>
      </c>
      <c r="AD21" s="8">
        <f t="shared" si="0"/>
        <v>1.2334564510885215E-6</v>
      </c>
      <c r="AE21" s="8">
        <f t="shared" si="8"/>
        <v>0.33422088623046875</v>
      </c>
      <c r="AF21" s="8">
        <f t="shared" si="1"/>
        <v>-6.783975267155018E-6</v>
      </c>
      <c r="AG21" s="8">
        <f t="shared" si="3"/>
        <v>0.33421707153320312</v>
      </c>
      <c r="AH21" s="8">
        <f t="shared" si="2"/>
        <v>-2.7752615998077879E-6</v>
      </c>
      <c r="AI21" s="8">
        <f t="shared" si="4"/>
        <v>-3.4231643237411666E-12</v>
      </c>
      <c r="AJ21" s="8">
        <f t="shared" si="5"/>
        <v>1.8827306052981099E-11</v>
      </c>
      <c r="AK21" s="8">
        <f t="shared" si="6"/>
        <v>7.62939453125E-6</v>
      </c>
      <c r="AM21" s="8">
        <v>17</v>
      </c>
      <c r="AN21" s="8">
        <f t="shared" si="13"/>
        <v>1329.742431640625</v>
      </c>
      <c r="AO21" s="8">
        <v>-1.3334230574173489E-3</v>
      </c>
      <c r="AP21" s="8">
        <f t="shared" si="14"/>
        <v>1329.77294921875</v>
      </c>
      <c r="AQ21" s="8">
        <v>1.1855613961415656E-2</v>
      </c>
      <c r="AR21" s="8">
        <f t="shared" si="9"/>
        <v>1329.7576904296875</v>
      </c>
      <c r="AS21" s="8">
        <v>5.2607867295364485E-3</v>
      </c>
      <c r="AT21" s="8">
        <f t="shared" si="10"/>
        <v>-7.0148543253191067E-6</v>
      </c>
      <c r="AU21" s="8">
        <f t="shared" si="11"/>
        <v>6.2369856598722535E-5</v>
      </c>
      <c r="AV21" s="8">
        <f t="shared" si="12"/>
        <v>3.0517578125E-2</v>
      </c>
    </row>
    <row r="22" spans="2:48" x14ac:dyDescent="0.2">
      <c r="B22" t="s">
        <v>182</v>
      </c>
      <c r="C22" s="1">
        <v>2</v>
      </c>
      <c r="F22" t="s">
        <v>220</v>
      </c>
      <c r="G22">
        <f>O21*$C$8</f>
        <v>157.07963267948966</v>
      </c>
      <c r="H22" t="s">
        <v>16</v>
      </c>
      <c r="J22" s="14" t="s">
        <v>85</v>
      </c>
      <c r="K22">
        <f xml:space="preserve"> $C$69 * C43 * $C$5</f>
        <v>34.573383458966418</v>
      </c>
      <c r="L22" t="s">
        <v>12</v>
      </c>
      <c r="N22" t="s">
        <v>44</v>
      </c>
      <c r="O22">
        <f xml:space="preserve"> $G$13 * COS(O19/180*PI()) / (O21 * $C$8)</f>
        <v>2.7742534554270868E-2</v>
      </c>
      <c r="R22" t="s">
        <v>44</v>
      </c>
      <c r="S22">
        <f xml:space="preserve"> $C$12 * COS(S19/180*PI()) / (S21 * $C$8)</f>
        <v>2.7742534554270868E-2</v>
      </c>
      <c r="V22" t="s">
        <v>44</v>
      </c>
      <c r="W22">
        <f xml:space="preserve"> $G$33 * COS(W19/180*PI()) / (W21 * $C$8)</f>
        <v>2.7742534554270868E-2</v>
      </c>
      <c r="AB22" s="8">
        <v>18</v>
      </c>
      <c r="AC22" s="8">
        <f t="shared" si="7"/>
        <v>0.3342132568359375</v>
      </c>
      <c r="AD22" s="8">
        <f t="shared" si="0"/>
        <v>1.2334564510885215E-6</v>
      </c>
      <c r="AE22" s="8">
        <f t="shared" si="8"/>
        <v>0.33421707153320312</v>
      </c>
      <c r="AF22" s="8">
        <f t="shared" si="1"/>
        <v>-2.7752615998077879E-6</v>
      </c>
      <c r="AG22" s="8">
        <f t="shared" si="3"/>
        <v>0.33421516418457031</v>
      </c>
      <c r="AH22" s="8">
        <f t="shared" si="2"/>
        <v>-7.7090312228245139E-7</v>
      </c>
      <c r="AI22" s="8">
        <f t="shared" si="4"/>
        <v>-9.5087542934357312E-13</v>
      </c>
      <c r="AJ22" s="8">
        <f t="shared" si="5"/>
        <v>2.1394578324424148E-12</v>
      </c>
      <c r="AK22" s="8">
        <f t="shared" si="6"/>
        <v>3.814697265625E-6</v>
      </c>
      <c r="AM22" s="8">
        <v>18</v>
      </c>
      <c r="AN22" s="8">
        <f t="shared" si="13"/>
        <v>1329.742431640625</v>
      </c>
      <c r="AO22" s="8">
        <v>-1.3334230574173489E-3</v>
      </c>
      <c r="AP22" s="8">
        <f t="shared" si="14"/>
        <v>1329.7576904296875</v>
      </c>
      <c r="AQ22" s="8">
        <v>5.2607867295364485E-3</v>
      </c>
      <c r="AR22" s="8">
        <f t="shared" si="9"/>
        <v>1329.7500610351562</v>
      </c>
      <c r="AS22" s="8">
        <v>1.9640096336388524E-3</v>
      </c>
      <c r="AT22" s="8">
        <f t="shared" si="10"/>
        <v>-2.6188557304838457E-6</v>
      </c>
      <c r="AU22" s="8">
        <f t="shared" si="11"/>
        <v>1.0332235817329016E-5</v>
      </c>
      <c r="AV22" s="8">
        <f t="shared" si="12"/>
        <v>1.52587890625E-2</v>
      </c>
    </row>
    <row r="23" spans="2:48" x14ac:dyDescent="0.2">
      <c r="B23" t="s">
        <v>209</v>
      </c>
      <c r="C23">
        <f>$C$22*$C$7/(PI()*$C$6)</f>
        <v>0.12999775751746012</v>
      </c>
      <c r="F23" s="20" t="s">
        <v>221</v>
      </c>
      <c r="G23">
        <f>G22/$C$66</f>
        <v>0.46143434115755327</v>
      </c>
      <c r="H23" t="s">
        <v>215</v>
      </c>
      <c r="J23" s="14" t="s">
        <v>77</v>
      </c>
      <c r="K23">
        <f xml:space="preserve"> $C$69 * (0.04674 * ($C$5*2.20462)^0.397 * ($C$10*3.28084^2)^0.36 * $C$46^0.397 * $C$11^1.712 * 0.453592)</f>
        <v>120.8588442171809</v>
      </c>
      <c r="L23" t="s">
        <v>12</v>
      </c>
      <c r="N23" t="s">
        <v>45</v>
      </c>
      <c r="O23">
        <f xml:space="preserve"> O20 / ( $C$65 * PI() * $C$8^2 * O21^2 * $C$8^2)</f>
        <v>1.8446619985075487E-2</v>
      </c>
      <c r="R23" t="s">
        <v>45</v>
      </c>
      <c r="S23">
        <f xml:space="preserve"> S20 / ( $C$65 * PI() * $C$8^2 * S21^2 * $C$8^2)</f>
        <v>1.1480048744861407E-2</v>
      </c>
      <c r="V23" t="s">
        <v>45</v>
      </c>
      <c r="W23">
        <f xml:space="preserve"> W20 / ( $C$65 * PI() * $C$8^2 * W21^2 * $C$8^2)</f>
        <v>7.2907346349841088E-3</v>
      </c>
      <c r="AB23" s="8">
        <v>19</v>
      </c>
      <c r="AC23" s="8">
        <f t="shared" si="7"/>
        <v>0.3342132568359375</v>
      </c>
      <c r="AD23" s="8">
        <f t="shared" si="0"/>
        <v>1.2334564510885215E-6</v>
      </c>
      <c r="AE23" s="8">
        <f t="shared" si="8"/>
        <v>0.33421516418457031</v>
      </c>
      <c r="AF23" s="8">
        <f t="shared" si="1"/>
        <v>-7.7090312228245139E-7</v>
      </c>
      <c r="AG23" s="8">
        <f t="shared" si="3"/>
        <v>0.33421421051025391</v>
      </c>
      <c r="AH23" s="8">
        <f t="shared" si="2"/>
        <v>2.3127652742926941E-7</v>
      </c>
      <c r="AI23" s="8">
        <f t="shared" si="4"/>
        <v>2.8526952474298375E-13</v>
      </c>
      <c r="AJ23" s="8">
        <f t="shared" si="5"/>
        <v>-1.7829179710586679E-13</v>
      </c>
      <c r="AK23" s="8">
        <f t="shared" si="6"/>
        <v>1.9073486328125E-6</v>
      </c>
      <c r="AM23" s="8">
        <v>19</v>
      </c>
      <c r="AN23" s="8">
        <f t="shared" si="13"/>
        <v>1329.742431640625</v>
      </c>
      <c r="AO23" s="8">
        <v>-1.3334230574173489E-3</v>
      </c>
      <c r="AP23" s="8">
        <f t="shared" si="14"/>
        <v>1329.7500610351562</v>
      </c>
      <c r="AQ23" s="8">
        <v>1.9640096336388524E-3</v>
      </c>
      <c r="AR23" s="8">
        <f t="shared" si="9"/>
        <v>1329.7462463378906</v>
      </c>
      <c r="AS23" s="8">
        <v>3.1497026100169023E-4</v>
      </c>
      <c r="AT23" s="8">
        <f t="shared" si="10"/>
        <v>-4.1998860842041419E-7</v>
      </c>
      <c r="AU23" s="8">
        <f t="shared" si="11"/>
        <v>6.1860462691706335E-7</v>
      </c>
      <c r="AV23" s="8">
        <f t="shared" si="12"/>
        <v>7.62939453125E-3</v>
      </c>
    </row>
    <row r="24" spans="2:48" x14ac:dyDescent="0.2">
      <c r="B24" t="s">
        <v>211</v>
      </c>
      <c r="C24" s="1">
        <v>0.75</v>
      </c>
      <c r="J24" s="14" t="s">
        <v>86</v>
      </c>
      <c r="K24">
        <f xml:space="preserve"> $C$69 * (3.184 * ($C$5*2.20462)^0.887 * ($C$50*3.28084*3.28084)^0.101 * ($C$49)^0.138 ) / ( 174.04 * ($C$51*3.28084)^0.223 ) * 0.453592</f>
        <v>13.201712709033023</v>
      </c>
      <c r="L24" t="s">
        <v>12</v>
      </c>
      <c r="N24" t="s">
        <v>4</v>
      </c>
      <c r="O24" s="1">
        <v>1.2E-2</v>
      </c>
      <c r="R24" t="s">
        <v>4</v>
      </c>
      <c r="S24" s="1">
        <v>1.2E-2</v>
      </c>
      <c r="V24" t="s">
        <v>4</v>
      </c>
      <c r="W24" s="1">
        <v>1.2E-2</v>
      </c>
      <c r="AB24" s="8">
        <v>20</v>
      </c>
      <c r="AC24" s="8">
        <f t="shared" si="7"/>
        <v>0.33421421051025391</v>
      </c>
      <c r="AD24" s="8">
        <f t="shared" si="0"/>
        <v>2.3127652742926941E-7</v>
      </c>
      <c r="AE24" s="8">
        <f t="shared" si="8"/>
        <v>0.33421516418457031</v>
      </c>
      <c r="AF24" s="8">
        <f t="shared" si="1"/>
        <v>-7.7090312228245139E-7</v>
      </c>
      <c r="AG24" s="8">
        <f t="shared" si="3"/>
        <v>0.33421468734741211</v>
      </c>
      <c r="AH24" s="8">
        <f t="shared" si="2"/>
        <v>-2.698133316769713E-7</v>
      </c>
      <c r="AI24" s="8">
        <f t="shared" si="4"/>
        <v>-6.2401490404371616E-14</v>
      </c>
      <c r="AJ24" s="8">
        <f t="shared" si="5"/>
        <v>2.0799993982320782E-13</v>
      </c>
      <c r="AK24" s="8">
        <f t="shared" si="6"/>
        <v>9.5367431640625E-7</v>
      </c>
      <c r="AM24" s="8">
        <v>20</v>
      </c>
      <c r="AN24" s="8">
        <f t="shared" si="13"/>
        <v>1329.742431640625</v>
      </c>
      <c r="AO24" s="8">
        <v>-1.3334230574173489E-3</v>
      </c>
      <c r="AP24" s="8">
        <f t="shared" si="14"/>
        <v>1329.7462463378906</v>
      </c>
      <c r="AQ24" s="8">
        <v>3.1497026100169023E-4</v>
      </c>
      <c r="AR24" s="8">
        <f t="shared" si="9"/>
        <v>1329.7443389892578</v>
      </c>
      <c r="AS24" s="8">
        <v>-5.090036712545043E-4</v>
      </c>
      <c r="AT24" s="8">
        <f t="shared" si="10"/>
        <v>6.7871723156083628E-7</v>
      </c>
      <c r="AU24" s="8">
        <f t="shared" si="11"/>
        <v>-1.6032101918584976E-7</v>
      </c>
      <c r="AV24" s="8">
        <f t="shared" si="12"/>
        <v>3.814697265625E-3</v>
      </c>
    </row>
    <row r="25" spans="2:48" x14ac:dyDescent="0.2">
      <c r="B25" t="s">
        <v>185</v>
      </c>
      <c r="C25" s="1">
        <v>0.14399999999999999</v>
      </c>
      <c r="F25" s="63" t="s">
        <v>118</v>
      </c>
      <c r="G25" s="64"/>
      <c r="H25" s="64"/>
      <c r="J25" s="14" t="s">
        <v>87</v>
      </c>
      <c r="K25">
        <f xml:space="preserve"> $C$69 * ( 1.68 * ($C$5*2.20462)^0.567 * ($C$55*3.28084*3.28084)^1.249 * ($C$54)^0.482 ) / (639.95 * ($C$56*3.28084)^0.747 * (COS($C$57/180*PI()))^0.882 ) * 0.453592</f>
        <v>6.310604639787976</v>
      </c>
      <c r="L25" t="s">
        <v>12</v>
      </c>
      <c r="N25" t="s">
        <v>46</v>
      </c>
      <c r="O25">
        <f xml:space="preserve"> ($C$30 * $O$24 / 8) * (1 + 4.65 * O22^2) * ( PI() * $C$65 * O21^3 * $C$8^ 5)</f>
        <v>2918.9336190549043</v>
      </c>
      <c r="P25" t="s">
        <v>29</v>
      </c>
      <c r="R25" t="s">
        <v>46</v>
      </c>
      <c r="S25">
        <f xml:space="preserve"> ($C$30 * $S$24 / 8) * (1 + 4.65 * S22^2) * ( PI() * $C$65 * S21^3 * $C$8^5)</f>
        <v>2918.9336190549043</v>
      </c>
      <c r="T25" t="s">
        <v>29</v>
      </c>
      <c r="V25" t="s">
        <v>46</v>
      </c>
      <c r="W25">
        <f xml:space="preserve"> ($C$30 * $W$24 / 8) * (1 + 4.65 * W22^2) * ( PI() * $C$65 * W21^3 * $C$8^ 5)</f>
        <v>2918.9336190549043</v>
      </c>
      <c r="X25" t="s">
        <v>29</v>
      </c>
      <c r="AB25" s="8">
        <v>21</v>
      </c>
      <c r="AC25" s="8">
        <f t="shared" si="7"/>
        <v>0.33421421051025391</v>
      </c>
      <c r="AD25" s="8">
        <f t="shared" si="0"/>
        <v>2.3127652742926941E-7</v>
      </c>
      <c r="AE25" s="8">
        <f t="shared" si="8"/>
        <v>0.33421468734741211</v>
      </c>
      <c r="AF25" s="8">
        <f t="shared" si="1"/>
        <v>-2.698133316769713E-7</v>
      </c>
      <c r="AG25" s="8">
        <f t="shared" si="3"/>
        <v>0.33421444892883301</v>
      </c>
      <c r="AH25" s="8">
        <f t="shared" si="2"/>
        <v>-1.9268410700323813E-8</v>
      </c>
      <c r="AI25" s="8">
        <f t="shared" si="4"/>
        <v>-4.4563311158518682E-15</v>
      </c>
      <c r="AJ25" s="8">
        <f t="shared" si="5"/>
        <v>5.1988740871745717E-15</v>
      </c>
      <c r="AK25" s="8">
        <f t="shared" si="6"/>
        <v>4.76837158203125E-7</v>
      </c>
      <c r="AM25" s="8">
        <v>21</v>
      </c>
      <c r="AN25" s="8">
        <f t="shared" si="13"/>
        <v>1329.7443389892578</v>
      </c>
      <c r="AO25" s="8">
        <v>-5.090036712545043E-4</v>
      </c>
      <c r="AP25" s="8">
        <f t="shared" si="14"/>
        <v>1329.7462463378906</v>
      </c>
      <c r="AQ25" s="8">
        <v>3.1497026100169023E-4</v>
      </c>
      <c r="AR25" s="8">
        <f t="shared" si="9"/>
        <v>1329.7452926635742</v>
      </c>
      <c r="AS25" s="8">
        <v>-9.7239133879156725E-5</v>
      </c>
      <c r="AT25" s="8">
        <f t="shared" si="10"/>
        <v>4.9495076134099019E-8</v>
      </c>
      <c r="AU25" s="8">
        <f t="shared" si="11"/>
        <v>-3.062743537749629E-8</v>
      </c>
      <c r="AV25" s="8">
        <f t="shared" si="12"/>
        <v>1.9073486328125E-3</v>
      </c>
    </row>
    <row r="26" spans="2:48" x14ac:dyDescent="0.2">
      <c r="F26" s="4" t="s">
        <v>114</v>
      </c>
      <c r="G26">
        <f xml:space="preserve"> 1/1000 * (S25 + S20 * (S30 * S27 + $C$12 * SIN(S19/180*PI())))</f>
        <v>60.611952156592828</v>
      </c>
      <c r="H26" t="s">
        <v>162</v>
      </c>
      <c r="J26" s="14" t="s">
        <v>192</v>
      </c>
      <c r="K26">
        <f>$C$69*(0.14*$G$6*1000/745.7)*0.453592</f>
        <v>18.807952950832668</v>
      </c>
      <c r="L26" t="s">
        <v>12</v>
      </c>
      <c r="N26" t="s">
        <v>47</v>
      </c>
      <c r="O26" s="5">
        <f>AG69</f>
        <v>0.34383643185719848</v>
      </c>
      <c r="R26" t="s">
        <v>47</v>
      </c>
      <c r="S26" s="5">
        <f>AG34</f>
        <v>0.3342144307680428</v>
      </c>
      <c r="V26" t="s">
        <v>47</v>
      </c>
      <c r="W26" s="5">
        <f>AG104</f>
        <v>0.32816739520058036</v>
      </c>
      <c r="AB26" s="8">
        <v>22</v>
      </c>
      <c r="AC26" s="8">
        <f t="shared" si="7"/>
        <v>0.33421421051025391</v>
      </c>
      <c r="AD26" s="8">
        <f t="shared" si="0"/>
        <v>2.3127652742926941E-7</v>
      </c>
      <c r="AE26" s="8">
        <f t="shared" si="8"/>
        <v>0.33421444892883301</v>
      </c>
      <c r="AF26" s="8">
        <f t="shared" si="1"/>
        <v>-1.9268410700323813E-8</v>
      </c>
      <c r="AG26" s="8">
        <f t="shared" si="3"/>
        <v>0.33421432971954346</v>
      </c>
      <c r="AH26" s="8">
        <f t="shared" si="2"/>
        <v>1.060040561995379E-7</v>
      </c>
      <c r="AI26" s="8">
        <f t="shared" si="4"/>
        <v>2.4516250011246243E-14</v>
      </c>
      <c r="AJ26" s="8">
        <f t="shared" si="5"/>
        <v>-2.0425296907529028E-15</v>
      </c>
      <c r="AK26" s="8">
        <f t="shared" si="6"/>
        <v>2.384185791015625E-7</v>
      </c>
      <c r="AM26" s="8">
        <v>22</v>
      </c>
      <c r="AN26" s="8">
        <f t="shared" si="13"/>
        <v>1329.7452926635742</v>
      </c>
      <c r="AO26" s="8">
        <v>-9.7239133879156725E-5</v>
      </c>
      <c r="AP26" s="8">
        <f t="shared" si="14"/>
        <v>1329.7462463378906</v>
      </c>
      <c r="AQ26" s="8">
        <v>3.1497026100169023E-4</v>
      </c>
      <c r="AR26" s="8">
        <f t="shared" si="9"/>
        <v>1329.7457695007324</v>
      </c>
      <c r="AS26" s="8">
        <v>1.0908806711995567E-4</v>
      </c>
      <c r="AT26" s="8">
        <f t="shared" si="10"/>
        <v>-1.0607629163295803E-8</v>
      </c>
      <c r="AU26" s="8">
        <f t="shared" si="11"/>
        <v>3.435949697294234E-8</v>
      </c>
      <c r="AV26" s="8">
        <f t="shared" si="12"/>
        <v>9.5367431640625E-4</v>
      </c>
    </row>
    <row r="27" spans="2:48" x14ac:dyDescent="0.2">
      <c r="B27" s="61" t="s">
        <v>212</v>
      </c>
      <c r="C27" s="61"/>
      <c r="D27" s="61"/>
      <c r="F27" s="4" t="s">
        <v>113</v>
      </c>
      <c r="G27">
        <f xml:space="preserve"> $C$28 * G26</f>
        <v>60.611952156592828</v>
      </c>
      <c r="H27" t="s">
        <v>162</v>
      </c>
      <c r="J27" s="15" t="s">
        <v>88</v>
      </c>
      <c r="K27">
        <f xml:space="preserve"> $C$69 * (0.0268 * $C$5)</f>
        <v>28.509743898470774</v>
      </c>
      <c r="L27" t="s">
        <v>12</v>
      </c>
      <c r="N27" t="s">
        <v>48</v>
      </c>
      <c r="O27">
        <f xml:space="preserve"> O21 * $C$8 * O26 - $G$13 * SIN(O19/180*PI())</f>
        <v>4.199965513367836</v>
      </c>
      <c r="P27" t="s">
        <v>16</v>
      </c>
      <c r="R27" t="s">
        <v>48</v>
      </c>
      <c r="S27">
        <f xml:space="preserve"> S21 * $C$8 * S26 - $C$12 * SIN(S19/180*PI())</f>
        <v>2.6885451166416132</v>
      </c>
      <c r="T27" t="s">
        <v>16</v>
      </c>
      <c r="V27" t="s">
        <v>48</v>
      </c>
      <c r="W27">
        <f xml:space="preserve"> W21 * $C$8 * W26 - $G$33 * SIN(W19/180*PI())</f>
        <v>1.7386789909048019</v>
      </c>
      <c r="X27" t="s">
        <v>16</v>
      </c>
      <c r="AB27" s="8">
        <v>23</v>
      </c>
      <c r="AC27" s="8">
        <f t="shared" si="7"/>
        <v>0.33421432971954346</v>
      </c>
      <c r="AD27" s="8">
        <f t="shared" si="0"/>
        <v>1.060040561995379E-7</v>
      </c>
      <c r="AE27" s="8">
        <f t="shared" si="8"/>
        <v>0.33421444892883301</v>
      </c>
      <c r="AF27" s="8">
        <f t="shared" si="1"/>
        <v>-1.9268410700323813E-8</v>
      </c>
      <c r="AG27" s="8">
        <f t="shared" si="3"/>
        <v>0.33421438932418823</v>
      </c>
      <c r="AH27" s="8">
        <f t="shared" si="2"/>
        <v>4.3367822222251107E-8</v>
      </c>
      <c r="AI27" s="8">
        <f t="shared" si="4"/>
        <v>4.5971650640990749E-15</v>
      </c>
      <c r="AJ27" s="8">
        <f t="shared" si="5"/>
        <v>-8.356290097569641E-16</v>
      </c>
      <c r="AK27" s="8">
        <f t="shared" si="6"/>
        <v>1.1920928955078125E-7</v>
      </c>
      <c r="AM27" s="8">
        <v>23</v>
      </c>
      <c r="AN27" s="8">
        <f t="shared" si="13"/>
        <v>1329.7452926635742</v>
      </c>
      <c r="AO27" s="8">
        <v>-9.7239133879156725E-5</v>
      </c>
      <c r="AP27" s="8">
        <f t="shared" si="14"/>
        <v>1329.7457695007324</v>
      </c>
      <c r="AQ27" s="8">
        <v>1.0908806711995567E-4</v>
      </c>
      <c r="AR27" s="8">
        <f t="shared" si="9"/>
        <v>1329.7455310821533</v>
      </c>
      <c r="AS27" s="8">
        <v>5.9054390249002608E-6</v>
      </c>
      <c r="AT27" s="8">
        <f t="shared" si="10"/>
        <v>-5.7423977595747325E-10</v>
      </c>
      <c r="AU27" s="8">
        <f t="shared" si="11"/>
        <v>6.4421292872112523E-10</v>
      </c>
      <c r="AV27" s="8">
        <f t="shared" si="12"/>
        <v>4.76837158203125E-4</v>
      </c>
    </row>
    <row r="28" spans="2:48" x14ac:dyDescent="0.2">
      <c r="B28" t="s">
        <v>145</v>
      </c>
      <c r="C28" s="1">
        <v>1</v>
      </c>
      <c r="F28" s="4" t="s">
        <v>121</v>
      </c>
      <c r="G28">
        <f xml:space="preserve"> ($C$18-G17-G37)/$C$12</f>
        <v>1600.2478630521136</v>
      </c>
      <c r="H28" t="s">
        <v>22</v>
      </c>
      <c r="J28" s="15" t="s">
        <v>89</v>
      </c>
      <c r="K28">
        <f xml:space="preserve"> $C$69 * (11.5 * ($C$5*2.20462/1000)^0.4 * 0.453592)</f>
        <v>6.416439812541693</v>
      </c>
      <c r="L28" t="s">
        <v>12</v>
      </c>
      <c r="N28" t="s">
        <v>49</v>
      </c>
      <c r="O28">
        <f xml:space="preserve"> 1/$C$31 - O25 * SQRT( (2*$C$65*PI()*$C$8^2) / O20^3 )</f>
        <v>1.222869929279621</v>
      </c>
      <c r="R28" t="s">
        <v>49</v>
      </c>
      <c r="S28">
        <f xml:space="preserve"> 1/$C$31 - S25 * SQRT( (2*$C$65*PI()*$C$8^2) / S20^3 )</f>
        <v>1.1083356607137347</v>
      </c>
      <c r="V28" t="s">
        <v>49</v>
      </c>
      <c r="W28">
        <f xml:space="preserve"> 1/$C$31 - W25 * SQRT( (2*$C$65*PI()*$C$8^2) / W20^3 )</f>
        <v>0.88876688102475687</v>
      </c>
      <c r="AB28" s="8">
        <v>24</v>
      </c>
      <c r="AC28" s="8">
        <f t="shared" si="7"/>
        <v>0.33421438932418823</v>
      </c>
      <c r="AD28" s="8">
        <f t="shared" si="0"/>
        <v>4.3367822222251107E-8</v>
      </c>
      <c r="AE28" s="8">
        <f t="shared" si="8"/>
        <v>0.33421444892883301</v>
      </c>
      <c r="AF28" s="8">
        <f t="shared" si="1"/>
        <v>-1.9268410700323813E-8</v>
      </c>
      <c r="AG28" s="8">
        <f t="shared" si="3"/>
        <v>0.33421441912651062</v>
      </c>
      <c r="AH28" s="8">
        <f t="shared" si="2"/>
        <v>1.2049705622185769E-8</v>
      </c>
      <c r="AI28" s="8">
        <f t="shared" si="4"/>
        <v>5.2256949125341204E-16</v>
      </c>
      <c r="AJ28" s="8">
        <f t="shared" si="5"/>
        <v>-2.3217867674627629E-16</v>
      </c>
      <c r="AK28" s="8">
        <f t="shared" si="6"/>
        <v>5.9604644775390625E-8</v>
      </c>
      <c r="AM28" s="8">
        <v>24</v>
      </c>
      <c r="AN28" s="8">
        <f t="shared" si="13"/>
        <v>1329.7452926635742</v>
      </c>
      <c r="AO28" s="8">
        <v>-9.7239133879156725E-5</v>
      </c>
      <c r="AP28" s="8">
        <f t="shared" si="14"/>
        <v>1329.7455310821533</v>
      </c>
      <c r="AQ28" s="8">
        <v>5.9054390249002608E-6</v>
      </c>
      <c r="AR28" s="8">
        <f t="shared" si="9"/>
        <v>1329.7454118728638</v>
      </c>
      <c r="AS28" s="8">
        <v>-4.5666846858694043E-5</v>
      </c>
      <c r="AT28" s="8">
        <f t="shared" si="10"/>
        <v>4.4406046355314981E-9</v>
      </c>
      <c r="AU28" s="8">
        <f t="shared" si="11"/>
        <v>-2.6968277958347571E-10</v>
      </c>
      <c r="AV28" s="8">
        <f t="shared" si="12"/>
        <v>2.384185791015625E-4</v>
      </c>
    </row>
    <row r="29" spans="2:48" x14ac:dyDescent="0.2">
      <c r="B29" t="s">
        <v>183</v>
      </c>
      <c r="C29" s="1">
        <v>4</v>
      </c>
      <c r="F29" t="s">
        <v>220</v>
      </c>
      <c r="G29">
        <f>S21*$C$8</f>
        <v>157.07963267948966</v>
      </c>
      <c r="H29" t="s">
        <v>16</v>
      </c>
      <c r="J29" s="15" t="s">
        <v>90</v>
      </c>
      <c r="K29">
        <f xml:space="preserve"> $C$69 * (8 * ($C$5/1000))</f>
        <v>8.5103713129763499</v>
      </c>
      <c r="L29" t="s">
        <v>12</v>
      </c>
      <c r="N29" t="s">
        <v>50</v>
      </c>
      <c r="O29" s="1">
        <v>1.1499999999999999</v>
      </c>
      <c r="R29" t="s">
        <v>50</v>
      </c>
      <c r="S29" s="1">
        <v>1.1499999999999999</v>
      </c>
      <c r="V29" t="s">
        <v>50</v>
      </c>
      <c r="W29" s="1">
        <v>1.1499999999999999</v>
      </c>
      <c r="AB29" s="8">
        <v>25</v>
      </c>
      <c r="AC29" s="8">
        <f t="shared" si="7"/>
        <v>0.33421441912651062</v>
      </c>
      <c r="AD29" s="8">
        <f t="shared" si="0"/>
        <v>1.2049705622185769E-8</v>
      </c>
      <c r="AE29" s="8">
        <f t="shared" si="8"/>
        <v>0.33421444892883301</v>
      </c>
      <c r="AF29" s="8">
        <f t="shared" si="1"/>
        <v>-1.9268410700323813E-8</v>
      </c>
      <c r="AG29" s="8">
        <f t="shared" si="3"/>
        <v>0.33421443402767181</v>
      </c>
      <c r="AH29" s="8">
        <f t="shared" si="2"/>
        <v>-3.609352594580173E-9</v>
      </c>
      <c r="AI29" s="8">
        <f t="shared" si="4"/>
        <v>-4.3491636251363503E-17</v>
      </c>
      <c r="AJ29" s="8">
        <f t="shared" si="5"/>
        <v>6.9546488154650121E-17</v>
      </c>
      <c r="AK29" s="8">
        <f t="shared" si="6"/>
        <v>2.9802322387695312E-8</v>
      </c>
      <c r="AM29" s="8">
        <v>25</v>
      </c>
      <c r="AN29" s="8">
        <f t="shared" si="13"/>
        <v>1329.7454118728638</v>
      </c>
      <c r="AO29" s="8">
        <v>-4.5666846858694043E-5</v>
      </c>
      <c r="AP29" s="8">
        <f t="shared" si="14"/>
        <v>1329.7455310821533</v>
      </c>
      <c r="AQ29" s="8">
        <v>5.9054390249002608E-6</v>
      </c>
      <c r="AR29" s="8">
        <f t="shared" si="9"/>
        <v>1329.7454714775085</v>
      </c>
      <c r="AS29" s="8">
        <v>-1.9620152215793496E-5</v>
      </c>
      <c r="AT29" s="8">
        <f t="shared" si="10"/>
        <v>8.9599048658290824E-10</v>
      </c>
      <c r="AU29" s="8">
        <f t="shared" si="11"/>
        <v>-1.1586561256963024E-10</v>
      </c>
      <c r="AV29" s="8">
        <f t="shared" si="12"/>
        <v>1.1920928955078125E-4</v>
      </c>
    </row>
    <row r="30" spans="2:48" x14ac:dyDescent="0.2">
      <c r="B30" t="s">
        <v>151</v>
      </c>
      <c r="C30">
        <f>$C$29*$C$9/(PI()*$C$8)</f>
        <v>0.12999775751746012</v>
      </c>
      <c r="F30" s="20" t="s">
        <v>221</v>
      </c>
      <c r="G30">
        <f>G29/$C$66</f>
        <v>0.46143434115755327</v>
      </c>
      <c r="H30" t="s">
        <v>215</v>
      </c>
      <c r="J30" s="15" t="s">
        <v>91</v>
      </c>
      <c r="K30">
        <f xml:space="preserve"> $C$69 * (13 * ($C$5*2.20462/1000)^1.3 * 0.453592)</f>
        <v>19.095528690606681</v>
      </c>
      <c r="L30" t="s">
        <v>12</v>
      </c>
      <c r="N30" t="s">
        <v>51</v>
      </c>
      <c r="O30">
        <f xml:space="preserve"> 1/$C$72 * LN( EXP($C$72 * O28) + EXP($C$72 * O29) )</f>
        <v>1.2264192217217418</v>
      </c>
      <c r="R30" t="s">
        <v>51</v>
      </c>
      <c r="S30">
        <f xml:space="preserve"> 1/$C$72 * LN( EXP($C$72 * S28) + EXP($C$72 * S29) )</f>
        <v>1.1583981543668493</v>
      </c>
      <c r="V30" t="s">
        <v>51</v>
      </c>
      <c r="W30">
        <f xml:space="preserve"> 1/$C$72 * LN( EXP($C$72 * W28) + EXP($C$72 * W29) )</f>
        <v>1.1500131592141931</v>
      </c>
      <c r="AB30" s="8">
        <v>26</v>
      </c>
      <c r="AC30" s="8">
        <f>IF(AI29&gt;0, AG29, AC29)</f>
        <v>0.33421441912651062</v>
      </c>
      <c r="AD30" s="8">
        <f t="shared" si="0"/>
        <v>1.2049705622185769E-8</v>
      </c>
      <c r="AE30" s="8">
        <f t="shared" si="8"/>
        <v>0.33421443402767181</v>
      </c>
      <c r="AF30" s="8">
        <f t="shared" si="1"/>
        <v>-3.609352594580173E-9</v>
      </c>
      <c r="AG30" s="8">
        <f t="shared" si="3"/>
        <v>0.33421442657709122</v>
      </c>
      <c r="AH30" s="8">
        <f t="shared" si="2"/>
        <v>4.2201765415583736E-9</v>
      </c>
      <c r="AI30" s="8">
        <f t="shared" si="4"/>
        <v>5.0851884999432429E-17</v>
      </c>
      <c r="AJ30" s="8">
        <f t="shared" si="5"/>
        <v>-1.5232105149860097E-17</v>
      </c>
      <c r="AK30" s="8">
        <f t="shared" si="6"/>
        <v>1.4901161193847656E-8</v>
      </c>
      <c r="AM30" s="8">
        <v>26</v>
      </c>
      <c r="AN30" s="8">
        <f t="shared" si="13"/>
        <v>1329.7454714775085</v>
      </c>
      <c r="AO30" s="8">
        <v>-1.9620152215793496E-5</v>
      </c>
      <c r="AP30" s="8">
        <f t="shared" si="14"/>
        <v>1329.7455310821533</v>
      </c>
      <c r="AQ30" s="8">
        <v>5.9054390249002608E-6</v>
      </c>
      <c r="AR30" s="8">
        <f t="shared" si="9"/>
        <v>1329.7455012798309</v>
      </c>
      <c r="AS30" s="8">
        <v>-6.9973847303117509E-6</v>
      </c>
      <c r="AT30" s="8">
        <f t="shared" si="10"/>
        <v>1.3728975352118567E-10</v>
      </c>
      <c r="AU30" s="8">
        <f t="shared" si="11"/>
        <v>-4.1322628858624201E-11</v>
      </c>
      <c r="AV30" s="8">
        <f t="shared" si="12"/>
        <v>5.9604644775390625E-5</v>
      </c>
    </row>
    <row r="31" spans="2:48" x14ac:dyDescent="0.2">
      <c r="B31" t="s">
        <v>213</v>
      </c>
      <c r="C31" s="1">
        <v>0.75</v>
      </c>
      <c r="J31" s="3" t="s">
        <v>78</v>
      </c>
      <c r="K31" s="3">
        <f>$C$5 - $C$17 - SUM(K17:K30)</f>
        <v>-3.3344349503749982E-10</v>
      </c>
      <c r="L31" s="3" t="s">
        <v>12</v>
      </c>
      <c r="AB31" s="8">
        <v>27</v>
      </c>
      <c r="AC31" s="8">
        <f t="shared" si="7"/>
        <v>0.33421442657709122</v>
      </c>
      <c r="AD31" s="8">
        <f t="shared" si="0"/>
        <v>4.2201765415583736E-9</v>
      </c>
      <c r="AE31" s="8">
        <f t="shared" si="8"/>
        <v>0.33421443402767181</v>
      </c>
      <c r="AF31" s="8">
        <f t="shared" si="1"/>
        <v>-3.609352594580173E-9</v>
      </c>
      <c r="AG31" s="8">
        <f t="shared" si="3"/>
        <v>0.33421443030238152</v>
      </c>
      <c r="AH31" s="8">
        <f t="shared" si="2"/>
        <v>3.0541197348910032E-10</v>
      </c>
      <c r="AI31" s="8">
        <f t="shared" si="4"/>
        <v>1.2888924460297491E-18</v>
      </c>
      <c r="AJ31" s="8">
        <f t="shared" si="5"/>
        <v>-1.1023394989287352E-18</v>
      </c>
      <c r="AK31" s="8">
        <f t="shared" si="6"/>
        <v>7.4505805969238281E-9</v>
      </c>
      <c r="AM31" s="8">
        <v>27</v>
      </c>
      <c r="AN31" s="8">
        <f t="shared" si="13"/>
        <v>1329.7455012798309</v>
      </c>
      <c r="AO31" s="8">
        <v>-6.9973847303117509E-6</v>
      </c>
      <c r="AP31" s="8">
        <f t="shared" si="14"/>
        <v>1329.7455310821533</v>
      </c>
      <c r="AQ31" s="8">
        <v>5.9054390249002608E-6</v>
      </c>
      <c r="AR31" s="8">
        <f t="shared" si="9"/>
        <v>1329.7455161809921</v>
      </c>
      <c r="AS31" s="8">
        <v>-6.4746473071863875E-7</v>
      </c>
      <c r="AT31" s="8">
        <f t="shared" si="10"/>
        <v>4.5305598201460124E-12</v>
      </c>
      <c r="AU31" s="8">
        <f t="shared" si="11"/>
        <v>-3.823563488032388E-12</v>
      </c>
      <c r="AV31" s="8">
        <f t="shared" si="12"/>
        <v>2.9802322387695312E-5</v>
      </c>
    </row>
    <row r="32" spans="2:48" x14ac:dyDescent="0.2">
      <c r="B32" t="s">
        <v>185</v>
      </c>
      <c r="C32" s="1">
        <v>0.14399999999999999</v>
      </c>
      <c r="F32" s="63" t="s">
        <v>131</v>
      </c>
      <c r="G32" s="64"/>
      <c r="H32" s="64"/>
      <c r="J32" t="s">
        <v>79</v>
      </c>
      <c r="K32" s="10" t="str">
        <f>IF(ABS(K31)&lt;0.00001, "TRUE", "FALSE")</f>
        <v>TRUE</v>
      </c>
      <c r="AB32" s="8">
        <v>28</v>
      </c>
      <c r="AC32" s="8">
        <f t="shared" si="7"/>
        <v>0.33421443030238152</v>
      </c>
      <c r="AD32" s="8">
        <f t="shared" si="0"/>
        <v>3.0541197348910032E-10</v>
      </c>
      <c r="AE32" s="8">
        <f t="shared" si="8"/>
        <v>0.33421443402767181</v>
      </c>
      <c r="AF32" s="8">
        <f t="shared" si="1"/>
        <v>-3.609352594580173E-9</v>
      </c>
      <c r="AG32" s="8">
        <f t="shared" si="3"/>
        <v>0.33421443216502666</v>
      </c>
      <c r="AH32" s="8">
        <f t="shared" si="2"/>
        <v>-1.6519702827899607E-9</v>
      </c>
      <c r="AI32" s="8">
        <f t="shared" si="4"/>
        <v>-5.0453150421222904E-19</v>
      </c>
      <c r="AJ32" s="8">
        <f t="shared" si="5"/>
        <v>5.9625432263572868E-18</v>
      </c>
      <c r="AK32" s="8">
        <f t="shared" si="6"/>
        <v>3.7252902984619141E-9</v>
      </c>
      <c r="AM32" s="8">
        <v>28</v>
      </c>
      <c r="AN32" s="8">
        <f t="shared" si="13"/>
        <v>1329.7455161809921</v>
      </c>
      <c r="AO32" s="8">
        <v>-6.4746473071863875E-7</v>
      </c>
      <c r="AP32" s="8">
        <f t="shared" si="14"/>
        <v>1329.7455310821533</v>
      </c>
      <c r="AQ32" s="8">
        <v>5.9054390249002608E-6</v>
      </c>
      <c r="AR32" s="8">
        <f t="shared" si="9"/>
        <v>1329.7455236315727</v>
      </c>
      <c r="AS32" s="8">
        <v>2.6289873176210676E-6</v>
      </c>
      <c r="AT32" s="8">
        <f t="shared" si="10"/>
        <v>-1.702176565666241E-12</v>
      </c>
      <c r="AU32" s="8">
        <f t="shared" si="11"/>
        <v>1.552532430144731E-11</v>
      </c>
      <c r="AV32" s="8">
        <f t="shared" si="12"/>
        <v>1.4901161193847656E-5</v>
      </c>
    </row>
    <row r="33" spans="2:48" x14ac:dyDescent="0.2">
      <c r="F33" s="4" t="s">
        <v>154</v>
      </c>
      <c r="G33" s="1">
        <f>$C$12</f>
        <v>50</v>
      </c>
      <c r="H33" t="s">
        <v>16</v>
      </c>
      <c r="AB33" s="8">
        <v>29</v>
      </c>
      <c r="AC33" s="8">
        <f t="shared" si="7"/>
        <v>0.33421443030238152</v>
      </c>
      <c r="AD33" s="8">
        <f t="shared" si="0"/>
        <v>3.0541197348910032E-10</v>
      </c>
      <c r="AE33" s="8">
        <f t="shared" si="8"/>
        <v>0.33421443216502666</v>
      </c>
      <c r="AF33" s="8">
        <f t="shared" si="1"/>
        <v>-1.6519702827899607E-9</v>
      </c>
      <c r="AG33" s="8">
        <f t="shared" si="3"/>
        <v>0.33421443123370409</v>
      </c>
      <c r="AH33" s="8">
        <f t="shared" si="2"/>
        <v>-6.732791546504302E-10</v>
      </c>
      <c r="AI33" s="8">
        <f t="shared" si="4"/>
        <v>-2.0562751533086106E-19</v>
      </c>
      <c r="AJ33" s="8">
        <f t="shared" si="5"/>
        <v>1.1122371555044569E-18</v>
      </c>
      <c r="AK33" s="8">
        <f t="shared" si="6"/>
        <v>1.862645149230957E-9</v>
      </c>
      <c r="AM33" s="8">
        <v>29</v>
      </c>
      <c r="AN33" s="8">
        <f t="shared" si="13"/>
        <v>1329.7455161809921</v>
      </c>
      <c r="AO33" s="8">
        <v>-6.4746473071863875E-7</v>
      </c>
      <c r="AP33" s="8">
        <f t="shared" si="14"/>
        <v>1329.7455236315727</v>
      </c>
      <c r="AQ33" s="8">
        <v>2.6289873176210676E-6</v>
      </c>
      <c r="AR33" s="8">
        <f t="shared" si="9"/>
        <v>1329.7455199062824</v>
      </c>
      <c r="AS33" s="8">
        <v>9.9076112292095786E-7</v>
      </c>
      <c r="AT33" s="8">
        <f t="shared" si="10"/>
        <v>-6.4148288365851412E-13</v>
      </c>
      <c r="AU33" s="8">
        <f t="shared" si="11"/>
        <v>2.6046984269512059E-12</v>
      </c>
      <c r="AV33" s="8">
        <f t="shared" si="12"/>
        <v>7.4505805969238281E-6</v>
      </c>
    </row>
    <row r="34" spans="2:48" x14ac:dyDescent="0.2">
      <c r="B34" s="61" t="s">
        <v>165</v>
      </c>
      <c r="C34" s="61"/>
      <c r="D34" s="61"/>
      <c r="F34" t="s">
        <v>126</v>
      </c>
      <c r="G34" s="1">
        <v>1.524</v>
      </c>
      <c r="H34" t="s">
        <v>16</v>
      </c>
      <c r="J34" s="2" t="s">
        <v>80</v>
      </c>
      <c r="K34" s="2"/>
      <c r="L34" s="2"/>
      <c r="AB34" s="8">
        <v>30</v>
      </c>
      <c r="AC34" s="8">
        <f t="shared" si="7"/>
        <v>0.33421443030238152</v>
      </c>
      <c r="AD34" s="8">
        <f t="shared" si="0"/>
        <v>3.0541197348910032E-10</v>
      </c>
      <c r="AE34" s="8">
        <f t="shared" si="8"/>
        <v>0.33421443123370409</v>
      </c>
      <c r="AF34" s="8">
        <f t="shared" si="1"/>
        <v>-6.732791546504302E-10</v>
      </c>
      <c r="AG34" s="8">
        <f t="shared" si="3"/>
        <v>0.3342144307680428</v>
      </c>
      <c r="AH34" s="8">
        <f t="shared" si="2"/>
        <v>-1.8393359058066494E-10</v>
      </c>
      <c r="AI34" s="8">
        <f t="shared" si="4"/>
        <v>-5.6175520890177073E-20</v>
      </c>
      <c r="AJ34" s="8">
        <f t="shared" si="5"/>
        <v>1.2383865237796842E-19</v>
      </c>
      <c r="AK34" s="8">
        <f t="shared" si="6"/>
        <v>9.3132257461547852E-10</v>
      </c>
      <c r="AM34" s="8">
        <v>30</v>
      </c>
      <c r="AN34" s="8">
        <f t="shared" si="13"/>
        <v>1329.7455161809921</v>
      </c>
      <c r="AO34" s="8">
        <v>-6.4746473071863875E-7</v>
      </c>
      <c r="AP34" s="8">
        <f t="shared" si="14"/>
        <v>1329.7455199062824</v>
      </c>
      <c r="AQ34" s="8">
        <v>9.9076112292095786E-7</v>
      </c>
      <c r="AR34" s="8">
        <f t="shared" si="9"/>
        <v>1329.7455180436373</v>
      </c>
      <c r="AS34" s="8">
        <v>1.7164825294457842E-7</v>
      </c>
      <c r="AT34" s="8">
        <f t="shared" si="10"/>
        <v>-1.1113618987108626E-13</v>
      </c>
      <c r="AU34" s="8">
        <f t="shared" si="11"/>
        <v>1.7006241583479112E-13</v>
      </c>
      <c r="AV34" s="8">
        <f t="shared" si="12"/>
        <v>3.7252902984619141E-6</v>
      </c>
    </row>
    <row r="35" spans="2:48" x14ac:dyDescent="0.2">
      <c r="B35" t="s">
        <v>166</v>
      </c>
      <c r="C35" s="1">
        <v>4</v>
      </c>
      <c r="F35" t="s">
        <v>125</v>
      </c>
      <c r="G35" s="1">
        <v>304.8</v>
      </c>
      <c r="H35" t="s">
        <v>14</v>
      </c>
      <c r="J35" t="s">
        <v>81</v>
      </c>
      <c r="K35">
        <f>ROUND($C$17/$C$5 * 100, 2)</f>
        <v>30.08</v>
      </c>
      <c r="L35" t="s">
        <v>82</v>
      </c>
      <c r="AM35" s="8">
        <v>31</v>
      </c>
      <c r="AN35" s="8">
        <f t="shared" si="13"/>
        <v>1329.7455161809921</v>
      </c>
      <c r="AO35">
        <v>-6.4746473071863875E-7</v>
      </c>
      <c r="AP35" s="8">
        <f t="shared" si="14"/>
        <v>1329.7455180436373</v>
      </c>
      <c r="AQ35">
        <v>1.7164825294457842E-7</v>
      </c>
      <c r="AR35" s="8">
        <f t="shared" si="9"/>
        <v>1329.7455171123147</v>
      </c>
      <c r="AS35">
        <v>-2.3790857994754333E-7</v>
      </c>
      <c r="AT35" s="8">
        <f t="shared" si="10"/>
        <v>1.5403741465138988E-13</v>
      </c>
      <c r="AU35" s="8">
        <f t="shared" si="11"/>
        <v>-4.0836592108521374E-14</v>
      </c>
      <c r="AV35" s="8">
        <f t="shared" si="12"/>
        <v>1.862645149230957E-6</v>
      </c>
    </row>
    <row r="36" spans="2:48" x14ac:dyDescent="0.2">
      <c r="B36" t="s">
        <v>167</v>
      </c>
      <c r="C36" s="1">
        <v>9</v>
      </c>
      <c r="D36" t="s">
        <v>14</v>
      </c>
      <c r="F36" t="s">
        <v>127</v>
      </c>
      <c r="G36">
        <f>SQRT($G$33^2-$G$34^2)</f>
        <v>49.976768843133506</v>
      </c>
      <c r="H36" t="s">
        <v>16</v>
      </c>
      <c r="J36" s="16" t="s">
        <v>74</v>
      </c>
      <c r="K36">
        <f>ROUND(K17/$C$5 * 100, 2)</f>
        <v>19.48</v>
      </c>
      <c r="L36" t="s">
        <v>82</v>
      </c>
      <c r="V36" s="20"/>
      <c r="W36" s="20"/>
      <c r="X36" s="20"/>
      <c r="AM36" s="8">
        <v>32</v>
      </c>
      <c r="AN36" s="8">
        <f t="shared" si="13"/>
        <v>1329.7455171123147</v>
      </c>
      <c r="AO36">
        <v>-2.3790857994754333E-7</v>
      </c>
      <c r="AP36" s="8">
        <f t="shared" si="14"/>
        <v>1329.7455180436373</v>
      </c>
      <c r="AQ36">
        <v>1.7164825294457842E-7</v>
      </c>
      <c r="AR36" s="8">
        <f t="shared" si="9"/>
        <v>1329.745517577976</v>
      </c>
      <c r="AS36">
        <v>-3.3130049814644735E-8</v>
      </c>
      <c r="AT36" s="8">
        <f t="shared" si="10"/>
        <v>7.8819231049935001E-15</v>
      </c>
      <c r="AU36" s="8">
        <f t="shared" si="11"/>
        <v>-5.6867151706506228E-15</v>
      </c>
      <c r="AV36" s="8">
        <f t="shared" si="12"/>
        <v>9.3132257461547852E-7</v>
      </c>
    </row>
    <row r="37" spans="2:48" x14ac:dyDescent="0.2">
      <c r="B37" t="s">
        <v>168</v>
      </c>
      <c r="C37" s="1">
        <v>1.8</v>
      </c>
      <c r="D37" t="s">
        <v>14</v>
      </c>
      <c r="F37" t="s">
        <v>128</v>
      </c>
      <c r="G37">
        <f>$G$36 * ($G$35/$G$34)</f>
        <v>9995.3537686267009</v>
      </c>
      <c r="H37" t="s">
        <v>14</v>
      </c>
      <c r="J37" s="18" t="s">
        <v>108</v>
      </c>
      <c r="K37">
        <f>ROUND(SUM(K18:K20)/$C$5 * 100, 2)</f>
        <v>18.54</v>
      </c>
      <c r="L37" t="s">
        <v>82</v>
      </c>
      <c r="V37" s="20"/>
      <c r="W37" s="20"/>
      <c r="X37" s="20"/>
      <c r="AB37" s="6" t="s">
        <v>142</v>
      </c>
      <c r="AM37" s="8">
        <v>33</v>
      </c>
      <c r="AN37" s="8">
        <f t="shared" si="13"/>
        <v>1329.745517577976</v>
      </c>
      <c r="AO37">
        <v>-3.3130049814644735E-8</v>
      </c>
      <c r="AP37" s="8">
        <f t="shared" si="14"/>
        <v>1329.7455180436373</v>
      </c>
      <c r="AQ37">
        <v>1.7164825294457842E-7</v>
      </c>
      <c r="AR37" s="8">
        <f t="shared" si="9"/>
        <v>1329.7455178108066</v>
      </c>
      <c r="AS37">
        <v>6.9258931034710258E-8</v>
      </c>
      <c r="AT37" s="8">
        <f t="shared" si="10"/>
        <v>-2.2945518352889951E-15</v>
      </c>
      <c r="AU37" s="8">
        <f t="shared" si="11"/>
        <v>1.1888174512917059E-14</v>
      </c>
      <c r="AV37" s="8">
        <f t="shared" si="12"/>
        <v>4.6566128730773926E-7</v>
      </c>
    </row>
    <row r="38" spans="2:48" x14ac:dyDescent="0.2">
      <c r="F38" t="s">
        <v>152</v>
      </c>
      <c r="G38">
        <f>ATAN(G34/G36)/PI()*180</f>
        <v>1.7466458786346903</v>
      </c>
      <c r="H38" t="s">
        <v>62</v>
      </c>
      <c r="J38" s="17" t="s">
        <v>95</v>
      </c>
      <c r="K38">
        <f>ROUND(SUM(K21:K26)/$C$5 * 100, 2)</f>
        <v>27.2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1329.745517577976</v>
      </c>
      <c r="AO38">
        <v>-3.3130049814644735E-8</v>
      </c>
      <c r="AP38" s="8">
        <f t="shared" si="14"/>
        <v>1329.7455178108066</v>
      </c>
      <c r="AQ38">
        <v>6.9258931034710258E-8</v>
      </c>
      <c r="AR38" s="8">
        <f t="shared" si="9"/>
        <v>1329.7455176943913</v>
      </c>
      <c r="AS38">
        <v>1.8064270079776179E-8</v>
      </c>
      <c r="AT38" s="8">
        <f t="shared" si="10"/>
        <v>-5.9847016760818124E-16</v>
      </c>
      <c r="AU38" s="8">
        <f t="shared" si="11"/>
        <v>1.2511120356475984E-15</v>
      </c>
      <c r="AV38" s="8">
        <f t="shared" si="12"/>
        <v>2.3283064365386963E-7</v>
      </c>
    </row>
    <row r="39" spans="2:48" x14ac:dyDescent="0.2">
      <c r="B39" s="61" t="s">
        <v>169</v>
      </c>
      <c r="C39" s="61"/>
      <c r="D39" s="61"/>
      <c r="F39" t="s">
        <v>143</v>
      </c>
      <c r="G39">
        <f>1/1000 * (W25 + W20 * (W30 * W27 + $G$33 * SIN(W19/180*PI())))</f>
        <v>38.786690450546942</v>
      </c>
      <c r="H39" t="s">
        <v>162</v>
      </c>
      <c r="J39" s="15" t="s">
        <v>96</v>
      </c>
      <c r="K39">
        <f>ROUND(SUM(K27:K30)/$C$5*100, 2)</f>
        <v>4.7</v>
      </c>
      <c r="L39" t="s">
        <v>82</v>
      </c>
      <c r="AB39" s="8">
        <v>0</v>
      </c>
      <c r="AC39" s="9">
        <v>0</v>
      </c>
      <c r="AD39" s="8">
        <f t="shared" ref="AD39:AD69" si="15" xml:space="preserve"> $O$22 * TAN($O$19/180*PI()) + $O$23 / (2 * SQRT($O$22^2 + AC39^2)) - AC39</f>
        <v>0.64955959256569629</v>
      </c>
      <c r="AE39" s="9">
        <v>1</v>
      </c>
      <c r="AF39" s="8">
        <f t="shared" ref="AF39:AF69" si="16" xml:space="preserve"> $O$22 * TAN($O$19/180*PI()) + $O$23 / (2 * SQRT($O$22^2 + AE39^2)) - AE39</f>
        <v>-0.67368161634555701</v>
      </c>
      <c r="AG39" s="8">
        <f xml:space="preserve"> (AC39 + AE39)/2</f>
        <v>0.5</v>
      </c>
      <c r="AH39" s="8">
        <f t="shared" ref="AH39:AH69" si="17" xml:space="preserve"> $O$22 * TAN($O$19/180*PI()) + $O$23 / (2 * SQRT($O$22^2 + AG39^2)) - AG39</f>
        <v>-0.16448308847073406</v>
      </c>
      <c r="AI39" s="8">
        <f>AD39*AH39</f>
        <v>-0.10684156793099739</v>
      </c>
      <c r="AJ39" s="8">
        <f>AF39*AH39</f>
        <v>0.11080923290247338</v>
      </c>
      <c r="AK39" s="8">
        <f>AE39-AC39</f>
        <v>1</v>
      </c>
      <c r="AM39" s="8">
        <v>35</v>
      </c>
      <c r="AN39" s="8">
        <f t="shared" si="13"/>
        <v>1329.745517577976</v>
      </c>
      <c r="AO39">
        <v>-3.3130049814644735E-8</v>
      </c>
      <c r="AP39" s="8">
        <f t="shared" si="14"/>
        <v>1329.7455176943913</v>
      </c>
      <c r="AQ39">
        <v>1.8064270079776179E-8</v>
      </c>
      <c r="AR39" s="8">
        <f t="shared" si="9"/>
        <v>1329.7455176361836</v>
      </c>
      <c r="AS39">
        <v>-7.5327761805965565E-9</v>
      </c>
      <c r="AT39" s="8">
        <f t="shared" si="10"/>
        <v>2.4956125010573322E-16</v>
      </c>
      <c r="AU39" s="8">
        <f t="shared" si="11"/>
        <v>-1.3607410337680106E-16</v>
      </c>
      <c r="AV39" s="8">
        <f t="shared" si="12"/>
        <v>1.1641532182693481E-7</v>
      </c>
    </row>
    <row r="40" spans="2:48" x14ac:dyDescent="0.2">
      <c r="B40" t="s">
        <v>170</v>
      </c>
      <c r="C40" s="1">
        <v>0.3</v>
      </c>
      <c r="D40" t="s">
        <v>14</v>
      </c>
      <c r="F40" t="s">
        <v>133</v>
      </c>
      <c r="G40">
        <f>$C$28*G39</f>
        <v>38.786690450546942</v>
      </c>
      <c r="H40" t="s">
        <v>162</v>
      </c>
      <c r="J40" s="3" t="s">
        <v>83</v>
      </c>
      <c r="K40" s="3">
        <f>SUM(K35:K39)</f>
        <v>100</v>
      </c>
      <c r="L40" s="3" t="s">
        <v>82</v>
      </c>
      <c r="AB40" s="8">
        <v>1</v>
      </c>
      <c r="AC40" s="8">
        <f>IF(AI39&gt;0, AG39, AC39)</f>
        <v>0</v>
      </c>
      <c r="AD40" s="8">
        <f t="shared" si="15"/>
        <v>0.64955959256569629</v>
      </c>
      <c r="AE40" s="8">
        <f>IF(AJ39&gt;0, AG39, AE39)</f>
        <v>0.5</v>
      </c>
      <c r="AF40" s="8">
        <f t="shared" si="16"/>
        <v>-0.16448308847073406</v>
      </c>
      <c r="AG40" s="8">
        <f t="shared" ref="AG40:AG69" si="18" xml:space="preserve"> (AC40 + AE40)/2</f>
        <v>0.25</v>
      </c>
      <c r="AH40" s="8">
        <f t="shared" si="17"/>
        <v>0.1037667790897065</v>
      </c>
      <c r="AI40" s="8">
        <f t="shared" ref="AI40:AI69" si="19">AD40*AH40</f>
        <v>6.7402706747364358E-2</v>
      </c>
      <c r="AJ40" s="8">
        <f t="shared" ref="AJ40:AJ69" si="20">AF40*AH40</f>
        <v>-1.706788030533531E-2</v>
      </c>
      <c r="AK40" s="8">
        <f t="shared" ref="AK40:AK69" si="21">AE40-AC40</f>
        <v>0.5</v>
      </c>
      <c r="AM40" s="8">
        <v>36</v>
      </c>
      <c r="AN40" s="8">
        <f t="shared" si="13"/>
        <v>1329.7455176361836</v>
      </c>
      <c r="AO40">
        <v>-7.5327761805965565E-9</v>
      </c>
      <c r="AP40" s="8">
        <f t="shared" si="14"/>
        <v>1329.7455176943913</v>
      </c>
      <c r="AQ40">
        <v>1.8064270079776179E-8</v>
      </c>
      <c r="AR40" s="8">
        <f t="shared" si="9"/>
        <v>1329.7455176652875</v>
      </c>
      <c r="AS40">
        <v>5.2658606364275329E-9</v>
      </c>
      <c r="AT40" s="8">
        <f t="shared" si="10"/>
        <v>-3.9666549572422343E-17</v>
      </c>
      <c r="AU40" s="8">
        <f t="shared" si="11"/>
        <v>9.512392873888903E-17</v>
      </c>
      <c r="AV40" s="8">
        <f t="shared" si="12"/>
        <v>5.8207660913467407E-8</v>
      </c>
    </row>
    <row r="41" spans="2:48" x14ac:dyDescent="0.2">
      <c r="B41" t="s">
        <v>171</v>
      </c>
      <c r="C41" s="1">
        <v>5.7</v>
      </c>
      <c r="F41" t="s">
        <v>132</v>
      </c>
      <c r="G41">
        <f>$G$35/$G$34</f>
        <v>200</v>
      </c>
      <c r="H41" t="s">
        <v>22</v>
      </c>
      <c r="AB41" s="8">
        <v>2</v>
      </c>
      <c r="AC41" s="8">
        <f t="shared" ref="AC41:AC69" si="22">IF(AI40&gt;0, AG40, AC40)</f>
        <v>0.25</v>
      </c>
      <c r="AD41" s="8">
        <f t="shared" si="15"/>
        <v>0.1037667790897065</v>
      </c>
      <c r="AE41" s="8">
        <f t="shared" ref="AE41:AE69" si="23">IF(AJ40&gt;0, AG40, AE40)</f>
        <v>0.5</v>
      </c>
      <c r="AF41" s="8">
        <f t="shared" si="16"/>
        <v>-0.16448308847073406</v>
      </c>
      <c r="AG41" s="8">
        <f t="shared" si="18"/>
        <v>0.375</v>
      </c>
      <c r="AH41" s="8">
        <f t="shared" si="17"/>
        <v>-3.337291692811456E-2</v>
      </c>
      <c r="AI41" s="8">
        <f t="shared" si="19"/>
        <v>-3.4630000984587897E-3</v>
      </c>
      <c r="AJ41" s="8">
        <f t="shared" si="20"/>
        <v>5.4892804476135253E-3</v>
      </c>
      <c r="AK41" s="8">
        <f t="shared" si="21"/>
        <v>0.25</v>
      </c>
      <c r="AM41" s="8">
        <v>37</v>
      </c>
      <c r="AN41" s="8">
        <f t="shared" si="13"/>
        <v>1329.7455176361836</v>
      </c>
      <c r="AO41">
        <v>-7.5327761805965565E-9</v>
      </c>
      <c r="AP41" s="8">
        <f t="shared" si="14"/>
        <v>1329.7455176652875</v>
      </c>
      <c r="AQ41">
        <v>5.2658606364275329E-9</v>
      </c>
      <c r="AR41" s="8">
        <f t="shared" si="9"/>
        <v>1329.7455176507356</v>
      </c>
      <c r="AS41">
        <v>-1.1335714589222334E-9</v>
      </c>
      <c r="AT41" s="8">
        <f t="shared" si="10"/>
        <v>8.5389400847734879E-18</v>
      </c>
      <c r="AU41" s="8">
        <f t="shared" si="11"/>
        <v>-5.9692293241163191E-18</v>
      </c>
      <c r="AV41" s="8">
        <f t="shared" si="12"/>
        <v>2.9103830456733704E-8</v>
      </c>
    </row>
    <row r="42" spans="2:48" x14ac:dyDescent="0.2">
      <c r="B42" s="20" t="s">
        <v>202</v>
      </c>
      <c r="C42" s="37" t="s">
        <v>203</v>
      </c>
      <c r="D42" s="20"/>
      <c r="F42" t="s">
        <v>220</v>
      </c>
      <c r="G42">
        <f>W21*$C$8</f>
        <v>157.07963267948966</v>
      </c>
      <c r="H42" t="s">
        <v>16</v>
      </c>
      <c r="J42" s="58" t="s">
        <v>188</v>
      </c>
      <c r="K42" s="58"/>
      <c r="L42" s="58"/>
      <c r="AB42" s="8">
        <v>3</v>
      </c>
      <c r="AC42" s="8">
        <f>IF(AI41&gt;0, AG41, AC41)</f>
        <v>0.25</v>
      </c>
      <c r="AD42" s="8">
        <f t="shared" si="15"/>
        <v>0.1037667790897065</v>
      </c>
      <c r="AE42" s="8">
        <f t="shared" si="23"/>
        <v>0.375</v>
      </c>
      <c r="AF42" s="8">
        <f t="shared" si="16"/>
        <v>-3.337291692811456E-2</v>
      </c>
      <c r="AG42" s="8">
        <f t="shared" si="18"/>
        <v>0.3125</v>
      </c>
      <c r="AH42" s="8">
        <f t="shared" si="17"/>
        <v>3.3997590757686547E-2</v>
      </c>
      <c r="AI42" s="8">
        <f t="shared" si="19"/>
        <v>3.5278204897351072E-3</v>
      </c>
      <c r="AJ42" s="8">
        <f t="shared" si="20"/>
        <v>-1.1345987721123085E-3</v>
      </c>
      <c r="AK42" s="8">
        <f t="shared" si="21"/>
        <v>0.125</v>
      </c>
      <c r="AM42" s="8">
        <v>38</v>
      </c>
      <c r="AN42" s="8">
        <f t="shared" si="13"/>
        <v>1329.7455176507356</v>
      </c>
      <c r="AO42">
        <v>-1.1335714589222334E-9</v>
      </c>
      <c r="AP42" s="8">
        <f t="shared" si="14"/>
        <v>1329.7455176652875</v>
      </c>
      <c r="AQ42">
        <v>5.2658606364275329E-9</v>
      </c>
      <c r="AR42" s="8">
        <f t="shared" si="9"/>
        <v>1329.7455176580115</v>
      </c>
      <c r="AS42">
        <v>2.0661445887526497E-9</v>
      </c>
      <c r="AT42" s="8">
        <f t="shared" si="10"/>
        <v>-2.3421225358166192E-18</v>
      </c>
      <c r="AU42" s="8">
        <f t="shared" si="11"/>
        <v>1.0880029459080331E-17</v>
      </c>
      <c r="AV42" s="8">
        <f t="shared" si="12"/>
        <v>1.4551915228366852E-8</v>
      </c>
    </row>
    <row r="43" spans="2:48" x14ac:dyDescent="0.2">
      <c r="B43" s="20" t="s">
        <v>204</v>
      </c>
      <c r="C43" s="20">
        <f>IF(C42="wheeled",0.0325,0.014)</f>
        <v>3.2500000000000001E-2</v>
      </c>
      <c r="D43" s="20"/>
      <c r="F43" s="20" t="s">
        <v>221</v>
      </c>
      <c r="G43">
        <f>G42/$C$66</f>
        <v>0.46143434115755327</v>
      </c>
      <c r="H43" t="s">
        <v>215</v>
      </c>
      <c r="J43" t="s">
        <v>81</v>
      </c>
      <c r="K43">
        <f>C17</f>
        <v>400</v>
      </c>
      <c r="L43" t="s">
        <v>12</v>
      </c>
      <c r="AB43" s="8">
        <v>4</v>
      </c>
      <c r="AC43" s="8">
        <f t="shared" si="22"/>
        <v>0.3125</v>
      </c>
      <c r="AD43" s="8">
        <f t="shared" si="15"/>
        <v>3.3997590757686547E-2</v>
      </c>
      <c r="AE43" s="8">
        <f t="shared" si="23"/>
        <v>0.375</v>
      </c>
      <c r="AF43" s="8">
        <f t="shared" si="16"/>
        <v>-3.337291692811456E-2</v>
      </c>
      <c r="AG43" s="8">
        <f t="shared" si="18"/>
        <v>0.34375</v>
      </c>
      <c r="AH43" s="8">
        <f t="shared" si="17"/>
        <v>9.3110982503696871E-5</v>
      </c>
      <c r="AI43" s="8">
        <f t="shared" si="19"/>
        <v>3.1655490782067984E-6</v>
      </c>
      <c r="AJ43" s="8">
        <f t="shared" si="20"/>
        <v>-3.107385084191004E-6</v>
      </c>
      <c r="AK43" s="8">
        <f t="shared" si="21"/>
        <v>6.25E-2</v>
      </c>
      <c r="AM43" s="8">
        <v>39</v>
      </c>
      <c r="AN43" s="8">
        <f t="shared" si="13"/>
        <v>1329.7455176507356</v>
      </c>
      <c r="AO43">
        <v>-1.1335714589222334E-9</v>
      </c>
      <c r="AP43" s="8">
        <f t="shared" si="14"/>
        <v>1329.7455176580115</v>
      </c>
      <c r="AQ43">
        <v>2.0661445887526497E-9</v>
      </c>
      <c r="AR43" s="8">
        <f t="shared" si="9"/>
        <v>1329.7455176543735</v>
      </c>
      <c r="AS43">
        <v>4.6622972149634734E-10</v>
      </c>
      <c r="AT43" s="8">
        <f t="shared" si="10"/>
        <v>-5.2850470558952103E-19</v>
      </c>
      <c r="AU43" s="8">
        <f t="shared" si="11"/>
        <v>9.6329801618533299E-19</v>
      </c>
      <c r="AV43" s="8">
        <f t="shared" si="12"/>
        <v>7.2759576141834259E-9</v>
      </c>
    </row>
    <row r="44" spans="2:48" x14ac:dyDescent="0.2">
      <c r="J44" s="16" t="s">
        <v>74</v>
      </c>
      <c r="K44">
        <f>ROUND(K17, 2)</f>
        <v>259.02</v>
      </c>
      <c r="L44" t="s">
        <v>12</v>
      </c>
      <c r="AB44" s="8">
        <v>5</v>
      </c>
      <c r="AC44" s="8">
        <f t="shared" si="22"/>
        <v>0.34375</v>
      </c>
      <c r="AD44" s="8">
        <f t="shared" si="15"/>
        <v>9.3110982503696871E-5</v>
      </c>
      <c r="AE44" s="8">
        <f t="shared" si="23"/>
        <v>0.375</v>
      </c>
      <c r="AF44" s="8">
        <f t="shared" si="16"/>
        <v>-3.337291692811456E-2</v>
      </c>
      <c r="AG44" s="8">
        <f t="shared" si="18"/>
        <v>0.359375</v>
      </c>
      <c r="AH44" s="8">
        <f t="shared" si="17"/>
        <v>-1.6687648877455774E-2</v>
      </c>
      <c r="AI44" s="8">
        <f t="shared" si="19"/>
        <v>-1.5538033826566213E-6</v>
      </c>
      <c r="AJ44" s="8">
        <f t="shared" si="20"/>
        <v>5.5691551971287577E-4</v>
      </c>
      <c r="AK44" s="8">
        <f t="shared" si="21"/>
        <v>3.125E-2</v>
      </c>
      <c r="AM44" s="8">
        <v>40</v>
      </c>
      <c r="AN44" s="8">
        <f t="shared" si="13"/>
        <v>1329.7455176507356</v>
      </c>
      <c r="AO44">
        <v>-1.1335714589222334E-9</v>
      </c>
      <c r="AP44" s="8">
        <f t="shared" si="14"/>
        <v>1329.7455176543735</v>
      </c>
      <c r="AQ44">
        <v>4.6622972149634734E-10</v>
      </c>
      <c r="AR44" s="11">
        <f t="shared" si="9"/>
        <v>1329.7455176525546</v>
      </c>
      <c r="AS44">
        <v>-3.3344349503749982E-10</v>
      </c>
      <c r="AT44" s="8">
        <f t="shared" si="10"/>
        <v>3.7798202913778717E-19</v>
      </c>
      <c r="AU44" s="8">
        <f t="shared" si="11"/>
        <v>-1.5546126782610221E-19</v>
      </c>
      <c r="AV44" s="8">
        <f t="shared" si="12"/>
        <v>3.637978807091713E-9</v>
      </c>
    </row>
    <row r="45" spans="2:48" x14ac:dyDescent="0.2">
      <c r="B45" s="61" t="s">
        <v>181</v>
      </c>
      <c r="C45" s="61"/>
      <c r="D45" s="61"/>
      <c r="F45" s="61" t="s">
        <v>111</v>
      </c>
      <c r="G45" s="61"/>
      <c r="H45" s="61"/>
      <c r="J45" s="18" t="s">
        <v>108</v>
      </c>
      <c r="K45">
        <f>ROUND(SUM(K18:K20), 2)</f>
        <v>246.52</v>
      </c>
      <c r="L45" t="s">
        <v>12</v>
      </c>
      <c r="AB45" s="8">
        <v>6</v>
      </c>
      <c r="AC45" s="8">
        <f t="shared" si="22"/>
        <v>0.34375</v>
      </c>
      <c r="AD45" s="8">
        <f t="shared" si="15"/>
        <v>9.3110982503696871E-5</v>
      </c>
      <c r="AE45" s="8">
        <f t="shared" si="23"/>
        <v>0.359375</v>
      </c>
      <c r="AF45" s="8">
        <f t="shared" si="16"/>
        <v>-1.6687648877455774E-2</v>
      </c>
      <c r="AG45" s="8">
        <f t="shared" si="18"/>
        <v>0.3515625</v>
      </c>
      <c r="AH45" s="8">
        <f t="shared" si="17"/>
        <v>-8.30999147624506E-3</v>
      </c>
      <c r="AI45" s="8">
        <f t="shared" si="19"/>
        <v>-7.737514709505239E-7</v>
      </c>
      <c r="AJ45" s="8">
        <f t="shared" si="20"/>
        <v>1.3867421993022793E-4</v>
      </c>
      <c r="AK45" s="8">
        <f t="shared" si="21"/>
        <v>1.5625E-2</v>
      </c>
    </row>
    <row r="46" spans="2:48" x14ac:dyDescent="0.2">
      <c r="B46" t="s">
        <v>171</v>
      </c>
      <c r="C46" s="1">
        <v>3</v>
      </c>
      <c r="F46" t="s">
        <v>117</v>
      </c>
      <c r="G46" s="1">
        <v>1.524</v>
      </c>
      <c r="H46" t="s">
        <v>16</v>
      </c>
      <c r="J46" s="17" t="s">
        <v>95</v>
      </c>
      <c r="K46">
        <f>ROUND(SUM(K21:K26), 2)</f>
        <v>361.67</v>
      </c>
      <c r="L46" t="s">
        <v>12</v>
      </c>
      <c r="AB46" s="8">
        <v>7</v>
      </c>
      <c r="AC46" s="8">
        <f t="shared" si="22"/>
        <v>0.34375</v>
      </c>
      <c r="AD46" s="8">
        <f t="shared" si="15"/>
        <v>9.3110982503696871E-5</v>
      </c>
      <c r="AE46" s="8">
        <f t="shared" si="23"/>
        <v>0.3515625</v>
      </c>
      <c r="AF46" s="8">
        <f t="shared" si="16"/>
        <v>-8.30999147624506E-3</v>
      </c>
      <c r="AG46" s="8">
        <f t="shared" si="18"/>
        <v>0.34765625</v>
      </c>
      <c r="AH46" s="8">
        <f t="shared" si="17"/>
        <v>-4.1117267434648275E-3</v>
      </c>
      <c r="AI46" s="8">
        <f t="shared" si="19"/>
        <v>-3.8284691687073605E-7</v>
      </c>
      <c r="AJ46" s="8">
        <f t="shared" si="20"/>
        <v>3.4168414190841573E-5</v>
      </c>
      <c r="AK46" s="8">
        <f t="shared" si="21"/>
        <v>7.8125E-3</v>
      </c>
    </row>
    <row r="47" spans="2:48" x14ac:dyDescent="0.2">
      <c r="F47" t="s">
        <v>123</v>
      </c>
      <c r="G47" s="1">
        <v>152.4</v>
      </c>
      <c r="H47" t="s">
        <v>14</v>
      </c>
      <c r="J47" s="15" t="s">
        <v>96</v>
      </c>
      <c r="K47">
        <f>ROUND(SUM(K27:K30), 2)</f>
        <v>62.53</v>
      </c>
      <c r="L47" t="s">
        <v>12</v>
      </c>
      <c r="AB47" s="8">
        <v>8</v>
      </c>
      <c r="AC47" s="8">
        <f t="shared" si="22"/>
        <v>0.34375</v>
      </c>
      <c r="AD47" s="8">
        <f t="shared" si="15"/>
        <v>9.3110982503696871E-5</v>
      </c>
      <c r="AE47" s="8">
        <f t="shared" si="23"/>
        <v>0.34765625</v>
      </c>
      <c r="AF47" s="8">
        <f t="shared" si="16"/>
        <v>-4.1117267434648275E-3</v>
      </c>
      <c r="AG47" s="8">
        <f t="shared" si="18"/>
        <v>0.345703125</v>
      </c>
      <c r="AH47" s="8">
        <f t="shared" si="17"/>
        <v>-2.0101432527007135E-3</v>
      </c>
      <c r="AI47" s="8">
        <f t="shared" si="19"/>
        <v>-1.8716641323214046E-7</v>
      </c>
      <c r="AJ47" s="8">
        <f t="shared" si="20"/>
        <v>8.2651597703249011E-6</v>
      </c>
      <c r="AK47" s="8">
        <f t="shared" si="21"/>
        <v>3.90625E-3</v>
      </c>
    </row>
    <row r="48" spans="2:48" x14ac:dyDescent="0.2">
      <c r="B48" s="61" t="s">
        <v>172</v>
      </c>
      <c r="C48" s="61"/>
      <c r="D48" s="61"/>
      <c r="F48" t="s">
        <v>115</v>
      </c>
      <c r="G48">
        <f xml:space="preserve"> 1/1000 * IF( $G$46&gt;=2*SQRT(($C$5*$C$67)/(2*$C$65*$C$21*PI()*$C$6*$C$6)), ($C$5*$C$67)/$C$24 * ( ($G$46/2) - SQRT( ($G$46/2)^2 - ($C$5*$C$67)/(2*$C$65*$C$21*PI()*$C$6*$C$6 ) ) ), 1/$C$24 * SQRT(($C$5*$C$67)^3/(2*$C$65*$C$21*PI()*$C$6*$C$6)) )</f>
        <v>253.02858134543968</v>
      </c>
      <c r="H48" t="s">
        <v>162</v>
      </c>
      <c r="J48" s="3" t="s">
        <v>83</v>
      </c>
      <c r="K48" s="3">
        <f>SUM(K43:K47)</f>
        <v>1329.74</v>
      </c>
      <c r="L48" t="s">
        <v>12</v>
      </c>
      <c r="AB48" s="8">
        <v>9</v>
      </c>
      <c r="AC48" s="8">
        <f t="shared" si="22"/>
        <v>0.34375</v>
      </c>
      <c r="AD48" s="8">
        <f t="shared" si="15"/>
        <v>9.3110982503696871E-5</v>
      </c>
      <c r="AE48" s="8">
        <f t="shared" si="23"/>
        <v>0.345703125</v>
      </c>
      <c r="AF48" s="8">
        <f t="shared" si="16"/>
        <v>-2.0101432527007135E-3</v>
      </c>
      <c r="AG48" s="8">
        <f t="shared" si="18"/>
        <v>0.3447265625</v>
      </c>
      <c r="AH48" s="8">
        <f t="shared" si="17"/>
        <v>-9.5872673019276045E-4</v>
      </c>
      <c r="AI48" s="8">
        <f t="shared" si="19"/>
        <v>-8.9267987800804624E-8</v>
      </c>
      <c r="AJ48" s="8">
        <f t="shared" si="20"/>
        <v>1.9271780678807949E-6</v>
      </c>
      <c r="AK48" s="8">
        <f t="shared" si="21"/>
        <v>1.953125E-3</v>
      </c>
    </row>
    <row r="49" spans="2:39" x14ac:dyDescent="0.2">
      <c r="B49" t="s">
        <v>173</v>
      </c>
      <c r="C49" s="1">
        <v>2</v>
      </c>
      <c r="F49" t="s">
        <v>30</v>
      </c>
      <c r="G49">
        <f xml:space="preserve"> $C$5 * $C$67 / $C$21</f>
        <v>1630.0436100859279</v>
      </c>
      <c r="H49" t="s">
        <v>31</v>
      </c>
      <c r="AB49" s="8">
        <v>10</v>
      </c>
      <c r="AC49" s="8">
        <f t="shared" si="22"/>
        <v>0.34375</v>
      </c>
      <c r="AD49" s="8">
        <f t="shared" si="15"/>
        <v>9.3110982503696871E-5</v>
      </c>
      <c r="AE49" s="8">
        <f t="shared" si="23"/>
        <v>0.3447265625</v>
      </c>
      <c r="AF49" s="8">
        <f t="shared" si="16"/>
        <v>-9.5872673019276045E-4</v>
      </c>
      <c r="AG49" s="8">
        <f t="shared" si="18"/>
        <v>0.34423828125</v>
      </c>
      <c r="AH49" s="8">
        <f t="shared" si="17"/>
        <v>-4.3286074376236439E-4</v>
      </c>
      <c r="AI49" s="8">
        <f t="shared" si="19"/>
        <v>-4.0304089138994725E-8</v>
      </c>
      <c r="AJ49" s="8">
        <f t="shared" si="20"/>
        <v>4.1499516549609791E-7</v>
      </c>
      <c r="AK49" s="8">
        <f t="shared" si="21"/>
        <v>9.765625E-4</v>
      </c>
    </row>
    <row r="50" spans="2:39" x14ac:dyDescent="0.2">
      <c r="B50" t="s">
        <v>175</v>
      </c>
      <c r="C50" s="1">
        <v>2</v>
      </c>
      <c r="D50" t="s">
        <v>18</v>
      </c>
      <c r="F50" t="s">
        <v>122</v>
      </c>
      <c r="G50">
        <f xml:space="preserve"> $G$47/$G$46</f>
        <v>100</v>
      </c>
      <c r="H50" t="s">
        <v>22</v>
      </c>
      <c r="AB50" s="8">
        <v>11</v>
      </c>
      <c r="AC50" s="8">
        <f t="shared" si="22"/>
        <v>0.34375</v>
      </c>
      <c r="AD50" s="8">
        <f t="shared" si="15"/>
        <v>9.3110982503696871E-5</v>
      </c>
      <c r="AE50" s="8">
        <f t="shared" si="23"/>
        <v>0.34423828125</v>
      </c>
      <c r="AF50" s="8">
        <f t="shared" si="16"/>
        <v>-4.3286074376236439E-4</v>
      </c>
      <c r="AG50" s="8">
        <f t="shared" si="18"/>
        <v>0.343994140625</v>
      </c>
      <c r="AH50" s="8">
        <f t="shared" si="17"/>
        <v>-1.6988812588691893E-4</v>
      </c>
      <c r="AI50" s="8">
        <f t="shared" si="19"/>
        <v>-1.5818450317042759E-8</v>
      </c>
      <c r="AJ50" s="8">
        <f t="shared" si="20"/>
        <v>7.3537900527805924E-8</v>
      </c>
      <c r="AK50" s="8">
        <f t="shared" si="21"/>
        <v>4.8828125E-4</v>
      </c>
    </row>
    <row r="51" spans="2:39" x14ac:dyDescent="0.2">
      <c r="B51" t="s">
        <v>174</v>
      </c>
      <c r="C51" s="1">
        <f>0.15*1.25</f>
        <v>0.1875</v>
      </c>
      <c r="D51" t="s">
        <v>14</v>
      </c>
      <c r="F51" t="s">
        <v>214</v>
      </c>
      <c r="G51">
        <f>$C$13*2*PI()*$C$6/60 * $C$6</f>
        <v>169.64600329384882</v>
      </c>
      <c r="H51" t="s">
        <v>16</v>
      </c>
      <c r="AB51" s="8">
        <v>12</v>
      </c>
      <c r="AC51" s="8">
        <f t="shared" si="22"/>
        <v>0.34375</v>
      </c>
      <c r="AD51" s="8">
        <f t="shared" si="15"/>
        <v>9.3110982503696871E-5</v>
      </c>
      <c r="AE51" s="8">
        <f t="shared" si="23"/>
        <v>0.343994140625</v>
      </c>
      <c r="AF51" s="8">
        <f t="shared" si="16"/>
        <v>-1.6988812588691893E-4</v>
      </c>
      <c r="AG51" s="8">
        <f t="shared" si="18"/>
        <v>0.3438720703125</v>
      </c>
      <c r="AH51" s="8">
        <f t="shared" si="17"/>
        <v>-3.8391886486743854E-5</v>
      </c>
      <c r="AI51" s="8">
        <f t="shared" si="19"/>
        <v>-3.5747062709511234E-9</v>
      </c>
      <c r="AJ51" s="8">
        <f t="shared" si="20"/>
        <v>6.5223256444962413E-9</v>
      </c>
      <c r="AK51" s="8">
        <f t="shared" si="21"/>
        <v>2.44140625E-4</v>
      </c>
    </row>
    <row r="52" spans="2:39" x14ac:dyDescent="0.2">
      <c r="F52" s="20" t="s">
        <v>217</v>
      </c>
      <c r="G52">
        <f>G51/$C$66</f>
        <v>0.49834908845015752</v>
      </c>
      <c r="H52" t="s">
        <v>215</v>
      </c>
      <c r="AB52" s="8">
        <v>13</v>
      </c>
      <c r="AC52" s="8">
        <f t="shared" si="22"/>
        <v>0.34375</v>
      </c>
      <c r="AD52" s="8">
        <f t="shared" si="15"/>
        <v>9.3110982503696871E-5</v>
      </c>
      <c r="AE52" s="8">
        <f t="shared" si="23"/>
        <v>0.3438720703125</v>
      </c>
      <c r="AF52" s="8">
        <f t="shared" si="16"/>
        <v>-3.8391886486743854E-5</v>
      </c>
      <c r="AG52" s="8">
        <f t="shared" si="18"/>
        <v>0.34381103515625</v>
      </c>
      <c r="AH52" s="8">
        <f t="shared" si="17"/>
        <v>2.7358718874048726E-5</v>
      </c>
      <c r="AI52" s="8">
        <f t="shared" si="19"/>
        <v>2.5473971944051125E-9</v>
      </c>
      <c r="AJ52" s="8">
        <f t="shared" si="20"/>
        <v>-1.0503528294352153E-9</v>
      </c>
      <c r="AK52" s="8">
        <f t="shared" si="21"/>
        <v>1.220703125E-4</v>
      </c>
    </row>
    <row r="53" spans="2:39" x14ac:dyDescent="0.2">
      <c r="B53" s="61" t="s">
        <v>176</v>
      </c>
      <c r="C53" s="61"/>
      <c r="D53" s="61"/>
      <c r="AB53" s="8">
        <v>14</v>
      </c>
      <c r="AC53" s="8">
        <f t="shared" si="22"/>
        <v>0.34381103515625</v>
      </c>
      <c r="AD53" s="8">
        <f t="shared" si="15"/>
        <v>2.7358718874048726E-5</v>
      </c>
      <c r="AE53" s="8">
        <f t="shared" si="23"/>
        <v>0.3438720703125</v>
      </c>
      <c r="AF53" s="8">
        <f t="shared" si="16"/>
        <v>-3.8391886486743854E-5</v>
      </c>
      <c r="AG53" s="8">
        <f t="shared" si="18"/>
        <v>0.343841552734375</v>
      </c>
      <c r="AH53" s="8">
        <f t="shared" si="17"/>
        <v>-5.5167910354980698E-6</v>
      </c>
      <c r="AI53" s="8">
        <f t="shared" si="19"/>
        <v>-1.5093233502706385E-10</v>
      </c>
      <c r="AJ53" s="8">
        <f t="shared" si="20"/>
        <v>2.1180001520592798E-10</v>
      </c>
      <c r="AK53" s="8">
        <f t="shared" si="21"/>
        <v>6.103515625E-5</v>
      </c>
    </row>
    <row r="54" spans="2:39" x14ac:dyDescent="0.2">
      <c r="B54" t="s">
        <v>177</v>
      </c>
      <c r="C54" s="1">
        <v>1.2</v>
      </c>
      <c r="AB54" s="8">
        <v>15</v>
      </c>
      <c r="AC54" s="8">
        <f t="shared" si="22"/>
        <v>0.34381103515625</v>
      </c>
      <c r="AD54" s="8">
        <f t="shared" si="15"/>
        <v>2.7358718874048726E-5</v>
      </c>
      <c r="AE54" s="8">
        <f t="shared" si="23"/>
        <v>0.343841552734375</v>
      </c>
      <c r="AF54" s="8">
        <f t="shared" si="16"/>
        <v>-5.5167910354980698E-6</v>
      </c>
      <c r="AG54" s="8">
        <f t="shared" si="18"/>
        <v>0.3438262939453125</v>
      </c>
      <c r="AH54" s="8">
        <f t="shared" si="17"/>
        <v>1.0920912105194525E-5</v>
      </c>
      <c r="AI54" s="8">
        <f t="shared" si="19"/>
        <v>2.9878216413421265E-10</v>
      </c>
      <c r="AJ54" s="8">
        <f t="shared" si="20"/>
        <v>-6.0248390001399512E-11</v>
      </c>
      <c r="AK54" s="8">
        <f t="shared" si="21"/>
        <v>3.0517578125E-5</v>
      </c>
    </row>
    <row r="55" spans="2:39" x14ac:dyDescent="0.2">
      <c r="B55" t="s">
        <v>178</v>
      </c>
      <c r="C55" s="1">
        <v>2.5</v>
      </c>
      <c r="D55" t="s">
        <v>18</v>
      </c>
      <c r="AB55" s="8">
        <v>16</v>
      </c>
      <c r="AC55" s="8">
        <f t="shared" si="22"/>
        <v>0.3438262939453125</v>
      </c>
      <c r="AD55" s="8">
        <f t="shared" si="15"/>
        <v>1.0920912105194525E-5</v>
      </c>
      <c r="AE55" s="8">
        <f t="shared" si="23"/>
        <v>0.343841552734375</v>
      </c>
      <c r="AF55" s="8">
        <f t="shared" si="16"/>
        <v>-5.5167910354980698E-6</v>
      </c>
      <c r="AG55" s="8">
        <f t="shared" si="18"/>
        <v>0.34383392333984375</v>
      </c>
      <c r="AH55" s="8">
        <f t="shared" si="17"/>
        <v>2.7020475821815104E-6</v>
      </c>
      <c r="AI55" s="8">
        <f t="shared" si="19"/>
        <v>2.9508824149057652E-11</v>
      </c>
      <c r="AJ55" s="8">
        <f t="shared" si="20"/>
        <v>-1.4906631878868192E-11</v>
      </c>
      <c r="AK55" s="8">
        <f t="shared" si="21"/>
        <v>1.52587890625E-5</v>
      </c>
      <c r="AM55" s="8"/>
    </row>
    <row r="56" spans="2:39" x14ac:dyDescent="0.2">
      <c r="B56" t="s">
        <v>179</v>
      </c>
      <c r="C56" s="1">
        <f>0.12*2.92</f>
        <v>0.35039999999999999</v>
      </c>
      <c r="D56" t="s">
        <v>14</v>
      </c>
      <c r="AB56" s="8">
        <v>17</v>
      </c>
      <c r="AC56" s="8">
        <f t="shared" si="22"/>
        <v>0.34383392333984375</v>
      </c>
      <c r="AD56" s="8">
        <f t="shared" si="15"/>
        <v>2.7020475821815104E-6</v>
      </c>
      <c r="AE56" s="8">
        <f t="shared" si="23"/>
        <v>0.343841552734375</v>
      </c>
      <c r="AF56" s="8">
        <f t="shared" si="16"/>
        <v>-5.5167910354980698E-6</v>
      </c>
      <c r="AG56" s="8">
        <f t="shared" si="18"/>
        <v>0.34383773803710938</v>
      </c>
      <c r="AH56" s="8">
        <f t="shared" si="17"/>
        <v>-1.4073749647347533E-6</v>
      </c>
      <c r="AI56" s="8">
        <f t="shared" si="19"/>
        <v>-3.8027941206843287E-12</v>
      </c>
      <c r="AJ56" s="8">
        <f t="shared" si="20"/>
        <v>7.7641935890330988E-12</v>
      </c>
      <c r="AK56" s="8">
        <f t="shared" si="21"/>
        <v>7.62939453125E-6</v>
      </c>
      <c r="AM56" s="8"/>
    </row>
    <row r="57" spans="2:39" x14ac:dyDescent="0.2">
      <c r="B57" t="s">
        <v>180</v>
      </c>
      <c r="C57" s="1">
        <v>35</v>
      </c>
      <c r="D57" t="s">
        <v>62</v>
      </c>
      <c r="AB57" s="8">
        <v>18</v>
      </c>
      <c r="AC57" s="8">
        <f t="shared" si="22"/>
        <v>0.34383392333984375</v>
      </c>
      <c r="AD57" s="8">
        <f t="shared" si="15"/>
        <v>2.7020475821815104E-6</v>
      </c>
      <c r="AE57" s="8">
        <f t="shared" si="23"/>
        <v>0.34383773803710938</v>
      </c>
      <c r="AF57" s="8">
        <f t="shared" si="16"/>
        <v>-1.4073749647347533E-6</v>
      </c>
      <c r="AG57" s="8">
        <f t="shared" si="18"/>
        <v>0.34383583068847656</v>
      </c>
      <c r="AH57" s="8">
        <f t="shared" si="17"/>
        <v>6.4733549920426015E-7</v>
      </c>
      <c r="AI57" s="8">
        <f t="shared" si="19"/>
        <v>1.7491313204851321E-12</v>
      </c>
      <c r="AJ57" s="8">
        <f t="shared" si="20"/>
        <v>-9.1104377536414959E-13</v>
      </c>
      <c r="AK57" s="8">
        <f t="shared" si="21"/>
        <v>3.814697265625E-6</v>
      </c>
      <c r="AM57" s="8"/>
    </row>
    <row r="58" spans="2:39" x14ac:dyDescent="0.2">
      <c r="AB58" s="8">
        <v>19</v>
      </c>
      <c r="AC58" s="8">
        <f t="shared" si="22"/>
        <v>0.34383583068847656</v>
      </c>
      <c r="AD58" s="8">
        <f t="shared" si="15"/>
        <v>6.4733549920426015E-7</v>
      </c>
      <c r="AE58" s="8">
        <f t="shared" si="23"/>
        <v>0.34383773803710938</v>
      </c>
      <c r="AF58" s="8">
        <f t="shared" si="16"/>
        <v>-1.4073749647347533E-6</v>
      </c>
      <c r="AG58" s="8">
        <f t="shared" si="18"/>
        <v>0.34383678436279297</v>
      </c>
      <c r="AH58" s="8">
        <f t="shared" si="17"/>
        <v>-3.800199351311484E-7</v>
      </c>
      <c r="AI58" s="8">
        <f t="shared" si="19"/>
        <v>-2.4600039441569252E-13</v>
      </c>
      <c r="AJ58" s="8">
        <f t="shared" si="20"/>
        <v>5.3483054280370322E-13</v>
      </c>
      <c r="AK58" s="8">
        <f t="shared" si="21"/>
        <v>1.9073486328125E-6</v>
      </c>
    </row>
    <row r="59" spans="2:39" x14ac:dyDescent="0.2">
      <c r="B59" s="59" t="s">
        <v>6</v>
      </c>
      <c r="C59" s="60"/>
      <c r="D59" s="60"/>
      <c r="AB59" s="8">
        <v>20</v>
      </c>
      <c r="AC59" s="8">
        <f t="shared" si="22"/>
        <v>0.34383583068847656</v>
      </c>
      <c r="AD59" s="8">
        <f t="shared" si="15"/>
        <v>6.4733549920426015E-7</v>
      </c>
      <c r="AE59" s="8">
        <f t="shared" si="23"/>
        <v>0.34383678436279297</v>
      </c>
      <c r="AF59" s="8">
        <f t="shared" si="16"/>
        <v>-3.800199351311484E-7</v>
      </c>
      <c r="AG59" s="8">
        <f t="shared" si="18"/>
        <v>0.34383630752563477</v>
      </c>
      <c r="AH59" s="8">
        <f t="shared" si="17"/>
        <v>1.3365773143814152E-7</v>
      </c>
      <c r="AI59" s="8">
        <f t="shared" si="19"/>
        <v>8.6521394303018281E-14</v>
      </c>
      <c r="AJ59" s="8">
        <f t="shared" si="20"/>
        <v>-5.0792602430898996E-14</v>
      </c>
      <c r="AK59" s="8">
        <f t="shared" si="21"/>
        <v>9.5367431640625E-7</v>
      </c>
    </row>
    <row r="60" spans="2:39" x14ac:dyDescent="0.2">
      <c r="B60" t="s">
        <v>7</v>
      </c>
      <c r="C60" s="1">
        <v>250</v>
      </c>
      <c r="D60" t="s">
        <v>8</v>
      </c>
      <c r="AB60" s="8">
        <v>21</v>
      </c>
      <c r="AC60" s="8">
        <f t="shared" si="22"/>
        <v>0.34383630752563477</v>
      </c>
      <c r="AD60" s="8">
        <f t="shared" si="15"/>
        <v>1.3365773143814152E-7</v>
      </c>
      <c r="AE60" s="8">
        <f t="shared" si="23"/>
        <v>0.34383678436279297</v>
      </c>
      <c r="AF60" s="8">
        <f t="shared" si="16"/>
        <v>-3.800199351311484E-7</v>
      </c>
      <c r="AG60" s="8">
        <f t="shared" si="18"/>
        <v>0.34383654594421387</v>
      </c>
      <c r="AH60" s="8">
        <f t="shared" si="17"/>
        <v>-1.2318111447529034E-7</v>
      </c>
      <c r="AI60" s="8">
        <f t="shared" si="19"/>
        <v>-1.6464108316789325E-14</v>
      </c>
      <c r="AJ60" s="8">
        <f t="shared" si="20"/>
        <v>4.6811279132282402E-14</v>
      </c>
      <c r="AK60" s="8">
        <f t="shared" si="21"/>
        <v>4.76837158203125E-7</v>
      </c>
    </row>
    <row r="61" spans="2:39" x14ac:dyDescent="0.2">
      <c r="B61" t="s">
        <v>9</v>
      </c>
      <c r="C61" s="1">
        <v>0.85</v>
      </c>
      <c r="F61" s="4"/>
      <c r="AB61" s="8">
        <v>22</v>
      </c>
      <c r="AC61" s="8">
        <f t="shared" si="22"/>
        <v>0.34383630752563477</v>
      </c>
      <c r="AD61" s="8">
        <f t="shared" si="15"/>
        <v>1.3365773143814152E-7</v>
      </c>
      <c r="AE61" s="8">
        <f t="shared" si="23"/>
        <v>0.34383654594421387</v>
      </c>
      <c r="AF61" s="8">
        <f t="shared" si="16"/>
        <v>-1.2318111447529034E-7</v>
      </c>
      <c r="AG61" s="8">
        <f t="shared" si="18"/>
        <v>0.34383642673492432</v>
      </c>
      <c r="AH61" s="8">
        <f t="shared" si="17"/>
        <v>5.2383052895343951E-9</v>
      </c>
      <c r="AI61" s="8">
        <f t="shared" si="19"/>
        <v>7.0014000157958438E-16</v>
      </c>
      <c r="AJ61" s="8">
        <f t="shared" si="20"/>
        <v>-6.4526028352665524E-16</v>
      </c>
      <c r="AK61" s="8">
        <f t="shared" si="21"/>
        <v>2.384185791015625E-7</v>
      </c>
    </row>
    <row r="62" spans="2:39" x14ac:dyDescent="0.2">
      <c r="B62" t="s">
        <v>10</v>
      </c>
      <c r="C62" s="1">
        <v>0.8</v>
      </c>
      <c r="AB62" s="8">
        <v>23</v>
      </c>
      <c r="AC62" s="8">
        <f t="shared" si="22"/>
        <v>0.34383642673492432</v>
      </c>
      <c r="AD62" s="8">
        <f t="shared" si="15"/>
        <v>5.2383052895343951E-9</v>
      </c>
      <c r="AE62" s="8">
        <f t="shared" si="23"/>
        <v>0.34383654594421387</v>
      </c>
      <c r="AF62" s="8">
        <f t="shared" si="16"/>
        <v>-1.2318111447529034E-7</v>
      </c>
      <c r="AG62" s="8">
        <f t="shared" si="18"/>
        <v>0.34383648633956909</v>
      </c>
      <c r="AH62" s="8">
        <f t="shared" si="17"/>
        <v>-5.8971405370034091E-8</v>
      </c>
      <c r="AI62" s="8">
        <f t="shared" si="19"/>
        <v>-3.0891022468112663E-16</v>
      </c>
      <c r="AJ62" s="8">
        <f t="shared" si="20"/>
        <v>7.2641634356549213E-15</v>
      </c>
      <c r="AK62" s="8">
        <f t="shared" si="21"/>
        <v>1.1920928955078125E-7</v>
      </c>
    </row>
    <row r="63" spans="2:39" x14ac:dyDescent="0.2">
      <c r="AB63" s="8">
        <v>24</v>
      </c>
      <c r="AC63" s="8">
        <f t="shared" si="22"/>
        <v>0.34383642673492432</v>
      </c>
      <c r="AD63" s="8">
        <f t="shared" si="15"/>
        <v>5.2383052895343951E-9</v>
      </c>
      <c r="AE63" s="8">
        <f t="shared" si="23"/>
        <v>0.34383648633956909</v>
      </c>
      <c r="AF63" s="8">
        <f t="shared" si="16"/>
        <v>-5.8971405370034091E-8</v>
      </c>
      <c r="AG63" s="8">
        <f t="shared" si="18"/>
        <v>0.3438364565372467</v>
      </c>
      <c r="AH63" s="8">
        <f t="shared" si="17"/>
        <v>-2.6866550206783302E-8</v>
      </c>
      <c r="AI63" s="8">
        <f t="shared" si="19"/>
        <v>-1.4073519205973436E-16</v>
      </c>
      <c r="AJ63" s="8">
        <f t="shared" si="20"/>
        <v>1.5843582231385913E-15</v>
      </c>
      <c r="AK63" s="8">
        <f t="shared" si="21"/>
        <v>5.9604644775390625E-8</v>
      </c>
    </row>
    <row r="64" spans="2:39" x14ac:dyDescent="0.2">
      <c r="B64" s="19" t="s">
        <v>97</v>
      </c>
      <c r="C64" s="19"/>
      <c r="D64" s="19"/>
      <c r="AB64" s="8">
        <v>25</v>
      </c>
      <c r="AC64" s="8">
        <f t="shared" si="22"/>
        <v>0.34383642673492432</v>
      </c>
      <c r="AD64" s="8">
        <f t="shared" si="15"/>
        <v>5.2383052895343951E-9</v>
      </c>
      <c r="AE64" s="8">
        <f t="shared" si="23"/>
        <v>0.3438364565372467</v>
      </c>
      <c r="AF64" s="8">
        <f t="shared" si="16"/>
        <v>-2.6866550206783302E-8</v>
      </c>
      <c r="AG64" s="8">
        <f t="shared" si="18"/>
        <v>0.34383644163608551</v>
      </c>
      <c r="AH64" s="8">
        <f t="shared" si="17"/>
        <v>-1.0814122486380029E-8</v>
      </c>
      <c r="AI64" s="8">
        <f t="shared" si="19"/>
        <v>-5.664767502207735E-17</v>
      </c>
      <c r="AJ64" s="8">
        <f t="shared" si="20"/>
        <v>2.9053816472263332E-16</v>
      </c>
      <c r="AK64" s="8">
        <f t="shared" si="21"/>
        <v>2.9802322387695312E-8</v>
      </c>
    </row>
    <row r="65" spans="2:37" x14ac:dyDescent="0.2">
      <c r="B65" t="s">
        <v>23</v>
      </c>
      <c r="C65" s="1">
        <v>1.2250000000000001</v>
      </c>
      <c r="D65" t="s">
        <v>24</v>
      </c>
      <c r="AB65" s="8">
        <v>26</v>
      </c>
      <c r="AC65" s="8">
        <f t="shared" si="22"/>
        <v>0.34383642673492432</v>
      </c>
      <c r="AD65" s="8">
        <f t="shared" si="15"/>
        <v>5.2383052895343951E-9</v>
      </c>
      <c r="AE65" s="8">
        <f t="shared" si="23"/>
        <v>0.34383644163608551</v>
      </c>
      <c r="AF65" s="8">
        <f t="shared" si="16"/>
        <v>-1.0814122486380029E-8</v>
      </c>
      <c r="AG65" s="8">
        <f t="shared" si="18"/>
        <v>0.34383643418550491</v>
      </c>
      <c r="AH65" s="8">
        <f t="shared" si="17"/>
        <v>-2.7879086261783925E-9</v>
      </c>
      <c r="AI65" s="8">
        <f t="shared" si="19"/>
        <v>-1.4603916503248842E-17</v>
      </c>
      <c r="AJ65" s="8">
        <f t="shared" si="20"/>
        <v>3.0148785364328609E-17</v>
      </c>
      <c r="AK65" s="8">
        <f t="shared" si="21"/>
        <v>1.4901161193847656E-8</v>
      </c>
    </row>
    <row r="66" spans="2:37" x14ac:dyDescent="0.2">
      <c r="B66" s="20" t="s">
        <v>216</v>
      </c>
      <c r="C66" s="33">
        <v>340.416</v>
      </c>
      <c r="D66" s="20" t="s">
        <v>16</v>
      </c>
      <c r="AB66" s="8">
        <v>27</v>
      </c>
      <c r="AC66" s="8">
        <f t="shared" si="22"/>
        <v>0.34383642673492432</v>
      </c>
      <c r="AD66" s="8">
        <f t="shared" si="15"/>
        <v>5.2383052895343951E-9</v>
      </c>
      <c r="AE66" s="8">
        <f t="shared" si="23"/>
        <v>0.34383643418550491</v>
      </c>
      <c r="AF66" s="8">
        <f t="shared" si="16"/>
        <v>-2.7879086261783925E-9</v>
      </c>
      <c r="AG66" s="8">
        <f t="shared" si="18"/>
        <v>0.34383643046021461</v>
      </c>
      <c r="AH66" s="8">
        <f t="shared" si="17"/>
        <v>1.2251983316780013E-9</v>
      </c>
      <c r="AI66" s="8">
        <f t="shared" si="19"/>
        <v>6.4179629015575904E-18</v>
      </c>
      <c r="AJ66" s="8">
        <f t="shared" si="20"/>
        <v>-3.4157409976644751E-18</v>
      </c>
      <c r="AK66" s="8">
        <f t="shared" si="21"/>
        <v>7.4505805969238281E-9</v>
      </c>
    </row>
    <row r="67" spans="2:37" x14ac:dyDescent="0.2">
      <c r="B67" t="s">
        <v>25</v>
      </c>
      <c r="C67" s="1">
        <v>9.8066499999999994</v>
      </c>
      <c r="D67" t="s">
        <v>26</v>
      </c>
      <c r="AB67" s="8">
        <v>28</v>
      </c>
      <c r="AC67" s="8">
        <f t="shared" si="22"/>
        <v>0.34383643046021461</v>
      </c>
      <c r="AD67" s="8">
        <f t="shared" si="15"/>
        <v>1.2251983316780013E-9</v>
      </c>
      <c r="AE67" s="8">
        <f t="shared" si="23"/>
        <v>0.34383643418550491</v>
      </c>
      <c r="AF67" s="8">
        <f t="shared" si="16"/>
        <v>-2.7879086261783925E-9</v>
      </c>
      <c r="AG67" s="8">
        <f t="shared" si="18"/>
        <v>0.34383643232285976</v>
      </c>
      <c r="AH67" s="8">
        <f t="shared" si="17"/>
        <v>-7.8135514725019561E-10</v>
      </c>
      <c r="AI67" s="8">
        <f t="shared" si="19"/>
        <v>-9.5731502285895871E-19</v>
      </c>
      <c r="AJ67" s="8">
        <f t="shared" si="20"/>
        <v>2.1783467551277084E-18</v>
      </c>
      <c r="AK67" s="8">
        <f t="shared" si="21"/>
        <v>3.7252902984619141E-9</v>
      </c>
    </row>
    <row r="68" spans="2:37" x14ac:dyDescent="0.2">
      <c r="B68" t="s">
        <v>61</v>
      </c>
      <c r="C68" s="1">
        <v>5</v>
      </c>
      <c r="D68" t="s">
        <v>62</v>
      </c>
      <c r="AB68" s="8">
        <v>29</v>
      </c>
      <c r="AC68" s="8">
        <f t="shared" si="22"/>
        <v>0.34383643046021461</v>
      </c>
      <c r="AD68" s="8">
        <f t="shared" si="15"/>
        <v>1.2251983316780013E-9</v>
      </c>
      <c r="AE68" s="8">
        <f t="shared" si="23"/>
        <v>0.34383643232285976</v>
      </c>
      <c r="AF68" s="8">
        <f t="shared" si="16"/>
        <v>-7.8135514725019561E-10</v>
      </c>
      <c r="AG68" s="8">
        <f t="shared" si="18"/>
        <v>0.34383643139153719</v>
      </c>
      <c r="AH68" s="8">
        <f t="shared" si="17"/>
        <v>2.2192159221390284E-10</v>
      </c>
      <c r="AI68" s="8">
        <f t="shared" si="19"/>
        <v>2.7189796454379948E-19</v>
      </c>
      <c r="AJ68" s="8">
        <f t="shared" si="20"/>
        <v>-1.7339957836229192E-19</v>
      </c>
      <c r="AK68" s="8">
        <f t="shared" si="21"/>
        <v>1.862645149230957E-9</v>
      </c>
    </row>
    <row r="69" spans="2:37" x14ac:dyDescent="0.2">
      <c r="B69" t="s">
        <v>105</v>
      </c>
      <c r="C69" s="1">
        <v>0.8</v>
      </c>
      <c r="AB69" s="8">
        <v>30</v>
      </c>
      <c r="AC69" s="8">
        <f t="shared" si="22"/>
        <v>0.34383643139153719</v>
      </c>
      <c r="AD69" s="8">
        <f t="shared" si="15"/>
        <v>2.2192159221390284E-10</v>
      </c>
      <c r="AE69" s="8">
        <f t="shared" si="23"/>
        <v>0.34383643232285976</v>
      </c>
      <c r="AF69" s="8">
        <f t="shared" si="16"/>
        <v>-7.8135514725019561E-10</v>
      </c>
      <c r="AG69" s="8">
        <f t="shared" si="18"/>
        <v>0.34383643185719848</v>
      </c>
      <c r="AH69" s="8">
        <f t="shared" si="17"/>
        <v>-2.7971674976257077E-10</v>
      </c>
      <c r="AI69" s="8">
        <f t="shared" si="19"/>
        <v>-6.2075186476207535E-20</v>
      </c>
      <c r="AJ69" s="8">
        <f t="shared" si="20"/>
        <v>2.185581221990796E-19</v>
      </c>
      <c r="AK69" s="8">
        <f t="shared" si="21"/>
        <v>9.3132257461547852E-10</v>
      </c>
    </row>
    <row r="71" spans="2:37" x14ac:dyDescent="0.2">
      <c r="B71" s="58" t="s">
        <v>27</v>
      </c>
      <c r="C71" s="58"/>
      <c r="D71" s="58"/>
    </row>
    <row r="72" spans="2:37" x14ac:dyDescent="0.2">
      <c r="B72" t="s">
        <v>28</v>
      </c>
      <c r="C72" s="1">
        <v>30</v>
      </c>
      <c r="AB72" s="6" t="s">
        <v>150</v>
      </c>
    </row>
    <row r="73" spans="2:37" x14ac:dyDescent="0.2"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2:37" x14ac:dyDescent="0.2">
      <c r="AB74" s="8">
        <v>0</v>
      </c>
      <c r="AC74" s="9">
        <v>0</v>
      </c>
      <c r="AD74" s="8">
        <f xml:space="preserve"> $W$22 * TAN($W$19/180*PI()) + $W$23 / (2 * SQRT($W$22^2 + AC74^2)) - AC74</f>
        <v>0.44849855886187467</v>
      </c>
      <c r="AE74" s="9">
        <v>1</v>
      </c>
      <c r="AF74" s="8">
        <f xml:space="preserve"> $W$22 * TAN($W$19/180*PI()) + $W$23 / (2 * SQRT($W$22^2 + AE74^2)) - AE74</f>
        <v>-0.67925741373202619</v>
      </c>
      <c r="AG74" s="8">
        <f xml:space="preserve"> (AC74 + AE74)/2</f>
        <v>0.5</v>
      </c>
      <c r="AH74" s="8">
        <f xml:space="preserve"> $W$22 * TAN($W$19/180*PI()) + $W$23 / (2 * SQRT($W$22^2 + AG74^2)) - AG74</f>
        <v>-0.17562184115438878</v>
      </c>
      <c r="AI74" s="8">
        <f>AD74*AH74</f>
        <v>-7.8766142662412442E-2</v>
      </c>
      <c r="AJ74" s="8">
        <f>AF74*AH74</f>
        <v>0.11929243761738685</v>
      </c>
      <c r="AK74" s="8">
        <f>AE74-AC74</f>
        <v>1</v>
      </c>
    </row>
    <row r="75" spans="2:37" x14ac:dyDescent="0.2">
      <c r="AB75" s="8">
        <v>1</v>
      </c>
      <c r="AC75" s="8">
        <f>IF(AI74&gt;0, AG74, AC74)</f>
        <v>0</v>
      </c>
      <c r="AD75" s="8">
        <f t="shared" ref="AD75:AD104" si="24" xml:space="preserve"> $W$22 * TAN($W$19/180*PI()) + $W$23 / (2 * SQRT($W$22^2 + AC75^2)) - AC75</f>
        <v>0.44849855886187467</v>
      </c>
      <c r="AE75" s="8">
        <f>IF(AJ74&gt;0, AG74, AE74)</f>
        <v>0.5</v>
      </c>
      <c r="AF75" s="8">
        <f t="shared" ref="AF75:AF104" si="25" xml:space="preserve"> $W$22 * TAN($W$19/180*PI()) + $W$23 / (2 * SQRT($W$22^2 + AE75^2)) - AE75</f>
        <v>-0.17562184115438878</v>
      </c>
      <c r="AG75" s="8">
        <f t="shared" ref="AG75:AG104" si="26" xml:space="preserve"> (AC75 + AE75)/2</f>
        <v>0.25</v>
      </c>
      <c r="AH75" s="8">
        <f t="shared" ref="AH75:AH104" si="27" xml:space="preserve"> $W$22 * TAN($W$19/180*PI()) + $W$23 / (2 * SQRT($W$22^2 + AG75^2)) - AG75</f>
        <v>8.1591130198326589E-2</v>
      </c>
      <c r="AI75" s="8">
        <f t="shared" ref="AI75:AI104" si="28">AD75*AH75</f>
        <v>3.6593504309861059E-2</v>
      </c>
      <c r="AJ75" s="8">
        <f t="shared" ref="AJ75:AJ104" si="29">AF75*AH75</f>
        <v>-1.4329184507297565E-2</v>
      </c>
      <c r="AK75" s="8">
        <f t="shared" ref="AK75:AK104" si="30">AE75-AC75</f>
        <v>0.5</v>
      </c>
    </row>
    <row r="76" spans="2:37" x14ac:dyDescent="0.2">
      <c r="AB76" s="8">
        <v>2</v>
      </c>
      <c r="AC76" s="8">
        <f t="shared" ref="AC76:AC104" si="31">IF(AI75&gt;0, AG75, AC75)</f>
        <v>0.25</v>
      </c>
      <c r="AD76" s="8">
        <f t="shared" si="24"/>
        <v>8.1591130198326589E-2</v>
      </c>
      <c r="AE76" s="8">
        <f t="shared" ref="AE76:AE104" si="32">IF(AJ75&gt;0, AG75, AE75)</f>
        <v>0.5</v>
      </c>
      <c r="AF76" s="8">
        <f t="shared" si="25"/>
        <v>-0.17562184115438878</v>
      </c>
      <c r="AG76" s="8">
        <f t="shared" si="26"/>
        <v>0.375</v>
      </c>
      <c r="AH76" s="8">
        <f t="shared" si="27"/>
        <v>-4.820689254442595E-2</v>
      </c>
      <c r="AI76" s="8">
        <f t="shared" si="28"/>
        <v>-3.9332548460489971E-3</v>
      </c>
      <c r="AJ76" s="8">
        <f t="shared" si="29"/>
        <v>8.4661832249838635E-3</v>
      </c>
      <c r="AK76" s="8">
        <f t="shared" si="30"/>
        <v>0.25</v>
      </c>
    </row>
    <row r="77" spans="2:37" x14ac:dyDescent="0.2">
      <c r="AB77" s="8">
        <v>3</v>
      </c>
      <c r="AC77" s="8">
        <f t="shared" si="31"/>
        <v>0.25</v>
      </c>
      <c r="AD77" s="8">
        <f t="shared" si="24"/>
        <v>8.1591130198326589E-2</v>
      </c>
      <c r="AE77" s="8">
        <f t="shared" si="32"/>
        <v>0.375</v>
      </c>
      <c r="AF77" s="8">
        <f t="shared" si="25"/>
        <v>-4.820689254442595E-2</v>
      </c>
      <c r="AG77" s="8">
        <f t="shared" si="26"/>
        <v>0.3125</v>
      </c>
      <c r="AH77" s="8">
        <f t="shared" si="27"/>
        <v>1.6218098543564985E-2</v>
      </c>
      <c r="AI77" s="8">
        <f t="shared" si="28"/>
        <v>1.3232529898373016E-3</v>
      </c>
      <c r="AJ77" s="8">
        <f t="shared" si="29"/>
        <v>-7.8182413376454824E-4</v>
      </c>
      <c r="AK77" s="8">
        <f t="shared" si="30"/>
        <v>0.125</v>
      </c>
    </row>
    <row r="78" spans="2:37" x14ac:dyDescent="0.2">
      <c r="AB78" s="8">
        <v>4</v>
      </c>
      <c r="AC78" s="8">
        <f t="shared" si="31"/>
        <v>0.3125</v>
      </c>
      <c r="AD78" s="8">
        <f t="shared" si="24"/>
        <v>1.6218098543564985E-2</v>
      </c>
      <c r="AE78" s="8">
        <f t="shared" si="32"/>
        <v>0.375</v>
      </c>
      <c r="AF78" s="8">
        <f t="shared" si="25"/>
        <v>-4.820689254442595E-2</v>
      </c>
      <c r="AG78" s="8">
        <f t="shared" si="26"/>
        <v>0.34375</v>
      </c>
      <c r="AH78" s="8">
        <f t="shared" si="27"/>
        <v>-1.6081042580957994E-2</v>
      </c>
      <c r="AI78" s="8">
        <f t="shared" si="28"/>
        <v>-2.6080393326124133E-4</v>
      </c>
      <c r="AJ78" s="8">
        <f t="shared" si="29"/>
        <v>7.7521709170258013E-4</v>
      </c>
      <c r="AK78" s="8">
        <f t="shared" si="30"/>
        <v>6.25E-2</v>
      </c>
    </row>
    <row r="79" spans="2:37" x14ac:dyDescent="0.2">
      <c r="AB79" s="8">
        <v>5</v>
      </c>
      <c r="AC79" s="8">
        <f t="shared" si="31"/>
        <v>0.3125</v>
      </c>
      <c r="AD79" s="8">
        <f t="shared" si="24"/>
        <v>1.6218098543564985E-2</v>
      </c>
      <c r="AE79" s="8">
        <f t="shared" si="32"/>
        <v>0.34375</v>
      </c>
      <c r="AF79" s="8">
        <f t="shared" si="25"/>
        <v>-1.6081042580957994E-2</v>
      </c>
      <c r="AG79" s="8">
        <f t="shared" si="26"/>
        <v>0.328125</v>
      </c>
      <c r="AH79" s="8">
        <f t="shared" si="27"/>
        <v>4.3814776578443571E-5</v>
      </c>
      <c r="AI79" s="8">
        <f t="shared" si="28"/>
        <v>7.1059236421348085E-7</v>
      </c>
      <c r="AJ79" s="8">
        <f t="shared" si="29"/>
        <v>-7.04587287833112E-7</v>
      </c>
      <c r="AK79" s="8">
        <f t="shared" si="30"/>
        <v>3.125E-2</v>
      </c>
    </row>
    <row r="80" spans="2:37" x14ac:dyDescent="0.2">
      <c r="AB80" s="8">
        <v>6</v>
      </c>
      <c r="AC80" s="8">
        <f t="shared" si="31"/>
        <v>0.328125</v>
      </c>
      <c r="AD80" s="8">
        <f t="shared" si="24"/>
        <v>4.3814776578443571E-5</v>
      </c>
      <c r="AE80" s="8">
        <f t="shared" si="32"/>
        <v>0.34375</v>
      </c>
      <c r="AF80" s="8">
        <f t="shared" si="25"/>
        <v>-1.6081042580957994E-2</v>
      </c>
      <c r="AG80" s="8">
        <f t="shared" si="26"/>
        <v>0.3359375</v>
      </c>
      <c r="AH80" s="8">
        <f t="shared" si="27"/>
        <v>-8.0243671201926658E-3</v>
      </c>
      <c r="AI80" s="8">
        <f t="shared" si="28"/>
        <v>-3.5158585255465028E-7</v>
      </c>
      <c r="AJ80" s="8">
        <f t="shared" si="29"/>
        <v>1.2904018934505753E-4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0.328125</v>
      </c>
      <c r="AD81" s="8">
        <f t="shared" si="24"/>
        <v>4.3814776578443571E-5</v>
      </c>
      <c r="AE81" s="8">
        <f t="shared" si="32"/>
        <v>0.3359375</v>
      </c>
      <c r="AF81" s="8">
        <f t="shared" si="25"/>
        <v>-8.0243671201926658E-3</v>
      </c>
      <c r="AG81" s="8">
        <f t="shared" si="26"/>
        <v>0.33203125</v>
      </c>
      <c r="AH81" s="8">
        <f t="shared" si="27"/>
        <v>-3.9917645408701907E-3</v>
      </c>
      <c r="AI81" s="8">
        <f t="shared" si="28"/>
        <v>-1.7489827151198079E-7</v>
      </c>
      <c r="AJ81" s="8">
        <f t="shared" si="29"/>
        <v>3.2031384133309734E-5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0.328125</v>
      </c>
      <c r="AD82" s="8">
        <f t="shared" si="24"/>
        <v>4.3814776578443571E-5</v>
      </c>
      <c r="AE82" s="8">
        <f t="shared" si="32"/>
        <v>0.33203125</v>
      </c>
      <c r="AF82" s="8">
        <f t="shared" si="25"/>
        <v>-3.9917645408701907E-3</v>
      </c>
      <c r="AG82" s="8">
        <f t="shared" si="26"/>
        <v>0.330078125</v>
      </c>
      <c r="AH82" s="8">
        <f t="shared" si="27"/>
        <v>-1.9743534871749513E-3</v>
      </c>
      <c r="AI82" s="8">
        <f t="shared" si="28"/>
        <v>-8.6505856927441442E-8</v>
      </c>
      <c r="AJ82" s="8">
        <f t="shared" si="29"/>
        <v>7.8811542412483792E-6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0.328125</v>
      </c>
      <c r="AD83" s="8">
        <f t="shared" si="24"/>
        <v>4.3814776578443571E-5</v>
      </c>
      <c r="AE83" s="8">
        <f t="shared" si="32"/>
        <v>0.330078125</v>
      </c>
      <c r="AF83" s="8">
        <f t="shared" si="25"/>
        <v>-1.9743534871749513E-3</v>
      </c>
      <c r="AG83" s="8">
        <f t="shared" si="26"/>
        <v>0.3291015625</v>
      </c>
      <c r="AH83" s="8">
        <f t="shared" si="27"/>
        <v>-9.6536483726283873E-4</v>
      </c>
      <c r="AI83" s="8">
        <f t="shared" si="28"/>
        <v>-4.2297244661356817E-8</v>
      </c>
      <c r="AJ83" s="8">
        <f t="shared" si="29"/>
        <v>1.905971432845965E-6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0.328125</v>
      </c>
      <c r="AD84" s="8">
        <f t="shared" si="24"/>
        <v>4.3814776578443571E-5</v>
      </c>
      <c r="AE84" s="8">
        <f t="shared" si="32"/>
        <v>0.3291015625</v>
      </c>
      <c r="AF84" s="8">
        <f t="shared" si="25"/>
        <v>-9.6536483726283873E-4</v>
      </c>
      <c r="AG84" s="8">
        <f t="shared" si="26"/>
        <v>0.32861328125</v>
      </c>
      <c r="AH84" s="8">
        <f t="shared" si="27"/>
        <v>-4.607990057325928E-4</v>
      </c>
      <c r="AI84" s="8">
        <f t="shared" si="28"/>
        <v>-2.0189805483742493E-8</v>
      </c>
      <c r="AJ84" s="8">
        <f t="shared" si="29"/>
        <v>4.4483915717992236E-7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0.328125</v>
      </c>
      <c r="AD85" s="8">
        <f t="shared" si="24"/>
        <v>4.3814776578443571E-5</v>
      </c>
      <c r="AE85" s="8">
        <f t="shared" si="32"/>
        <v>0.32861328125</v>
      </c>
      <c r="AF85" s="8">
        <f t="shared" si="25"/>
        <v>-4.607990057325928E-4</v>
      </c>
      <c r="AG85" s="8">
        <f t="shared" si="26"/>
        <v>0.328369140625</v>
      </c>
      <c r="AH85" s="8">
        <f t="shared" si="27"/>
        <v>-2.0849812160411707E-4</v>
      </c>
      <c r="AI85" s="8">
        <f t="shared" si="28"/>
        <v>-9.1352986151095487E-9</v>
      </c>
      <c r="AJ85" s="8">
        <f t="shared" si="29"/>
        <v>9.6075727132290369E-8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0.328125</v>
      </c>
      <c r="AD86" s="8">
        <f t="shared" si="24"/>
        <v>4.3814776578443571E-5</v>
      </c>
      <c r="AE86" s="8">
        <f t="shared" si="32"/>
        <v>0.328369140625</v>
      </c>
      <c r="AF86" s="8">
        <f t="shared" si="25"/>
        <v>-2.0849812160411707E-4</v>
      </c>
      <c r="AG86" s="8">
        <f t="shared" si="26"/>
        <v>0.3282470703125</v>
      </c>
      <c r="AH86" s="8">
        <f t="shared" si="27"/>
        <v>-8.2343175921262279E-5</v>
      </c>
      <c r="AI86" s="8">
        <f t="shared" si="28"/>
        <v>-3.6078478557495809E-9</v>
      </c>
      <c r="AJ86" s="8">
        <f t="shared" si="29"/>
        <v>1.7168397506500549E-8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0.328125</v>
      </c>
      <c r="AD87" s="8">
        <f t="shared" si="24"/>
        <v>4.3814776578443571E-5</v>
      </c>
      <c r="AE87" s="8">
        <f t="shared" si="32"/>
        <v>0.3282470703125</v>
      </c>
      <c r="AF87" s="8">
        <f t="shared" si="25"/>
        <v>-8.2343175921262279E-5</v>
      </c>
      <c r="AG87" s="8">
        <f t="shared" si="26"/>
        <v>0.32818603515625</v>
      </c>
      <c r="AH87" s="8">
        <f t="shared" si="27"/>
        <v>-1.9264575730204569E-5</v>
      </c>
      <c r="AI87" s="8">
        <f t="shared" si="28"/>
        <v>-8.4407308149741966E-10</v>
      </c>
      <c r="AJ87" s="8">
        <f t="shared" si="29"/>
        <v>1.5863063484007147E-9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0.328125</v>
      </c>
      <c r="AD88" s="8">
        <f t="shared" si="24"/>
        <v>4.3814776578443571E-5</v>
      </c>
      <c r="AE88" s="8">
        <f t="shared" si="32"/>
        <v>0.32818603515625</v>
      </c>
      <c r="AF88" s="8">
        <f t="shared" si="25"/>
        <v>-1.9264575730204569E-5</v>
      </c>
      <c r="AG88" s="8">
        <f t="shared" si="26"/>
        <v>0.328155517578125</v>
      </c>
      <c r="AH88" s="8">
        <f t="shared" si="27"/>
        <v>1.2275006383566378E-5</v>
      </c>
      <c r="AI88" s="8">
        <f t="shared" si="28"/>
        <v>5.3782666219492945E-10</v>
      </c>
      <c r="AJ88" s="8">
        <f t="shared" si="29"/>
        <v>-2.3647279006495899E-10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0.328155517578125</v>
      </c>
      <c r="AD89" s="8">
        <f t="shared" si="24"/>
        <v>1.2275006383566378E-5</v>
      </c>
      <c r="AE89" s="8">
        <f t="shared" si="32"/>
        <v>0.32818603515625</v>
      </c>
      <c r="AF89" s="8">
        <f t="shared" si="25"/>
        <v>-1.9264575730204569E-5</v>
      </c>
      <c r="AG89" s="8">
        <f t="shared" si="26"/>
        <v>0.3281707763671875</v>
      </c>
      <c r="AH89" s="8">
        <f t="shared" si="27"/>
        <v>-3.4948081802377295E-6</v>
      </c>
      <c r="AI89" s="8">
        <f t="shared" si="28"/>
        <v>-4.2898792721758126E-11</v>
      </c>
      <c r="AJ89" s="8">
        <f t="shared" si="29"/>
        <v>6.7325996850728161E-11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0.328155517578125</v>
      </c>
      <c r="AD90" s="8">
        <f t="shared" si="24"/>
        <v>1.2275006383566378E-5</v>
      </c>
      <c r="AE90" s="8">
        <f t="shared" si="32"/>
        <v>0.3281707763671875</v>
      </c>
      <c r="AF90" s="8">
        <f t="shared" si="25"/>
        <v>-3.4948081802377295E-6</v>
      </c>
      <c r="AG90" s="8">
        <f t="shared" si="26"/>
        <v>0.32816314697265625</v>
      </c>
      <c r="AH90" s="8">
        <f t="shared" si="27"/>
        <v>4.3900932245044544E-6</v>
      </c>
      <c r="AI90" s="8">
        <f t="shared" si="28"/>
        <v>5.3888422355243682E-11</v>
      </c>
      <c r="AJ90" s="8">
        <f t="shared" si="29"/>
        <v>-1.5342533713004398E-11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0.32816314697265625</v>
      </c>
      <c r="AD91" s="8">
        <f t="shared" si="24"/>
        <v>4.3900932245044544E-6</v>
      </c>
      <c r="AE91" s="8">
        <f t="shared" si="32"/>
        <v>0.3281707763671875</v>
      </c>
      <c r="AF91" s="8">
        <f t="shared" si="25"/>
        <v>-3.4948081802377295E-6</v>
      </c>
      <c r="AG91" s="8">
        <f t="shared" si="26"/>
        <v>0.32816696166992188</v>
      </c>
      <c r="AH91" s="8">
        <f t="shared" si="27"/>
        <v>4.4764105289196721E-7</v>
      </c>
      <c r="AI91" s="8">
        <f t="shared" si="28"/>
        <v>1.9651859533110652E-12</v>
      </c>
      <c r="AJ91" s="8">
        <f t="shared" si="29"/>
        <v>-1.5644196134570771E-12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0.32816696166992188</v>
      </c>
      <c r="AD92" s="8">
        <f t="shared" si="24"/>
        <v>4.4764105289196721E-7</v>
      </c>
      <c r="AE92" s="8">
        <f t="shared" si="32"/>
        <v>0.3281707763671875</v>
      </c>
      <c r="AF92" s="8">
        <f t="shared" si="25"/>
        <v>-3.4948081802377295E-6</v>
      </c>
      <c r="AG92" s="8">
        <f t="shared" si="26"/>
        <v>0.32816886901855469</v>
      </c>
      <c r="AH92" s="8">
        <f t="shared" si="27"/>
        <v>-1.5235839309624133E-6</v>
      </c>
      <c r="AI92" s="8">
        <f t="shared" si="28"/>
        <v>-6.8201871502529701E-13</v>
      </c>
      <c r="AJ92" s="8">
        <f t="shared" si="29"/>
        <v>5.324633585206198E-12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0.32816696166992188</v>
      </c>
      <c r="AD93" s="8">
        <f t="shared" si="24"/>
        <v>4.4764105289196721E-7</v>
      </c>
      <c r="AE93" s="8">
        <f t="shared" si="32"/>
        <v>0.32816886901855469</v>
      </c>
      <c r="AF93" s="8">
        <f t="shared" si="25"/>
        <v>-1.5235839309624133E-6</v>
      </c>
      <c r="AG93" s="8">
        <f t="shared" si="26"/>
        <v>0.32816791534423828</v>
      </c>
      <c r="AH93" s="8">
        <f t="shared" si="27"/>
        <v>-5.379715308229116E-7</v>
      </c>
      <c r="AI93" s="8">
        <f t="shared" si="28"/>
        <v>-2.4081814248347154E-13</v>
      </c>
      <c r="AJ93" s="8">
        <f t="shared" si="29"/>
        <v>8.1964477967703878E-13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0.32816696166992188</v>
      </c>
      <c r="AD94" s="8">
        <f t="shared" si="24"/>
        <v>4.4764105289196721E-7</v>
      </c>
      <c r="AE94" s="8">
        <f t="shared" si="32"/>
        <v>0.32816791534423828</v>
      </c>
      <c r="AF94" s="8">
        <f t="shared" si="25"/>
        <v>-5.379715308229116E-7</v>
      </c>
      <c r="AG94" s="8">
        <f t="shared" si="26"/>
        <v>0.32816743850708008</v>
      </c>
      <c r="AH94" s="8">
        <f t="shared" si="27"/>
        <v>-4.5165261919333233E-8</v>
      </c>
      <c r="AI94" s="8">
        <f t="shared" si="28"/>
        <v>-2.0217825399711799E-14</v>
      </c>
      <c r="AJ94" s="8">
        <f t="shared" si="29"/>
        <v>2.4297625094761455E-14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0.32816696166992188</v>
      </c>
      <c r="AD95" s="8">
        <f t="shared" si="24"/>
        <v>4.4764105289196721E-7</v>
      </c>
      <c r="AE95" s="8">
        <f t="shared" si="32"/>
        <v>0.32816743850708008</v>
      </c>
      <c r="AF95" s="8">
        <f t="shared" si="25"/>
        <v>-4.5165261919333233E-8</v>
      </c>
      <c r="AG95" s="8">
        <f t="shared" si="26"/>
        <v>0.32816720008850098</v>
      </c>
      <c r="AH95" s="8">
        <f t="shared" si="27"/>
        <v>2.0123788974091283E-7</v>
      </c>
      <c r="AI95" s="8">
        <f t="shared" si="28"/>
        <v>9.0082340845379824E-14</v>
      </c>
      <c r="AJ95" s="8">
        <f t="shared" si="29"/>
        <v>-9.0889619982422299E-15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0.32816720008850098</v>
      </c>
      <c r="AD96" s="8">
        <f t="shared" si="24"/>
        <v>2.0123788974091283E-7</v>
      </c>
      <c r="AE96" s="8">
        <f t="shared" si="32"/>
        <v>0.32816743850708008</v>
      </c>
      <c r="AF96" s="8">
        <f t="shared" si="25"/>
        <v>-4.5165261919333233E-8</v>
      </c>
      <c r="AG96" s="8">
        <f t="shared" si="26"/>
        <v>0.32816731929779053</v>
      </c>
      <c r="AH96" s="8">
        <f t="shared" si="27"/>
        <v>7.8036312467499869E-8</v>
      </c>
      <c r="AI96" s="8">
        <f t="shared" si="28"/>
        <v>1.5703862844122159E-14</v>
      </c>
      <c r="AJ96" s="8">
        <f t="shared" si="29"/>
        <v>-3.5245304918135609E-15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0.32816731929779053</v>
      </c>
      <c r="AD97" s="8">
        <f t="shared" si="24"/>
        <v>7.8036312467499869E-8</v>
      </c>
      <c r="AE97" s="8">
        <f t="shared" si="32"/>
        <v>0.32816743850708008</v>
      </c>
      <c r="AF97" s="8">
        <f t="shared" si="25"/>
        <v>-4.5165261919333233E-8</v>
      </c>
      <c r="AG97" s="8">
        <f t="shared" si="26"/>
        <v>0.3281673789024353</v>
      </c>
      <c r="AH97" s="8">
        <f t="shared" si="27"/>
        <v>1.6435524941016411E-8</v>
      </c>
      <c r="AI97" s="8">
        <f t="shared" si="28"/>
        <v>1.282567759864544E-15</v>
      </c>
      <c r="AJ97" s="8">
        <f t="shared" si="29"/>
        <v>-7.4231478874274007E-16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0.3281673789024353</v>
      </c>
      <c r="AD98" s="8">
        <f t="shared" si="24"/>
        <v>1.6435524941016411E-8</v>
      </c>
      <c r="AE98" s="8">
        <f t="shared" si="32"/>
        <v>0.32816743850708008</v>
      </c>
      <c r="AF98" s="8">
        <f t="shared" si="25"/>
        <v>-4.5165261919333233E-8</v>
      </c>
      <c r="AG98" s="8">
        <f t="shared" si="26"/>
        <v>0.32816740870475769</v>
      </c>
      <c r="AH98" s="8">
        <f t="shared" si="27"/>
        <v>-1.4364868572425138E-8</v>
      </c>
      <c r="AI98" s="8">
        <f t="shared" si="28"/>
        <v>-2.3609415569651616E-16</v>
      </c>
      <c r="AJ98" s="8">
        <f t="shared" si="29"/>
        <v>6.4879305151037979E-16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0.3281673789024353</v>
      </c>
      <c r="AD99" s="8">
        <f t="shared" si="24"/>
        <v>1.6435524941016411E-8</v>
      </c>
      <c r="AE99" s="8">
        <f t="shared" si="32"/>
        <v>0.32816740870475769</v>
      </c>
      <c r="AF99" s="8">
        <f t="shared" si="25"/>
        <v>-1.4364868572425138E-8</v>
      </c>
      <c r="AG99" s="8">
        <f t="shared" si="26"/>
        <v>0.3281673938035965</v>
      </c>
      <c r="AH99" s="8">
        <f t="shared" si="27"/>
        <v>1.0353281565400607E-9</v>
      </c>
      <c r="AI99" s="8">
        <f t="shared" si="28"/>
        <v>1.7016161738950711E-17</v>
      </c>
      <c r="AJ99" s="8">
        <f t="shared" si="29"/>
        <v>-1.4872352898029172E-17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0.3281673938035965</v>
      </c>
      <c r="AD100" s="8">
        <f t="shared" si="24"/>
        <v>1.0353281565400607E-9</v>
      </c>
      <c r="AE100" s="8">
        <f t="shared" si="32"/>
        <v>0.32816740870475769</v>
      </c>
      <c r="AF100" s="8">
        <f t="shared" si="25"/>
        <v>-1.4364868572425138E-8</v>
      </c>
      <c r="AG100" s="8">
        <f t="shared" si="26"/>
        <v>0.32816740125417709</v>
      </c>
      <c r="AH100" s="8">
        <f t="shared" si="27"/>
        <v>-6.6647702356981142E-9</v>
      </c>
      <c r="AI100" s="8">
        <f t="shared" si="28"/>
        <v>-6.9002242818883946E-18</v>
      </c>
      <c r="AJ100" s="8">
        <f t="shared" si="29"/>
        <v>9.5738548501214317E-17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0.3281673938035965</v>
      </c>
      <c r="AD101" s="8">
        <f t="shared" si="24"/>
        <v>1.0353281565400607E-9</v>
      </c>
      <c r="AE101" s="8">
        <f t="shared" si="32"/>
        <v>0.32816740125417709</v>
      </c>
      <c r="AF101" s="8">
        <f t="shared" si="25"/>
        <v>-6.6647702356981142E-9</v>
      </c>
      <c r="AG101" s="8">
        <f t="shared" si="26"/>
        <v>0.3281673975288868</v>
      </c>
      <c r="AH101" s="8">
        <f t="shared" si="27"/>
        <v>-2.8147210673346024E-9</v>
      </c>
      <c r="AI101" s="8">
        <f t="shared" si="28"/>
        <v>-2.914159973818006E-18</v>
      </c>
      <c r="AJ101" s="8">
        <f t="shared" si="29"/>
        <v>1.8759469191364085E-17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0.3281673938035965</v>
      </c>
      <c r="AD102" s="8">
        <f t="shared" si="24"/>
        <v>1.0353281565400607E-9</v>
      </c>
      <c r="AE102" s="8">
        <f t="shared" si="32"/>
        <v>0.3281673975288868</v>
      </c>
      <c r="AF102" s="8">
        <f t="shared" si="25"/>
        <v>-2.8147210673346024E-9</v>
      </c>
      <c r="AG102" s="8">
        <f t="shared" si="26"/>
        <v>0.32816739566624165</v>
      </c>
      <c r="AH102" s="8">
        <f t="shared" si="27"/>
        <v>-8.8969642764169521E-10</v>
      </c>
      <c r="AI102" s="8">
        <f t="shared" si="28"/>
        <v>-9.2112776231055382E-19</v>
      </c>
      <c r="AJ102" s="8">
        <f t="shared" si="29"/>
        <v>2.5042472784154152E-18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0.3281673938035965</v>
      </c>
      <c r="AD103" s="8">
        <f t="shared" si="24"/>
        <v>1.0353281565400607E-9</v>
      </c>
      <c r="AE103" s="8">
        <f t="shared" si="32"/>
        <v>0.32816739566624165</v>
      </c>
      <c r="AF103" s="8">
        <f t="shared" si="25"/>
        <v>-8.8969642764169521E-10</v>
      </c>
      <c r="AG103" s="8">
        <f t="shared" si="26"/>
        <v>0.32816739473491907</v>
      </c>
      <c r="AH103" s="8">
        <f t="shared" si="27"/>
        <v>7.2815864449182754E-11</v>
      </c>
      <c r="AI103" s="8">
        <f t="shared" si="28"/>
        <v>7.5388314707043325E-20</v>
      </c>
      <c r="AJ103" s="8">
        <f t="shared" si="29"/>
        <v>-6.4784014476079811E-20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0.32816739473491907</v>
      </c>
      <c r="AD104" s="8">
        <f t="shared" si="24"/>
        <v>7.2815864449182754E-11</v>
      </c>
      <c r="AE104" s="8">
        <f t="shared" si="32"/>
        <v>0.32816739566624165</v>
      </c>
      <c r="AF104" s="8">
        <f t="shared" si="25"/>
        <v>-8.8969642764169521E-10</v>
      </c>
      <c r="AG104" s="8">
        <f t="shared" si="26"/>
        <v>0.32816739520058036</v>
      </c>
      <c r="AH104" s="8">
        <f t="shared" si="27"/>
        <v>-4.0844028159625623E-10</v>
      </c>
      <c r="AI104" s="8">
        <f t="shared" si="28"/>
        <v>-2.9740932180299027E-20</v>
      </c>
      <c r="AJ104" s="8">
        <f t="shared" si="29"/>
        <v>3.6338785944115719E-19</v>
      </c>
      <c r="AK104" s="8">
        <f t="shared" si="30"/>
        <v>9.3132257461547852E-10</v>
      </c>
    </row>
  </sheetData>
  <mergeCells count="26">
    <mergeCell ref="B1:D1"/>
    <mergeCell ref="B3:D3"/>
    <mergeCell ref="F3:H3"/>
    <mergeCell ref="J3:L3"/>
    <mergeCell ref="N3:P3"/>
    <mergeCell ref="B39:D39"/>
    <mergeCell ref="V3:X3"/>
    <mergeCell ref="J10:L10"/>
    <mergeCell ref="F12:H12"/>
    <mergeCell ref="B16:D16"/>
    <mergeCell ref="N18:P18"/>
    <mergeCell ref="R18:T18"/>
    <mergeCell ref="V18:X18"/>
    <mergeCell ref="R3:T3"/>
    <mergeCell ref="B20:D20"/>
    <mergeCell ref="F25:H25"/>
    <mergeCell ref="B27:D27"/>
    <mergeCell ref="F32:H32"/>
    <mergeCell ref="B34:D34"/>
    <mergeCell ref="B71:D71"/>
    <mergeCell ref="J42:L42"/>
    <mergeCell ref="B45:D45"/>
    <mergeCell ref="F45:H45"/>
    <mergeCell ref="B48:D48"/>
    <mergeCell ref="B53:D53"/>
    <mergeCell ref="B59:D59"/>
  </mergeCells>
  <conditionalFormatting sqref="K32">
    <cfRule type="containsText" dxfId="23" priority="1" operator="containsText" text="FALSE">
      <formula>NOT(ISERROR(SEARCH("FALSE",K32)))</formula>
    </cfRule>
    <cfRule type="containsText" dxfId="22" priority="2" operator="containsText" text="TRUE">
      <formula>NOT(ISERROR(SEARCH("TRUE",K32)))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NOT(ISERROR(SEARCH("YES",K32)))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V104"/>
  <sheetViews>
    <sheetView workbookViewId="0">
      <selection activeCell="K17" sqref="K17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4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2" style="20" customWidth="1"/>
    <col min="19" max="19" width="10.83203125" style="20"/>
    <col min="20" max="20" width="6.33203125" style="20" customWidth="1"/>
    <col min="21" max="21" width="6.1640625" style="20" customWidth="1"/>
    <col min="22" max="22" width="12.3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65" t="s">
        <v>0</v>
      </c>
      <c r="C1" s="65"/>
      <c r="D1" s="65"/>
    </row>
    <row r="2" spans="2:48" x14ac:dyDescent="0.2">
      <c r="AB2" s="32" t="s">
        <v>141</v>
      </c>
      <c r="AM2" s="32" t="s">
        <v>104</v>
      </c>
    </row>
    <row r="3" spans="2:48" x14ac:dyDescent="0.2">
      <c r="B3" s="59" t="s">
        <v>98</v>
      </c>
      <c r="C3" s="60"/>
      <c r="D3" s="60"/>
      <c r="F3" s="59" t="s">
        <v>110</v>
      </c>
      <c r="G3" s="60"/>
      <c r="H3" s="60"/>
      <c r="J3" s="58" t="s">
        <v>157</v>
      </c>
      <c r="K3" s="58"/>
      <c r="L3" s="58"/>
      <c r="N3" s="58" t="s">
        <v>136</v>
      </c>
      <c r="O3" s="58"/>
      <c r="P3" s="58"/>
      <c r="R3" s="58" t="s">
        <v>134</v>
      </c>
      <c r="S3" s="58"/>
      <c r="T3" s="58"/>
      <c r="V3" s="58" t="s">
        <v>148</v>
      </c>
      <c r="W3" s="58"/>
      <c r="X3" s="58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</row>
    <row r="4" spans="2:48" x14ac:dyDescent="0.2">
      <c r="B4" s="20" t="s">
        <v>53</v>
      </c>
      <c r="C4" s="33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MAX(G6,G18,G34,G40)*1000</f>
        <v>262064.62606365449</v>
      </c>
      <c r="L4" s="20" t="s">
        <v>29</v>
      </c>
      <c r="N4" s="20" t="s">
        <v>37</v>
      </c>
      <c r="O4" s="20">
        <f xml:space="preserve"> 0.5 * $C$25 * $G$11^2</f>
        <v>1531.25</v>
      </c>
      <c r="P4" s="20" t="s">
        <v>38</v>
      </c>
      <c r="R4" s="20" t="s">
        <v>37</v>
      </c>
      <c r="S4" s="20">
        <f xml:space="preserve"> 0.5 * $C$25 * $C$17^2</f>
        <v>1531.25</v>
      </c>
      <c r="T4" s="20" t="s">
        <v>38</v>
      </c>
      <c r="V4" s="20" t="s">
        <v>37</v>
      </c>
      <c r="W4" s="20">
        <f xml:space="preserve"> 0.5 * $C$25 * $G$27^2</f>
        <v>1531.25</v>
      </c>
      <c r="X4" s="20" t="s">
        <v>38</v>
      </c>
      <c r="AB4" s="8">
        <v>0</v>
      </c>
      <c r="AC4" s="9">
        <v>0</v>
      </c>
      <c r="AD4" s="8">
        <f xml:space="preserve"> $C$18 * TAN($S$17/180*PI()) + $S$20 / (2 * SQRT($C$18^2 + AC4^2)) - AC4</f>
        <v>0.15635620800729341</v>
      </c>
      <c r="AE4" s="9">
        <v>1</v>
      </c>
      <c r="AF4" s="8">
        <f xml:space="preserve"> $C$18 * TAN($S$17/180*PI()) + $S$20 / (2 * SQRT($C$18^2 + AE4^2)) - AE4</f>
        <v>-0.85683358059050296</v>
      </c>
      <c r="AG4" s="8">
        <f xml:space="preserve"> (AC4 + AE4)/2</f>
        <v>0.5</v>
      </c>
      <c r="AH4" s="8">
        <f xml:space="preserve"> $C$18 * TAN($S$17/180*PI()) + $S$20 / (2 * SQRT($C$18^2 + AG4^2)) - AG4</f>
        <v>-0.35262952040008355</v>
      </c>
      <c r="AI4" s="8">
        <f>AD4*AH4</f>
        <v>-5.513581464118758E-2</v>
      </c>
      <c r="AJ4" s="8">
        <f>AF4*AH4</f>
        <v>0.30214481458631542</v>
      </c>
      <c r="AK4" s="8">
        <f>AE4-AC4</f>
        <v>1</v>
      </c>
      <c r="AM4" s="8">
        <v>0</v>
      </c>
      <c r="AN4" s="8"/>
      <c r="AO4" s="8">
        <f>K27</f>
        <v>-7.2566308517707512E-10</v>
      </c>
      <c r="AP4" s="8"/>
      <c r="AQ4" s="8">
        <f>K27</f>
        <v>-7.2566308517707512E-10</v>
      </c>
      <c r="AR4" s="8"/>
      <c r="AS4" s="8">
        <f>K27</f>
        <v>-7.2566308517707512E-10</v>
      </c>
      <c r="AT4" s="8"/>
      <c r="AU4" s="8"/>
      <c r="AV4" s="8"/>
    </row>
    <row r="5" spans="2:48" x14ac:dyDescent="0.2">
      <c r="B5" s="20" t="s">
        <v>52</v>
      </c>
      <c r="C5" s="33">
        <v>4</v>
      </c>
      <c r="F5" t="s">
        <v>119</v>
      </c>
      <c r="G5" s="1">
        <v>152.4</v>
      </c>
      <c r="H5" t="s">
        <v>14</v>
      </c>
      <c r="J5" t="s">
        <v>159</v>
      </c>
      <c r="K5" s="20">
        <f>K4/$C$5</f>
        <v>65516.156515913623</v>
      </c>
      <c r="L5" s="20" t="s">
        <v>29</v>
      </c>
      <c r="N5" s="20" t="s">
        <v>55</v>
      </c>
      <c r="O5" s="20">
        <f xml:space="preserve"> 0.0327 * ($C$15*2.20462)^0.8903 * 0.3048^2</f>
        <v>2.4053733401157129</v>
      </c>
      <c r="P5" s="20" t="s">
        <v>18</v>
      </c>
      <c r="R5" s="20" t="s">
        <v>55</v>
      </c>
      <c r="S5" s="20">
        <f xml:space="preserve"> 0.0327 * ($C$15*2.20462)^0.8903 * 0.3048^2</f>
        <v>2.4053733401157129</v>
      </c>
      <c r="T5" s="20" t="s">
        <v>18</v>
      </c>
      <c r="V5" s="20" t="s">
        <v>55</v>
      </c>
      <c r="W5" s="20">
        <f xml:space="preserve"> 0.0327 * ($C$15*2.20462)^0.8903 * 0.3048^2</f>
        <v>2.4053733401157129</v>
      </c>
      <c r="X5" s="20" t="s">
        <v>18</v>
      </c>
      <c r="AB5" s="8">
        <v>1</v>
      </c>
      <c r="AC5" s="8">
        <f>IF(AI4&gt;0, AG4, AC4)</f>
        <v>0</v>
      </c>
      <c r="AD5" s="8">
        <f t="shared" ref="AD5:AD34" si="0" xml:space="preserve"> $C$18 * TAN($S$17/180*PI()) + $S$20 / (2 * SQRT($C$18^2 + AC5^2)) - AC5</f>
        <v>0.15635620800729341</v>
      </c>
      <c r="AE5" s="8">
        <f>IF(AJ4&gt;0, AG4, AE4)</f>
        <v>0.5</v>
      </c>
      <c r="AF5" s="8">
        <f t="shared" ref="AF5:AF34" si="1" xml:space="preserve"> $C$18 * TAN($S$17/180*PI()) + $S$20 / (2 * SQRT($C$18^2 + AE5^2)) - AE5</f>
        <v>-0.35262952040008355</v>
      </c>
      <c r="AG5" s="8">
        <f t="shared" ref="AG5:AG34" si="2" xml:space="preserve"> (AC5 + AE5)/2</f>
        <v>0.25</v>
      </c>
      <c r="AH5" s="8">
        <f t="shared" ref="AH5:AH34" si="3" xml:space="preserve"> $C$18 * TAN($S$17/180*PI()) + $S$20 / (2 * SQRT($C$18^2 + AG5^2)) - AG5</f>
        <v>-9.7933560116116786E-2</v>
      </c>
      <c r="AI5" s="8">
        <f t="shared" ref="AI5:AI34" si="4">AD5*AH5</f>
        <v>-1.5312520096410331E-2</v>
      </c>
      <c r="AJ5" s="8">
        <f t="shared" ref="AJ5:AJ34" si="5">AF5*AH5</f>
        <v>3.4534264334819015E-2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5"/>
        <v>-194.19791084764722</v>
      </c>
      <c r="AP5" s="9">
        <v>2500</v>
      </c>
      <c r="AQ5" s="8">
        <f t="dataTable" ref="AQ5:AQ44" dt2D="0" dtr="0" r1="C15" ca="1"/>
        <v>916.2311981538021</v>
      </c>
      <c r="AR5" s="8">
        <f>(AN5+AP5)/2</f>
        <v>1500</v>
      </c>
      <c r="AS5" s="8">
        <f t="dataTable" ref="AS5:AS44" dt2D="0" dtr="0" r1="C15" ca="1"/>
        <v>397.09566402420842</v>
      </c>
      <c r="AT5" s="8">
        <f>AO5*AS5</f>
        <v>-77115.1483601605</v>
      </c>
      <c r="AU5" s="8">
        <f>AQ5*AS5</f>
        <v>363831.43603058014</v>
      </c>
      <c r="AV5" s="8">
        <f>AP5-AN5</f>
        <v>2000</v>
      </c>
    </row>
    <row r="6" spans="2:48" x14ac:dyDescent="0.2">
      <c r="B6" s="20" t="s">
        <v>2</v>
      </c>
      <c r="C6" s="33">
        <v>0.13</v>
      </c>
      <c r="F6" t="s">
        <v>112</v>
      </c>
      <c r="G6" s="20">
        <f xml:space="preserve"> 1/1000 * ($C$15*$C$26)/$C$7 * ( ($G$4/2) + SQRT( ($G$4/2)^2 + ($C$15*$C$26)/(2*$C$25*$C$5*PI()*$C$16*$C$16 ) ) )</f>
        <v>129.34149002120375</v>
      </c>
      <c r="H6" s="20" t="s">
        <v>162</v>
      </c>
      <c r="N6" s="20" t="s">
        <v>56</v>
      </c>
      <c r="O6" s="20">
        <f xml:space="preserve"> O5 / ($C$5 * PI() * $C$16^2)</f>
        <v>8.5072679346861885E-2</v>
      </c>
      <c r="R6" s="20" t="s">
        <v>56</v>
      </c>
      <c r="S6" s="20">
        <f xml:space="preserve"> S5 / ($C$5 * PI() * $C$16^2)</f>
        <v>8.5072679346861885E-2</v>
      </c>
      <c r="V6" s="20" t="s">
        <v>56</v>
      </c>
      <c r="W6" s="20">
        <f xml:space="preserve"> W5 / ($C$5 * PI() * $C$16^2)</f>
        <v>8.5072679346861885E-2</v>
      </c>
      <c r="AB6" s="8">
        <v>2</v>
      </c>
      <c r="AC6" s="8">
        <f t="shared" ref="AC6:AC34" si="7">IF(AI5&gt;0, AG5, AC5)</f>
        <v>0</v>
      </c>
      <c r="AD6" s="8">
        <f t="shared" si="0"/>
        <v>0.15635620800729341</v>
      </c>
      <c r="AE6" s="8">
        <f t="shared" ref="AE6:AE34" si="8">IF(AJ5&gt;0, AG5, AE5)</f>
        <v>0.25</v>
      </c>
      <c r="AF6" s="8">
        <f t="shared" si="1"/>
        <v>-9.7933560116116786E-2</v>
      </c>
      <c r="AG6" s="8">
        <f t="shared" si="2"/>
        <v>0.125</v>
      </c>
      <c r="AH6" s="8">
        <f t="shared" si="3"/>
        <v>2.9932513188519583E-2</v>
      </c>
      <c r="AI6" s="8">
        <f t="shared" si="4"/>
        <v>4.6801342582852212E-3</v>
      </c>
      <c r="AJ6" s="8">
        <f t="shared" si="5"/>
        <v>-2.931397579774341E-3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-194.19791084764722</v>
      </c>
      <c r="AP6" s="8">
        <f>IF(AU5&gt;0, AR5, AP5)</f>
        <v>1500</v>
      </c>
      <c r="AQ6" s="8">
        <v>397.09566402420842</v>
      </c>
      <c r="AR6" s="8">
        <f t="shared" ref="AR6:AR44" si="9">(AN6+AP6)/2</f>
        <v>1000</v>
      </c>
      <c r="AS6" s="8">
        <v>109.62358935055295</v>
      </c>
      <c r="AT6" s="8">
        <f t="shared" ref="AT6:AT44" si="10">AO6*AS6</f>
        <v>-21288.672031497772</v>
      </c>
      <c r="AU6" s="8">
        <f t="shared" ref="AU6:AU44" si="11">AQ6*AS6</f>
        <v>43531.052005874968</v>
      </c>
      <c r="AV6" s="8">
        <f t="shared" ref="AV6:AV44" si="12">AP6-AN6</f>
        <v>1000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2003.9590208648672</v>
      </c>
      <c r="H7" s="20" t="s">
        <v>31</v>
      </c>
      <c r="N7" s="20" t="s">
        <v>195</v>
      </c>
      <c r="O7" s="20">
        <f>$O$5/(0.3048^2)/($C$15*2.20462/1000)^(2/3)</f>
        <v>17.484154591942875</v>
      </c>
      <c r="R7" s="20" t="s">
        <v>57</v>
      </c>
      <c r="S7" s="20">
        <f xml:space="preserve"> S4 * S5</f>
        <v>3683.2279270521854</v>
      </c>
      <c r="T7" s="20" t="s">
        <v>31</v>
      </c>
      <c r="V7" s="20" t="s">
        <v>57</v>
      </c>
      <c r="W7" s="20">
        <f xml:space="preserve"> W4 * W5</f>
        <v>3683.2279270521854</v>
      </c>
      <c r="X7" s="20" t="s">
        <v>31</v>
      </c>
      <c r="AB7" s="8">
        <v>3</v>
      </c>
      <c r="AC7" s="8">
        <f t="shared" si="7"/>
        <v>0.125</v>
      </c>
      <c r="AD7" s="8">
        <f t="shared" si="0"/>
        <v>2.9932513188519583E-2</v>
      </c>
      <c r="AE7" s="8">
        <f t="shared" si="8"/>
        <v>0.25</v>
      </c>
      <c r="AF7" s="8">
        <f t="shared" si="1"/>
        <v>-9.7933560116116786E-2</v>
      </c>
      <c r="AG7" s="8">
        <f t="shared" si="2"/>
        <v>0.1875</v>
      </c>
      <c r="AH7" s="8">
        <f t="shared" si="3"/>
        <v>-3.3957044344132881E-2</v>
      </c>
      <c r="AI7" s="8">
        <f t="shared" si="4"/>
        <v>-1.0164196776739018E-3</v>
      </c>
      <c r="AJ7" s="8">
        <f t="shared" si="5"/>
        <v>3.325534243641781E-3</v>
      </c>
      <c r="AK7" s="8">
        <f t="shared" si="6"/>
        <v>0.125</v>
      </c>
      <c r="AM7" s="8">
        <v>3</v>
      </c>
      <c r="AN7" s="8">
        <f t="shared" ref="AN7:AN44" si="13">IF(AT6&gt;0, AR6, AN6)</f>
        <v>500</v>
      </c>
      <c r="AO7" s="8">
        <v>-194.19791084764722</v>
      </c>
      <c r="AP7" s="8">
        <f t="shared" ref="AP7:AP44" si="14">IF(AU6&gt;0, AR6, AP6)</f>
        <v>1000</v>
      </c>
      <c r="AQ7" s="8">
        <v>109.62358935055295</v>
      </c>
      <c r="AR7" s="8">
        <f t="shared" si="9"/>
        <v>750</v>
      </c>
      <c r="AS7" s="8">
        <v>-40.922532503811738</v>
      </c>
      <c r="AT7" s="8">
        <f t="shared" si="10"/>
        <v>7947.0703188351772</v>
      </c>
      <c r="AU7" s="8">
        <f t="shared" si="11"/>
        <v>-4486.0748983825133</v>
      </c>
      <c r="AV7" s="8">
        <f t="shared" si="12"/>
        <v>500</v>
      </c>
    </row>
    <row r="8" spans="2:48" x14ac:dyDescent="0.2">
      <c r="F8" t="s">
        <v>120</v>
      </c>
      <c r="G8" s="24">
        <f>$G$5/$G$4</f>
        <v>60</v>
      </c>
      <c r="H8" s="20" t="s">
        <v>22</v>
      </c>
      <c r="J8" s="58" t="s">
        <v>34</v>
      </c>
      <c r="K8" s="58"/>
      <c r="L8" s="58"/>
      <c r="N8" s="20" t="s">
        <v>57</v>
      </c>
      <c r="O8" s="20">
        <f xml:space="preserve"> O4 * O5</f>
        <v>3683.2279270521854</v>
      </c>
      <c r="P8" s="20" t="s">
        <v>31</v>
      </c>
      <c r="R8" s="20" t="s">
        <v>60</v>
      </c>
      <c r="S8" s="20">
        <f xml:space="preserve"> S7</f>
        <v>3683.2279270521854</v>
      </c>
      <c r="T8" s="20" t="s">
        <v>31</v>
      </c>
      <c r="V8" s="20" t="s">
        <v>60</v>
      </c>
      <c r="W8" s="20">
        <f xml:space="preserve"> W7</f>
        <v>3683.2279270521854</v>
      </c>
      <c r="X8" s="20" t="s">
        <v>31</v>
      </c>
      <c r="AB8" s="8">
        <v>4</v>
      </c>
      <c r="AC8" s="8">
        <f t="shared" si="7"/>
        <v>0.125</v>
      </c>
      <c r="AD8" s="8">
        <f t="shared" si="0"/>
        <v>2.9932513188519583E-2</v>
      </c>
      <c r="AE8" s="8">
        <f t="shared" si="8"/>
        <v>0.1875</v>
      </c>
      <c r="AF8" s="8">
        <f t="shared" si="1"/>
        <v>-3.3957044344132881E-2</v>
      </c>
      <c r="AG8" s="8">
        <f t="shared" si="2"/>
        <v>0.15625</v>
      </c>
      <c r="AH8" s="8">
        <f t="shared" si="3"/>
        <v>-1.9867898145275453E-3</v>
      </c>
      <c r="AI8" s="8">
        <f t="shared" si="4"/>
        <v>-5.9469612326162129E-5</v>
      </c>
      <c r="AJ8" s="8">
        <f t="shared" si="5"/>
        <v>6.7465509834383402E-5</v>
      </c>
      <c r="AK8" s="8">
        <f t="shared" si="6"/>
        <v>6.25E-2</v>
      </c>
      <c r="AM8" s="8">
        <v>4</v>
      </c>
      <c r="AN8" s="8">
        <f t="shared" si="13"/>
        <v>750</v>
      </c>
      <c r="AO8" s="8">
        <v>-40.922532503811738</v>
      </c>
      <c r="AP8" s="8">
        <f t="shared" si="14"/>
        <v>1000</v>
      </c>
      <c r="AQ8" s="8">
        <v>109.62358935055295</v>
      </c>
      <c r="AR8" s="8">
        <f t="shared" si="9"/>
        <v>875</v>
      </c>
      <c r="AS8" s="8">
        <v>34.802393067086655</v>
      </c>
      <c r="AT8" s="8">
        <f t="shared" si="10"/>
        <v>-1424.202061498286</v>
      </c>
      <c r="AU8" s="8">
        <f t="shared" si="11"/>
        <v>3815.1632460028382</v>
      </c>
      <c r="AV8" s="8">
        <f t="shared" si="12"/>
        <v>250</v>
      </c>
    </row>
    <row r="9" spans="2:48" x14ac:dyDescent="0.2">
      <c r="B9" s="59" t="s">
        <v>6</v>
      </c>
      <c r="C9" s="60"/>
      <c r="D9" s="60"/>
      <c r="F9"/>
      <c r="G9" s="24"/>
      <c r="J9" s="20" t="s">
        <v>153</v>
      </c>
      <c r="K9" s="20">
        <f xml:space="preserve"> (G6*G8 + G18*G19 + G23*G24 + G34*G35 + G40*G42)/3600</f>
        <v>18.84940038643898</v>
      </c>
      <c r="L9" s="20" t="s">
        <v>163</v>
      </c>
      <c r="N9" s="20" t="s">
        <v>60</v>
      </c>
      <c r="O9" s="20">
        <f xml:space="preserve"> O8</f>
        <v>3683.2279270521854</v>
      </c>
      <c r="P9" s="20" t="s">
        <v>31</v>
      </c>
      <c r="AB9" s="8">
        <v>5</v>
      </c>
      <c r="AC9" s="8">
        <f t="shared" si="7"/>
        <v>0.125</v>
      </c>
      <c r="AD9" s="8">
        <f t="shared" si="0"/>
        <v>2.9932513188519583E-2</v>
      </c>
      <c r="AE9" s="8">
        <f t="shared" si="8"/>
        <v>0.15625</v>
      </c>
      <c r="AF9" s="8">
        <f t="shared" si="1"/>
        <v>-1.9867898145275453E-3</v>
      </c>
      <c r="AG9" s="8">
        <f t="shared" si="2"/>
        <v>0.140625</v>
      </c>
      <c r="AH9" s="8">
        <f t="shared" si="3"/>
        <v>1.3981438907816002E-2</v>
      </c>
      <c r="AI9" s="8">
        <f t="shared" si="4"/>
        <v>4.1849960450268328E-4</v>
      </c>
      <c r="AJ9" s="8">
        <f t="shared" si="5"/>
        <v>-2.7778180414487959E-5</v>
      </c>
      <c r="AK9" s="8">
        <f t="shared" si="6"/>
        <v>3.125E-2</v>
      </c>
      <c r="AM9" s="8">
        <v>5</v>
      </c>
      <c r="AN9" s="8">
        <f t="shared" si="13"/>
        <v>750</v>
      </c>
      <c r="AO9" s="8">
        <v>-40.922532503811738</v>
      </c>
      <c r="AP9" s="8">
        <f t="shared" si="14"/>
        <v>875</v>
      </c>
      <c r="AQ9" s="8">
        <v>34.802393067086655</v>
      </c>
      <c r="AR9" s="8">
        <f t="shared" si="9"/>
        <v>812.5</v>
      </c>
      <c r="AS9" s="8">
        <v>-2.9607612968694639</v>
      </c>
      <c r="AT9" s="8">
        <f t="shared" si="10"/>
        <v>121.16185040716843</v>
      </c>
      <c r="AU9" s="8">
        <f t="shared" si="11"/>
        <v>-103.04157843146832</v>
      </c>
      <c r="AV9" s="8">
        <f t="shared" si="12"/>
        <v>125</v>
      </c>
    </row>
    <row r="10" spans="2:48" x14ac:dyDescent="0.2">
      <c r="B10" s="20" t="s">
        <v>7</v>
      </c>
      <c r="C10" s="33">
        <v>250</v>
      </c>
      <c r="D10" s="20" t="s">
        <v>8</v>
      </c>
      <c r="F10" s="63" t="s">
        <v>124</v>
      </c>
      <c r="G10" s="64"/>
      <c r="H10" s="64"/>
      <c r="J10" s="20" t="s">
        <v>35</v>
      </c>
      <c r="K10" s="20">
        <f xml:space="preserve"> (G8 + G19 + G24 + G35 + G42)/60</f>
        <v>6.004131050868561</v>
      </c>
      <c r="L10" s="20" t="s">
        <v>164</v>
      </c>
      <c r="AB10" s="8">
        <v>6</v>
      </c>
      <c r="AC10" s="8">
        <f t="shared" si="7"/>
        <v>0.140625</v>
      </c>
      <c r="AD10" s="8">
        <f t="shared" si="0"/>
        <v>1.3981438907816002E-2</v>
      </c>
      <c r="AE10" s="8">
        <f t="shared" si="8"/>
        <v>0.15625</v>
      </c>
      <c r="AF10" s="8">
        <f t="shared" si="1"/>
        <v>-1.9867898145275453E-3</v>
      </c>
      <c r="AG10" s="8">
        <f t="shared" si="2"/>
        <v>0.1484375</v>
      </c>
      <c r="AH10" s="8">
        <f t="shared" si="3"/>
        <v>5.9991780952749485E-3</v>
      </c>
      <c r="AI10" s="8">
        <f t="shared" si="4"/>
        <v>8.3877142036194651E-5</v>
      </c>
      <c r="AJ10" s="8">
        <f t="shared" si="5"/>
        <v>-1.1919105935229028E-5</v>
      </c>
      <c r="AK10" s="8">
        <f t="shared" si="6"/>
        <v>1.5625E-2</v>
      </c>
      <c r="AM10" s="8">
        <v>6</v>
      </c>
      <c r="AN10" s="8">
        <f t="shared" si="13"/>
        <v>812.5</v>
      </c>
      <c r="AO10" s="8">
        <v>-2.9607612968694639</v>
      </c>
      <c r="AP10" s="8">
        <f t="shared" si="14"/>
        <v>875</v>
      </c>
      <c r="AQ10" s="8">
        <v>34.802393067086655</v>
      </c>
      <c r="AR10" s="8">
        <f t="shared" si="9"/>
        <v>843.75</v>
      </c>
      <c r="AS10" s="8">
        <v>15.947300729417179</v>
      </c>
      <c r="AT10" s="8">
        <f t="shared" si="10"/>
        <v>-47.216150789196554</v>
      </c>
      <c r="AU10" s="8">
        <f t="shared" si="11"/>
        <v>555.00422834421443</v>
      </c>
      <c r="AV10" s="8">
        <f t="shared" si="12"/>
        <v>62.5</v>
      </c>
    </row>
    <row r="11" spans="2:48" x14ac:dyDescent="0.2">
      <c r="B11" s="20" t="s">
        <v>9</v>
      </c>
      <c r="C11" s="33">
        <v>0.85</v>
      </c>
      <c r="F11" s="4" t="s">
        <v>154</v>
      </c>
      <c r="G11" s="1">
        <f>$C$17</f>
        <v>50</v>
      </c>
      <c r="H11" t="s">
        <v>16</v>
      </c>
      <c r="R11" s="59" t="s">
        <v>101</v>
      </c>
      <c r="S11" s="66"/>
      <c r="T11" s="66"/>
      <c r="V11" s="59" t="s">
        <v>101</v>
      </c>
      <c r="W11" s="66"/>
      <c r="X11" s="66"/>
      <c r="AB11" s="8">
        <v>7</v>
      </c>
      <c r="AC11" s="8">
        <f t="shared" si="7"/>
        <v>0.1484375</v>
      </c>
      <c r="AD11" s="8">
        <f t="shared" si="0"/>
        <v>5.9991780952749485E-3</v>
      </c>
      <c r="AE11" s="8">
        <f t="shared" si="8"/>
        <v>0.15625</v>
      </c>
      <c r="AF11" s="8">
        <f t="shared" si="1"/>
        <v>-1.9867898145275453E-3</v>
      </c>
      <c r="AG11" s="8">
        <f t="shared" si="2"/>
        <v>0.15234375</v>
      </c>
      <c r="AH11" s="8">
        <f t="shared" si="3"/>
        <v>2.0066223450862508E-3</v>
      </c>
      <c r="AI11" s="8">
        <f t="shared" si="4"/>
        <v>1.2038084818130684E-5</v>
      </c>
      <c r="AJ11" s="8">
        <f t="shared" si="5"/>
        <v>-3.9867368368207407E-6</v>
      </c>
      <c r="AK11" s="8">
        <f t="shared" si="6"/>
        <v>7.8125E-3</v>
      </c>
      <c r="AM11" s="8">
        <v>7</v>
      </c>
      <c r="AN11" s="8">
        <f t="shared" si="13"/>
        <v>812.5</v>
      </c>
      <c r="AO11" s="8">
        <v>-2.9607612968694639</v>
      </c>
      <c r="AP11" s="8">
        <f t="shared" si="14"/>
        <v>843.75</v>
      </c>
      <c r="AQ11" s="8">
        <v>15.947300729417179</v>
      </c>
      <c r="AR11" s="8">
        <f t="shared" si="9"/>
        <v>828.125</v>
      </c>
      <c r="AS11" s="8">
        <v>6.4996804994900685</v>
      </c>
      <c r="AT11" s="8">
        <f t="shared" si="10"/>
        <v>-19.244002464907378</v>
      </c>
      <c r="AU11" s="8">
        <f t="shared" si="11"/>
        <v>103.65235957049659</v>
      </c>
      <c r="AV11" s="8">
        <f t="shared" si="12"/>
        <v>31.25</v>
      </c>
    </row>
    <row r="12" spans="2:48" x14ac:dyDescent="0.2">
      <c r="B12" s="20" t="s">
        <v>10</v>
      </c>
      <c r="C12" s="33">
        <v>0.8</v>
      </c>
      <c r="F12" t="s">
        <v>126</v>
      </c>
      <c r="G12" s="1">
        <v>2.54</v>
      </c>
      <c r="H12" t="s">
        <v>16</v>
      </c>
      <c r="J12" s="59" t="s">
        <v>73</v>
      </c>
      <c r="K12" s="59"/>
      <c r="L12" s="59"/>
      <c r="N12" s="59" t="s">
        <v>101</v>
      </c>
      <c r="O12" s="66"/>
      <c r="P12" s="66"/>
      <c r="R12" s="20" t="s">
        <v>102</v>
      </c>
      <c r="S12" s="20">
        <f xml:space="preserve"> SQRT( ($C$15*$C$26)^2 + S8^2)</f>
        <v>8821.5529290203758</v>
      </c>
      <c r="T12" s="20" t="s">
        <v>31</v>
      </c>
      <c r="V12" s="20" t="s">
        <v>102</v>
      </c>
      <c r="W12" s="20">
        <f xml:space="preserve"> SQRT( (W8*COS(G32/180*PI()))^2 + ($C$15*$C$26 - W8*SIN(G32/180*PI()))^2 )</f>
        <v>8718.945109069291</v>
      </c>
      <c r="X12" s="20" t="s">
        <v>31</v>
      </c>
      <c r="AB12" s="8">
        <v>8</v>
      </c>
      <c r="AC12" s="8">
        <f t="shared" si="7"/>
        <v>0.15234375</v>
      </c>
      <c r="AD12" s="8">
        <f t="shared" si="0"/>
        <v>2.0066223450862508E-3</v>
      </c>
      <c r="AE12" s="8">
        <f t="shared" si="8"/>
        <v>0.15625</v>
      </c>
      <c r="AF12" s="8">
        <f t="shared" si="1"/>
        <v>-1.9867898145275453E-3</v>
      </c>
      <c r="AG12" s="8">
        <f t="shared" si="2"/>
        <v>0.154296875</v>
      </c>
      <c r="AH12" s="8">
        <f t="shared" si="3"/>
        <v>1.0018998959304692E-5</v>
      </c>
      <c r="AI12" s="8">
        <f t="shared" si="4"/>
        <v>2.0104347187136687E-8</v>
      </c>
      <c r="AJ12" s="8">
        <f t="shared" si="5"/>
        <v>-1.990564508410864E-8</v>
      </c>
      <c r="AK12" s="8">
        <f t="shared" si="6"/>
        <v>3.90625E-3</v>
      </c>
      <c r="AM12" s="8">
        <v>8</v>
      </c>
      <c r="AN12" s="8">
        <f t="shared" si="13"/>
        <v>812.5</v>
      </c>
      <c r="AO12" s="8">
        <v>-2.9607612968694639</v>
      </c>
      <c r="AP12" s="8">
        <f t="shared" si="14"/>
        <v>828.125</v>
      </c>
      <c r="AQ12" s="8">
        <v>6.4996804994900685</v>
      </c>
      <c r="AR12" s="8">
        <f t="shared" si="9"/>
        <v>820.3125</v>
      </c>
      <c r="AS12" s="8">
        <v>1.7710357698951498</v>
      </c>
      <c r="AT12" s="8">
        <f t="shared" si="10"/>
        <v>-5.2436141628769732</v>
      </c>
      <c r="AU12" s="8">
        <f t="shared" si="11"/>
        <v>11.511166657486886</v>
      </c>
      <c r="AV12" s="8">
        <f t="shared" si="12"/>
        <v>15.625</v>
      </c>
    </row>
    <row r="13" spans="2:48" x14ac:dyDescent="0.2">
      <c r="F13" t="s">
        <v>125</v>
      </c>
      <c r="G13" s="1">
        <v>304.8</v>
      </c>
      <c r="H13" t="s">
        <v>14</v>
      </c>
      <c r="J13" s="26" t="s">
        <v>109</v>
      </c>
      <c r="K13" s="20">
        <f>C15</f>
        <v>817.38780148771184</v>
      </c>
      <c r="L13" s="20" t="s">
        <v>12</v>
      </c>
      <c r="N13" s="20" t="s">
        <v>102</v>
      </c>
      <c r="O13" s="20">
        <f>SQRT((O9*COS(G16/180*PI()))^2 + (O9*SIN(G16/180*PI())+$C$15*$C$26)^2)</f>
        <v>8989.9638405139904</v>
      </c>
      <c r="P13" s="20" t="s">
        <v>31</v>
      </c>
      <c r="R13" s="20" t="s">
        <v>103</v>
      </c>
      <c r="S13" s="20">
        <f>$C$15*$C$26/S12</f>
        <v>0.90866496499609151</v>
      </c>
      <c r="V13" s="20" t="s">
        <v>156</v>
      </c>
      <c r="W13" s="20">
        <f xml:space="preserve"> ACOS(W8*COS(G32/180*PI())/W12) /PI() * 180</f>
        <v>65.023699056807104</v>
      </c>
      <c r="X13" s="20" t="s">
        <v>62</v>
      </c>
      <c r="AB13" s="8">
        <v>9</v>
      </c>
      <c r="AC13" s="8">
        <f t="shared" si="7"/>
        <v>0.154296875</v>
      </c>
      <c r="AD13" s="8">
        <f t="shared" si="0"/>
        <v>1.0018998959304692E-5</v>
      </c>
      <c r="AE13" s="8">
        <f t="shared" si="8"/>
        <v>0.15625</v>
      </c>
      <c r="AF13" s="8">
        <f t="shared" si="1"/>
        <v>-1.9867898145275453E-3</v>
      </c>
      <c r="AG13" s="8">
        <f t="shared" si="2"/>
        <v>0.1552734375</v>
      </c>
      <c r="AH13" s="8">
        <f t="shared" si="3"/>
        <v>-9.8836025882509393E-4</v>
      </c>
      <c r="AI13" s="8">
        <f t="shared" si="4"/>
        <v>-9.9023804045867318E-9</v>
      </c>
      <c r="AJ13" s="8">
        <f t="shared" si="5"/>
        <v>1.963664095317505E-6</v>
      </c>
      <c r="AK13" s="8">
        <f t="shared" si="6"/>
        <v>1.953125E-3</v>
      </c>
      <c r="AM13" s="8">
        <v>9</v>
      </c>
      <c r="AN13" s="8">
        <f t="shared" si="13"/>
        <v>812.5</v>
      </c>
      <c r="AO13" s="8">
        <v>-2.9607612968694639</v>
      </c>
      <c r="AP13" s="8">
        <f t="shared" si="14"/>
        <v>820.3125</v>
      </c>
      <c r="AQ13" s="8">
        <v>1.7710357698951498</v>
      </c>
      <c r="AR13" s="8">
        <f t="shared" si="9"/>
        <v>816.40625</v>
      </c>
      <c r="AS13" s="8">
        <v>-0.59447097468461152</v>
      </c>
      <c r="AT13" s="8">
        <f t="shared" si="10"/>
        <v>1.7600866539584645</v>
      </c>
      <c r="AU13" s="8">
        <f t="shared" si="11"/>
        <v>-1.0528293603308811</v>
      </c>
      <c r="AV13" s="8">
        <f t="shared" si="12"/>
        <v>7.8125</v>
      </c>
    </row>
    <row r="14" spans="2:48" x14ac:dyDescent="0.2">
      <c r="B14" s="58" t="s">
        <v>11</v>
      </c>
      <c r="C14" s="58"/>
      <c r="D14" s="58"/>
      <c r="F14" t="s">
        <v>127</v>
      </c>
      <c r="G14" s="24">
        <f>SQRT($G$11^2-$G$12^2)</f>
        <v>49.935442323063484</v>
      </c>
      <c r="H14" t="s">
        <v>16</v>
      </c>
      <c r="J14" s="27" t="s">
        <v>74</v>
      </c>
      <c r="K14" s="20">
        <f xml:space="preserve"> K9 * 1000 / ($C$10 * $C$11 * $C$12)</f>
        <v>110.87882580258223</v>
      </c>
      <c r="L14" s="20" t="s">
        <v>12</v>
      </c>
      <c r="N14" s="20" t="s">
        <v>156</v>
      </c>
      <c r="O14" s="20">
        <f>ACOS(O9*COS(G16/180*PI())/O13) /PI() *180</f>
        <v>65.846952917535447</v>
      </c>
      <c r="P14" s="20" t="s">
        <v>62</v>
      </c>
      <c r="AB14" s="8">
        <v>10</v>
      </c>
      <c r="AC14" s="8">
        <f t="shared" si="7"/>
        <v>0.154296875</v>
      </c>
      <c r="AD14" s="8">
        <f t="shared" si="0"/>
        <v>1.0018998959304692E-5</v>
      </c>
      <c r="AE14" s="8">
        <f t="shared" si="8"/>
        <v>0.1552734375</v>
      </c>
      <c r="AF14" s="8">
        <f t="shared" si="1"/>
        <v>-9.8836025882509393E-4</v>
      </c>
      <c r="AG14" s="8">
        <f t="shared" si="2"/>
        <v>0.15478515625</v>
      </c>
      <c r="AH14" s="8">
        <f t="shared" si="3"/>
        <v>-4.8916427612255564E-4</v>
      </c>
      <c r="AI14" s="8">
        <f t="shared" si="4"/>
        <v>-4.9009363734009179E-9</v>
      </c>
      <c r="AJ14" s="8">
        <f t="shared" si="5"/>
        <v>4.8347053055647877E-7</v>
      </c>
      <c r="AK14" s="8">
        <f t="shared" si="6"/>
        <v>9.765625E-4</v>
      </c>
      <c r="AM14" s="8">
        <v>10</v>
      </c>
      <c r="AN14" s="8">
        <f t="shared" si="13"/>
        <v>816.40625</v>
      </c>
      <c r="AO14" s="8">
        <v>-0.59447097468461152</v>
      </c>
      <c r="AP14" s="8">
        <f t="shared" si="14"/>
        <v>820.3125</v>
      </c>
      <c r="AQ14" s="8">
        <v>1.7710357698951498</v>
      </c>
      <c r="AR14" s="8">
        <f t="shared" si="9"/>
        <v>818.359375</v>
      </c>
      <c r="AS14" s="8">
        <v>0.58838050406018283</v>
      </c>
      <c r="AT14" s="8">
        <f t="shared" si="10"/>
        <v>-0.34977513173407992</v>
      </c>
      <c r="AU14" s="8">
        <f t="shared" si="11"/>
        <v>1.0420429189995222</v>
      </c>
      <c r="AV14" s="8">
        <f t="shared" si="12"/>
        <v>3.90625</v>
      </c>
    </row>
    <row r="15" spans="2:48" x14ac:dyDescent="0.2">
      <c r="B15" s="26" t="s">
        <v>54</v>
      </c>
      <c r="C15" s="26">
        <f>AR44</f>
        <v>817.38780148771184</v>
      </c>
      <c r="D15" s="26" t="s">
        <v>12</v>
      </c>
      <c r="F15" t="s">
        <v>128</v>
      </c>
      <c r="G15" s="24">
        <f>$G$14*($G$13/$G$12)</f>
        <v>5992.2530787676178</v>
      </c>
      <c r="H15" t="s">
        <v>14</v>
      </c>
      <c r="J15" s="28" t="s">
        <v>75</v>
      </c>
      <c r="K15" s="20">
        <f xml:space="preserve"> $C$27 * ($C$5 * $C$34 * (2*$C$16*3.28084 * (K5*0.00134102) * $C$33^0.5)^0.782 * 0.453592)</f>
        <v>77.646715052827886</v>
      </c>
      <c r="L15" s="20" t="s">
        <v>12</v>
      </c>
      <c r="AB15" s="8">
        <v>11</v>
      </c>
      <c r="AC15" s="8">
        <f t="shared" si="7"/>
        <v>0.154296875</v>
      </c>
      <c r="AD15" s="8">
        <f t="shared" si="0"/>
        <v>1.0018998959304692E-5</v>
      </c>
      <c r="AE15" s="8">
        <f t="shared" si="8"/>
        <v>0.15478515625</v>
      </c>
      <c r="AF15" s="8">
        <f t="shared" si="1"/>
        <v>-4.8916427612255564E-4</v>
      </c>
      <c r="AG15" s="8">
        <f t="shared" si="2"/>
        <v>0.154541015625</v>
      </c>
      <c r="AH15" s="8">
        <f t="shared" si="3"/>
        <v>-2.395710417868735E-4</v>
      </c>
      <c r="AI15" s="8">
        <f t="shared" si="4"/>
        <v>-2.4002620183422267E-9</v>
      </c>
      <c r="AJ15" s="8">
        <f t="shared" si="5"/>
        <v>1.171895952356025E-7</v>
      </c>
      <c r="AK15" s="8">
        <f t="shared" si="6"/>
        <v>4.8828125E-4</v>
      </c>
      <c r="AM15" s="8">
        <v>11</v>
      </c>
      <c r="AN15" s="8">
        <f t="shared" si="13"/>
        <v>816.40625</v>
      </c>
      <c r="AO15" s="8">
        <v>-0.59447097468461152</v>
      </c>
      <c r="AP15" s="8">
        <f t="shared" si="14"/>
        <v>818.359375</v>
      </c>
      <c r="AQ15" s="8">
        <v>0.58838050406018283</v>
      </c>
      <c r="AR15" s="8">
        <f t="shared" si="9"/>
        <v>817.3828125</v>
      </c>
      <c r="AS15" s="8">
        <v>-3.0215032367095773E-3</v>
      </c>
      <c r="AT15" s="8">
        <f t="shared" si="10"/>
        <v>1.796195974139451E-3</v>
      </c>
      <c r="AU15" s="8">
        <f t="shared" si="11"/>
        <v>-1.7777935974346551E-3</v>
      </c>
      <c r="AV15" s="8">
        <f t="shared" si="12"/>
        <v>1.953125</v>
      </c>
    </row>
    <row r="16" spans="2:48" x14ac:dyDescent="0.2">
      <c r="B16" s="20" t="s">
        <v>13</v>
      </c>
      <c r="C16" s="33">
        <v>1.5</v>
      </c>
      <c r="D16" s="20" t="s">
        <v>14</v>
      </c>
      <c r="F16" t="s">
        <v>152</v>
      </c>
      <c r="G16" s="24">
        <f>ATAN(G12/G14)/PI()*180</f>
        <v>2.9118789347687013</v>
      </c>
      <c r="H16" t="s">
        <v>62</v>
      </c>
      <c r="J16" s="29" t="s">
        <v>76</v>
      </c>
      <c r="K16" s="20">
        <f xml:space="preserve"> 0.2138 * (K4/1000)</f>
        <v>56.029417052409329</v>
      </c>
      <c r="L16" s="20" t="s">
        <v>12</v>
      </c>
      <c r="R16" s="59" t="s">
        <v>40</v>
      </c>
      <c r="S16" s="66"/>
      <c r="T16" s="66"/>
      <c r="V16" s="59" t="s">
        <v>40</v>
      </c>
      <c r="W16" s="66"/>
      <c r="X16" s="66"/>
      <c r="AB16" s="8">
        <v>12</v>
      </c>
      <c r="AC16" s="8">
        <f t="shared" si="7"/>
        <v>0.154296875</v>
      </c>
      <c r="AD16" s="8">
        <f t="shared" si="0"/>
        <v>1.0018998959304692E-5</v>
      </c>
      <c r="AE16" s="8">
        <f t="shared" si="8"/>
        <v>0.154541015625</v>
      </c>
      <c r="AF16" s="8">
        <f t="shared" si="1"/>
        <v>-2.395710417868735E-4</v>
      </c>
      <c r="AG16" s="8">
        <f t="shared" si="2"/>
        <v>0.1544189453125</v>
      </c>
      <c r="AH16" s="8">
        <f t="shared" si="3"/>
        <v>-1.1477562117101492E-4</v>
      </c>
      <c r="AI16" s="8">
        <f t="shared" si="4"/>
        <v>-1.1499368290659481E-9</v>
      </c>
      <c r="AJ16" s="8">
        <f t="shared" si="5"/>
        <v>2.7496915135675578E-8</v>
      </c>
      <c r="AK16" s="8">
        <f t="shared" si="6"/>
        <v>2.44140625E-4</v>
      </c>
      <c r="AM16" s="8">
        <v>12</v>
      </c>
      <c r="AN16" s="8">
        <f t="shared" si="13"/>
        <v>817.3828125</v>
      </c>
      <c r="AO16" s="8">
        <v>-3.0215032367095773E-3</v>
      </c>
      <c r="AP16" s="8">
        <f t="shared" si="14"/>
        <v>818.359375</v>
      </c>
      <c r="AQ16" s="8">
        <v>0.58838050406018283</v>
      </c>
      <c r="AR16" s="8">
        <f t="shared" si="9"/>
        <v>817.87109375</v>
      </c>
      <c r="AS16" s="8">
        <v>0.29268564014540743</v>
      </c>
      <c r="AT16" s="8">
        <f t="shared" si="10"/>
        <v>-8.8435060903776315E-4</v>
      </c>
      <c r="AU16" s="8">
        <f t="shared" si="11"/>
        <v>0.1722105244799321</v>
      </c>
      <c r="AV16" s="8">
        <f t="shared" si="12"/>
        <v>0.9765625</v>
      </c>
    </row>
    <row r="17" spans="2:48" x14ac:dyDescent="0.2">
      <c r="B17" s="20" t="s">
        <v>15</v>
      </c>
      <c r="C17" s="33">
        <v>50</v>
      </c>
      <c r="D17" s="20" t="s">
        <v>16</v>
      </c>
      <c r="F17" t="s">
        <v>155</v>
      </c>
      <c r="G17" s="20">
        <f xml:space="preserve"> 1/1000 * (O23 + O19 * (O28 * O25 + $G$11 * SIN(O18/180*PI())))</f>
        <v>65.516156515913622</v>
      </c>
      <c r="H17" t="s">
        <v>162</v>
      </c>
      <c r="J17" s="29" t="s">
        <v>107</v>
      </c>
      <c r="K17" s="20">
        <f xml:space="preserve"> 2.20462 * (49.9/398 * (K5/1000 - 2) + 0.1) * 0.453592 * $C$5</f>
        <v>32.25376659008802</v>
      </c>
      <c r="L17" s="20" t="s">
        <v>12</v>
      </c>
      <c r="N17" s="59" t="s">
        <v>40</v>
      </c>
      <c r="O17" s="66"/>
      <c r="P17" s="66"/>
      <c r="R17" s="20" t="s">
        <v>41</v>
      </c>
      <c r="S17" s="20">
        <f xml:space="preserve"> ACOS(S13)/PI()*180</f>
        <v>24.67849333401259</v>
      </c>
      <c r="T17" s="20" t="s">
        <v>62</v>
      </c>
      <c r="V17" s="20" t="s">
        <v>41</v>
      </c>
      <c r="W17" s="20">
        <f>90-G32-W13</f>
        <v>23.229655064558202</v>
      </c>
      <c r="X17" s="20" t="s">
        <v>62</v>
      </c>
      <c r="AB17" s="8">
        <v>13</v>
      </c>
      <c r="AC17" s="8">
        <f t="shared" si="7"/>
        <v>0.154296875</v>
      </c>
      <c r="AD17" s="8">
        <f t="shared" si="0"/>
        <v>1.0018998959304692E-5</v>
      </c>
      <c r="AE17" s="8">
        <f t="shared" si="8"/>
        <v>0.1544189453125</v>
      </c>
      <c r="AF17" s="8">
        <f t="shared" si="1"/>
        <v>-1.1477562117101492E-4</v>
      </c>
      <c r="AG17" s="8">
        <f t="shared" si="2"/>
        <v>0.15435791015625</v>
      </c>
      <c r="AH17" s="8">
        <f t="shared" si="3"/>
        <v>-5.2378210914583168E-5</v>
      </c>
      <c r="AI17" s="8">
        <f t="shared" si="4"/>
        <v>-5.2477724064345039E-10</v>
      </c>
      <c r="AJ17" s="8">
        <f t="shared" si="5"/>
        <v>6.0117416935477165E-9</v>
      </c>
      <c r="AK17" s="8">
        <f t="shared" si="6"/>
        <v>1.220703125E-4</v>
      </c>
      <c r="AM17" s="8">
        <v>13</v>
      </c>
      <c r="AN17" s="8">
        <f t="shared" si="13"/>
        <v>817.3828125</v>
      </c>
      <c r="AO17" s="8">
        <v>-3.0215032367095773E-3</v>
      </c>
      <c r="AP17" s="8">
        <f t="shared" si="14"/>
        <v>817.87109375</v>
      </c>
      <c r="AQ17" s="8">
        <v>0.29268564014540743</v>
      </c>
      <c r="AR17" s="8">
        <f t="shared" si="9"/>
        <v>817.626953125</v>
      </c>
      <c r="AS17" s="8">
        <v>0.14483351462956762</v>
      </c>
      <c r="AT17" s="8">
        <f t="shared" si="10"/>
        <v>-4.3761493323726249E-4</v>
      </c>
      <c r="AU17" s="8">
        <f t="shared" si="11"/>
        <v>4.2390689943864232E-2</v>
      </c>
      <c r="AV17" s="8">
        <f t="shared" si="12"/>
        <v>0.48828125</v>
      </c>
    </row>
    <row r="18" spans="2:48" x14ac:dyDescent="0.2">
      <c r="B18" s="20" t="s">
        <v>100</v>
      </c>
      <c r="C18" s="33">
        <v>0.3</v>
      </c>
      <c r="F18" t="s">
        <v>129</v>
      </c>
      <c r="G18" s="24">
        <f>$C$5*G17</f>
        <v>262.06462606365449</v>
      </c>
      <c r="H18" t="s">
        <v>162</v>
      </c>
      <c r="J18" s="30" t="s">
        <v>84</v>
      </c>
      <c r="K18" s="20">
        <f xml:space="preserve"> $C$27 * (14.86 * ($C$15*2.20462)^0.144 * ($C$38/(PI()*$C$39))^0.778 * ($C$38*3.28084)^0.383 * $C$37^0.455 * 0.453592)</f>
        <v>82.805415044099959</v>
      </c>
      <c r="L18" s="20" t="s">
        <v>12</v>
      </c>
      <c r="N18" s="20" t="s">
        <v>41</v>
      </c>
      <c r="O18" s="20">
        <f xml:space="preserve"> 90 + G16 - O14</f>
        <v>27.064926017233262</v>
      </c>
      <c r="P18" s="20" t="s">
        <v>62</v>
      </c>
      <c r="R18" s="20" t="s">
        <v>30</v>
      </c>
      <c r="S18" s="20">
        <f xml:space="preserve"> S12 / $C$5</f>
        <v>2205.388232255094</v>
      </c>
      <c r="T18" s="20" t="s">
        <v>31</v>
      </c>
      <c r="V18" s="20" t="s">
        <v>30</v>
      </c>
      <c r="W18" s="20">
        <f xml:space="preserve"> W12 / $C$5</f>
        <v>2179.7362772673227</v>
      </c>
      <c r="X18" s="20" t="s">
        <v>31</v>
      </c>
      <c r="AB18" s="8">
        <v>14</v>
      </c>
      <c r="AC18" s="8">
        <f t="shared" si="7"/>
        <v>0.154296875</v>
      </c>
      <c r="AD18" s="8">
        <f t="shared" si="0"/>
        <v>1.0018998959304692E-5</v>
      </c>
      <c r="AE18" s="8">
        <f t="shared" si="8"/>
        <v>0.15435791015625</v>
      </c>
      <c r="AF18" s="8">
        <f t="shared" si="1"/>
        <v>-5.2378210914583168E-5</v>
      </c>
      <c r="AG18" s="8">
        <f t="shared" si="2"/>
        <v>0.154327392578125</v>
      </c>
      <c r="AH18" s="8">
        <f t="shared" si="3"/>
        <v>-2.1179580913494034E-5</v>
      </c>
      <c r="AI18" s="8">
        <f t="shared" si="4"/>
        <v>-2.1219819913080626E-10</v>
      </c>
      <c r="AJ18" s="8">
        <f t="shared" si="5"/>
        <v>1.1093485561694706E-9</v>
      </c>
      <c r="AK18" s="8">
        <f t="shared" si="6"/>
        <v>6.103515625E-5</v>
      </c>
      <c r="AM18" s="8">
        <v>14</v>
      </c>
      <c r="AN18" s="8">
        <f t="shared" si="13"/>
        <v>817.3828125</v>
      </c>
      <c r="AO18" s="8">
        <v>-3.0215032367095773E-3</v>
      </c>
      <c r="AP18" s="8">
        <f t="shared" si="14"/>
        <v>817.626953125</v>
      </c>
      <c r="AQ18" s="8">
        <v>0.14483351462956762</v>
      </c>
      <c r="AR18" s="8">
        <f t="shared" si="9"/>
        <v>817.5048828125</v>
      </c>
      <c r="AS18" s="8">
        <v>7.090669654667181E-2</v>
      </c>
      <c r="AT18" s="8">
        <f t="shared" si="10"/>
        <v>-2.1424481312015269E-4</v>
      </c>
      <c r="AU18" s="8">
        <f t="shared" si="11"/>
        <v>1.0269666071626703E-2</v>
      </c>
      <c r="AV18" s="8">
        <f t="shared" si="12"/>
        <v>0.244140625</v>
      </c>
    </row>
    <row r="19" spans="2:48" x14ac:dyDescent="0.2">
      <c r="F19" t="s">
        <v>130</v>
      </c>
      <c r="G19" s="24">
        <f>$G$13/$G$12</f>
        <v>120</v>
      </c>
      <c r="H19" t="s">
        <v>22</v>
      </c>
      <c r="J19" s="30" t="s">
        <v>85</v>
      </c>
      <c r="K19" s="20">
        <f xml:space="preserve"> $C$27 * (0.054 * ($C$42*3.28084)^0.501 * ($C$15*2.20462*$C$43)^0.684 * 0.453592)</f>
        <v>10.780897820775623</v>
      </c>
      <c r="L19" s="20" t="s">
        <v>12</v>
      </c>
      <c r="N19" s="20" t="s">
        <v>30</v>
      </c>
      <c r="O19" s="20">
        <f xml:space="preserve"> O13 / $C$5</f>
        <v>2247.4909601284976</v>
      </c>
      <c r="P19" s="20" t="s">
        <v>31</v>
      </c>
      <c r="R19" s="20" t="s">
        <v>42</v>
      </c>
      <c r="S19" s="20">
        <f xml:space="preserve"> $C$17 * COS(S17/180*PI()) / ($C$18 * $C$16)</f>
        <v>100.96277388845462</v>
      </c>
      <c r="T19" s="20" t="s">
        <v>43</v>
      </c>
      <c r="V19" s="20" t="s">
        <v>42</v>
      </c>
      <c r="W19" s="20">
        <f xml:space="preserve"> $G$27 * COS(W17/180*PI()) / ($C$18 * $C$16)</f>
        <v>102.10348003141895</v>
      </c>
      <c r="X19" s="20" t="s">
        <v>43</v>
      </c>
      <c r="AB19" s="8">
        <v>15</v>
      </c>
      <c r="AC19" s="8">
        <f t="shared" si="7"/>
        <v>0.154296875</v>
      </c>
      <c r="AD19" s="8">
        <f t="shared" si="0"/>
        <v>1.0018998959304692E-5</v>
      </c>
      <c r="AE19" s="8">
        <f t="shared" si="8"/>
        <v>0.154327392578125</v>
      </c>
      <c r="AF19" s="8">
        <f t="shared" si="1"/>
        <v>-2.1179580913494034E-5</v>
      </c>
      <c r="AG19" s="8">
        <f t="shared" si="2"/>
        <v>0.1543121337890625</v>
      </c>
      <c r="AH19" s="8">
        <f t="shared" si="3"/>
        <v>-5.5802847090113961E-6</v>
      </c>
      <c r="AI19" s="8">
        <f t="shared" si="4"/>
        <v>-5.5908866692209063E-11</v>
      </c>
      <c r="AJ19" s="8">
        <f t="shared" si="5"/>
        <v>1.1818809151484036E-10</v>
      </c>
      <c r="AK19" s="8">
        <f t="shared" si="6"/>
        <v>3.0517578125E-5</v>
      </c>
      <c r="AM19" s="8">
        <v>15</v>
      </c>
      <c r="AN19" s="8">
        <f t="shared" si="13"/>
        <v>817.3828125</v>
      </c>
      <c r="AO19" s="8">
        <v>-3.0215032367095773E-3</v>
      </c>
      <c r="AP19" s="8">
        <f t="shared" si="14"/>
        <v>817.5048828125</v>
      </c>
      <c r="AQ19" s="8">
        <v>7.090669654667181E-2</v>
      </c>
      <c r="AR19" s="8">
        <f t="shared" si="9"/>
        <v>817.44384765625</v>
      </c>
      <c r="AS19" s="8">
        <v>3.3943414397299421E-2</v>
      </c>
      <c r="AT19" s="8">
        <f t="shared" si="10"/>
        <v>-1.0256013646641466E-4</v>
      </c>
      <c r="AU19" s="8">
        <f t="shared" si="11"/>
        <v>2.406815384427241E-3</v>
      </c>
      <c r="AV19" s="8">
        <f t="shared" si="12"/>
        <v>0.1220703125</v>
      </c>
    </row>
    <row r="20" spans="2:48" x14ac:dyDescent="0.2">
      <c r="B20" s="58" t="s">
        <v>20</v>
      </c>
      <c r="C20" s="58"/>
      <c r="D20" s="58"/>
      <c r="J20" s="30" t="s">
        <v>86</v>
      </c>
      <c r="K20" s="20">
        <f xml:space="preserve"> $C$27 * 0</f>
        <v>0</v>
      </c>
      <c r="L20" s="20" t="s">
        <v>12</v>
      </c>
      <c r="N20" s="20" t="s">
        <v>42</v>
      </c>
      <c r="O20" s="20">
        <f xml:space="preserve"> $G$11 * COS(O18/180*PI()) / ($C$18 * $C$16)</f>
        <v>98.943500284877715</v>
      </c>
      <c r="P20" s="20" t="s">
        <v>43</v>
      </c>
      <c r="R20" s="20" t="s">
        <v>45</v>
      </c>
      <c r="S20" s="20">
        <f xml:space="preserve"> S18 / ($C$25 * PI() * $C$16^2 * S19^2 * $C$16^2)</f>
        <v>1.1104819586435917E-2</v>
      </c>
      <c r="V20" s="20" t="s">
        <v>45</v>
      </c>
      <c r="W20" s="20">
        <f xml:space="preserve"> W18 / ($C$25 * PI() * $C$16^2 * W19^2 * $C$16^2)</f>
        <v>1.0731782578508263E-2</v>
      </c>
      <c r="AB20" s="8">
        <v>16</v>
      </c>
      <c r="AC20" s="8">
        <f t="shared" si="7"/>
        <v>0.154296875</v>
      </c>
      <c r="AD20" s="8">
        <f t="shared" si="0"/>
        <v>1.0018998959304692E-5</v>
      </c>
      <c r="AE20" s="8">
        <f t="shared" si="8"/>
        <v>0.1543121337890625</v>
      </c>
      <c r="AF20" s="8">
        <f t="shared" si="1"/>
        <v>-5.5802847090113961E-6</v>
      </c>
      <c r="AG20" s="8">
        <f t="shared" si="2"/>
        <v>0.15430450439453125</v>
      </c>
      <c r="AH20" s="8">
        <f t="shared" si="3"/>
        <v>2.2193586924068587E-6</v>
      </c>
      <c r="AI20" s="8">
        <f t="shared" si="4"/>
        <v>2.2235752429548141E-11</v>
      </c>
      <c r="AJ20" s="8">
        <f t="shared" si="5"/>
        <v>-1.238465337504952E-11</v>
      </c>
      <c r="AK20" s="8">
        <f t="shared" si="6"/>
        <v>1.52587890625E-5</v>
      </c>
      <c r="AM20" s="8">
        <v>16</v>
      </c>
      <c r="AN20" s="8">
        <f t="shared" si="13"/>
        <v>817.3828125</v>
      </c>
      <c r="AO20" s="8">
        <v>-3.0215032367095773E-3</v>
      </c>
      <c r="AP20" s="8">
        <f t="shared" si="14"/>
        <v>817.44384765625</v>
      </c>
      <c r="AQ20" s="8">
        <v>3.3943414397299421E-2</v>
      </c>
      <c r="AR20" s="8">
        <f t="shared" si="9"/>
        <v>817.413330078125</v>
      </c>
      <c r="AS20" s="8">
        <v>1.5460509755996554E-2</v>
      </c>
      <c r="AT20" s="8">
        <f t="shared" si="10"/>
        <v>-4.6713980268923588E-5</v>
      </c>
      <c r="AU20" s="8">
        <f t="shared" si="11"/>
        <v>5.2478248944128156E-4</v>
      </c>
      <c r="AV20" s="8">
        <f t="shared" si="12"/>
        <v>6.103515625E-2</v>
      </c>
    </row>
    <row r="21" spans="2:48" x14ac:dyDescent="0.2">
      <c r="B21" s="20" t="s">
        <v>92</v>
      </c>
      <c r="C21" s="33">
        <v>400</v>
      </c>
      <c r="D21" s="20" t="s">
        <v>12</v>
      </c>
      <c r="F21" s="59" t="s">
        <v>118</v>
      </c>
      <c r="G21" s="60"/>
      <c r="H21" s="60"/>
      <c r="J21" s="30" t="s">
        <v>87</v>
      </c>
      <c r="K21" s="20">
        <f xml:space="preserve"> $C$27 * 0</f>
        <v>0</v>
      </c>
      <c r="L21" s="20" t="s">
        <v>12</v>
      </c>
      <c r="N21" s="20" t="s">
        <v>45</v>
      </c>
      <c r="O21" s="20">
        <f xml:space="preserve"> O19 / ($C$25 * PI() * $C$16^2 * O20^2 * $C$16^2)</f>
        <v>1.1783448705943115E-2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0.15430450439453125</v>
      </c>
      <c r="AD21" s="8">
        <f t="shared" si="0"/>
        <v>2.2193586924068587E-6</v>
      </c>
      <c r="AE21" s="8">
        <f t="shared" si="8"/>
        <v>0.1543121337890625</v>
      </c>
      <c r="AF21" s="8">
        <f t="shared" si="1"/>
        <v>-5.5802847090113961E-6</v>
      </c>
      <c r="AG21" s="8">
        <f t="shared" si="2"/>
        <v>0.15430831909179688</v>
      </c>
      <c r="AH21" s="8">
        <f t="shared" si="3"/>
        <v>-1.6804626165045633E-6</v>
      </c>
      <c r="AI21" s="8">
        <f t="shared" si="4"/>
        <v>-3.7295493152041762E-12</v>
      </c>
      <c r="AJ21" s="8">
        <f t="shared" si="5"/>
        <v>9.3774598429456969E-12</v>
      </c>
      <c r="AK21" s="8">
        <f t="shared" si="6"/>
        <v>7.62939453125E-6</v>
      </c>
      <c r="AM21" s="8">
        <v>17</v>
      </c>
      <c r="AN21" s="8">
        <f t="shared" si="13"/>
        <v>817.3828125</v>
      </c>
      <c r="AO21" s="8">
        <v>-3.0215032367095773E-3</v>
      </c>
      <c r="AP21" s="8">
        <f t="shared" si="14"/>
        <v>817.413330078125</v>
      </c>
      <c r="AQ21" s="8">
        <v>1.5460509755996554E-2</v>
      </c>
      <c r="AR21" s="8">
        <f t="shared" si="9"/>
        <v>817.3980712890625</v>
      </c>
      <c r="AS21" s="8">
        <v>6.2204276500210653E-3</v>
      </c>
      <c r="AT21" s="8">
        <f t="shared" si="10"/>
        <v>-1.8795042278256398E-5</v>
      </c>
      <c r="AU21" s="8">
        <f t="shared" si="11"/>
        <v>9.6170982369621396E-5</v>
      </c>
      <c r="AV21" s="8">
        <f t="shared" si="12"/>
        <v>3.0517578125E-2</v>
      </c>
    </row>
    <row r="22" spans="2:48" x14ac:dyDescent="0.2">
      <c r="B22" s="20" t="s">
        <v>21</v>
      </c>
      <c r="C22" s="33">
        <v>10000</v>
      </c>
      <c r="D22" s="20" t="s">
        <v>14</v>
      </c>
      <c r="F22" s="25" t="s">
        <v>32</v>
      </c>
      <c r="G22" s="20">
        <f xml:space="preserve"> 1/1000 * (S22 + S18 * (S24 * S27 + $C$17 * SIN(S17/180*PI())))</f>
        <v>60.683259868061782</v>
      </c>
      <c r="H22" s="20" t="s">
        <v>162</v>
      </c>
      <c r="J22" s="30" t="s">
        <v>192</v>
      </c>
      <c r="K22" s="20">
        <f>$C$27*(0.14*$G$6*1000/745.7)*0.453592</f>
        <v>8.8116477080195263</v>
      </c>
      <c r="L22" s="20" t="s">
        <v>12</v>
      </c>
      <c r="N22" s="20" t="s">
        <v>4</v>
      </c>
      <c r="O22" s="33">
        <v>1.2E-2</v>
      </c>
      <c r="R22" s="20" t="s">
        <v>46</v>
      </c>
      <c r="S22" s="20">
        <f xml:space="preserve"> ($C$6 * S21 / 8) * (1 + 4.65 *$C$18^ 2) * ( PI() * $C$25 * S19^3 *$C$16^ 5)</f>
        <v>8319.3621554636502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8604.543645869684</v>
      </c>
      <c r="X22" s="20" t="s">
        <v>29</v>
      </c>
      <c r="AB22" s="8">
        <v>18</v>
      </c>
      <c r="AC22" s="8">
        <f t="shared" si="7"/>
        <v>0.15430450439453125</v>
      </c>
      <c r="AD22" s="8">
        <f t="shared" si="0"/>
        <v>2.2193586924068587E-6</v>
      </c>
      <c r="AE22" s="8">
        <f t="shared" si="8"/>
        <v>0.15430831909179688</v>
      </c>
      <c r="AF22" s="8">
        <f t="shared" si="1"/>
        <v>-1.6804626165045633E-6</v>
      </c>
      <c r="AG22" s="8">
        <f t="shared" si="2"/>
        <v>0.15430641174316406</v>
      </c>
      <c r="AH22" s="8">
        <f t="shared" si="3"/>
        <v>2.6944813591445183E-7</v>
      </c>
      <c r="AI22" s="8">
        <f t="shared" si="4"/>
        <v>5.980020625945633E-13</v>
      </c>
      <c r="AJ22" s="8">
        <f t="shared" si="5"/>
        <v>-4.5279751949107692E-13</v>
      </c>
      <c r="AK22" s="8">
        <f t="shared" si="6"/>
        <v>3.814697265625E-6</v>
      </c>
      <c r="AM22" s="8">
        <v>18</v>
      </c>
      <c r="AN22" s="8">
        <f t="shared" si="13"/>
        <v>817.3828125</v>
      </c>
      <c r="AO22" s="8">
        <v>-3.0215032367095773E-3</v>
      </c>
      <c r="AP22" s="8">
        <f t="shared" si="14"/>
        <v>817.3980712890625</v>
      </c>
      <c r="AQ22" s="8">
        <v>6.2204276500210653E-3</v>
      </c>
      <c r="AR22" s="8">
        <f t="shared" si="9"/>
        <v>817.39044189453125</v>
      </c>
      <c r="AS22" s="8">
        <v>1.5986806333785353E-3</v>
      </c>
      <c r="AT22" s="8">
        <f t="shared" si="10"/>
        <v>-4.8304187082181619E-6</v>
      </c>
      <c r="AU22" s="8">
        <f t="shared" si="11"/>
        <v>9.9444772154210307E-6</v>
      </c>
      <c r="AV22" s="8">
        <f t="shared" si="12"/>
        <v>1.52587890625E-2</v>
      </c>
    </row>
    <row r="23" spans="2:48" x14ac:dyDescent="0.2">
      <c r="F23" s="25" t="s">
        <v>33</v>
      </c>
      <c r="G23" s="20">
        <f>$C$5 * G22</f>
        <v>242.73303947224713</v>
      </c>
      <c r="H23" s="20" t="s">
        <v>162</v>
      </c>
      <c r="J23" s="31" t="s">
        <v>88</v>
      </c>
      <c r="K23" s="20">
        <f xml:space="preserve"> $C$27 * (0.0268 * $C$15)</f>
        <v>17.524794463896544</v>
      </c>
      <c r="L23" s="20" t="s">
        <v>12</v>
      </c>
      <c r="N23" s="20" t="s">
        <v>46</v>
      </c>
      <c r="O23" s="20">
        <f xml:space="preserve"> ($C$6 * O22 / 8) * (1 + 4.65 *$C$18^ 2) * ( PI() * $C$25 * O20^3 *$C$16^ 5)</f>
        <v>7830.1128025466442</v>
      </c>
      <c r="P23" s="20" t="s">
        <v>29</v>
      </c>
      <c r="R23" s="20" t="s">
        <v>47</v>
      </c>
      <c r="S23" s="34">
        <f>AG34</f>
        <v>0.15430667577311397</v>
      </c>
      <c r="V23" s="20" t="s">
        <v>47</v>
      </c>
      <c r="W23" s="34">
        <f>AG104</f>
        <v>0.14487063745036721</v>
      </c>
      <c r="AB23" s="8">
        <v>19</v>
      </c>
      <c r="AC23" s="8">
        <f t="shared" si="7"/>
        <v>0.15430641174316406</v>
      </c>
      <c r="AD23" s="8">
        <f t="shared" si="0"/>
        <v>2.6944813591445183E-7</v>
      </c>
      <c r="AE23" s="8">
        <f t="shared" si="8"/>
        <v>0.15430831909179688</v>
      </c>
      <c r="AF23" s="8">
        <f t="shared" si="1"/>
        <v>-1.6804626165045633E-6</v>
      </c>
      <c r="AG23" s="8">
        <f t="shared" si="2"/>
        <v>0.15430736541748047</v>
      </c>
      <c r="AH23" s="8">
        <f t="shared" si="3"/>
        <v>-7.0550721581463804E-7</v>
      </c>
      <c r="AI23" s="8">
        <f t="shared" si="4"/>
        <v>-1.900976041754491E-13</v>
      </c>
      <c r="AJ23" s="8">
        <f t="shared" si="5"/>
        <v>1.1855785018507163E-12</v>
      </c>
      <c r="AK23" s="8">
        <f t="shared" si="6"/>
        <v>1.9073486328125E-6</v>
      </c>
      <c r="AM23" s="8">
        <v>19</v>
      </c>
      <c r="AN23" s="8">
        <f t="shared" si="13"/>
        <v>817.3828125</v>
      </c>
      <c r="AO23" s="8">
        <v>-3.0215032367095773E-3</v>
      </c>
      <c r="AP23" s="8">
        <f t="shared" si="14"/>
        <v>817.39044189453125</v>
      </c>
      <c r="AQ23" s="8">
        <v>1.5986806333785353E-3</v>
      </c>
      <c r="AR23" s="8">
        <f t="shared" si="9"/>
        <v>817.38662719726562</v>
      </c>
      <c r="AS23" s="8">
        <v>-7.1062904078189604E-4</v>
      </c>
      <c r="AT23" s="8">
        <f t="shared" si="10"/>
        <v>2.1471679468223211E-6</v>
      </c>
      <c r="AU23" s="8">
        <f t="shared" si="11"/>
        <v>-1.1360688850143825E-6</v>
      </c>
      <c r="AV23" s="8">
        <f t="shared" si="12"/>
        <v>7.62939453125E-3</v>
      </c>
    </row>
    <row r="24" spans="2:48" x14ac:dyDescent="0.2">
      <c r="B24" s="58" t="s">
        <v>97</v>
      </c>
      <c r="C24" s="62"/>
      <c r="D24" s="62"/>
      <c r="F24" s="25" t="s">
        <v>121</v>
      </c>
      <c r="G24" s="20">
        <f xml:space="preserve"> ($C$22-G15-G31)/$C$17</f>
        <v>-119.75213694788637</v>
      </c>
      <c r="H24" s="20" t="s">
        <v>22</v>
      </c>
      <c r="J24" s="31" t="s">
        <v>89</v>
      </c>
      <c r="K24" s="20">
        <f xml:space="preserve"> $C$27 * (11.5 * ($C$15*2.20462/1000)^0.4 * 0.453592)</f>
        <v>5.2815083613473028</v>
      </c>
      <c r="L24" s="20" t="s">
        <v>12</v>
      </c>
      <c r="N24" s="20" t="s">
        <v>47</v>
      </c>
      <c r="O24" s="34">
        <f>AG69</f>
        <v>0.17036364180967212</v>
      </c>
      <c r="R24" s="20" t="s">
        <v>48</v>
      </c>
      <c r="S24" s="20">
        <f xml:space="preserve"> S19 * $C$16 * S23 - $C$17 * SIN(S17/180*PI())</f>
        <v>2.4925437831386894</v>
      </c>
      <c r="T24" s="20" t="s">
        <v>16</v>
      </c>
      <c r="V24" s="20" t="s">
        <v>48</v>
      </c>
      <c r="W24" s="20">
        <f xml:space="preserve"> W19 * $C$16 * W23 - $C$17 * SIN(W17/180*PI())</f>
        <v>2.4668152816315825</v>
      </c>
      <c r="X24" s="20" t="s">
        <v>16</v>
      </c>
      <c r="AB24" s="8">
        <v>20</v>
      </c>
      <c r="AC24" s="8">
        <f t="shared" si="7"/>
        <v>0.15430641174316406</v>
      </c>
      <c r="AD24" s="8">
        <f t="shared" si="0"/>
        <v>2.6944813591445183E-7</v>
      </c>
      <c r="AE24" s="8">
        <f t="shared" si="8"/>
        <v>0.15430736541748047</v>
      </c>
      <c r="AF24" s="8">
        <f t="shared" si="1"/>
        <v>-7.0550721581463804E-7</v>
      </c>
      <c r="AG24" s="8">
        <f t="shared" si="2"/>
        <v>0.15430688858032227</v>
      </c>
      <c r="AH24" s="8">
        <f t="shared" si="3"/>
        <v>-2.1802953384386647E-7</v>
      </c>
      <c r="AI24" s="8">
        <f t="shared" si="4"/>
        <v>-5.8747651468526708E-14</v>
      </c>
      <c r="AJ24" s="8">
        <f t="shared" si="5"/>
        <v>1.5382140938754963E-13</v>
      </c>
      <c r="AK24" s="8">
        <f t="shared" si="6"/>
        <v>9.5367431640625E-7</v>
      </c>
      <c r="AM24" s="8">
        <v>20</v>
      </c>
      <c r="AN24" s="8">
        <f t="shared" si="13"/>
        <v>817.38662719726562</v>
      </c>
      <c r="AO24" s="8">
        <v>-7.1062904078189604E-4</v>
      </c>
      <c r="AP24" s="8">
        <f t="shared" si="14"/>
        <v>817.39044189453125</v>
      </c>
      <c r="AQ24" s="8">
        <v>1.5986806333785353E-3</v>
      </c>
      <c r="AR24" s="8">
        <f t="shared" si="9"/>
        <v>817.38853454589844</v>
      </c>
      <c r="AS24" s="8">
        <v>4.4480795520485117E-4</v>
      </c>
      <c r="AT24" s="8">
        <f t="shared" si="10"/>
        <v>-3.1609345053937998E-7</v>
      </c>
      <c r="AU24" s="8">
        <f t="shared" si="11"/>
        <v>7.1110586355870266E-7</v>
      </c>
      <c r="AV24" s="8">
        <f t="shared" si="12"/>
        <v>3.814697265625E-3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90</v>
      </c>
      <c r="K25" s="20">
        <f xml:space="preserve"> $C$27 * (8 * ($C$15/1000))</f>
        <v>5.231281929521356</v>
      </c>
      <c r="L25" s="20" t="s">
        <v>12</v>
      </c>
      <c r="N25" s="20" t="s">
        <v>48</v>
      </c>
      <c r="O25" s="20">
        <f xml:space="preserve"> O20 * $C$16 * O24 - $C$17 * SIN(O18/180*PI())</f>
        <v>2.5345689441299299</v>
      </c>
      <c r="P25" s="20" t="s">
        <v>16</v>
      </c>
      <c r="R25" s="20" t="s">
        <v>49</v>
      </c>
      <c r="S25" s="20">
        <f xml:space="preserve"> 1/$C$7 - S22 * SQRT( (2*$C$25*PI()*$C$16^2) / S18^3 )</f>
        <v>0.99905233654869285</v>
      </c>
      <c r="V25" s="20" t="s">
        <v>49</v>
      </c>
      <c r="W25" s="20">
        <f xml:space="preserve"> 1/$C$7 - W22 * SQRT( (2*$C$25*PI()*$C$16^2) / W18^3 )</f>
        <v>0.98147231834965076</v>
      </c>
      <c r="AB25" s="8">
        <v>21</v>
      </c>
      <c r="AC25" s="8">
        <f t="shared" si="7"/>
        <v>0.15430641174316406</v>
      </c>
      <c r="AD25" s="8">
        <f t="shared" si="0"/>
        <v>2.6944813591445183E-7</v>
      </c>
      <c r="AE25" s="8">
        <f t="shared" si="8"/>
        <v>0.15430688858032227</v>
      </c>
      <c r="AF25" s="8">
        <f t="shared" si="1"/>
        <v>-2.1802953384386647E-7</v>
      </c>
      <c r="AG25" s="8">
        <f t="shared" si="2"/>
        <v>0.15430665016174316</v>
      </c>
      <c r="AH25" s="8">
        <f t="shared" si="3"/>
        <v>2.5709302575727122E-8</v>
      </c>
      <c r="AI25" s="8">
        <f t="shared" si="4"/>
        <v>6.9273236546902877E-15</v>
      </c>
      <c r="AJ25" s="8">
        <f t="shared" si="5"/>
        <v>-5.6053872560367004E-15</v>
      </c>
      <c r="AK25" s="8">
        <f t="shared" si="6"/>
        <v>4.76837158203125E-7</v>
      </c>
      <c r="AM25" s="8">
        <v>21</v>
      </c>
      <c r="AN25" s="8">
        <f t="shared" si="13"/>
        <v>817.38662719726562</v>
      </c>
      <c r="AO25" s="8">
        <v>-7.1062904078189604E-4</v>
      </c>
      <c r="AP25" s="8">
        <f t="shared" si="14"/>
        <v>817.38853454589844</v>
      </c>
      <c r="AQ25" s="8">
        <v>4.4480795520485117E-4</v>
      </c>
      <c r="AR25" s="8">
        <f t="shared" si="9"/>
        <v>817.38758087158203</v>
      </c>
      <c r="AS25" s="8">
        <v>-1.3305056796752979E-4</v>
      </c>
      <c r="AT25" s="8">
        <f t="shared" si="10"/>
        <v>9.4549597490252152E-8</v>
      </c>
      <c r="AU25" s="8">
        <f t="shared" si="11"/>
        <v>-5.9181951076480995E-8</v>
      </c>
      <c r="AV25" s="8">
        <f t="shared" si="12"/>
        <v>1.9073486328125E-3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63" t="s">
        <v>131</v>
      </c>
      <c r="G26" s="64"/>
      <c r="H26" s="64"/>
      <c r="J26" s="31" t="s">
        <v>91</v>
      </c>
      <c r="K26" s="20">
        <f xml:space="preserve"> $C$27 * (13 * ($C$15*2.20462/1000)^1.3 * 0.453592)</f>
        <v>10.143531662869817</v>
      </c>
      <c r="L26" s="20" t="s">
        <v>12</v>
      </c>
      <c r="N26" s="20" t="s">
        <v>49</v>
      </c>
      <c r="O26" s="20">
        <f xml:space="preserve"> 1/$C$7 - O23 * SQRT( (2*$C$25*PI()*$C$16^2) / O19^3 )</f>
        <v>1.0275102054429717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0.15430665016174316</v>
      </c>
      <c r="AD26" s="8">
        <f t="shared" si="0"/>
        <v>2.5709302575727122E-8</v>
      </c>
      <c r="AE26" s="8">
        <f t="shared" si="8"/>
        <v>0.15430688858032227</v>
      </c>
      <c r="AF26" s="8">
        <f t="shared" si="1"/>
        <v>-2.1802953384386647E-7</v>
      </c>
      <c r="AG26" s="8">
        <f t="shared" si="2"/>
        <v>0.15430676937103271</v>
      </c>
      <c r="AH26" s="8">
        <f t="shared" si="3"/>
        <v>-9.6160115259369405E-8</v>
      </c>
      <c r="AI26" s="8">
        <f t="shared" si="4"/>
        <v>-2.4722094989199229E-15</v>
      </c>
      <c r="AJ26" s="8">
        <f t="shared" si="5"/>
        <v>2.0965745104372783E-14</v>
      </c>
      <c r="AK26" s="8">
        <f t="shared" si="6"/>
        <v>2.384185791015625E-7</v>
      </c>
      <c r="AM26" s="8">
        <v>22</v>
      </c>
      <c r="AN26" s="8">
        <f t="shared" si="13"/>
        <v>817.38758087158203</v>
      </c>
      <c r="AO26" s="8">
        <v>-1.3305056796752979E-4</v>
      </c>
      <c r="AP26" s="8">
        <f t="shared" si="14"/>
        <v>817.38853454589844</v>
      </c>
      <c r="AQ26" s="8">
        <v>4.4480795520485117E-4</v>
      </c>
      <c r="AR26" s="8">
        <f t="shared" si="9"/>
        <v>817.38805770874023</v>
      </c>
      <c r="AS26" s="8">
        <v>1.5547034115570568E-4</v>
      </c>
      <c r="AT26" s="8">
        <f t="shared" si="10"/>
        <v>-2.0685417192872261E-8</v>
      </c>
      <c r="AU26" s="8">
        <f t="shared" si="11"/>
        <v>6.915444454447006E-8</v>
      </c>
      <c r="AV26" s="8">
        <f t="shared" si="12"/>
        <v>9.5367431640625E-4</v>
      </c>
    </row>
    <row r="27" spans="2:48" x14ac:dyDescent="0.2">
      <c r="B27" s="20" t="s">
        <v>105</v>
      </c>
      <c r="C27" s="33">
        <v>0.8</v>
      </c>
      <c r="F27" s="4" t="s">
        <v>154</v>
      </c>
      <c r="G27" s="1">
        <f>$C$17</f>
        <v>50</v>
      </c>
      <c r="H27" t="s">
        <v>16</v>
      </c>
      <c r="J27" s="26" t="s">
        <v>78</v>
      </c>
      <c r="K27" s="26">
        <f>$C$15 - $C$21 - SUM(K14:K26)</f>
        <v>-7.2566308517707512E-10</v>
      </c>
      <c r="L27" s="26" t="s">
        <v>12</v>
      </c>
      <c r="N27" s="20" t="s">
        <v>50</v>
      </c>
      <c r="O27" s="33">
        <v>1.1499999999999999</v>
      </c>
      <c r="R27" s="20" t="s">
        <v>51</v>
      </c>
      <c r="S27" s="20">
        <f xml:space="preserve"> 1/$C$30 * LN( EXP($C$30 * S25) + EXP($C$30 * S26) )</f>
        <v>1.1503579912689936</v>
      </c>
      <c r="V27" s="20" t="s">
        <v>51</v>
      </c>
      <c r="W27" s="20">
        <f xml:space="preserve"> 1/$C$30 * LN( EXP($C$30 * W25) + EXP($C$30 * W26) )</f>
        <v>1.1502117285685216</v>
      </c>
      <c r="AB27" s="8">
        <v>23</v>
      </c>
      <c r="AC27" s="8">
        <f t="shared" si="7"/>
        <v>0.15430665016174316</v>
      </c>
      <c r="AD27" s="8">
        <f t="shared" si="0"/>
        <v>2.5709302575727122E-8</v>
      </c>
      <c r="AE27" s="8">
        <f t="shared" si="8"/>
        <v>0.15430676937103271</v>
      </c>
      <c r="AF27" s="8">
        <f t="shared" si="1"/>
        <v>-9.6160115259369405E-8</v>
      </c>
      <c r="AG27" s="8">
        <f t="shared" si="2"/>
        <v>0.15430670976638794</v>
      </c>
      <c r="AH27" s="8">
        <f t="shared" si="3"/>
        <v>-3.5225406258554415E-8</v>
      </c>
      <c r="AI27" s="8">
        <f t="shared" si="4"/>
        <v>-9.0562062785408731E-16</v>
      </c>
      <c r="AJ27" s="8">
        <f t="shared" si="5"/>
        <v>3.3872791258807051E-15</v>
      </c>
      <c r="AK27" s="8">
        <f t="shared" si="6"/>
        <v>1.1920928955078125E-7</v>
      </c>
      <c r="AM27" s="8">
        <v>23</v>
      </c>
      <c r="AN27" s="8">
        <f t="shared" si="13"/>
        <v>817.38758087158203</v>
      </c>
      <c r="AO27" s="8">
        <v>-1.3305056796752979E-4</v>
      </c>
      <c r="AP27" s="8">
        <f t="shared" si="14"/>
        <v>817.38805770874023</v>
      </c>
      <c r="AQ27" s="8">
        <v>1.5547034115570568E-4</v>
      </c>
      <c r="AR27" s="8">
        <f t="shared" si="9"/>
        <v>817.38781929016113</v>
      </c>
      <c r="AS27" s="8">
        <v>1.0801532710047468E-5</v>
      </c>
      <c r="AT27" s="8">
        <f t="shared" si="10"/>
        <v>-1.4371500619916669E-9</v>
      </c>
      <c r="AU27" s="8">
        <f t="shared" si="11"/>
        <v>1.6793179754355941E-9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20" t="s">
        <v>79</v>
      </c>
      <c r="K28" s="10" t="str">
        <f>IF(ABS(K27)&lt;0.00001, "TRUE", "FALSE")</f>
        <v>TRUE</v>
      </c>
      <c r="N28" s="20" t="s">
        <v>51</v>
      </c>
      <c r="O28" s="20">
        <f xml:space="preserve"> 1/$C$30 * LN( EXP($C$30 * O26) + EXP($C$30 * O27) )</f>
        <v>1.1508347002750954</v>
      </c>
      <c r="AB28" s="8">
        <v>24</v>
      </c>
      <c r="AC28" s="8">
        <f t="shared" si="7"/>
        <v>0.15430665016174316</v>
      </c>
      <c r="AD28" s="8">
        <f t="shared" si="0"/>
        <v>2.5709302575727122E-8</v>
      </c>
      <c r="AE28" s="8">
        <f t="shared" si="8"/>
        <v>0.15430670976638794</v>
      </c>
      <c r="AF28" s="8">
        <f t="shared" si="1"/>
        <v>-3.5225406258554415E-8</v>
      </c>
      <c r="AG28" s="8">
        <f t="shared" si="2"/>
        <v>0.15430667996406555</v>
      </c>
      <c r="AH28" s="8">
        <f t="shared" si="3"/>
        <v>-4.7580518136580707E-9</v>
      </c>
      <c r="AI28" s="8">
        <f t="shared" si="4"/>
        <v>-1.2232619374832254E-16</v>
      </c>
      <c r="AJ28" s="8">
        <f t="shared" si="5"/>
        <v>1.6760430813535719E-16</v>
      </c>
      <c r="AK28" s="8">
        <f t="shared" si="6"/>
        <v>5.9604644775390625E-8</v>
      </c>
      <c r="AM28" s="8">
        <v>24</v>
      </c>
      <c r="AN28" s="8">
        <f t="shared" si="13"/>
        <v>817.38758087158203</v>
      </c>
      <c r="AO28" s="8">
        <v>-1.3305056796752979E-4</v>
      </c>
      <c r="AP28" s="8">
        <f t="shared" si="14"/>
        <v>817.38781929016113</v>
      </c>
      <c r="AQ28" s="8">
        <v>1.0801532710047468E-5</v>
      </c>
      <c r="AR28" s="8">
        <f t="shared" si="9"/>
        <v>817.38770008087158</v>
      </c>
      <c r="AS28" s="8">
        <v>-6.0716162977314525E-5</v>
      </c>
      <c r="AT28" s="8">
        <f t="shared" si="10"/>
        <v>8.0783199689408014E-9</v>
      </c>
      <c r="AU28" s="8">
        <f t="shared" si="11"/>
        <v>-6.5582762042803592E-10</v>
      </c>
      <c r="AV28" s="8">
        <f t="shared" si="12"/>
        <v>2.384185791015625E-4</v>
      </c>
    </row>
    <row r="29" spans="2:48" x14ac:dyDescent="0.2">
      <c r="B29" s="58" t="s">
        <v>27</v>
      </c>
      <c r="C29" s="58"/>
      <c r="D29" s="58"/>
      <c r="F29" t="s">
        <v>125</v>
      </c>
      <c r="G29" s="1">
        <v>304.8</v>
      </c>
      <c r="H29" t="s">
        <v>14</v>
      </c>
      <c r="S29" s="20">
        <f xml:space="preserve"> 0.0327 * ($C$15*2.20462)^0.8903 * 0.3048^2</f>
        <v>2.4053733401157129</v>
      </c>
      <c r="T29" s="20" t="s">
        <v>194</v>
      </c>
      <c r="AB29" s="8">
        <v>25</v>
      </c>
      <c r="AC29" s="8">
        <f t="shared" si="7"/>
        <v>0.15430665016174316</v>
      </c>
      <c r="AD29" s="8">
        <f t="shared" si="0"/>
        <v>2.5709302575727122E-8</v>
      </c>
      <c r="AE29" s="8">
        <f t="shared" si="8"/>
        <v>0.15430667996406555</v>
      </c>
      <c r="AF29" s="8">
        <f t="shared" si="1"/>
        <v>-4.7580518136580707E-9</v>
      </c>
      <c r="AG29" s="8">
        <f t="shared" si="2"/>
        <v>0.15430666506290436</v>
      </c>
      <c r="AH29" s="8">
        <f t="shared" si="3"/>
        <v>1.0475625367156738E-8</v>
      </c>
      <c r="AI29" s="8">
        <f t="shared" si="4"/>
        <v>2.6932102223419511E-16</v>
      </c>
      <c r="AJ29" s="8">
        <f t="shared" si="5"/>
        <v>-4.9843568277402613E-17</v>
      </c>
      <c r="AK29" s="8">
        <f t="shared" si="6"/>
        <v>2.9802322387695312E-8</v>
      </c>
      <c r="AM29" s="8">
        <v>25</v>
      </c>
      <c r="AN29" s="8">
        <f t="shared" si="13"/>
        <v>817.38770008087158</v>
      </c>
      <c r="AO29" s="8">
        <v>-6.0716162977314525E-5</v>
      </c>
      <c r="AP29" s="8">
        <f t="shared" si="14"/>
        <v>817.38781929016113</v>
      </c>
      <c r="AQ29" s="8">
        <v>1.0801532710047468E-5</v>
      </c>
      <c r="AR29" s="8">
        <f t="shared" si="9"/>
        <v>817.38775968551636</v>
      </c>
      <c r="AS29" s="8">
        <v>-2.454896070958057E-5</v>
      </c>
      <c r="AT29" s="8">
        <f t="shared" si="10"/>
        <v>1.4905186993665847E-9</v>
      </c>
      <c r="AU29" s="8">
        <f t="shared" si="11"/>
        <v>-2.6516640210220463E-10</v>
      </c>
      <c r="AV29" s="8">
        <f t="shared" si="12"/>
        <v>1.1920928955078125E-4</v>
      </c>
    </row>
    <row r="30" spans="2:48" x14ac:dyDescent="0.2">
      <c r="B30" s="20" t="s">
        <v>28</v>
      </c>
      <c r="C30" s="33">
        <v>30</v>
      </c>
      <c r="F30" t="s">
        <v>127</v>
      </c>
      <c r="G30" s="20">
        <f>SQRT($G$27^2-$G$28^2)</f>
        <v>49.976768843133506</v>
      </c>
      <c r="H30" t="s">
        <v>16</v>
      </c>
      <c r="J30" s="58" t="s">
        <v>196</v>
      </c>
      <c r="K30" s="58"/>
      <c r="L30" s="58"/>
      <c r="S30">
        <v>3.2</v>
      </c>
      <c r="T30" t="s">
        <v>193</v>
      </c>
      <c r="AB30" s="8">
        <v>26</v>
      </c>
      <c r="AC30" s="8">
        <f t="shared" si="7"/>
        <v>0.15430666506290436</v>
      </c>
      <c r="AD30" s="8">
        <f t="shared" si="0"/>
        <v>1.0475625367156738E-8</v>
      </c>
      <c r="AE30" s="8">
        <f t="shared" si="8"/>
        <v>0.15430667996406555</v>
      </c>
      <c r="AF30" s="8">
        <f t="shared" si="1"/>
        <v>-4.7580518136580707E-9</v>
      </c>
      <c r="AG30" s="8">
        <f t="shared" si="2"/>
        <v>0.15430667251348495</v>
      </c>
      <c r="AH30" s="8">
        <f t="shared" si="3"/>
        <v>2.8587867906271214E-9</v>
      </c>
      <c r="AI30" s="8">
        <f t="shared" si="4"/>
        <v>2.9947579423186068E-17</v>
      </c>
      <c r="AJ30" s="8">
        <f t="shared" si="5"/>
        <v>-1.3602255674005111E-17</v>
      </c>
      <c r="AK30" s="8">
        <f t="shared" si="6"/>
        <v>1.4901161193847656E-8</v>
      </c>
      <c r="AM30" s="8">
        <v>26</v>
      </c>
      <c r="AN30" s="8">
        <f t="shared" si="13"/>
        <v>817.38775968551636</v>
      </c>
      <c r="AO30" s="8">
        <v>-2.454896070958057E-5</v>
      </c>
      <c r="AP30" s="8">
        <f t="shared" si="14"/>
        <v>817.38781929016113</v>
      </c>
      <c r="AQ30" s="8">
        <v>1.0801532710047468E-5</v>
      </c>
      <c r="AR30" s="8">
        <f t="shared" si="9"/>
        <v>817.38778948783875</v>
      </c>
      <c r="AS30" s="8">
        <v>-6.4653594336050446E-6</v>
      </c>
      <c r="AT30" s="8">
        <f t="shared" si="10"/>
        <v>1.5871785470888633E-10</v>
      </c>
      <c r="AU30" s="8">
        <f t="shared" si="11"/>
        <v>-6.9835791404298866E-11</v>
      </c>
      <c r="AV30" s="8">
        <f t="shared" si="12"/>
        <v>5.9604644775390625E-5</v>
      </c>
    </row>
    <row r="31" spans="2:48" x14ac:dyDescent="0.2">
      <c r="F31" t="s">
        <v>128</v>
      </c>
      <c r="G31" s="20">
        <f>$G$30*($G$29/$G$28)</f>
        <v>9995.3537686267009</v>
      </c>
      <c r="H31" t="s">
        <v>14</v>
      </c>
      <c r="J31" s="20" t="s">
        <v>81</v>
      </c>
      <c r="K31" s="20">
        <f>$C$21</f>
        <v>400</v>
      </c>
      <c r="L31" s="20" t="s">
        <v>12</v>
      </c>
      <c r="AB31" s="8">
        <v>27</v>
      </c>
      <c r="AC31" s="8">
        <f t="shared" si="7"/>
        <v>0.15430667251348495</v>
      </c>
      <c r="AD31" s="8">
        <f t="shared" si="0"/>
        <v>2.8587867906271214E-9</v>
      </c>
      <c r="AE31" s="8">
        <f t="shared" si="8"/>
        <v>0.15430667996406555</v>
      </c>
      <c r="AF31" s="8">
        <f t="shared" si="1"/>
        <v>-4.7580518136580707E-9</v>
      </c>
      <c r="AG31" s="8">
        <f t="shared" si="2"/>
        <v>0.15430667623877525</v>
      </c>
      <c r="AH31" s="8">
        <f t="shared" si="3"/>
        <v>-9.4963251151547468E-10</v>
      </c>
      <c r="AI31" s="8">
        <f t="shared" si="4"/>
        <v>-2.7147968798704967E-18</v>
      </c>
      <c r="AJ31" s="8">
        <f t="shared" si="5"/>
        <v>4.518400693724873E-18</v>
      </c>
      <c r="AK31" s="8">
        <f t="shared" si="6"/>
        <v>7.4505805969238281E-9</v>
      </c>
      <c r="AM31" s="8">
        <v>27</v>
      </c>
      <c r="AN31" s="8">
        <f t="shared" si="13"/>
        <v>817.38778948783875</v>
      </c>
      <c r="AO31" s="8">
        <v>-6.4653594336050446E-6</v>
      </c>
      <c r="AP31" s="8">
        <f t="shared" si="14"/>
        <v>817.38781929016113</v>
      </c>
      <c r="AQ31" s="8">
        <v>1.0801532710047468E-5</v>
      </c>
      <c r="AR31" s="8">
        <f t="shared" si="9"/>
        <v>817.38780438899994</v>
      </c>
      <c r="AS31" s="8">
        <v>1.7597321857465431E-6</v>
      </c>
      <c r="AT31" s="8">
        <f t="shared" si="10"/>
        <v>-1.1377301087734837E-11</v>
      </c>
      <c r="AU31" s="8">
        <f t="shared" si="11"/>
        <v>1.9007804765264612E-11</v>
      </c>
      <c r="AV31" s="8">
        <f t="shared" si="12"/>
        <v>2.9802322387695312E-5</v>
      </c>
    </row>
    <row r="32" spans="2:48" x14ac:dyDescent="0.2">
      <c r="B32" s="61" t="s">
        <v>184</v>
      </c>
      <c r="C32" s="61"/>
      <c r="D32" s="61"/>
      <c r="F32" t="s">
        <v>152</v>
      </c>
      <c r="G32" s="20">
        <f>ATAN(G28/G30)/PI()*180</f>
        <v>1.7466458786346903</v>
      </c>
      <c r="H32" t="s">
        <v>62</v>
      </c>
      <c r="J32" s="27" t="s">
        <v>74</v>
      </c>
      <c r="K32" s="20">
        <f>K14</f>
        <v>110.87882580258223</v>
      </c>
      <c r="L32" s="20" t="s">
        <v>12</v>
      </c>
      <c r="AB32" s="8">
        <v>28</v>
      </c>
      <c r="AC32" s="8">
        <f t="shared" si="7"/>
        <v>0.15430667251348495</v>
      </c>
      <c r="AD32" s="8">
        <f t="shared" si="0"/>
        <v>2.8587867906271214E-9</v>
      </c>
      <c r="AE32" s="8">
        <f t="shared" si="8"/>
        <v>0.15430667623877525</v>
      </c>
      <c r="AF32" s="8">
        <f t="shared" si="1"/>
        <v>-9.4963251151547468E-10</v>
      </c>
      <c r="AG32" s="8">
        <f t="shared" si="2"/>
        <v>0.1543066743761301</v>
      </c>
      <c r="AH32" s="8">
        <f t="shared" si="3"/>
        <v>9.5457713955582335E-10</v>
      </c>
      <c r="AI32" s="8">
        <f t="shared" si="4"/>
        <v>2.72893251719681E-18</v>
      </c>
      <c r="AJ32" s="8">
        <f t="shared" si="5"/>
        <v>-9.0649748647165429E-19</v>
      </c>
      <c r="AK32" s="8">
        <f t="shared" si="6"/>
        <v>3.7252902984619141E-9</v>
      </c>
      <c r="AM32" s="8">
        <v>28</v>
      </c>
      <c r="AN32" s="8">
        <f t="shared" si="13"/>
        <v>817.38778948783875</v>
      </c>
      <c r="AO32" s="8">
        <v>-6.4653594336050446E-6</v>
      </c>
      <c r="AP32" s="8">
        <f t="shared" si="14"/>
        <v>817.38780438899994</v>
      </c>
      <c r="AQ32" s="8">
        <v>1.7597321857465431E-6</v>
      </c>
      <c r="AR32" s="8">
        <f t="shared" si="9"/>
        <v>817.38779693841934</v>
      </c>
      <c r="AS32" s="8">
        <v>-2.7611680479822098E-6</v>
      </c>
      <c r="AT32" s="8">
        <f t="shared" si="10"/>
        <v>1.7851943886790607E-11</v>
      </c>
      <c r="AU32" s="8">
        <f t="shared" si="11"/>
        <v>-4.8589162842892499E-12</v>
      </c>
      <c r="AV32" s="8">
        <f t="shared" si="12"/>
        <v>1.4901161193847656E-5</v>
      </c>
    </row>
    <row r="33" spans="2:48" x14ac:dyDescent="0.2">
      <c r="B33" t="s">
        <v>191</v>
      </c>
      <c r="C33" s="1">
        <v>5</v>
      </c>
      <c r="D33"/>
      <c r="F33" t="s">
        <v>155</v>
      </c>
      <c r="G33" s="20">
        <f xml:space="preserve"> 1/1000 * (W22 + W18 * (W27 * W24 + $G$27 * SIN(W17/180*PI())))</f>
        <v>57.775555424661128</v>
      </c>
      <c r="H33" t="s">
        <v>162</v>
      </c>
      <c r="J33" s="35" t="s">
        <v>94</v>
      </c>
      <c r="K33" s="20">
        <f>SUM(K15:K17)</f>
        <v>165.92989869532525</v>
      </c>
      <c r="L33" s="20" t="s">
        <v>12</v>
      </c>
      <c r="AB33" s="8">
        <v>29</v>
      </c>
      <c r="AC33" s="8">
        <f t="shared" si="7"/>
        <v>0.1543066743761301</v>
      </c>
      <c r="AD33" s="8">
        <f t="shared" si="0"/>
        <v>9.5457713955582335E-10</v>
      </c>
      <c r="AE33" s="8">
        <f t="shared" si="8"/>
        <v>0.15430667623877525</v>
      </c>
      <c r="AF33" s="8">
        <f t="shared" si="1"/>
        <v>-9.4963251151547468E-10</v>
      </c>
      <c r="AG33" s="8">
        <f t="shared" si="2"/>
        <v>0.15430667530745268</v>
      </c>
      <c r="AH33" s="8">
        <f t="shared" si="3"/>
        <v>2.4723001423865298E-12</v>
      </c>
      <c r="AI33" s="8">
        <f t="shared" si="4"/>
        <v>2.3600011980427884E-21</v>
      </c>
      <c r="AJ33" s="8">
        <f t="shared" si="5"/>
        <v>-2.347776593434586E-21</v>
      </c>
      <c r="AK33" s="8">
        <f t="shared" si="6"/>
        <v>1.862645149230957E-9</v>
      </c>
      <c r="AM33" s="8">
        <v>29</v>
      </c>
      <c r="AN33" s="8">
        <f t="shared" si="13"/>
        <v>817.38779693841934</v>
      </c>
      <c r="AO33" s="8">
        <v>-2.7611680479822098E-6</v>
      </c>
      <c r="AP33" s="8">
        <f t="shared" si="14"/>
        <v>817.38780438899994</v>
      </c>
      <c r="AQ33" s="8">
        <v>1.7597321857465431E-6</v>
      </c>
      <c r="AR33" s="8">
        <f t="shared" si="9"/>
        <v>817.38780066370964</v>
      </c>
      <c r="AS33" s="8">
        <v>-5.0071793111783336E-7</v>
      </c>
      <c r="AT33" s="8">
        <f t="shared" si="10"/>
        <v>1.3825663524543185E-12</v>
      </c>
      <c r="AU33" s="8">
        <f t="shared" si="11"/>
        <v>-8.8112945936847191E-13</v>
      </c>
      <c r="AV33" s="8">
        <f t="shared" si="12"/>
        <v>7.4505805969238281E-6</v>
      </c>
    </row>
    <row r="34" spans="2:48" x14ac:dyDescent="0.2">
      <c r="B34" t="s">
        <v>185</v>
      </c>
      <c r="C34" s="1">
        <v>0.14399999999999999</v>
      </c>
      <c r="D34"/>
      <c r="F34" t="s">
        <v>133</v>
      </c>
      <c r="G34" s="20">
        <f>$C$5*G33</f>
        <v>231.10222169864451</v>
      </c>
      <c r="H34" t="s">
        <v>162</v>
      </c>
      <c r="J34" s="36" t="s">
        <v>95</v>
      </c>
      <c r="K34" s="20">
        <f>SUM(K18:K22)</f>
        <v>102.3979605728951</v>
      </c>
      <c r="L34" s="20" t="s">
        <v>12</v>
      </c>
      <c r="AB34" s="8">
        <v>30</v>
      </c>
      <c r="AC34" s="8">
        <f t="shared" si="7"/>
        <v>0.15430667530745268</v>
      </c>
      <c r="AD34" s="8">
        <f t="shared" si="0"/>
        <v>2.4723001423865298E-12</v>
      </c>
      <c r="AE34" s="8">
        <f t="shared" si="8"/>
        <v>0.15430667623877525</v>
      </c>
      <c r="AF34" s="8">
        <f t="shared" si="1"/>
        <v>-9.4963251151547468E-10</v>
      </c>
      <c r="AG34" s="8">
        <f t="shared" si="2"/>
        <v>0.15430667577311397</v>
      </c>
      <c r="AH34" s="8">
        <f t="shared" si="3"/>
        <v>-4.7358011956433188E-10</v>
      </c>
      <c r="AI34" s="8">
        <f t="shared" si="4"/>
        <v>-1.1708321970303275E-21</v>
      </c>
      <c r="AJ34" s="8">
        <f t="shared" si="5"/>
        <v>4.4972707834567527E-19</v>
      </c>
      <c r="AK34" s="8">
        <f t="shared" si="6"/>
        <v>9.3132257461547852E-10</v>
      </c>
      <c r="AM34" s="8">
        <v>30</v>
      </c>
      <c r="AN34" s="8">
        <f t="shared" si="13"/>
        <v>817.38780066370964</v>
      </c>
      <c r="AO34" s="8">
        <v>-5.0071793111783336E-7</v>
      </c>
      <c r="AP34" s="8">
        <f t="shared" si="14"/>
        <v>817.38780438899994</v>
      </c>
      <c r="AQ34" s="8">
        <v>1.7597321857465431E-6</v>
      </c>
      <c r="AR34" s="8">
        <f t="shared" si="9"/>
        <v>817.38780252635479</v>
      </c>
      <c r="AS34" s="8">
        <v>6.2950715573606431E-7</v>
      </c>
      <c r="AT34" s="8">
        <f t="shared" si="10"/>
        <v>-3.1520552064403384E-13</v>
      </c>
      <c r="AU34" s="8">
        <f t="shared" si="11"/>
        <v>1.107764003106514E-12</v>
      </c>
      <c r="AV34" s="8">
        <f t="shared" si="12"/>
        <v>3.7252902984619141E-6</v>
      </c>
    </row>
    <row r="35" spans="2:48" x14ac:dyDescent="0.2">
      <c r="B35"/>
      <c r="C35"/>
      <c r="D35"/>
      <c r="F35" t="s">
        <v>132</v>
      </c>
      <c r="G35" s="20">
        <f>$G$29/$G$28</f>
        <v>200</v>
      </c>
      <c r="H35" t="s">
        <v>22</v>
      </c>
      <c r="J35" s="31" t="s">
        <v>96</v>
      </c>
      <c r="K35" s="20">
        <f>SUM(K23:K26)</f>
        <v>38.181116417635018</v>
      </c>
      <c r="L35" s="20" t="s">
        <v>12</v>
      </c>
      <c r="AM35" s="8">
        <v>31</v>
      </c>
      <c r="AN35" s="8">
        <f t="shared" si="13"/>
        <v>817.38780066370964</v>
      </c>
      <c r="AO35" s="20">
        <v>-5.0071793111783336E-7</v>
      </c>
      <c r="AP35" s="8">
        <f t="shared" si="14"/>
        <v>817.38780252635479</v>
      </c>
      <c r="AQ35" s="20">
        <v>6.2950715573606431E-7</v>
      </c>
      <c r="AR35" s="8">
        <f t="shared" si="9"/>
        <v>817.38780159503222</v>
      </c>
      <c r="AS35" s="20">
        <v>6.4394498622277752E-8</v>
      </c>
      <c r="AT35" s="8">
        <f t="shared" si="10"/>
        <v>-3.2243480125517086E-14</v>
      </c>
      <c r="AU35" s="8">
        <f t="shared" si="11"/>
        <v>4.0536797672759979E-14</v>
      </c>
      <c r="AV35" s="8">
        <f t="shared" si="12"/>
        <v>1.862645149230957E-6</v>
      </c>
    </row>
    <row r="36" spans="2:48" x14ac:dyDescent="0.2">
      <c r="B36" s="61" t="s">
        <v>165</v>
      </c>
      <c r="C36" s="61"/>
      <c r="D36" s="61"/>
      <c r="J36" s="26" t="s">
        <v>83</v>
      </c>
      <c r="K36" s="26">
        <f>SUM(K31:K35)</f>
        <v>817.38780148843773</v>
      </c>
      <c r="L36" s="20" t="s">
        <v>12</v>
      </c>
      <c r="AM36" s="8">
        <v>32</v>
      </c>
      <c r="AN36" s="8">
        <f t="shared" si="13"/>
        <v>817.38780066370964</v>
      </c>
      <c r="AO36" s="20">
        <v>-5.0071793111783336E-7</v>
      </c>
      <c r="AP36" s="8">
        <f t="shared" si="14"/>
        <v>817.38780159503222</v>
      </c>
      <c r="AQ36" s="20">
        <v>6.4394498622277752E-8</v>
      </c>
      <c r="AR36" s="8">
        <f t="shared" si="9"/>
        <v>817.38780112937093</v>
      </c>
      <c r="AS36" s="20">
        <v>-2.1816163098264951E-7</v>
      </c>
      <c r="AT36" s="8">
        <f t="shared" si="10"/>
        <v>1.0923744051492448E-13</v>
      </c>
      <c r="AU36" s="8">
        <f t="shared" si="11"/>
        <v>-1.4048408845746091E-14</v>
      </c>
      <c r="AV36" s="8">
        <f t="shared" si="12"/>
        <v>9.3132257461547852E-7</v>
      </c>
    </row>
    <row r="37" spans="2:48" x14ac:dyDescent="0.2">
      <c r="B37" t="s">
        <v>166</v>
      </c>
      <c r="C37" s="1">
        <v>4</v>
      </c>
      <c r="D37"/>
      <c r="F37" s="59" t="s">
        <v>111</v>
      </c>
      <c r="G37" s="60"/>
      <c r="H37" s="60"/>
      <c r="AB37" s="32" t="s">
        <v>142</v>
      </c>
      <c r="AM37" s="8">
        <v>33</v>
      </c>
      <c r="AN37" s="8">
        <f t="shared" si="13"/>
        <v>817.38780112937093</v>
      </c>
      <c r="AO37" s="20">
        <v>-2.1816163098264951E-7</v>
      </c>
      <c r="AP37" s="8">
        <f t="shared" si="14"/>
        <v>817.38780159503222</v>
      </c>
      <c r="AQ37" s="20">
        <v>6.4394498622277752E-8</v>
      </c>
      <c r="AR37" s="8">
        <f t="shared" si="9"/>
        <v>817.38780136220157</v>
      </c>
      <c r="AS37" s="20">
        <v>-7.6883566180185881E-8</v>
      </c>
      <c r="AT37" s="8">
        <f t="shared" si="10"/>
        <v>1.6773044193631824E-14</v>
      </c>
      <c r="AU37" s="8">
        <f t="shared" si="11"/>
        <v>-4.95087869646578E-15</v>
      </c>
      <c r="AV37" s="8">
        <f t="shared" si="12"/>
        <v>4.6566128730773926E-7</v>
      </c>
    </row>
    <row r="38" spans="2:48" x14ac:dyDescent="0.2">
      <c r="B38" t="s">
        <v>167</v>
      </c>
      <c r="C38" s="1">
        <v>5.2</v>
      </c>
      <c r="D38" t="s">
        <v>14</v>
      </c>
      <c r="F38" t="s">
        <v>117</v>
      </c>
      <c r="G38" s="1">
        <v>1.524</v>
      </c>
      <c r="H38" t="s">
        <v>16</v>
      </c>
      <c r="J38" s="58" t="s">
        <v>80</v>
      </c>
      <c r="K38" s="58"/>
      <c r="L38" s="58"/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13"/>
        <v>817.38780136220157</v>
      </c>
      <c r="AO38" s="20">
        <v>-7.6883566180185881E-8</v>
      </c>
      <c r="AP38" s="8">
        <f t="shared" si="14"/>
        <v>817.38780159503222</v>
      </c>
      <c r="AQ38" s="20">
        <v>6.4394498622277752E-8</v>
      </c>
      <c r="AR38" s="8">
        <f t="shared" si="9"/>
        <v>817.38780147861689</v>
      </c>
      <c r="AS38" s="20">
        <v>-6.2445906223729253E-9</v>
      </c>
      <c r="AT38" s="8">
        <f t="shared" si="10"/>
        <v>4.8010639638337694E-16</v>
      </c>
      <c r="AU38" s="8">
        <f t="shared" si="11"/>
        <v>-4.021172822290819E-16</v>
      </c>
      <c r="AV38" s="8">
        <f t="shared" si="12"/>
        <v>2.3283064365386963E-7</v>
      </c>
    </row>
    <row r="39" spans="2:48" x14ac:dyDescent="0.2">
      <c r="B39" t="s">
        <v>168</v>
      </c>
      <c r="C39" s="1">
        <v>1.8</v>
      </c>
      <c r="D39" t="s">
        <v>14</v>
      </c>
      <c r="F39" t="s">
        <v>123</v>
      </c>
      <c r="G39" s="1">
        <v>152.4</v>
      </c>
      <c r="H39" t="s">
        <v>14</v>
      </c>
      <c r="J39" s="20" t="s">
        <v>81</v>
      </c>
      <c r="K39" s="20">
        <f>ROUND($C$21/$C$15 * 100, 2)</f>
        <v>48.94</v>
      </c>
      <c r="L39" s="20" t="s">
        <v>82</v>
      </c>
      <c r="AB39" s="8">
        <v>0</v>
      </c>
      <c r="AC39" s="9">
        <v>0</v>
      </c>
      <c r="AD39" s="8">
        <f t="shared" ref="AD39:AD69" si="15" xml:space="preserve"> $C$18 * TAN($O$18/180*PI()) + $O$21 / (2 * SQRT($C$18^2 + AC39^2)) - AC39</f>
        <v>0.17292517241895117</v>
      </c>
      <c r="AE39" s="9">
        <v>1</v>
      </c>
      <c r="AF39" s="8">
        <f t="shared" ref="AF39:AF69" si="16" xml:space="preserve"> $C$18 * TAN($O$18/180*PI()) + $O$21 / (2 * SQRT($C$18^2 + AE39^2)) - AE39</f>
        <v>-0.84107066030706701</v>
      </c>
      <c r="AG39" s="8">
        <f xml:space="preserve"> (AC39 + AE39)/2</f>
        <v>0.5</v>
      </c>
      <c r="AH39" s="8">
        <f t="shared" ref="AH39:AH69" si="17" xml:space="preserve"> $C$18 * TAN($O$18/180*PI()) + $O$21 / (2 * SQRT($C$18^2 + AG39^2)) - AG39</f>
        <v>-0.33660968485177784</v>
      </c>
      <c r="AI39" s="8">
        <f>AD39*AH39</f>
        <v>-5.8208287790882496E-2</v>
      </c>
      <c r="AJ39" s="8">
        <f>AF39*AH39</f>
        <v>0.28311252990403851</v>
      </c>
      <c r="AK39" s="8">
        <f>AE39-AC39</f>
        <v>1</v>
      </c>
      <c r="AM39" s="8">
        <v>35</v>
      </c>
      <c r="AN39" s="8">
        <f t="shared" si="13"/>
        <v>817.38780147861689</v>
      </c>
      <c r="AO39" s="20">
        <v>-6.2445906223729253E-9</v>
      </c>
      <c r="AP39" s="8">
        <f t="shared" si="14"/>
        <v>817.38780159503222</v>
      </c>
      <c r="AQ39" s="20">
        <v>6.4394498622277752E-8</v>
      </c>
      <c r="AR39" s="8">
        <f t="shared" si="9"/>
        <v>817.38780153682455</v>
      </c>
      <c r="AS39" s="20">
        <v>2.9074953999952413E-8</v>
      </c>
      <c r="AT39" s="8">
        <f t="shared" si="10"/>
        <v>-1.8156118509402701E-16</v>
      </c>
      <c r="AU39" s="8">
        <f t="shared" si="11"/>
        <v>1.8722670852927247E-15</v>
      </c>
      <c r="AV39" s="8">
        <f t="shared" si="12"/>
        <v>1.1641532182693481E-7</v>
      </c>
    </row>
    <row r="40" spans="2:48" x14ac:dyDescent="0.2">
      <c r="B40"/>
      <c r="C40"/>
      <c r="D40"/>
      <c r="F40" t="s">
        <v>115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114.9695270719791</v>
      </c>
      <c r="H40" t="s">
        <v>162</v>
      </c>
      <c r="J40" s="27" t="s">
        <v>74</v>
      </c>
      <c r="K40" s="20">
        <f>ROUND(K14/$C$15 * 100, 2)</f>
        <v>13.57</v>
      </c>
      <c r="L40" s="20" t="s">
        <v>82</v>
      </c>
      <c r="AB40" s="8">
        <v>1</v>
      </c>
      <c r="AC40" s="8">
        <f>IF(AI39&gt;0, AG39, AC39)</f>
        <v>0</v>
      </c>
      <c r="AD40" s="8">
        <f t="shared" si="15"/>
        <v>0.17292517241895117</v>
      </c>
      <c r="AE40" s="8">
        <f>IF(AJ39&gt;0, AG39, AE39)</f>
        <v>0.5</v>
      </c>
      <c r="AF40" s="8">
        <f t="shared" si="16"/>
        <v>-0.33660968485177784</v>
      </c>
      <c r="AG40" s="8">
        <f t="shared" ref="AG40:AG69" si="18" xml:space="preserve"> (AC40 + AE40)/2</f>
        <v>0.25</v>
      </c>
      <c r="AH40" s="8">
        <f t="shared" si="17"/>
        <v>-8.162674868603792E-2</v>
      </c>
      <c r="AI40" s="8">
        <f t="shared" ref="AI40:AI69" si="19">AD40*AH40</f>
        <v>-1.4115319590531503E-2</v>
      </c>
      <c r="AJ40" s="8">
        <f t="shared" ref="AJ40:AJ69" si="20">AF40*AH40</f>
        <v>2.7476354150682496E-2</v>
      </c>
      <c r="AK40" s="8">
        <f t="shared" ref="AK40:AK69" si="21">AE40-AC40</f>
        <v>0.5</v>
      </c>
      <c r="AM40" s="8">
        <v>36</v>
      </c>
      <c r="AN40" s="8">
        <f t="shared" si="13"/>
        <v>817.38780147861689</v>
      </c>
      <c r="AO40" s="20">
        <v>-6.2445906223729253E-9</v>
      </c>
      <c r="AP40" s="8">
        <f t="shared" si="14"/>
        <v>817.38780153682455</v>
      </c>
      <c r="AQ40" s="20">
        <v>2.9074953999952413E-8</v>
      </c>
      <c r="AR40" s="8">
        <f t="shared" si="9"/>
        <v>817.38780150772072</v>
      </c>
      <c r="AS40" s="20">
        <v>1.1415181688789744E-8</v>
      </c>
      <c r="AT40" s="8">
        <f t="shared" si="10"/>
        <v>-7.1283136526499567E-17</v>
      </c>
      <c r="AU40" s="8">
        <f t="shared" si="11"/>
        <v>3.3189588250266091E-16</v>
      </c>
      <c r="AV40" s="8">
        <f t="shared" si="12"/>
        <v>5.8207660913467407E-8</v>
      </c>
    </row>
    <row r="41" spans="2:48" x14ac:dyDescent="0.2">
      <c r="B41" s="61" t="s">
        <v>169</v>
      </c>
      <c r="C41" s="61"/>
      <c r="D41" s="61"/>
      <c r="F41" t="s">
        <v>30</v>
      </c>
      <c r="G41" s="20">
        <f xml:space="preserve"> $C$15 * $C$26 / $C$5</f>
        <v>2003.9590208648672</v>
      </c>
      <c r="H41" t="s">
        <v>31</v>
      </c>
      <c r="J41" s="35" t="s">
        <v>94</v>
      </c>
      <c r="K41" s="20">
        <f>ROUND(SUM(K15:K17)/$C$15 * 100, 2)</f>
        <v>20.3</v>
      </c>
      <c r="L41" s="20" t="s">
        <v>82</v>
      </c>
      <c r="AB41" s="8">
        <v>2</v>
      </c>
      <c r="AC41" s="8">
        <f t="shared" ref="AC41:AC69" si="22">IF(AI40&gt;0, AG40, AC40)</f>
        <v>0</v>
      </c>
      <c r="AD41" s="8">
        <f t="shared" si="15"/>
        <v>0.17292517241895117</v>
      </c>
      <c r="AE41" s="8">
        <f t="shared" ref="AE41:AE69" si="23">IF(AJ40&gt;0, AG40, AE40)</f>
        <v>0.25</v>
      </c>
      <c r="AF41" s="8">
        <f t="shared" si="16"/>
        <v>-8.162674868603792E-2</v>
      </c>
      <c r="AG41" s="8">
        <f t="shared" si="18"/>
        <v>0.125</v>
      </c>
      <c r="AH41" s="8">
        <f t="shared" si="17"/>
        <v>4.6414473866907169E-2</v>
      </c>
      <c r="AI41" s="8">
        <f t="shared" si="19"/>
        <v>8.0262308961698246E-3</v>
      </c>
      <c r="AJ41" s="8">
        <f t="shared" si="20"/>
        <v>-3.7886625937287063E-3</v>
      </c>
      <c r="AK41" s="8">
        <f t="shared" si="21"/>
        <v>0.25</v>
      </c>
      <c r="AM41" s="8">
        <v>37</v>
      </c>
      <c r="AN41" s="8">
        <f t="shared" si="13"/>
        <v>817.38780147861689</v>
      </c>
      <c r="AO41" s="20">
        <v>-6.2445906223729253E-9</v>
      </c>
      <c r="AP41" s="8">
        <f t="shared" si="14"/>
        <v>817.38780150772072</v>
      </c>
      <c r="AQ41" s="20">
        <v>1.1415181688789744E-8</v>
      </c>
      <c r="AR41" s="8">
        <f t="shared" si="9"/>
        <v>817.38780149316881</v>
      </c>
      <c r="AS41" s="20">
        <v>2.5852955332084093E-9</v>
      </c>
      <c r="AT41" s="8">
        <f t="shared" si="10"/>
        <v>-1.6144112242735845E-17</v>
      </c>
      <c r="AU41" s="8">
        <f t="shared" si="11"/>
        <v>2.9511618230790551E-17</v>
      </c>
      <c r="AV41" s="8">
        <f t="shared" si="12"/>
        <v>2.9103830456733704E-8</v>
      </c>
    </row>
    <row r="42" spans="2:48" x14ac:dyDescent="0.2">
      <c r="B42" t="s">
        <v>170</v>
      </c>
      <c r="C42" s="1">
        <v>0.3</v>
      </c>
      <c r="D42" t="s">
        <v>14</v>
      </c>
      <c r="F42" t="s">
        <v>122</v>
      </c>
      <c r="G42" s="24">
        <f>$G$39/$G$38</f>
        <v>100</v>
      </c>
      <c r="H42" t="s">
        <v>22</v>
      </c>
      <c r="J42" s="36" t="s">
        <v>95</v>
      </c>
      <c r="K42" s="20">
        <f>ROUND(SUM(K18:K22)/$C$15 * 100, 2)</f>
        <v>12.53</v>
      </c>
      <c r="L42" s="20" t="s">
        <v>82</v>
      </c>
      <c r="AB42" s="8">
        <v>3</v>
      </c>
      <c r="AC42" s="8">
        <f t="shared" si="22"/>
        <v>0.125</v>
      </c>
      <c r="AD42" s="8">
        <f t="shared" si="15"/>
        <v>4.6414473866907169E-2</v>
      </c>
      <c r="AE42" s="8">
        <f t="shared" si="23"/>
        <v>0.25</v>
      </c>
      <c r="AF42" s="8">
        <f t="shared" si="16"/>
        <v>-8.162674868603792E-2</v>
      </c>
      <c r="AG42" s="8">
        <f t="shared" si="18"/>
        <v>0.1875</v>
      </c>
      <c r="AH42" s="8">
        <f t="shared" si="17"/>
        <v>-1.7560001227669514E-2</v>
      </c>
      <c r="AI42" s="8">
        <f t="shared" si="19"/>
        <v>-8.1503821808452442E-4</v>
      </c>
      <c r="AJ42" s="8">
        <f t="shared" si="20"/>
        <v>1.4333658071374968E-3</v>
      </c>
      <c r="AK42" s="8">
        <f t="shared" si="21"/>
        <v>0.125</v>
      </c>
      <c r="AM42" s="8">
        <v>38</v>
      </c>
      <c r="AN42" s="8">
        <f t="shared" si="13"/>
        <v>817.38780147861689</v>
      </c>
      <c r="AO42" s="20">
        <v>-6.2445906223729253E-9</v>
      </c>
      <c r="AP42" s="8">
        <f t="shared" si="14"/>
        <v>817.38780149316881</v>
      </c>
      <c r="AQ42" s="20">
        <v>2.5852955332084093E-9</v>
      </c>
      <c r="AR42" s="8">
        <f t="shared" si="9"/>
        <v>817.38780148589285</v>
      </c>
      <c r="AS42" s="20">
        <v>-1.8295622794539668E-9</v>
      </c>
      <c r="AT42" s="8">
        <f t="shared" si="10"/>
        <v>1.1424867453325474E-17</v>
      </c>
      <c r="AU42" s="8">
        <f t="shared" si="11"/>
        <v>-4.7299591887989358E-18</v>
      </c>
      <c r="AV42" s="8">
        <f t="shared" si="12"/>
        <v>1.4551915228366852E-8</v>
      </c>
    </row>
    <row r="43" spans="2:48" x14ac:dyDescent="0.2">
      <c r="B43" t="s">
        <v>171</v>
      </c>
      <c r="C43" s="1">
        <v>5.7</v>
      </c>
      <c r="D43"/>
      <c r="J43" s="31" t="s">
        <v>96</v>
      </c>
      <c r="K43" s="20">
        <f>ROUND(SUM(K23:K26)/$C$15*100, 2)</f>
        <v>4.67</v>
      </c>
      <c r="L43" s="20" t="s">
        <v>82</v>
      </c>
      <c r="AB43" s="8">
        <v>4</v>
      </c>
      <c r="AC43" s="8">
        <f t="shared" si="22"/>
        <v>0.125</v>
      </c>
      <c r="AD43" s="8">
        <f t="shared" si="15"/>
        <v>4.6414473866907169E-2</v>
      </c>
      <c r="AE43" s="8">
        <f t="shared" si="23"/>
        <v>0.1875</v>
      </c>
      <c r="AF43" s="8">
        <f t="shared" si="16"/>
        <v>-1.7560001227669514E-2</v>
      </c>
      <c r="AG43" s="8">
        <f t="shared" si="18"/>
        <v>0.15625</v>
      </c>
      <c r="AH43" s="8">
        <f t="shared" si="17"/>
        <v>1.4454268937979492E-2</v>
      </c>
      <c r="AI43" s="8">
        <f t="shared" si="19"/>
        <v>6.7088728788709719E-4</v>
      </c>
      <c r="AJ43" s="8">
        <f t="shared" si="20"/>
        <v>-2.538169802959852E-4</v>
      </c>
      <c r="AK43" s="8">
        <f t="shared" si="21"/>
        <v>6.25E-2</v>
      </c>
      <c r="AM43" s="8">
        <v>39</v>
      </c>
      <c r="AN43" s="8">
        <f t="shared" si="13"/>
        <v>817.38780148589285</v>
      </c>
      <c r="AO43" s="20">
        <v>-1.8295622794539668E-9</v>
      </c>
      <c r="AP43" s="8">
        <f t="shared" si="14"/>
        <v>817.38780149316881</v>
      </c>
      <c r="AQ43" s="20">
        <v>2.5852955332084093E-9</v>
      </c>
      <c r="AR43" s="8">
        <f t="shared" si="9"/>
        <v>817.38780148953083</v>
      </c>
      <c r="AS43" s="20">
        <v>3.7789504858665168E-10</v>
      </c>
      <c r="AT43" s="8">
        <f t="shared" si="10"/>
        <v>-6.9138252648656198E-19</v>
      </c>
      <c r="AU43" s="8">
        <f t="shared" si="11"/>
        <v>9.7697038113264541E-19</v>
      </c>
      <c r="AV43" s="8">
        <f t="shared" si="12"/>
        <v>7.2759576141834259E-9</v>
      </c>
    </row>
    <row r="44" spans="2:48" x14ac:dyDescent="0.2">
      <c r="J44" s="26" t="s">
        <v>83</v>
      </c>
      <c r="K44" s="26">
        <f>SUM(K39:K43)</f>
        <v>100.01</v>
      </c>
      <c r="L44" s="26" t="s">
        <v>82</v>
      </c>
      <c r="AB44" s="8">
        <v>5</v>
      </c>
      <c r="AC44" s="8">
        <f t="shared" si="22"/>
        <v>0.15625</v>
      </c>
      <c r="AD44" s="8">
        <f t="shared" si="15"/>
        <v>1.4454268937979492E-2</v>
      </c>
      <c r="AE44" s="8">
        <f t="shared" si="23"/>
        <v>0.1875</v>
      </c>
      <c r="AF44" s="8">
        <f t="shared" si="16"/>
        <v>-1.7560001227669514E-2</v>
      </c>
      <c r="AG44" s="8">
        <f t="shared" si="18"/>
        <v>0.171875</v>
      </c>
      <c r="AH44" s="8">
        <f t="shared" si="17"/>
        <v>-1.5483453617634868E-3</v>
      </c>
      <c r="AI44" s="8">
        <f t="shared" si="19"/>
        <v>-2.2380200267802588E-5</v>
      </c>
      <c r="AJ44" s="8">
        <f t="shared" si="20"/>
        <v>2.7188946453423227E-5</v>
      </c>
      <c r="AK44" s="8">
        <f t="shared" si="21"/>
        <v>3.125E-2</v>
      </c>
      <c r="AM44" s="8">
        <v>40</v>
      </c>
      <c r="AN44" s="8">
        <f t="shared" si="13"/>
        <v>817.38780148589285</v>
      </c>
      <c r="AO44" s="20">
        <v>-1.8295622794539668E-9</v>
      </c>
      <c r="AP44" s="8">
        <f t="shared" si="14"/>
        <v>817.38780148953083</v>
      </c>
      <c r="AQ44" s="20">
        <v>3.7789504858665168E-10</v>
      </c>
      <c r="AR44" s="11">
        <f t="shared" si="9"/>
        <v>817.38780148771184</v>
      </c>
      <c r="AS44" s="20">
        <v>-7.2566308517707512E-10</v>
      </c>
      <c r="AT44" s="8">
        <f t="shared" si="10"/>
        <v>1.3276458082321676E-18</v>
      </c>
      <c r="AU44" s="8">
        <f t="shared" si="11"/>
        <v>-2.7422448683053036E-19</v>
      </c>
      <c r="AV44" s="8">
        <f t="shared" si="12"/>
        <v>3.637978807091713E-9</v>
      </c>
    </row>
    <row r="45" spans="2:48" x14ac:dyDescent="0.2">
      <c r="AB45" s="8">
        <v>6</v>
      </c>
      <c r="AC45" s="8">
        <f t="shared" si="22"/>
        <v>0.15625</v>
      </c>
      <c r="AD45" s="8">
        <f t="shared" si="15"/>
        <v>1.4454268937979492E-2</v>
      </c>
      <c r="AE45" s="8">
        <f t="shared" si="23"/>
        <v>0.171875</v>
      </c>
      <c r="AF45" s="8">
        <f t="shared" si="16"/>
        <v>-1.5483453617634868E-3</v>
      </c>
      <c r="AG45" s="8">
        <f t="shared" si="18"/>
        <v>0.1640625</v>
      </c>
      <c r="AH45" s="8">
        <f t="shared" si="17"/>
        <v>6.4543542740299609E-3</v>
      </c>
      <c r="AI45" s="8">
        <f t="shared" si="19"/>
        <v>9.3292972497826436E-5</v>
      </c>
      <c r="AJ45" s="8">
        <f t="shared" si="20"/>
        <v>-9.9935695033726262E-6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0.1640625</v>
      </c>
      <c r="AD46" s="8">
        <f t="shared" si="15"/>
        <v>6.4543542740299609E-3</v>
      </c>
      <c r="AE46" s="8">
        <f t="shared" si="23"/>
        <v>0.171875</v>
      </c>
      <c r="AF46" s="8">
        <f t="shared" si="16"/>
        <v>-1.5483453617634868E-3</v>
      </c>
      <c r="AG46" s="8">
        <f t="shared" si="18"/>
        <v>0.16796875</v>
      </c>
      <c r="AH46" s="8">
        <f t="shared" si="17"/>
        <v>2.4533186240196792E-3</v>
      </c>
      <c r="AI46" s="8">
        <f t="shared" si="19"/>
        <v>1.5834587546498719E-5</v>
      </c>
      <c r="AJ46" s="8">
        <f t="shared" si="20"/>
        <v>-3.7985845124288499E-6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0.16796875</v>
      </c>
      <c r="AD47" s="8">
        <f t="shared" si="15"/>
        <v>2.4533186240196792E-3</v>
      </c>
      <c r="AE47" s="8">
        <f t="shared" si="23"/>
        <v>0.171875</v>
      </c>
      <c r="AF47" s="8">
        <f t="shared" si="16"/>
        <v>-1.5483453617634868E-3</v>
      </c>
      <c r="AG47" s="8">
        <f t="shared" si="18"/>
        <v>0.169921875</v>
      </c>
      <c r="AH47" s="8">
        <f t="shared" si="17"/>
        <v>4.5256102900775863E-4</v>
      </c>
      <c r="AI47" s="8">
        <f t="shared" si="19"/>
        <v>1.1102764009702444E-6</v>
      </c>
      <c r="AJ47" s="8">
        <f t="shared" si="20"/>
        <v>-7.0072077017907386E-7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0.169921875</v>
      </c>
      <c r="AD48" s="8">
        <f t="shared" si="15"/>
        <v>4.5256102900775863E-4</v>
      </c>
      <c r="AE48" s="8">
        <f t="shared" si="23"/>
        <v>0.171875</v>
      </c>
      <c r="AF48" s="8">
        <f t="shared" si="16"/>
        <v>-1.5483453617634868E-3</v>
      </c>
      <c r="AG48" s="8">
        <f t="shared" si="18"/>
        <v>0.1708984375</v>
      </c>
      <c r="AH48" s="8">
        <f t="shared" si="17"/>
        <v>-5.478740785413716E-4</v>
      </c>
      <c r="AI48" s="8">
        <f t="shared" si="19"/>
        <v>-2.4794645675136068E-7</v>
      </c>
      <c r="AJ48" s="8">
        <f t="shared" si="20"/>
        <v>8.4829828833997703E-7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0.169921875</v>
      </c>
      <c r="AD49" s="8">
        <f t="shared" si="15"/>
        <v>4.5256102900775863E-4</v>
      </c>
      <c r="AE49" s="8">
        <f t="shared" si="23"/>
        <v>0.1708984375</v>
      </c>
      <c r="AF49" s="8">
        <f t="shared" si="16"/>
        <v>-5.478740785413716E-4</v>
      </c>
      <c r="AG49" s="8">
        <f t="shared" si="18"/>
        <v>0.17041015625</v>
      </c>
      <c r="AH49" s="8">
        <f t="shared" si="17"/>
        <v>-4.7651939140330724E-5</v>
      </c>
      <c r="AI49" s="8">
        <f t="shared" si="19"/>
        <v>-2.1565410611563161E-8</v>
      </c>
      <c r="AJ49" s="8">
        <f t="shared" si="20"/>
        <v>2.6107262247218213E-8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0.169921875</v>
      </c>
      <c r="AD50" s="8">
        <f t="shared" si="15"/>
        <v>4.5256102900775863E-4</v>
      </c>
      <c r="AE50" s="8">
        <f t="shared" si="23"/>
        <v>0.17041015625</v>
      </c>
      <c r="AF50" s="8">
        <f t="shared" si="16"/>
        <v>-4.7651939140330724E-5</v>
      </c>
      <c r="AG50" s="8">
        <f t="shared" si="18"/>
        <v>0.170166015625</v>
      </c>
      <c r="AH50" s="8">
        <f t="shared" si="17"/>
        <v>2.0245569932392238E-4</v>
      </c>
      <c r="AI50" s="8">
        <f t="shared" si="19"/>
        <v>9.1623559614519692E-8</v>
      </c>
      <c r="AJ50" s="8">
        <f t="shared" si="20"/>
        <v>-9.6474066627966446E-9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0.170166015625</v>
      </c>
      <c r="AD51" s="8">
        <f t="shared" si="15"/>
        <v>2.0245569932392238E-4</v>
      </c>
      <c r="AE51" s="8">
        <f t="shared" si="23"/>
        <v>0.17041015625</v>
      </c>
      <c r="AF51" s="8">
        <f t="shared" si="16"/>
        <v>-4.7651939140330724E-5</v>
      </c>
      <c r="AG51" s="8">
        <f t="shared" si="18"/>
        <v>0.1702880859375</v>
      </c>
      <c r="AH51" s="8">
        <f t="shared" si="17"/>
        <v>7.740216769028252E-5</v>
      </c>
      <c r="AI51" s="8">
        <f t="shared" si="19"/>
        <v>1.5670509988923656E-8</v>
      </c>
      <c r="AJ51" s="8">
        <f t="shared" si="20"/>
        <v>-3.6883633841070159E-9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0.1702880859375</v>
      </c>
      <c r="AD52" s="8">
        <f t="shared" si="15"/>
        <v>7.740216769028252E-5</v>
      </c>
      <c r="AE52" s="8">
        <f t="shared" si="23"/>
        <v>0.17041015625</v>
      </c>
      <c r="AF52" s="8">
        <f t="shared" si="16"/>
        <v>-4.7651939140330724E-5</v>
      </c>
      <c r="AG52" s="8">
        <f t="shared" si="18"/>
        <v>0.17034912109375</v>
      </c>
      <c r="AH52" s="8">
        <f t="shared" si="17"/>
        <v>1.4875186049811973E-5</v>
      </c>
      <c r="AI52" s="8">
        <f t="shared" si="19"/>
        <v>1.1513716450516975E-9</v>
      </c>
      <c r="AJ52" s="8">
        <f t="shared" si="20"/>
        <v>-7.0883146034673665E-10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0.17034912109375</v>
      </c>
      <c r="AD53" s="8">
        <f t="shared" si="15"/>
        <v>1.4875186049811973E-5</v>
      </c>
      <c r="AE53" s="8">
        <f t="shared" si="23"/>
        <v>0.17041015625</v>
      </c>
      <c r="AF53" s="8">
        <f t="shared" si="16"/>
        <v>-4.7651939140330724E-5</v>
      </c>
      <c r="AG53" s="8">
        <f t="shared" si="18"/>
        <v>0.170379638671875</v>
      </c>
      <c r="AH53" s="8">
        <f t="shared" si="17"/>
        <v>-1.6388358617142051E-5</v>
      </c>
      <c r="AI53" s="8">
        <f t="shared" si="19"/>
        <v>-2.4377988348102727E-10</v>
      </c>
      <c r="AJ53" s="8">
        <f t="shared" si="20"/>
        <v>7.8093706743396763E-10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0.17034912109375</v>
      </c>
      <c r="AD54" s="8">
        <f t="shared" si="15"/>
        <v>1.4875186049811973E-5</v>
      </c>
      <c r="AE54" s="8">
        <f t="shared" si="23"/>
        <v>0.170379638671875</v>
      </c>
      <c r="AF54" s="8">
        <f t="shared" si="16"/>
        <v>-1.6388358617142051E-5</v>
      </c>
      <c r="AG54" s="8">
        <f t="shared" si="18"/>
        <v>0.1703643798828125</v>
      </c>
      <c r="AH54" s="8">
        <f t="shared" si="17"/>
        <v>-7.5658179968240979E-7</v>
      </c>
      <c r="AI54" s="8">
        <f t="shared" si="19"/>
        <v>-1.1254295032177419E-11</v>
      </c>
      <c r="AJ54" s="8">
        <f t="shared" si="20"/>
        <v>1.2399133856398062E-11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0.17034912109375</v>
      </c>
      <c r="AD55" s="8">
        <f t="shared" si="15"/>
        <v>1.4875186049811973E-5</v>
      </c>
      <c r="AE55" s="8">
        <f t="shared" si="23"/>
        <v>0.1703643798828125</v>
      </c>
      <c r="AF55" s="8">
        <f t="shared" si="16"/>
        <v>-7.5658179968240979E-7</v>
      </c>
      <c r="AG55" s="8">
        <f t="shared" si="18"/>
        <v>0.17035675048828125</v>
      </c>
      <c r="AH55" s="8">
        <f t="shared" si="17"/>
        <v>7.0593032462928917E-6</v>
      </c>
      <c r="AI55" s="8">
        <f t="shared" si="19"/>
        <v>1.0500844917064839E-10</v>
      </c>
      <c r="AJ55" s="8">
        <f t="shared" si="20"/>
        <v>-5.3409403545841536E-12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0.17035675048828125</v>
      </c>
      <c r="AD56" s="8">
        <f t="shared" si="15"/>
        <v>7.0593032462928917E-6</v>
      </c>
      <c r="AE56" s="8">
        <f t="shared" si="23"/>
        <v>0.1703643798828125</v>
      </c>
      <c r="AF56" s="8">
        <f t="shared" si="16"/>
        <v>-7.5658179968240979E-7</v>
      </c>
      <c r="AG56" s="8">
        <f t="shared" si="18"/>
        <v>0.17036056518554688</v>
      </c>
      <c r="AH56" s="8">
        <f t="shared" si="17"/>
        <v>3.1513610035949213E-6</v>
      </c>
      <c r="AI56" s="8">
        <f t="shared" si="19"/>
        <v>2.2246412962918454E-11</v>
      </c>
      <c r="AJ56" s="8">
        <f t="shared" si="20"/>
        <v>-2.3842623795488107E-12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0.17036056518554688</v>
      </c>
      <c r="AD57" s="8">
        <f t="shared" si="15"/>
        <v>3.1513610035949213E-6</v>
      </c>
      <c r="AE57" s="8">
        <f t="shared" si="23"/>
        <v>0.1703643798828125</v>
      </c>
      <c r="AF57" s="8">
        <f t="shared" si="16"/>
        <v>-7.5658179968240979E-7</v>
      </c>
      <c r="AG57" s="8">
        <f t="shared" si="18"/>
        <v>0.17036247253417969</v>
      </c>
      <c r="AH57" s="8">
        <f t="shared" si="17"/>
        <v>1.1973896720252064E-6</v>
      </c>
      <c r="AI57" s="8">
        <f t="shared" si="19"/>
        <v>3.7734071185275485E-12</v>
      </c>
      <c r="AJ57" s="8">
        <f t="shared" si="20"/>
        <v>-9.0592323298196109E-13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0.17036247253417969</v>
      </c>
      <c r="AD58" s="8">
        <f t="shared" si="15"/>
        <v>1.1973896720252064E-6</v>
      </c>
      <c r="AE58" s="8">
        <f t="shared" si="23"/>
        <v>0.1703643798828125</v>
      </c>
      <c r="AF58" s="8">
        <f t="shared" si="16"/>
        <v>-7.5658179968240979E-7</v>
      </c>
      <c r="AG58" s="8">
        <f t="shared" si="18"/>
        <v>0.17036342620849609</v>
      </c>
      <c r="AH58" s="8">
        <f t="shared" si="17"/>
        <v>2.2040395367128873E-7</v>
      </c>
      <c r="AI58" s="8">
        <f t="shared" si="19"/>
        <v>2.6390941779952318E-13</v>
      </c>
      <c r="AJ58" s="8">
        <f t="shared" si="20"/>
        <v>-1.6675361992574211E-13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0.17036342620849609</v>
      </c>
      <c r="AD59" s="8">
        <f t="shared" si="15"/>
        <v>2.2040395367128873E-7</v>
      </c>
      <c r="AE59" s="8">
        <f t="shared" si="23"/>
        <v>0.1703643798828125</v>
      </c>
      <c r="AF59" s="8">
        <f t="shared" si="16"/>
        <v>-7.5658179968240979E-7</v>
      </c>
      <c r="AG59" s="8">
        <f t="shared" si="18"/>
        <v>0.1703639030456543</v>
      </c>
      <c r="AH59" s="8">
        <f t="shared" si="17"/>
        <v>-2.6808891862017958E-7</v>
      </c>
      <c r="AI59" s="8">
        <f t="shared" si="19"/>
        <v>-5.9087857599347957E-14</v>
      </c>
      <c r="AJ59" s="8">
        <f t="shared" si="20"/>
        <v>2.0283119652456657E-13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0.17036342620849609</v>
      </c>
      <c r="AD60" s="8">
        <f t="shared" si="15"/>
        <v>2.2040395367128873E-7</v>
      </c>
      <c r="AE60" s="8">
        <f t="shared" si="23"/>
        <v>0.1703639030456543</v>
      </c>
      <c r="AF60" s="8">
        <f t="shared" si="16"/>
        <v>-2.6808891862017958E-7</v>
      </c>
      <c r="AG60" s="8">
        <f t="shared" si="18"/>
        <v>0.1703636646270752</v>
      </c>
      <c r="AH60" s="8">
        <f t="shared" si="17"/>
        <v>-2.3842481378100189E-8</v>
      </c>
      <c r="AI60" s="8">
        <f t="shared" si="19"/>
        <v>-5.2549771610673586E-15</v>
      </c>
      <c r="AJ60" s="8">
        <f t="shared" si="20"/>
        <v>6.3919050498766485E-15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0.17036342620849609</v>
      </c>
      <c r="AD61" s="8">
        <f t="shared" si="15"/>
        <v>2.2040395367128873E-7</v>
      </c>
      <c r="AE61" s="8">
        <f t="shared" si="23"/>
        <v>0.1703636646270752</v>
      </c>
      <c r="AF61" s="8">
        <f t="shared" si="16"/>
        <v>-2.3842481378100189E-8</v>
      </c>
      <c r="AG61" s="8">
        <f t="shared" si="18"/>
        <v>0.17036354541778564</v>
      </c>
      <c r="AH61" s="8">
        <f t="shared" si="17"/>
        <v>9.8280736438027816E-8</v>
      </c>
      <c r="AI61" s="8">
        <f t="shared" si="19"/>
        <v>2.166146288066722E-14</v>
      </c>
      <c r="AJ61" s="8">
        <f t="shared" si="20"/>
        <v>-2.3432566283496509E-15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0.17036354541778564</v>
      </c>
      <c r="AD62" s="8">
        <f t="shared" si="15"/>
        <v>9.8280736438027816E-8</v>
      </c>
      <c r="AE62" s="8">
        <f t="shared" si="23"/>
        <v>0.1703636646270752</v>
      </c>
      <c r="AF62" s="8">
        <f t="shared" si="16"/>
        <v>-2.3842481378100189E-8</v>
      </c>
      <c r="AG62" s="8">
        <f t="shared" si="18"/>
        <v>0.17036360502243042</v>
      </c>
      <c r="AH62" s="8">
        <f t="shared" si="17"/>
        <v>3.7219127585474965E-8</v>
      </c>
      <c r="AI62" s="8">
        <f t="shared" si="19"/>
        <v>3.6579232686813956E-15</v>
      </c>
      <c r="AJ62" s="8">
        <f t="shared" si="20"/>
        <v>-8.8739635636582189E-16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0.17036360502243042</v>
      </c>
      <c r="AD63" s="8">
        <f t="shared" si="15"/>
        <v>3.7219127585474965E-8</v>
      </c>
      <c r="AE63" s="8">
        <f t="shared" si="23"/>
        <v>0.1703636646270752</v>
      </c>
      <c r="AF63" s="8">
        <f t="shared" si="16"/>
        <v>-2.3842481378100189E-8</v>
      </c>
      <c r="AG63" s="8">
        <f t="shared" si="18"/>
        <v>0.17036363482475281</v>
      </c>
      <c r="AH63" s="8">
        <f t="shared" si="17"/>
        <v>6.6883231175651758E-9</v>
      </c>
      <c r="AI63" s="8">
        <f t="shared" si="19"/>
        <v>2.4893355144553997E-16</v>
      </c>
      <c r="AJ63" s="8">
        <f t="shared" si="20"/>
        <v>-1.5946621938126471E-16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0.17036363482475281</v>
      </c>
      <c r="AD64" s="8">
        <f t="shared" si="15"/>
        <v>6.6883231175651758E-9</v>
      </c>
      <c r="AE64" s="8">
        <f t="shared" si="23"/>
        <v>0.1703636646270752</v>
      </c>
      <c r="AF64" s="8">
        <f t="shared" si="16"/>
        <v>-2.3842481378100189E-8</v>
      </c>
      <c r="AG64" s="8">
        <f t="shared" si="18"/>
        <v>0.170363649725914</v>
      </c>
      <c r="AH64" s="8">
        <f t="shared" si="17"/>
        <v>-8.5770791302675065E-9</v>
      </c>
      <c r="AI64" s="8">
        <f t="shared" si="19"/>
        <v>-5.7366276628153973E-17</v>
      </c>
      <c r="AJ64" s="8">
        <f t="shared" si="20"/>
        <v>2.0449884944189479E-16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0.17036363482475281</v>
      </c>
      <c r="AD65" s="8">
        <f t="shared" si="15"/>
        <v>6.6883231175651758E-9</v>
      </c>
      <c r="AE65" s="8">
        <f t="shared" si="23"/>
        <v>0.170363649725914</v>
      </c>
      <c r="AF65" s="8">
        <f t="shared" si="16"/>
        <v>-8.5770791302675065E-9</v>
      </c>
      <c r="AG65" s="8">
        <f t="shared" si="18"/>
        <v>0.1703636422753334</v>
      </c>
      <c r="AH65" s="8">
        <f t="shared" si="17"/>
        <v>-9.443779924733775E-10</v>
      </c>
      <c r="AI65" s="8">
        <f t="shared" si="19"/>
        <v>-6.3163051587794824E-18</v>
      </c>
      <c r="AJ65" s="8">
        <f t="shared" si="20"/>
        <v>8.1000047703273297E-18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0.17036363482475281</v>
      </c>
      <c r="AD66" s="8">
        <f t="shared" si="15"/>
        <v>6.6883231175651758E-9</v>
      </c>
      <c r="AE66" s="8">
        <f t="shared" si="23"/>
        <v>0.1703636422753334</v>
      </c>
      <c r="AF66" s="8">
        <f t="shared" si="16"/>
        <v>-9.443779924733775E-10</v>
      </c>
      <c r="AG66" s="8">
        <f t="shared" si="18"/>
        <v>0.17036363855004311</v>
      </c>
      <c r="AH66" s="8">
        <f t="shared" si="17"/>
        <v>2.8719725486681114E-9</v>
      </c>
      <c r="AI66" s="8">
        <f t="shared" si="19"/>
        <v>1.9208680390269506E-17</v>
      </c>
      <c r="AJ66" s="8">
        <f t="shared" si="20"/>
        <v>-2.7122276699498405E-18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0.17036363855004311</v>
      </c>
      <c r="AD67" s="8">
        <f t="shared" si="15"/>
        <v>2.8719725486681114E-9</v>
      </c>
      <c r="AE67" s="8">
        <f t="shared" si="23"/>
        <v>0.1703636422753334</v>
      </c>
      <c r="AF67" s="8">
        <f t="shared" si="16"/>
        <v>-9.443779924733775E-10</v>
      </c>
      <c r="AG67" s="8">
        <f t="shared" si="18"/>
        <v>0.17036364041268826</v>
      </c>
      <c r="AH67" s="8">
        <f t="shared" si="17"/>
        <v>9.6379729197515474E-10</v>
      </c>
      <c r="AI67" s="8">
        <f t="shared" si="19"/>
        <v>2.767999365033309E-18</v>
      </c>
      <c r="AJ67" s="8">
        <f t="shared" si="20"/>
        <v>-9.101889517467743E-19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0.17036364041268826</v>
      </c>
      <c r="AD68" s="8">
        <f t="shared" si="15"/>
        <v>9.6379729197515474E-10</v>
      </c>
      <c r="AE68" s="8">
        <f t="shared" si="23"/>
        <v>0.1703636422753334</v>
      </c>
      <c r="AF68" s="8">
        <f t="shared" si="16"/>
        <v>-9.443779924733775E-10</v>
      </c>
      <c r="AG68" s="8">
        <f t="shared" si="18"/>
        <v>0.17036364134401083</v>
      </c>
      <c r="AH68" s="8">
        <f t="shared" si="17"/>
        <v>9.7096497508886159E-12</v>
      </c>
      <c r="AI68" s="8">
        <f t="shared" si="19"/>
        <v>9.3581341359336838E-21</v>
      </c>
      <c r="AJ68" s="8">
        <f t="shared" si="20"/>
        <v>-9.1695795393638211E-21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0.17036364134401083</v>
      </c>
      <c r="AD69" s="8">
        <f t="shared" si="15"/>
        <v>9.7096497508886159E-12</v>
      </c>
      <c r="AE69" s="8">
        <f t="shared" si="23"/>
        <v>0.1703636422753334</v>
      </c>
      <c r="AF69" s="8">
        <f t="shared" si="16"/>
        <v>-9.443779924733775E-10</v>
      </c>
      <c r="AG69" s="8">
        <f t="shared" si="18"/>
        <v>0.17036364180967212</v>
      </c>
      <c r="AH69" s="8">
        <f t="shared" si="17"/>
        <v>-4.6733417136124444E-10</v>
      </c>
      <c r="AI69" s="8">
        <f t="shared" si="19"/>
        <v>-4.5376511205394449E-21</v>
      </c>
      <c r="AJ69" s="8">
        <f t="shared" si="20"/>
        <v>4.4134010656434142E-19</v>
      </c>
      <c r="AK69" s="8">
        <f t="shared" si="21"/>
        <v>9.3132257461547852E-10</v>
      </c>
    </row>
    <row r="72" spans="28:37" x14ac:dyDescent="0.2">
      <c r="AB72" s="32" t="s">
        <v>150</v>
      </c>
    </row>
    <row r="73" spans="28:37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</row>
    <row r="74" spans="28:37" x14ac:dyDescent="0.2">
      <c r="AB74" s="8">
        <v>0</v>
      </c>
      <c r="AC74" s="9">
        <v>0</v>
      </c>
      <c r="AD74" s="8">
        <f xml:space="preserve"> $C$18 * TAN($W$17/180*PI()) + $W$20 / (2 * SQRT($C$18^2 + AC74^2)) - AC74</f>
        <v>0.14665030639537716</v>
      </c>
      <c r="AE74" s="9">
        <v>1</v>
      </c>
      <c r="AF74" s="8">
        <f xml:space="preserve"> $C$18 * TAN($W$17/180*PI()) + $W$20 / (2 * SQRT($C$18^2 + AE74^2)) - AE74</f>
        <v>-0.86609640618164985</v>
      </c>
      <c r="AG74" s="8">
        <f xml:space="preserve"> (AC74 + AE74)/2</f>
        <v>0.5</v>
      </c>
      <c r="AH74" s="8">
        <f xml:space="preserve"> $C$18 * TAN($W$17/180*PI()) + $W$20 / (2 * SQRT($C$18^2 + AG74^2)) - AG74</f>
        <v>-0.36203357026078065</v>
      </c>
      <c r="AI74" s="8">
        <f>AD74*AH74</f>
        <v>-5.3092334004155785E-2</v>
      </c>
      <c r="AJ74" s="8">
        <f>AF74*AH74</f>
        <v>0.31355597411997393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ref="AD75:AD104" si="24" xml:space="preserve"> $C$18 * TAN($W$17/180*PI()) + $W$20 / (2 * SQRT($C$18^2 + AC75^2)) - AC75</f>
        <v>0.14665030639537716</v>
      </c>
      <c r="AE75" s="8">
        <f>IF(AJ74&gt;0, AG74, AE74)</f>
        <v>0.5</v>
      </c>
      <c r="AF75" s="8">
        <f t="shared" ref="AF75:AF104" si="25" xml:space="preserve"> $C$18 * TAN($W$17/180*PI()) + $W$20 / (2 * SQRT($C$18^2 + AE75^2)) - AE75</f>
        <v>-0.36203357026078065</v>
      </c>
      <c r="AG75" s="8">
        <f t="shared" ref="AG75:AG104" si="26" xml:space="preserve"> (AC75 + AE75)/2</f>
        <v>0.25</v>
      </c>
      <c r="AH75" s="8">
        <f t="shared" ref="AH75:AH104" si="27" xml:space="preserve"> $C$18 * TAN($W$17/180*PI()) + $W$20 / (2 * SQRT($C$18^2 + AG75^2)) - AG75</f>
        <v>-0.10749535832743257</v>
      </c>
      <c r="AI75" s="8">
        <f t="shared" ref="AI75:AI104" si="28">AD75*AH75</f>
        <v>-1.5764227234798842E-2</v>
      </c>
      <c r="AJ75" s="8">
        <f t="shared" ref="AJ75:AJ104" si="29">AF75*AH75</f>
        <v>3.8916928361742348E-2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0.14665030639537716</v>
      </c>
      <c r="AE76" s="8">
        <f t="shared" ref="AE76:AE104" si="32">IF(AJ75&gt;0, AG75, AE75)</f>
        <v>0.25</v>
      </c>
      <c r="AF76" s="8">
        <f t="shared" si="25"/>
        <v>-0.10749535832743257</v>
      </c>
      <c r="AG76" s="8">
        <f t="shared" si="26"/>
        <v>0.125</v>
      </c>
      <c r="AH76" s="8">
        <f t="shared" si="27"/>
        <v>2.0274436834029935E-2</v>
      </c>
      <c r="AI76" s="8">
        <f t="shared" si="28"/>
        <v>2.9732523737042104E-3</v>
      </c>
      <c r="AJ76" s="8">
        <f t="shared" si="29"/>
        <v>-2.1794078523609452E-3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0.125</v>
      </c>
      <c r="AD77" s="8">
        <f t="shared" si="24"/>
        <v>2.0274436834029935E-2</v>
      </c>
      <c r="AE77" s="8">
        <f t="shared" si="32"/>
        <v>0.25</v>
      </c>
      <c r="AF77" s="8">
        <f t="shared" si="25"/>
        <v>-0.10749535832743257</v>
      </c>
      <c r="AG77" s="8">
        <f t="shared" si="26"/>
        <v>0.1875</v>
      </c>
      <c r="AH77" s="8">
        <f t="shared" si="27"/>
        <v>-4.3568442192926021E-2</v>
      </c>
      <c r="AI77" s="8">
        <f t="shared" si="28"/>
        <v>-8.8332562919756332E-4</v>
      </c>
      <c r="AJ77" s="8">
        <f t="shared" si="29"/>
        <v>4.6834053052966142E-3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0.125</v>
      </c>
      <c r="AD78" s="8">
        <f t="shared" si="24"/>
        <v>2.0274436834029935E-2</v>
      </c>
      <c r="AE78" s="8">
        <f t="shared" si="32"/>
        <v>0.1875</v>
      </c>
      <c r="AF78" s="8">
        <f t="shared" si="25"/>
        <v>-4.3568442192926021E-2</v>
      </c>
      <c r="AG78" s="8">
        <f t="shared" si="26"/>
        <v>0.15625</v>
      </c>
      <c r="AH78" s="8">
        <f t="shared" si="27"/>
        <v>-1.1622382706975298E-2</v>
      </c>
      <c r="AI78" s="8">
        <f t="shared" si="28"/>
        <v>-2.3563726405349253E-4</v>
      </c>
      <c r="AJ78" s="8">
        <f t="shared" si="29"/>
        <v>5.063691091129163E-4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0.125</v>
      </c>
      <c r="AD79" s="8">
        <f t="shared" si="24"/>
        <v>2.0274436834029935E-2</v>
      </c>
      <c r="AE79" s="8">
        <f t="shared" si="32"/>
        <v>0.15625</v>
      </c>
      <c r="AF79" s="8">
        <f t="shared" si="25"/>
        <v>-1.1622382706975298E-2</v>
      </c>
      <c r="AG79" s="8">
        <f t="shared" si="26"/>
        <v>0.140625</v>
      </c>
      <c r="AH79" s="8">
        <f t="shared" si="27"/>
        <v>4.3343161553267284E-3</v>
      </c>
      <c r="AI79" s="8">
        <f t="shared" si="28"/>
        <v>8.7875819109887239E-5</v>
      </c>
      <c r="AJ79" s="8">
        <f t="shared" si="29"/>
        <v>-5.037508113023303E-5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0.140625</v>
      </c>
      <c r="AD80" s="8">
        <f t="shared" si="24"/>
        <v>4.3343161553267284E-3</v>
      </c>
      <c r="AE80" s="8">
        <f t="shared" si="32"/>
        <v>0.15625</v>
      </c>
      <c r="AF80" s="8">
        <f t="shared" si="25"/>
        <v>-1.1622382706975298E-2</v>
      </c>
      <c r="AG80" s="8">
        <f t="shared" si="26"/>
        <v>0.1484375</v>
      </c>
      <c r="AH80" s="8">
        <f t="shared" si="27"/>
        <v>-3.6422419922515215E-3</v>
      </c>
      <c r="AI80" s="8">
        <f t="shared" si="28"/>
        <v>-1.5786628308625178E-5</v>
      </c>
      <c r="AJ80" s="8">
        <f t="shared" si="29"/>
        <v>4.233153034536334E-5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0.140625</v>
      </c>
      <c r="AD81" s="8">
        <f t="shared" si="24"/>
        <v>4.3343161553267284E-3</v>
      </c>
      <c r="AE81" s="8">
        <f t="shared" si="32"/>
        <v>0.1484375</v>
      </c>
      <c r="AF81" s="8">
        <f t="shared" si="25"/>
        <v>-3.6422419922515215E-3</v>
      </c>
      <c r="AG81" s="8">
        <f t="shared" si="26"/>
        <v>0.14453125</v>
      </c>
      <c r="AH81" s="8">
        <f t="shared" si="27"/>
        <v>3.4651924750414564E-4</v>
      </c>
      <c r="AI81" s="8">
        <f t="shared" si="28"/>
        <v>1.5019239725888796E-6</v>
      </c>
      <c r="AJ81" s="8">
        <f t="shared" si="29"/>
        <v>-1.2621069543829976E-6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0.14453125</v>
      </c>
      <c r="AD82" s="8">
        <f t="shared" si="24"/>
        <v>3.4651924750414564E-4</v>
      </c>
      <c r="AE82" s="8">
        <f t="shared" si="32"/>
        <v>0.1484375</v>
      </c>
      <c r="AF82" s="8">
        <f t="shared" si="25"/>
        <v>-3.6422419922515215E-3</v>
      </c>
      <c r="AG82" s="8">
        <f t="shared" si="26"/>
        <v>0.146484375</v>
      </c>
      <c r="AH82" s="8">
        <f t="shared" si="27"/>
        <v>-1.6477451768401874E-3</v>
      </c>
      <c r="AI82" s="8">
        <f t="shared" si="28"/>
        <v>-5.7097541875724713E-7</v>
      </c>
      <c r="AJ82" s="8">
        <f t="shared" si="29"/>
        <v>6.0014866756172398E-6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0.14453125</v>
      </c>
      <c r="AD83" s="8">
        <f t="shared" si="24"/>
        <v>3.4651924750414564E-4</v>
      </c>
      <c r="AE83" s="8">
        <f t="shared" si="32"/>
        <v>0.146484375</v>
      </c>
      <c r="AF83" s="8">
        <f t="shared" si="25"/>
        <v>-1.6477451768401874E-3</v>
      </c>
      <c r="AG83" s="8">
        <f t="shared" si="26"/>
        <v>0.1455078125</v>
      </c>
      <c r="AH83" s="8">
        <f t="shared" si="27"/>
        <v>-6.5058337572276859E-4</v>
      </c>
      <c r="AI83" s="8">
        <f t="shared" si="28"/>
        <v>-2.2543966179416062E-7</v>
      </c>
      <c r="AJ83" s="8">
        <f t="shared" si="29"/>
        <v>1.0719956194795993E-6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0.14453125</v>
      </c>
      <c r="AD84" s="8">
        <f t="shared" si="24"/>
        <v>3.4651924750414564E-4</v>
      </c>
      <c r="AE84" s="8">
        <f t="shared" si="32"/>
        <v>0.1455078125</v>
      </c>
      <c r="AF84" s="8">
        <f t="shared" si="25"/>
        <v>-6.5058337572276859E-4</v>
      </c>
      <c r="AG84" s="8">
        <f t="shared" si="26"/>
        <v>0.14501953125</v>
      </c>
      <c r="AH84" s="8">
        <f t="shared" si="27"/>
        <v>-1.5202459908228438E-4</v>
      </c>
      <c r="AI84" s="8">
        <f t="shared" si="28"/>
        <v>-5.2679449676112616E-8</v>
      </c>
      <c r="AJ84" s="8">
        <f t="shared" si="29"/>
        <v>9.8904676863853077E-8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0.14453125</v>
      </c>
      <c r="AD85" s="8">
        <f t="shared" si="24"/>
        <v>3.4651924750414564E-4</v>
      </c>
      <c r="AE85" s="8">
        <f t="shared" si="32"/>
        <v>0.14501953125</v>
      </c>
      <c r="AF85" s="8">
        <f t="shared" si="25"/>
        <v>-1.5202459908228438E-4</v>
      </c>
      <c r="AG85" s="8">
        <f t="shared" si="26"/>
        <v>0.144775390625</v>
      </c>
      <c r="AH85" s="8">
        <f t="shared" si="27"/>
        <v>9.7249198958981875E-5</v>
      </c>
      <c r="AI85" s="8">
        <f t="shared" si="28"/>
        <v>3.3698719243647342E-8</v>
      </c>
      <c r="AJ85" s="8">
        <f t="shared" si="29"/>
        <v>-1.4784270482812527E-8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0.144775390625</v>
      </c>
      <c r="AD86" s="8">
        <f t="shared" si="24"/>
        <v>9.7249198958981875E-5</v>
      </c>
      <c r="AE86" s="8">
        <f t="shared" si="32"/>
        <v>0.14501953125</v>
      </c>
      <c r="AF86" s="8">
        <f t="shared" si="25"/>
        <v>-1.5202459908228438E-4</v>
      </c>
      <c r="AG86" s="8">
        <f t="shared" si="26"/>
        <v>0.1448974609375</v>
      </c>
      <c r="AH86" s="8">
        <f t="shared" si="27"/>
        <v>-2.7387232436837383E-5</v>
      </c>
      <c r="AI86" s="8">
        <f t="shared" si="28"/>
        <v>-2.6633864161858806E-9</v>
      </c>
      <c r="AJ86" s="8">
        <f t="shared" si="29"/>
        <v>4.1635330311835379E-9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0.144775390625</v>
      </c>
      <c r="AD87" s="8">
        <f t="shared" si="24"/>
        <v>9.7249198958981875E-5</v>
      </c>
      <c r="AE87" s="8">
        <f t="shared" si="32"/>
        <v>0.1448974609375</v>
      </c>
      <c r="AF87" s="8">
        <f t="shared" si="25"/>
        <v>-2.7387232436837383E-5</v>
      </c>
      <c r="AG87" s="8">
        <f t="shared" si="26"/>
        <v>0.14483642578125</v>
      </c>
      <c r="AH87" s="8">
        <f t="shared" si="27"/>
        <v>3.4931100300006346E-5</v>
      </c>
      <c r="AI87" s="8">
        <f t="shared" si="28"/>
        <v>3.3970215229314686E-9</v>
      </c>
      <c r="AJ87" s="8">
        <f t="shared" si="29"/>
        <v>-9.566661631907539E-10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0.14483642578125</v>
      </c>
      <c r="AD88" s="8">
        <f t="shared" si="24"/>
        <v>3.4931100300006346E-5</v>
      </c>
      <c r="AE88" s="8">
        <f t="shared" si="32"/>
        <v>0.1448974609375</v>
      </c>
      <c r="AF88" s="8">
        <f t="shared" si="25"/>
        <v>-2.7387232436837383E-5</v>
      </c>
      <c r="AG88" s="8">
        <f t="shared" si="26"/>
        <v>0.144866943359375</v>
      </c>
      <c r="AH88" s="8">
        <f t="shared" si="27"/>
        <v>3.7719631747479276E-6</v>
      </c>
      <c r="AI88" s="8">
        <f t="shared" si="28"/>
        <v>1.3175882398505022E-10</v>
      </c>
      <c r="AJ88" s="8">
        <f t="shared" si="29"/>
        <v>-1.0330363221001256E-10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0.144866943359375</v>
      </c>
      <c r="AD89" s="8">
        <f t="shared" si="24"/>
        <v>3.7719631747479276E-6</v>
      </c>
      <c r="AE89" s="8">
        <f t="shared" si="32"/>
        <v>0.1448974609375</v>
      </c>
      <c r="AF89" s="8">
        <f t="shared" si="25"/>
        <v>-2.7387232436837383E-5</v>
      </c>
      <c r="AG89" s="8">
        <f t="shared" si="26"/>
        <v>0.1448822021484375</v>
      </c>
      <c r="AH89" s="8">
        <f t="shared" si="27"/>
        <v>-1.1807627322335534E-5</v>
      </c>
      <c r="AI89" s="8">
        <f t="shared" si="28"/>
        <v>-4.4537935440997113E-11</v>
      </c>
      <c r="AJ89" s="8">
        <f t="shared" si="29"/>
        <v>3.2337823400435508E-10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0.144866943359375</v>
      </c>
      <c r="AD90" s="8">
        <f t="shared" si="24"/>
        <v>3.7719631747479276E-6</v>
      </c>
      <c r="AE90" s="8">
        <f t="shared" si="32"/>
        <v>0.1448822021484375</v>
      </c>
      <c r="AF90" s="8">
        <f t="shared" si="25"/>
        <v>-1.1807627322335534E-5</v>
      </c>
      <c r="AG90" s="8">
        <f t="shared" si="26"/>
        <v>0.14487457275390625</v>
      </c>
      <c r="AH90" s="8">
        <f t="shared" si="27"/>
        <v>-4.0178302463667048E-6</v>
      </c>
      <c r="AI90" s="8">
        <f t="shared" si="28"/>
        <v>-1.5155107731683605E-11</v>
      </c>
      <c r="AJ90" s="8">
        <f t="shared" si="29"/>
        <v>4.7441042193505618E-11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0.144866943359375</v>
      </c>
      <c r="AD91" s="8">
        <f t="shared" si="24"/>
        <v>3.7719631747479276E-6</v>
      </c>
      <c r="AE91" s="8">
        <f t="shared" si="32"/>
        <v>0.14487457275390625</v>
      </c>
      <c r="AF91" s="8">
        <f t="shared" si="25"/>
        <v>-4.0178302463667048E-6</v>
      </c>
      <c r="AG91" s="8">
        <f t="shared" si="26"/>
        <v>0.14487075805664062</v>
      </c>
      <c r="AH91" s="8">
        <f t="shared" si="27"/>
        <v>-1.2293307893873617E-7</v>
      </c>
      <c r="AI91" s="8">
        <f t="shared" si="28"/>
        <v>-4.6369904671529294E-13</v>
      </c>
      <c r="AJ91" s="8">
        <f t="shared" si="29"/>
        <v>4.9392424283903989E-13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0.144866943359375</v>
      </c>
      <c r="AD92" s="8">
        <f t="shared" si="24"/>
        <v>3.7719631747479276E-6</v>
      </c>
      <c r="AE92" s="8">
        <f t="shared" si="32"/>
        <v>0.14487075805664062</v>
      </c>
      <c r="AF92" s="8">
        <f t="shared" si="25"/>
        <v>-1.2293307893873617E-7</v>
      </c>
      <c r="AG92" s="8">
        <f t="shared" si="26"/>
        <v>0.14486885070800781</v>
      </c>
      <c r="AH92" s="8">
        <f t="shared" si="27"/>
        <v>1.8245151621187894E-6</v>
      </c>
      <c r="AI92" s="8">
        <f t="shared" si="28"/>
        <v>6.8820040032813187E-12</v>
      </c>
      <c r="AJ92" s="8">
        <f t="shared" si="29"/>
        <v>-2.2429326644967016E-13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0.14486885070800781</v>
      </c>
      <c r="AD93" s="8">
        <f t="shared" si="24"/>
        <v>1.8245151621187894E-6</v>
      </c>
      <c r="AE93" s="8">
        <f t="shared" si="32"/>
        <v>0.14487075805664062</v>
      </c>
      <c r="AF93" s="8">
        <f t="shared" si="25"/>
        <v>-1.2293307893873617E-7</v>
      </c>
      <c r="AG93" s="8">
        <f t="shared" si="26"/>
        <v>0.14486980438232422</v>
      </c>
      <c r="AH93" s="8">
        <f t="shared" si="27"/>
        <v>8.5079107015051392E-7</v>
      </c>
      <c r="AI93" s="8">
        <f t="shared" si="28"/>
        <v>1.5522812072848831E-12</v>
      </c>
      <c r="AJ93" s="8">
        <f t="shared" si="29"/>
        <v>-1.0459036578718495E-13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0.14486980438232422</v>
      </c>
      <c r="AD94" s="8">
        <f t="shared" si="24"/>
        <v>8.5079107015051392E-7</v>
      </c>
      <c r="AE94" s="8">
        <f t="shared" si="32"/>
        <v>0.14487075805664062</v>
      </c>
      <c r="AF94" s="8">
        <f t="shared" si="25"/>
        <v>-1.2293307893873617E-7</v>
      </c>
      <c r="AG94" s="8">
        <f t="shared" si="26"/>
        <v>0.14487028121948242</v>
      </c>
      <c r="AH94" s="8">
        <f t="shared" si="27"/>
        <v>3.6392900276682738E-7</v>
      </c>
      <c r="AI94" s="8">
        <f t="shared" si="28"/>
        <v>3.0962754572279841E-13</v>
      </c>
      <c r="AJ94" s="8">
        <f t="shared" si="29"/>
        <v>-4.4738912825229924E-14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0.14487028121948242</v>
      </c>
      <c r="AD95" s="8">
        <f t="shared" si="24"/>
        <v>3.6392900276682738E-7</v>
      </c>
      <c r="AE95" s="8">
        <f t="shared" si="32"/>
        <v>0.14487075805664062</v>
      </c>
      <c r="AF95" s="8">
        <f t="shared" si="25"/>
        <v>-1.2293307893873617E-7</v>
      </c>
      <c r="AG95" s="8">
        <f t="shared" si="26"/>
        <v>0.14487051963806152</v>
      </c>
      <c r="AH95" s="8">
        <f t="shared" si="27"/>
        <v>1.2049796369040244E-7</v>
      </c>
      <c r="AI95" s="8">
        <f t="shared" si="28"/>
        <v>4.3852703761281536E-14</v>
      </c>
      <c r="AJ95" s="8">
        <f t="shared" si="29"/>
        <v>-1.481318568230921E-14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0.14487051963806152</v>
      </c>
      <c r="AD96" s="8">
        <f t="shared" si="24"/>
        <v>1.2049796369040244E-7</v>
      </c>
      <c r="AE96" s="8">
        <f t="shared" si="32"/>
        <v>0.14487075805664062</v>
      </c>
      <c r="AF96" s="8">
        <f t="shared" si="25"/>
        <v>-1.2293307893873617E-7</v>
      </c>
      <c r="AG96" s="8">
        <f t="shared" si="26"/>
        <v>0.14487063884735107</v>
      </c>
      <c r="AH96" s="8">
        <f t="shared" si="27"/>
        <v>-1.2175571661998674E-9</v>
      </c>
      <c r="AI96" s="8">
        <f t="shared" si="28"/>
        <v>-1.4671315920374091E-16</v>
      </c>
      <c r="AJ96" s="8">
        <f t="shared" si="29"/>
        <v>1.4967805122487222E-16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0.14487051963806152</v>
      </c>
      <c r="AD97" s="8">
        <f t="shared" si="24"/>
        <v>1.2049796369040244E-7</v>
      </c>
      <c r="AE97" s="8">
        <f t="shared" si="32"/>
        <v>0.14487063884735107</v>
      </c>
      <c r="AF97" s="8">
        <f t="shared" si="25"/>
        <v>-1.2175571661998674E-9</v>
      </c>
      <c r="AG97" s="8">
        <f t="shared" si="26"/>
        <v>0.1448705792427063</v>
      </c>
      <c r="AH97" s="8">
        <f t="shared" si="27"/>
        <v>5.9640203387001378E-8</v>
      </c>
      <c r="AI97" s="8">
        <f t="shared" si="28"/>
        <v>7.1865230622151089E-15</v>
      </c>
      <c r="AJ97" s="8">
        <f t="shared" si="29"/>
        <v>-7.2615357027461133E-17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0.1448705792427063</v>
      </c>
      <c r="AD98" s="8">
        <f t="shared" si="24"/>
        <v>5.9640203387001378E-8</v>
      </c>
      <c r="AE98" s="8">
        <f t="shared" si="32"/>
        <v>0.14487063884735107</v>
      </c>
      <c r="AF98" s="8">
        <f t="shared" si="25"/>
        <v>-1.2175571661998674E-9</v>
      </c>
      <c r="AG98" s="8">
        <f t="shared" si="26"/>
        <v>0.14487060904502869</v>
      </c>
      <c r="AH98" s="8">
        <f t="shared" si="27"/>
        <v>2.9211323138156331E-8</v>
      </c>
      <c r="AI98" s="8">
        <f t="shared" si="28"/>
        <v>1.742169253163063E-15</v>
      </c>
      <c r="AJ98" s="8">
        <f t="shared" si="29"/>
        <v>-3.5566455821042241E-17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0.14487060904502869</v>
      </c>
      <c r="AD99" s="8">
        <f t="shared" si="24"/>
        <v>2.9211323138156331E-8</v>
      </c>
      <c r="AE99" s="8">
        <f t="shared" si="32"/>
        <v>0.14487063884735107</v>
      </c>
      <c r="AF99" s="8">
        <f t="shared" si="25"/>
        <v>-1.2175571661998674E-9</v>
      </c>
      <c r="AG99" s="8">
        <f t="shared" si="26"/>
        <v>0.14487062394618988</v>
      </c>
      <c r="AH99" s="8">
        <f t="shared" si="27"/>
        <v>1.3996882985978232E-8</v>
      </c>
      <c r="AI99" s="8">
        <f t="shared" si="28"/>
        <v>4.088674718303726E-16</v>
      </c>
      <c r="AJ99" s="8">
        <f t="shared" si="29"/>
        <v>-1.7042005184038795E-17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0.14487062394618988</v>
      </c>
      <c r="AD100" s="8">
        <f t="shared" si="24"/>
        <v>1.3996882985978232E-8</v>
      </c>
      <c r="AE100" s="8">
        <f t="shared" si="32"/>
        <v>0.14487063884735107</v>
      </c>
      <c r="AF100" s="8">
        <f t="shared" si="25"/>
        <v>-1.2175571661998674E-9</v>
      </c>
      <c r="AG100" s="8">
        <f t="shared" si="26"/>
        <v>0.14487063139677048</v>
      </c>
      <c r="AH100" s="8">
        <f t="shared" si="27"/>
        <v>6.3896629098891822E-9</v>
      </c>
      <c r="AI100" s="8">
        <f t="shared" si="28"/>
        <v>8.9435364069564053E-17</v>
      </c>
      <c r="AJ100" s="8">
        <f t="shared" si="29"/>
        <v>-7.7797798655370715E-18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0.14487063139677048</v>
      </c>
      <c r="AD101" s="8">
        <f t="shared" si="24"/>
        <v>6.3896629098891822E-9</v>
      </c>
      <c r="AE101" s="8">
        <f t="shared" si="32"/>
        <v>0.14487063884735107</v>
      </c>
      <c r="AF101" s="8">
        <f t="shared" si="25"/>
        <v>-1.2175571661998674E-9</v>
      </c>
      <c r="AG101" s="8">
        <f t="shared" si="26"/>
        <v>0.14487063512206078</v>
      </c>
      <c r="AH101" s="8">
        <f t="shared" si="27"/>
        <v>2.5860528718446574E-9</v>
      </c>
      <c r="AI101" s="8">
        <f t="shared" si="28"/>
        <v>1.652400611823821E-17</v>
      </c>
      <c r="AJ101" s="8">
        <f t="shared" si="29"/>
        <v>-3.14866720628621E-18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0.14487063512206078</v>
      </c>
      <c r="AD102" s="8">
        <f t="shared" si="24"/>
        <v>2.5860528718446574E-9</v>
      </c>
      <c r="AE102" s="8">
        <f t="shared" si="32"/>
        <v>0.14487063884735107</v>
      </c>
      <c r="AF102" s="8">
        <f t="shared" si="25"/>
        <v>-1.2175571661998674E-9</v>
      </c>
      <c r="AG102" s="8">
        <f t="shared" si="26"/>
        <v>0.14487063698470592</v>
      </c>
      <c r="AH102" s="8">
        <f t="shared" si="27"/>
        <v>6.8424785282239498E-10</v>
      </c>
      <c r="AI102" s="8">
        <f t="shared" si="28"/>
        <v>1.769501124844895E-18</v>
      </c>
      <c r="AJ102" s="8">
        <f t="shared" si="29"/>
        <v>-8.3311087666077918E-19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0.14487063698470592</v>
      </c>
      <c r="AD103" s="8">
        <f t="shared" si="24"/>
        <v>6.8424785282239498E-10</v>
      </c>
      <c r="AE103" s="8">
        <f t="shared" si="32"/>
        <v>0.14487063884735107</v>
      </c>
      <c r="AF103" s="8">
        <f t="shared" si="25"/>
        <v>-1.2175571661998674E-9</v>
      </c>
      <c r="AG103" s="8">
        <f t="shared" si="26"/>
        <v>0.1448706379160285</v>
      </c>
      <c r="AH103" s="8">
        <f t="shared" si="27"/>
        <v>-2.6665464281094842E-10</v>
      </c>
      <c r="AI103" s="8">
        <f t="shared" si="28"/>
        <v>-1.8245786678851413E-19</v>
      </c>
      <c r="AJ103" s="8">
        <f t="shared" si="29"/>
        <v>3.246672712549362E-19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0.14487063698470592</v>
      </c>
      <c r="AD104" s="8">
        <f t="shared" si="24"/>
        <v>6.8424785282239498E-10</v>
      </c>
      <c r="AE104" s="8">
        <f t="shared" si="32"/>
        <v>0.1448706379160285</v>
      </c>
      <c r="AF104" s="8">
        <f t="shared" si="25"/>
        <v>-2.6665464281094842E-10</v>
      </c>
      <c r="AG104" s="8">
        <f t="shared" si="26"/>
        <v>0.14487063745036721</v>
      </c>
      <c r="AH104" s="8">
        <f t="shared" si="27"/>
        <v>2.0879659112793547E-10</v>
      </c>
      <c r="AI104" s="8">
        <f t="shared" si="28"/>
        <v>1.4286861915592537E-19</v>
      </c>
      <c r="AJ104" s="8">
        <f t="shared" si="29"/>
        <v>-5.5676580427363274E-20</v>
      </c>
      <c r="AK104" s="8">
        <f t="shared" si="30"/>
        <v>9.3132257461547852E-10</v>
      </c>
    </row>
  </sheetData>
  <mergeCells count="29">
    <mergeCell ref="V3:X3"/>
    <mergeCell ref="V11:X11"/>
    <mergeCell ref="V16:X16"/>
    <mergeCell ref="F10:H10"/>
    <mergeCell ref="F26:H26"/>
    <mergeCell ref="R3:T3"/>
    <mergeCell ref="F21:H21"/>
    <mergeCell ref="N3:P3"/>
    <mergeCell ref="J3:L3"/>
    <mergeCell ref="J8:L8"/>
    <mergeCell ref="B14:D14"/>
    <mergeCell ref="B20:D20"/>
    <mergeCell ref="R11:T11"/>
    <mergeCell ref="R16:T16"/>
    <mergeCell ref="N12:P12"/>
    <mergeCell ref="N17:P17"/>
    <mergeCell ref="B1:D1"/>
    <mergeCell ref="B3:D3"/>
    <mergeCell ref="F3:H3"/>
    <mergeCell ref="B9:D9"/>
    <mergeCell ref="J12:L12"/>
    <mergeCell ref="J30:L30"/>
    <mergeCell ref="B41:D41"/>
    <mergeCell ref="B24:D24"/>
    <mergeCell ref="B29:D29"/>
    <mergeCell ref="J38:L38"/>
    <mergeCell ref="F37:H37"/>
    <mergeCell ref="B32:D32"/>
    <mergeCell ref="B36:D36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19E-19FD-DD4C-B095-5F00DAC7B3E8}">
  <dimension ref="B1:AV104"/>
  <sheetViews>
    <sheetView workbookViewId="0">
      <selection activeCell="S30" sqref="S30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6640625" customWidth="1"/>
    <col min="15" max="15" width="11" customWidth="1"/>
    <col min="16" max="16" width="6.6640625" customWidth="1"/>
    <col min="17" max="17" width="6" customWidth="1"/>
    <col min="18" max="18" width="12" customWidth="1"/>
    <col min="20" max="20" width="6.33203125" customWidth="1"/>
    <col min="21" max="21" width="6.1640625" customWidth="1"/>
    <col min="22" max="22" width="12.832031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4" max="44" width="18.33203125" customWidth="1"/>
  </cols>
  <sheetData>
    <row r="1" spans="2:48" x14ac:dyDescent="0.2">
      <c r="B1" s="65" t="s">
        <v>0</v>
      </c>
      <c r="C1" s="65"/>
      <c r="D1" s="65"/>
    </row>
    <row r="2" spans="2:48" x14ac:dyDescent="0.2">
      <c r="AB2" s="6" t="s">
        <v>141</v>
      </c>
      <c r="AM2" s="6" t="s">
        <v>93</v>
      </c>
    </row>
    <row r="3" spans="2:48" x14ac:dyDescent="0.2">
      <c r="B3" s="58" t="s">
        <v>98</v>
      </c>
      <c r="C3" s="62"/>
      <c r="D3" s="62"/>
      <c r="F3" s="63" t="s">
        <v>110</v>
      </c>
      <c r="G3" s="64"/>
      <c r="H3" s="64"/>
      <c r="J3" s="58" t="s">
        <v>157</v>
      </c>
      <c r="K3" s="58"/>
      <c r="L3" s="58"/>
      <c r="N3" s="61" t="s">
        <v>136</v>
      </c>
      <c r="O3" s="61"/>
      <c r="P3" s="61"/>
      <c r="R3" s="61" t="s">
        <v>134</v>
      </c>
      <c r="S3" s="61"/>
      <c r="T3" s="61"/>
      <c r="V3" s="61" t="s">
        <v>148</v>
      </c>
      <c r="W3" s="61"/>
      <c r="X3" s="61"/>
      <c r="AB3" s="7" t="s">
        <v>63</v>
      </c>
      <c r="AC3" s="7" t="s">
        <v>64</v>
      </c>
      <c r="AD3" s="7" t="s">
        <v>65</v>
      </c>
      <c r="AE3" s="7" t="s">
        <v>66</v>
      </c>
      <c r="AF3" s="7" t="s">
        <v>67</v>
      </c>
      <c r="AG3" s="7" t="s">
        <v>68</v>
      </c>
      <c r="AH3" s="7" t="s">
        <v>69</v>
      </c>
      <c r="AI3" s="7" t="s">
        <v>70</v>
      </c>
      <c r="AJ3" s="7" t="s">
        <v>71</v>
      </c>
      <c r="AK3" s="7" t="s">
        <v>72</v>
      </c>
      <c r="AM3" s="7" t="s">
        <v>63</v>
      </c>
      <c r="AN3" s="7" t="s">
        <v>64</v>
      </c>
      <c r="AO3" s="7" t="s">
        <v>65</v>
      </c>
      <c r="AP3" s="7" t="s">
        <v>66</v>
      </c>
      <c r="AQ3" s="7" t="s">
        <v>67</v>
      </c>
      <c r="AR3" s="7" t="s">
        <v>68</v>
      </c>
      <c r="AS3" s="7" t="s">
        <v>69</v>
      </c>
      <c r="AT3" s="7" t="s">
        <v>70</v>
      </c>
      <c r="AU3" s="7" t="s">
        <v>71</v>
      </c>
      <c r="AV3" s="7" t="s">
        <v>72</v>
      </c>
    </row>
    <row r="4" spans="2:48" x14ac:dyDescent="0.2">
      <c r="B4" t="s">
        <v>53</v>
      </c>
      <c r="C4" s="1" t="s">
        <v>1</v>
      </c>
      <c r="F4" t="s">
        <v>116</v>
      </c>
      <c r="G4" s="1">
        <v>2.54</v>
      </c>
      <c r="H4" t="s">
        <v>16</v>
      </c>
      <c r="J4" t="s">
        <v>158</v>
      </c>
      <c r="K4">
        <f>MAX(G6,G40)</f>
        <v>158.77116067715312</v>
      </c>
      <c r="L4" t="s">
        <v>162</v>
      </c>
      <c r="N4" t="s">
        <v>36</v>
      </c>
      <c r="O4">
        <f>$C$17*$C$31*COS(G16/180*PI())</f>
        <v>8897.8263351112946</v>
      </c>
      <c r="P4" t="s">
        <v>31</v>
      </c>
      <c r="R4" t="s">
        <v>36</v>
      </c>
      <c r="S4">
        <f xml:space="preserve"> $C$17 * $C$31</f>
        <v>8909.3296476135256</v>
      </c>
      <c r="T4" t="s">
        <v>31</v>
      </c>
      <c r="V4" t="s">
        <v>36</v>
      </c>
      <c r="W4">
        <f>$C$17*$C$31*COS(G32/180*PI())</f>
        <v>8905.1901669211456</v>
      </c>
      <c r="X4" t="s">
        <v>31</v>
      </c>
      <c r="AB4" s="8">
        <v>0</v>
      </c>
      <c r="AC4" s="9">
        <v>0</v>
      </c>
      <c r="AD4" s="8">
        <f xml:space="preserve"> $S$19 * TAN($S$16/180*PI()) + $S$20 / (2 * SQRT($S$19^2 + AC4^2)) - AC4</f>
        <v>0.4347259223317973</v>
      </c>
      <c r="AE4" s="9">
        <v>1</v>
      </c>
      <c r="AF4" s="8">
        <f xml:space="preserve"> $S$19 * TAN($S$16/180*PI()) + $S$20 / (2 * SQRT($S$19^2 + AE4^2)) - AE4</f>
        <v>-0.6796393546250703</v>
      </c>
      <c r="AG4" s="8">
        <f xml:space="preserve"> (AC4 + AE4)/2</f>
        <v>0.5</v>
      </c>
      <c r="AH4" s="8">
        <f xml:space="preserve"> $S$19 * TAN($S$16/180*PI()) + $S$20 / (2 * SQRT($S$19^2 + AG4^2)) - AG4</f>
        <v>-0.17638484326018911</v>
      </c>
      <c r="AI4" s="8">
        <f>AD4*AH4</f>
        <v>-7.6679063671635211E-2</v>
      </c>
      <c r="AJ4" s="8">
        <f>AF4*AH4</f>
        <v>0.11987808103899911</v>
      </c>
      <c r="AK4" s="8">
        <f>AE4-AC4</f>
        <v>1</v>
      </c>
      <c r="AM4" s="8">
        <v>0</v>
      </c>
      <c r="AN4" s="8"/>
      <c r="AO4" s="8">
        <f>K31</f>
        <v>-3.5527136788005009E-11</v>
      </c>
      <c r="AP4" s="8"/>
      <c r="AQ4" s="8">
        <f>K31</f>
        <v>-3.5527136788005009E-11</v>
      </c>
      <c r="AR4" s="8"/>
      <c r="AS4" s="8">
        <f>K31</f>
        <v>-3.5527136788005009E-11</v>
      </c>
      <c r="AT4" s="8"/>
      <c r="AU4" s="8"/>
      <c r="AV4" s="8"/>
    </row>
    <row r="5" spans="2:48" x14ac:dyDescent="0.2">
      <c r="B5" t="s">
        <v>144</v>
      </c>
      <c r="C5" s="1">
        <v>8</v>
      </c>
      <c r="F5" t="s">
        <v>119</v>
      </c>
      <c r="G5" s="1">
        <v>152.4</v>
      </c>
      <c r="H5" t="s">
        <v>14</v>
      </c>
      <c r="J5" t="s">
        <v>159</v>
      </c>
      <c r="K5">
        <f>K4/$C$5</f>
        <v>19.84639508464414</v>
      </c>
      <c r="L5" t="s">
        <v>162</v>
      </c>
      <c r="N5" t="s">
        <v>37</v>
      </c>
      <c r="O5">
        <f>0.5*$C$30*$G$11^2</f>
        <v>1531.25</v>
      </c>
      <c r="P5" t="s">
        <v>38</v>
      </c>
      <c r="R5" t="s">
        <v>37</v>
      </c>
      <c r="S5">
        <f xml:space="preserve"> 0.5 * $C$30 * $C$20^2</f>
        <v>1531.25</v>
      </c>
      <c r="T5" t="s">
        <v>38</v>
      </c>
      <c r="V5" t="s">
        <v>37</v>
      </c>
      <c r="W5">
        <f>0.5*$C$30*$G$27^2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ref="AD5:AD34" si="0" xml:space="preserve"> $S$19 * TAN($S$16/180*PI()) + $S$20 / (2 * SQRT($S$19^2 + AC5^2)) - AC5</f>
        <v>0.4347259223317973</v>
      </c>
      <c r="AE5" s="8">
        <f>IF(AJ4&gt;0, AG4, AE4)</f>
        <v>0.5</v>
      </c>
      <c r="AF5" s="8">
        <f t="shared" ref="AF5:AF34" si="1" xml:space="preserve"> $S$19 * TAN($S$16/180*PI()) + $S$20 / (2 * SQRT($S$19^2 + AE5^2)) - AE5</f>
        <v>-0.17638484326018911</v>
      </c>
      <c r="AG5" s="8">
        <f t="shared" ref="AG5:AG34" si="2" xml:space="preserve"> (AC5 + AE5)/2</f>
        <v>0.25</v>
      </c>
      <c r="AH5" s="8">
        <f t="shared" ref="AH5:AH34" si="3" xml:space="preserve"> $S$19 * TAN($S$16/180*PI()) + $S$20 / (2 * SQRT($S$19^2 + AG5^2)) - AG5</f>
        <v>8.0072103132895867E-2</v>
      </c>
      <c r="AI5" s="8">
        <f t="shared" ref="AI5:AI34" si="4">AD5*AH5</f>
        <v>3.4809418887494954E-2</v>
      </c>
      <c r="AJ5" s="8">
        <f t="shared" ref="AJ5:AJ34" si="5">AF5*AH5</f>
        <v>-1.4123505360609535E-2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 ca="1"/>
        <v>-252.52617161999126</v>
      </c>
      <c r="AP5" s="9">
        <v>2500</v>
      </c>
      <c r="AQ5" s="8">
        <f t="dataTable" ref="AQ5:AQ44" dt2D="0" dtr="0" r1="C17"/>
        <v>885.79425431808227</v>
      </c>
      <c r="AR5" s="8">
        <f>(AN5+AP5)/2</f>
        <v>1500</v>
      </c>
      <c r="AS5" s="8">
        <f t="dataTable" ref="AS5:AS44" dt2D="0" dtr="0" r1="C17" ca="1"/>
        <v>350.03795359224409</v>
      </c>
      <c r="AT5" s="8">
        <f>AO5*AS5</f>
        <v>-88393.74434234557</v>
      </c>
      <c r="AU5" s="8">
        <f>AQ5*AS5</f>
        <v>310061.60808526934</v>
      </c>
      <c r="AV5" s="8">
        <f>AP5-AN5</f>
        <v>2000</v>
      </c>
    </row>
    <row r="6" spans="2:48" x14ac:dyDescent="0.2">
      <c r="B6" t="s">
        <v>145</v>
      </c>
      <c r="C6" s="1">
        <v>1</v>
      </c>
      <c r="F6" t="s">
        <v>112</v>
      </c>
      <c r="G6">
        <f xml:space="preserve"> 1/1000 * ($C$17*$C$31)/$C$9 * ( ($G$4/2) + SQRT( ($G$4/2)^2 + ($C$17*$C$31)/(2*$C$30*$C$5*PI()*$C$18*$C$18 ) ) )</f>
        <v>158.77116067715312</v>
      </c>
      <c r="H6" t="s">
        <v>162</v>
      </c>
      <c r="J6" t="s">
        <v>160</v>
      </c>
      <c r="K6">
        <f>MAX(G18,G23,G34)</f>
        <v>59.591973469386076</v>
      </c>
      <c r="L6" t="s">
        <v>162</v>
      </c>
      <c r="N6" t="s">
        <v>55</v>
      </c>
      <c r="O6">
        <f xml:space="preserve"> $S$29 * ($C$17*2.20462/1000)^(2/3) * 0.3048^2</f>
        <v>0.29523328447106534</v>
      </c>
      <c r="P6" t="s">
        <v>18</v>
      </c>
      <c r="R6" t="s">
        <v>55</v>
      </c>
      <c r="S6">
        <f xml:space="preserve"> $S$29 * ($C$17*2.20462/1000)^(2/3) * 0.3048^2</f>
        <v>0.29523328447106534</v>
      </c>
      <c r="T6" t="s">
        <v>18</v>
      </c>
      <c r="V6" t="s">
        <v>55</v>
      </c>
      <c r="W6">
        <f xml:space="preserve"> $S$29 * ($C$17*2.20462/1000)^(2/3) * 0.3048^2</f>
        <v>0.29523328447106534</v>
      </c>
      <c r="X6" t="s">
        <v>18</v>
      </c>
      <c r="AB6" s="8">
        <v>2</v>
      </c>
      <c r="AC6" s="8">
        <f t="shared" ref="AC6:AC34" si="7">IF(AI5&gt;0, AG5, AC5)</f>
        <v>0.25</v>
      </c>
      <c r="AD6" s="8">
        <f t="shared" si="0"/>
        <v>8.0072103132895867E-2</v>
      </c>
      <c r="AE6" s="8">
        <f t="shared" ref="AE6:AE34" si="8">IF(AJ5&gt;0, AG5, AE5)</f>
        <v>0.5</v>
      </c>
      <c r="AF6" s="8">
        <f t="shared" si="1"/>
        <v>-0.17638484326018911</v>
      </c>
      <c r="AG6" s="8">
        <f t="shared" si="2"/>
        <v>0.375</v>
      </c>
      <c r="AH6" s="8">
        <f t="shared" si="3"/>
        <v>-4.9223016607333359E-2</v>
      </c>
      <c r="AI6" s="8">
        <f t="shared" si="4"/>
        <v>-3.941390462294643E-3</v>
      </c>
      <c r="AJ6" s="8">
        <f t="shared" si="5"/>
        <v>8.6821940690781797E-3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-252.52617161999126</v>
      </c>
      <c r="AP6" s="8">
        <f>IF(AU5&gt;0,AR5,AP5)</f>
        <v>1500</v>
      </c>
      <c r="AQ6" s="8">
        <v>350.03795359224409</v>
      </c>
      <c r="AR6" s="8">
        <f t="shared" ref="AR6:AR44" si="9">(AN6+AP6)/2</f>
        <v>1000</v>
      </c>
      <c r="AS6" s="8">
        <v>55.611516326339483</v>
      </c>
      <c r="AT6" s="8">
        <f t="shared" ref="AT6:AT44" si="10">AO6*AS6</f>
        <v>-14043.36331587315</v>
      </c>
      <c r="AU6" s="8">
        <f t="shared" ref="AU6:AU44" si="11">AQ6*AS6</f>
        <v>19466.141371033544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1113.6662059516907</v>
      </c>
      <c r="H7" t="s">
        <v>31</v>
      </c>
      <c r="J7" t="s">
        <v>161</v>
      </c>
      <c r="K7">
        <f>K6/$C$6</f>
        <v>59.591973469386076</v>
      </c>
      <c r="L7" t="s">
        <v>162</v>
      </c>
      <c r="N7" t="s">
        <v>56</v>
      </c>
      <c r="O7">
        <f xml:space="preserve"> O6 / $C$21</f>
        <v>1.8224276819201565E-2</v>
      </c>
      <c r="R7" t="s">
        <v>56</v>
      </c>
      <c r="S7">
        <f xml:space="preserve"> S6 / $C$21</f>
        <v>1.8224276819201565E-2</v>
      </c>
      <c r="V7" t="s">
        <v>56</v>
      </c>
      <c r="W7">
        <f xml:space="preserve"> W6 / $C$21</f>
        <v>1.8224276819201565E-2</v>
      </c>
      <c r="AB7" s="8">
        <v>3</v>
      </c>
      <c r="AC7" s="8">
        <f t="shared" si="7"/>
        <v>0.25</v>
      </c>
      <c r="AD7" s="8">
        <f t="shared" si="0"/>
        <v>8.0072103132895867E-2</v>
      </c>
      <c r="AE7" s="8">
        <f t="shared" si="8"/>
        <v>0.375</v>
      </c>
      <c r="AF7" s="8">
        <f t="shared" si="1"/>
        <v>-4.9223016607333359E-2</v>
      </c>
      <c r="AG7" s="8">
        <f t="shared" si="2"/>
        <v>0.3125</v>
      </c>
      <c r="AH7" s="8">
        <f t="shared" si="3"/>
        <v>1.500020724238349E-2</v>
      </c>
      <c r="AI7" s="8">
        <f t="shared" si="4"/>
        <v>1.2010981413269424E-3</v>
      </c>
      <c r="AJ7" s="8">
        <f t="shared" si="5"/>
        <v>-7.3835545020528462E-4</v>
      </c>
      <c r="AK7" s="8">
        <f t="shared" si="6"/>
        <v>0.125</v>
      </c>
      <c r="AM7" s="8">
        <v>3</v>
      </c>
      <c r="AN7" s="8">
        <f t="shared" ref="AN7:AN44" si="13">IF(AT6&gt;0,AR6,AN6)</f>
        <v>500</v>
      </c>
      <c r="AO7" s="8">
        <v>-252.52617161999126</v>
      </c>
      <c r="AP7" s="8">
        <f t="shared" ref="AP7:AP44" si="14">IF(AU6&gt;0,AR6,AP6)</f>
        <v>1000</v>
      </c>
      <c r="AQ7" s="8">
        <v>55.611516326339483</v>
      </c>
      <c r="AR7" s="8">
        <f t="shared" si="9"/>
        <v>750</v>
      </c>
      <c r="AS7" s="8">
        <v>-97.361577439737175</v>
      </c>
      <c r="AT7" s="8">
        <f t="shared" si="10"/>
        <v>24586.346413740139</v>
      </c>
      <c r="AU7" s="8">
        <f t="shared" si="11"/>
        <v>-5414.4249533481097</v>
      </c>
      <c r="AV7" s="8">
        <f t="shared" si="12"/>
        <v>500</v>
      </c>
    </row>
    <row r="8" spans="2:48" x14ac:dyDescent="0.2">
      <c r="B8" t="s">
        <v>151</v>
      </c>
      <c r="C8" s="1">
        <v>0.13</v>
      </c>
      <c r="F8" t="s">
        <v>120</v>
      </c>
      <c r="G8">
        <f xml:space="preserve"> $G$5/$G$4</f>
        <v>60</v>
      </c>
      <c r="H8" t="s">
        <v>22</v>
      </c>
      <c r="N8" s="20" t="s">
        <v>195</v>
      </c>
      <c r="O8">
        <f>$O$6/(0.3048^2)/($C$17*2.20462/1000)^(2/3)</f>
        <v>2</v>
      </c>
      <c r="R8" t="s">
        <v>57</v>
      </c>
      <c r="S8">
        <f xml:space="preserve"> S5 * $C$21 * S7</f>
        <v>452.07596684631881</v>
      </c>
      <c r="T8" t="s">
        <v>31</v>
      </c>
      <c r="V8" t="s">
        <v>57</v>
      </c>
      <c r="W8">
        <f xml:space="preserve"> W5*W7*$C$21</f>
        <v>452.07596684631881</v>
      </c>
      <c r="X8" t="s">
        <v>31</v>
      </c>
      <c r="AB8" s="8">
        <v>4</v>
      </c>
      <c r="AC8" s="8">
        <f t="shared" si="7"/>
        <v>0.3125</v>
      </c>
      <c r="AD8" s="8">
        <f t="shared" si="0"/>
        <v>1.500020724238349E-2</v>
      </c>
      <c r="AE8" s="8">
        <f t="shared" si="8"/>
        <v>0.375</v>
      </c>
      <c r="AF8" s="8">
        <f t="shared" si="1"/>
        <v>-4.9223016607333359E-2</v>
      </c>
      <c r="AG8" s="8">
        <f t="shared" si="2"/>
        <v>0.34375</v>
      </c>
      <c r="AH8" s="8">
        <f t="shared" si="3"/>
        <v>-1.7188968538104699E-2</v>
      </c>
      <c r="AI8" s="8">
        <f t="shared" si="4"/>
        <v>-2.5783809035438005E-4</v>
      </c>
      <c r="AJ8" s="8">
        <f t="shared" si="5"/>
        <v>8.4609288381405818E-4</v>
      </c>
      <c r="AK8" s="8">
        <f t="shared" si="6"/>
        <v>6.25E-2</v>
      </c>
      <c r="AM8" s="8">
        <v>4</v>
      </c>
      <c r="AN8" s="8">
        <f t="shared" si="13"/>
        <v>750</v>
      </c>
      <c r="AO8" s="8">
        <v>-97.361577439737175</v>
      </c>
      <c r="AP8" s="8">
        <f t="shared" si="14"/>
        <v>1000</v>
      </c>
      <c r="AQ8" s="8">
        <v>55.611516326339483</v>
      </c>
      <c r="AR8" s="8">
        <f t="shared" si="9"/>
        <v>875</v>
      </c>
      <c r="AS8" s="8">
        <v>-20.475738703542106</v>
      </c>
      <c r="AT8" s="8">
        <f t="shared" si="10"/>
        <v>1993.5502194207384</v>
      </c>
      <c r="AU8" s="8">
        <f t="shared" si="11"/>
        <v>-1138.6868772058931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57</v>
      </c>
      <c r="O9">
        <f xml:space="preserve"> O5 * $C$21 * O7</f>
        <v>452.07596684631881</v>
      </c>
      <c r="P9" t="s">
        <v>31</v>
      </c>
      <c r="R9" t="s">
        <v>58</v>
      </c>
      <c r="S9">
        <f xml:space="preserve"> 1.78 * (1 - 0.045 * $C$22^0.68) - 0.64</f>
        <v>0.82990122458567595</v>
      </c>
      <c r="V9" t="s">
        <v>58</v>
      </c>
      <c r="W9">
        <f xml:space="preserve"> 1.78 * (1 - 0.045 * $C$22^0.68) - 0.64</f>
        <v>0.82990122458567595</v>
      </c>
      <c r="AB9" s="8">
        <v>5</v>
      </c>
      <c r="AC9" s="8">
        <f t="shared" si="7"/>
        <v>0.3125</v>
      </c>
      <c r="AD9" s="8">
        <f t="shared" si="0"/>
        <v>1.500020724238349E-2</v>
      </c>
      <c r="AE9" s="8">
        <f t="shared" si="8"/>
        <v>0.34375</v>
      </c>
      <c r="AF9" s="8">
        <f t="shared" si="1"/>
        <v>-1.7188968538104699E-2</v>
      </c>
      <c r="AG9" s="8">
        <f t="shared" si="2"/>
        <v>0.328125</v>
      </c>
      <c r="AH9" s="8">
        <f t="shared" si="3"/>
        <v>-1.1165035470526163E-3</v>
      </c>
      <c r="AI9" s="8">
        <f t="shared" si="4"/>
        <v>-1.6747784592645513E-5</v>
      </c>
      <c r="AJ9" s="8">
        <f t="shared" si="5"/>
        <v>1.919154434296972E-5</v>
      </c>
      <c r="AK9" s="8">
        <f t="shared" si="6"/>
        <v>3.125E-2</v>
      </c>
      <c r="AM9" s="8">
        <v>5</v>
      </c>
      <c r="AN9" s="8">
        <f t="shared" si="13"/>
        <v>875</v>
      </c>
      <c r="AO9" s="8">
        <v>-20.475738703542106</v>
      </c>
      <c r="AP9" s="8">
        <f t="shared" si="14"/>
        <v>1000</v>
      </c>
      <c r="AQ9" s="8">
        <v>55.611516326339483</v>
      </c>
      <c r="AR9" s="8">
        <f t="shared" si="9"/>
        <v>937.5</v>
      </c>
      <c r="AS9" s="8">
        <v>17.677629505212394</v>
      </c>
      <c r="AT9" s="8">
        <f t="shared" si="10"/>
        <v>-361.9625226467553</v>
      </c>
      <c r="AU9" s="8">
        <f t="shared" si="11"/>
        <v>983.0797818400996</v>
      </c>
      <c r="AV9" s="8">
        <f t="shared" si="12"/>
        <v>125</v>
      </c>
    </row>
    <row r="10" spans="2:48" x14ac:dyDescent="0.2">
      <c r="F10" s="63" t="s">
        <v>124</v>
      </c>
      <c r="G10" s="64"/>
      <c r="H10" s="64"/>
      <c r="J10" s="58" t="s">
        <v>34</v>
      </c>
      <c r="K10" s="58"/>
      <c r="L10" s="58"/>
      <c r="N10" t="s">
        <v>58</v>
      </c>
      <c r="O10">
        <f xml:space="preserve"> 1.78 * (1 - 0.045 * $C$22^0.68) - 0.64</f>
        <v>0.82990122458567595</v>
      </c>
      <c r="R10" t="s">
        <v>39</v>
      </c>
      <c r="S10">
        <f xml:space="preserve"> S4 / (S5 * $C$21)</f>
        <v>0.35915664994158836</v>
      </c>
      <c r="V10" t="s">
        <v>138</v>
      </c>
      <c r="W10">
        <f>W4 / ( W5 * $C$21)</f>
        <v>0.35898977745209959</v>
      </c>
      <c r="AB10" s="8">
        <v>6</v>
      </c>
      <c r="AC10" s="8">
        <f t="shared" si="7"/>
        <v>0.3125</v>
      </c>
      <c r="AD10" s="8">
        <f t="shared" si="0"/>
        <v>1.500020724238349E-2</v>
      </c>
      <c r="AE10" s="8">
        <f t="shared" si="8"/>
        <v>0.328125</v>
      </c>
      <c r="AF10" s="8">
        <f t="shared" si="1"/>
        <v>-1.1165035470526163E-3</v>
      </c>
      <c r="AG10" s="8">
        <f t="shared" si="2"/>
        <v>0.3203125</v>
      </c>
      <c r="AH10" s="8">
        <f t="shared" si="3"/>
        <v>6.9359223717525009E-3</v>
      </c>
      <c r="AI10" s="8">
        <f t="shared" si="4"/>
        <v>1.0404027299337153E-4</v>
      </c>
      <c r="AJ10" s="8">
        <f t="shared" si="5"/>
        <v>-7.7439819301432631E-6</v>
      </c>
      <c r="AK10" s="8">
        <f t="shared" si="6"/>
        <v>1.5625E-2</v>
      </c>
      <c r="AM10" s="8">
        <v>6</v>
      </c>
      <c r="AN10" s="8">
        <f t="shared" si="13"/>
        <v>875</v>
      </c>
      <c r="AO10" s="8">
        <v>-20.475738703542106</v>
      </c>
      <c r="AP10" s="8">
        <f t="shared" si="14"/>
        <v>937.5</v>
      </c>
      <c r="AQ10" s="8">
        <v>17.677629505212394</v>
      </c>
      <c r="AR10" s="8">
        <f t="shared" si="9"/>
        <v>906.25</v>
      </c>
      <c r="AS10" s="8">
        <v>-1.372672870986662</v>
      </c>
      <c r="AT10" s="8">
        <f t="shared" si="10"/>
        <v>28.106491031763856</v>
      </c>
      <c r="AU10" s="8">
        <f t="shared" si="11"/>
        <v>-24.265602445158422</v>
      </c>
      <c r="AV10" s="8">
        <f t="shared" si="12"/>
        <v>62.5</v>
      </c>
    </row>
    <row r="11" spans="2:48" x14ac:dyDescent="0.2">
      <c r="B11" s="59" t="s">
        <v>6</v>
      </c>
      <c r="C11" s="60"/>
      <c r="D11" s="60"/>
      <c r="F11" s="4" t="s">
        <v>154</v>
      </c>
      <c r="G11" s="1">
        <f>$C$20</f>
        <v>50</v>
      </c>
      <c r="H11" t="s">
        <v>16</v>
      </c>
      <c r="J11" t="s">
        <v>153</v>
      </c>
      <c r="K11">
        <f xml:space="preserve"> (G6*G8 + G18*G19 + G23*G24 + G34*G35 + G40*G42)/3600</f>
        <v>8.5857868455348978</v>
      </c>
      <c r="L11" t="s">
        <v>163</v>
      </c>
      <c r="N11" t="s">
        <v>138</v>
      </c>
      <c r="O11">
        <f>O4/(O5*$C$21)</f>
        <v>0.35869292356205773</v>
      </c>
      <c r="R11" t="s">
        <v>59</v>
      </c>
      <c r="S11">
        <f xml:space="preserve"> S7 + S10^2 / ( PI() * S9 * $C$22 )</f>
        <v>2.4983245978819964E-2</v>
      </c>
      <c r="V11" t="s">
        <v>137</v>
      </c>
      <c r="W11">
        <f xml:space="preserve"> W7 + W10^2 / (PI() * W9 * $C$22)</f>
        <v>2.4976966690998016E-2</v>
      </c>
      <c r="AB11" s="8">
        <v>7</v>
      </c>
      <c r="AC11" s="8">
        <f t="shared" si="7"/>
        <v>0.3203125</v>
      </c>
      <c r="AD11" s="8">
        <f t="shared" si="0"/>
        <v>6.9359223717525009E-3</v>
      </c>
      <c r="AE11" s="8">
        <f t="shared" si="8"/>
        <v>0.328125</v>
      </c>
      <c r="AF11" s="8">
        <f t="shared" si="1"/>
        <v>-1.1165035470526163E-3</v>
      </c>
      <c r="AG11" s="8">
        <f t="shared" si="2"/>
        <v>0.32421875</v>
      </c>
      <c r="AH11" s="8">
        <f t="shared" si="3"/>
        <v>2.9082798352523254E-3</v>
      </c>
      <c r="AI11" s="8">
        <f t="shared" si="4"/>
        <v>2.0171603172643282E-5</v>
      </c>
      <c r="AJ11" s="8">
        <f t="shared" si="5"/>
        <v>-3.24710475188082E-6</v>
      </c>
      <c r="AK11" s="8">
        <f t="shared" si="6"/>
        <v>7.8125E-3</v>
      </c>
      <c r="AM11" s="8">
        <v>7</v>
      </c>
      <c r="AN11" s="8">
        <f t="shared" si="13"/>
        <v>906.25</v>
      </c>
      <c r="AO11" s="8">
        <v>-1.372672870986662</v>
      </c>
      <c r="AP11" s="8">
        <f t="shared" si="14"/>
        <v>937.5</v>
      </c>
      <c r="AQ11" s="8">
        <v>17.677629505212394</v>
      </c>
      <c r="AR11" s="8">
        <f t="shared" si="9"/>
        <v>921.875</v>
      </c>
      <c r="AS11" s="8">
        <v>8.1592165612695453</v>
      </c>
      <c r="AT11" s="8">
        <f t="shared" si="10"/>
        <v>-11.199935222159787</v>
      </c>
      <c r="AU11" s="8">
        <f t="shared" si="11"/>
        <v>144.23560742291613</v>
      </c>
      <c r="AV11" s="8">
        <f t="shared" si="12"/>
        <v>31.25</v>
      </c>
    </row>
    <row r="12" spans="2:48" x14ac:dyDescent="0.2">
      <c r="B12" t="s">
        <v>7</v>
      </c>
      <c r="C12" s="1">
        <v>250</v>
      </c>
      <c r="D12" t="s">
        <v>8</v>
      </c>
      <c r="F12" t="s">
        <v>126</v>
      </c>
      <c r="G12" s="1">
        <v>2.54</v>
      </c>
      <c r="H12" t="s">
        <v>16</v>
      </c>
      <c r="J12" t="s">
        <v>35</v>
      </c>
      <c r="K12">
        <f xml:space="preserve"> (G8 + G19 + G24 + G35 +G42)/60</f>
        <v>6.004131050868561</v>
      </c>
      <c r="L12" t="s">
        <v>164</v>
      </c>
      <c r="N12" t="s">
        <v>137</v>
      </c>
      <c r="O12">
        <f>O7+O11^2/(PI()*O10*$C$22)</f>
        <v>2.4965803512647884E-2</v>
      </c>
      <c r="R12" t="s">
        <v>60</v>
      </c>
      <c r="S12">
        <f xml:space="preserve"> S5 * S11 * $C$21</f>
        <v>619.74064556210271</v>
      </c>
      <c r="T12" t="s">
        <v>31</v>
      </c>
      <c r="V12" t="s">
        <v>139</v>
      </c>
      <c r="W12">
        <f xml:space="preserve"> W5 * $C$21 * W11</f>
        <v>619.58487997856957</v>
      </c>
      <c r="X12" t="s">
        <v>31</v>
      </c>
      <c r="AB12" s="8">
        <v>8</v>
      </c>
      <c r="AC12" s="8">
        <f t="shared" si="7"/>
        <v>0.32421875</v>
      </c>
      <c r="AD12" s="8">
        <f t="shared" si="0"/>
        <v>2.9082798352523254E-3</v>
      </c>
      <c r="AE12" s="8">
        <f t="shared" si="8"/>
        <v>0.328125</v>
      </c>
      <c r="AF12" s="8">
        <f t="shared" si="1"/>
        <v>-1.1165035470526163E-3</v>
      </c>
      <c r="AG12" s="8">
        <f t="shared" si="2"/>
        <v>0.326171875</v>
      </c>
      <c r="AH12" s="8">
        <f t="shared" si="3"/>
        <v>8.9553707726325316E-4</v>
      </c>
      <c r="AI12" s="8">
        <f t="shared" si="4"/>
        <v>2.6044724235255228E-6</v>
      </c>
      <c r="AJ12" s="8">
        <f t="shared" si="5"/>
        <v>-9.99870323281555E-7</v>
      </c>
      <c r="AK12" s="8">
        <f t="shared" si="6"/>
        <v>3.90625E-3</v>
      </c>
      <c r="AM12" s="8">
        <v>8</v>
      </c>
      <c r="AN12" s="8">
        <f t="shared" si="13"/>
        <v>906.25</v>
      </c>
      <c r="AO12" s="8">
        <v>-1.372672870986662</v>
      </c>
      <c r="AP12" s="8">
        <f t="shared" si="14"/>
        <v>921.875</v>
      </c>
      <c r="AQ12" s="8">
        <v>8.1592165612695453</v>
      </c>
      <c r="AR12" s="8">
        <f t="shared" si="9"/>
        <v>914.0625</v>
      </c>
      <c r="AS12" s="8">
        <v>3.3949392343532168</v>
      </c>
      <c r="AT12" s="8">
        <f t="shared" si="10"/>
        <v>-4.6601409856448903</v>
      </c>
      <c r="AU12" s="8">
        <f t="shared" si="11"/>
        <v>27.700044425438517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125</v>
      </c>
      <c r="G13" s="1">
        <v>304.8</v>
      </c>
      <c r="H13" t="s">
        <v>14</v>
      </c>
      <c r="N13" t="s">
        <v>139</v>
      </c>
      <c r="O13">
        <f>O5*O12*$C$21</f>
        <v>619.30796338562163</v>
      </c>
      <c r="P13" t="s">
        <v>31</v>
      </c>
      <c r="R13" t="s">
        <v>106</v>
      </c>
      <c r="S13">
        <f>S10/S11</f>
        <v>14.375900163096118</v>
      </c>
      <c r="V13" t="s">
        <v>106</v>
      </c>
      <c r="W13">
        <f>W4/W12</f>
        <v>14.372833254467348</v>
      </c>
      <c r="AB13" s="8">
        <v>9</v>
      </c>
      <c r="AC13" s="8">
        <f t="shared" si="7"/>
        <v>0.326171875</v>
      </c>
      <c r="AD13" s="8">
        <f t="shared" si="0"/>
        <v>8.9553707726325316E-4</v>
      </c>
      <c r="AE13" s="8">
        <f t="shared" si="8"/>
        <v>0.328125</v>
      </c>
      <c r="AF13" s="8">
        <f t="shared" si="1"/>
        <v>-1.1165035470526163E-3</v>
      </c>
      <c r="AG13" s="8">
        <f t="shared" si="2"/>
        <v>0.3271484375</v>
      </c>
      <c r="AH13" s="8">
        <f t="shared" si="3"/>
        <v>-1.1057022690252882E-4</v>
      </c>
      <c r="AI13" s="8">
        <f t="shared" si="4"/>
        <v>-9.9019737832625388E-8</v>
      </c>
      <c r="AJ13" s="8">
        <f t="shared" si="5"/>
        <v>1.2345205053508605E-7</v>
      </c>
      <c r="AK13" s="8">
        <f t="shared" si="6"/>
        <v>1.953125E-3</v>
      </c>
      <c r="AM13" s="8">
        <v>9</v>
      </c>
      <c r="AN13" s="8">
        <f t="shared" si="13"/>
        <v>906.25</v>
      </c>
      <c r="AO13" s="8">
        <v>-1.372672870986662</v>
      </c>
      <c r="AP13" s="8">
        <f t="shared" si="14"/>
        <v>914.0625</v>
      </c>
      <c r="AQ13" s="8">
        <v>3.3949392343532168</v>
      </c>
      <c r="AR13" s="8">
        <f t="shared" si="9"/>
        <v>910.15625</v>
      </c>
      <c r="AS13" s="8">
        <v>1.0115477638531729</v>
      </c>
      <c r="AT13" s="8">
        <f t="shared" si="10"/>
        <v>-1.388524173148473</v>
      </c>
      <c r="AU13" s="8">
        <f t="shared" si="11"/>
        <v>3.4341431909273994</v>
      </c>
      <c r="AV13" s="8">
        <f t="shared" si="12"/>
        <v>7.8125</v>
      </c>
    </row>
    <row r="14" spans="2:48" x14ac:dyDescent="0.2">
      <c r="B14" t="s">
        <v>10</v>
      </c>
      <c r="C14" s="1">
        <v>0.8</v>
      </c>
      <c r="F14" t="s">
        <v>127</v>
      </c>
      <c r="G14">
        <f>SQRT($G$11^2-$G$12^2)</f>
        <v>49.935442323063484</v>
      </c>
      <c r="H14" t="s">
        <v>16</v>
      </c>
      <c r="N14" t="s">
        <v>106</v>
      </c>
      <c r="O14">
        <f>O4/O13</f>
        <v>14.367369485237711</v>
      </c>
      <c r="AB14" s="8">
        <v>10</v>
      </c>
      <c r="AC14" s="8">
        <f t="shared" si="7"/>
        <v>0.326171875</v>
      </c>
      <c r="AD14" s="8">
        <f t="shared" si="0"/>
        <v>8.9553707726325316E-4</v>
      </c>
      <c r="AE14" s="8">
        <f t="shared" si="8"/>
        <v>0.3271484375</v>
      </c>
      <c r="AF14" s="8">
        <f t="shared" si="1"/>
        <v>-1.1057022690252882E-4</v>
      </c>
      <c r="AG14" s="8">
        <f t="shared" si="2"/>
        <v>0.32666015625</v>
      </c>
      <c r="AH14" s="8">
        <f t="shared" si="3"/>
        <v>3.924615810514398E-4</v>
      </c>
      <c r="AI14" s="8">
        <f t="shared" si="4"/>
        <v>3.5146389723292173E-7</v>
      </c>
      <c r="AJ14" s="8">
        <f t="shared" si="5"/>
        <v>-4.3394566067382907E-8</v>
      </c>
      <c r="AK14" s="8">
        <f t="shared" si="6"/>
        <v>9.765625E-4</v>
      </c>
      <c r="AM14" s="8">
        <v>10</v>
      </c>
      <c r="AN14" s="8">
        <f t="shared" si="13"/>
        <v>906.25</v>
      </c>
      <c r="AO14" s="8">
        <v>-1.372672870986662</v>
      </c>
      <c r="AP14" s="8">
        <f t="shared" si="14"/>
        <v>910.15625</v>
      </c>
      <c r="AQ14" s="8">
        <v>1.0115477638531729</v>
      </c>
      <c r="AR14" s="8">
        <f t="shared" si="9"/>
        <v>908.203125</v>
      </c>
      <c r="AS14" s="8">
        <v>-0.18045910563284906</v>
      </c>
      <c r="AT14" s="8">
        <f t="shared" si="10"/>
        <v>0.24771131862472823</v>
      </c>
      <c r="AU14" s="8">
        <f t="shared" si="11"/>
        <v>-0.182543004769852</v>
      </c>
      <c r="AV14" s="8">
        <f t="shared" si="12"/>
        <v>3.90625</v>
      </c>
    </row>
    <row r="15" spans="2:48" x14ac:dyDescent="0.2">
      <c r="F15" t="s">
        <v>128</v>
      </c>
      <c r="G15">
        <f>$G$14 * ($G$13/$G$12)</f>
        <v>5992.2530787676178</v>
      </c>
      <c r="H15" t="s">
        <v>14</v>
      </c>
      <c r="J15" s="21" t="s">
        <v>73</v>
      </c>
      <c r="K15" s="21"/>
      <c r="L15" s="21"/>
      <c r="R15" s="63" t="s">
        <v>135</v>
      </c>
      <c r="S15" s="67"/>
      <c r="T15" s="67"/>
      <c r="V15" s="63" t="s">
        <v>149</v>
      </c>
      <c r="W15" s="67"/>
      <c r="X15" s="67"/>
      <c r="AB15" s="8">
        <v>11</v>
      </c>
      <c r="AC15" s="8">
        <f t="shared" si="7"/>
        <v>0.32666015625</v>
      </c>
      <c r="AD15" s="8">
        <f t="shared" si="0"/>
        <v>3.924615810514398E-4</v>
      </c>
      <c r="AE15" s="8">
        <f t="shared" si="8"/>
        <v>0.3271484375</v>
      </c>
      <c r="AF15" s="8">
        <f t="shared" si="1"/>
        <v>-1.1057022690252882E-4</v>
      </c>
      <c r="AG15" s="8">
        <f t="shared" si="2"/>
        <v>0.326904296875</v>
      </c>
      <c r="AH15" s="8">
        <f t="shared" si="3"/>
        <v>1.4094022810212659E-4</v>
      </c>
      <c r="AI15" s="8">
        <f t="shared" si="4"/>
        <v>5.5313624754711168E-8</v>
      </c>
      <c r="AJ15" s="8">
        <f t="shared" si="5"/>
        <v>-1.5583793000946307E-8</v>
      </c>
      <c r="AK15" s="8">
        <f t="shared" si="6"/>
        <v>4.8828125E-4</v>
      </c>
      <c r="AM15" s="8">
        <v>11</v>
      </c>
      <c r="AN15" s="8">
        <f t="shared" si="13"/>
        <v>908.203125</v>
      </c>
      <c r="AO15" s="8">
        <v>-0.18045910563284906</v>
      </c>
      <c r="AP15" s="8">
        <f t="shared" si="14"/>
        <v>910.15625</v>
      </c>
      <c r="AQ15" s="8">
        <v>1.0115477638531729</v>
      </c>
      <c r="AR15" s="8">
        <f t="shared" si="9"/>
        <v>909.1796875</v>
      </c>
      <c r="AS15" s="8">
        <v>0.41557017412810637</v>
      </c>
      <c r="AT15" s="8">
        <f t="shared" si="10"/>
        <v>-7.4993421950845421E-2</v>
      </c>
      <c r="AU15" s="8">
        <f t="shared" si="11"/>
        <v>0.42036908036335968</v>
      </c>
      <c r="AV15" s="8">
        <f t="shared" si="12"/>
        <v>1.953125</v>
      </c>
    </row>
    <row r="16" spans="2:48" x14ac:dyDescent="0.2">
      <c r="B16" s="58" t="s">
        <v>11</v>
      </c>
      <c r="C16" s="58"/>
      <c r="D16" s="58"/>
      <c r="F16" t="s">
        <v>152</v>
      </c>
      <c r="G16">
        <f>ATAN(G12/G14)/PI()*180</f>
        <v>2.9118789347687013</v>
      </c>
      <c r="H16" t="s">
        <v>62</v>
      </c>
      <c r="J16" s="3" t="s">
        <v>109</v>
      </c>
      <c r="K16" s="5">
        <f>C17</f>
        <v>908.49878884364443</v>
      </c>
      <c r="L16" t="s">
        <v>12</v>
      </c>
      <c r="N16" s="63" t="s">
        <v>140</v>
      </c>
      <c r="O16" s="67"/>
      <c r="P16" s="67"/>
      <c r="R16" t="s">
        <v>41</v>
      </c>
      <c r="S16">
        <f xml:space="preserve"> 90 - $C$32</f>
        <v>85</v>
      </c>
      <c r="T16" t="s">
        <v>62</v>
      </c>
      <c r="V16" t="s">
        <v>41</v>
      </c>
      <c r="W16">
        <f xml:space="preserve"> 90 - $C$32</f>
        <v>85</v>
      </c>
      <c r="X16" t="s">
        <v>62</v>
      </c>
      <c r="AB16" s="8">
        <v>12</v>
      </c>
      <c r="AC16" s="8">
        <f t="shared" si="7"/>
        <v>0.326904296875</v>
      </c>
      <c r="AD16" s="8">
        <f t="shared" si="0"/>
        <v>1.4094022810212659E-4</v>
      </c>
      <c r="AE16" s="8">
        <f t="shared" si="8"/>
        <v>0.3271484375</v>
      </c>
      <c r="AF16" s="8">
        <f t="shared" si="1"/>
        <v>-1.1057022690252882E-4</v>
      </c>
      <c r="AG16" s="8">
        <f t="shared" si="2"/>
        <v>0.3270263671875</v>
      </c>
      <c r="AH16" s="8">
        <f t="shared" si="3"/>
        <v>1.5183639860361087E-5</v>
      </c>
      <c r="AI16" s="8">
        <f t="shared" si="4"/>
        <v>2.1399856653398329E-9</v>
      </c>
      <c r="AJ16" s="8">
        <f t="shared" si="5"/>
        <v>-1.6788585045664064E-9</v>
      </c>
      <c r="AK16" s="8">
        <f t="shared" si="6"/>
        <v>2.44140625E-4</v>
      </c>
      <c r="AM16" s="8">
        <v>12</v>
      </c>
      <c r="AN16" s="8">
        <f t="shared" si="13"/>
        <v>908.203125</v>
      </c>
      <c r="AO16" s="8">
        <v>-0.18045910563284906</v>
      </c>
      <c r="AP16" s="8">
        <f t="shared" si="14"/>
        <v>909.1796875</v>
      </c>
      <c r="AQ16" s="8">
        <v>0.41557017412810637</v>
      </c>
      <c r="AR16" s="8">
        <f t="shared" si="9"/>
        <v>908.69140625</v>
      </c>
      <c r="AS16" s="8">
        <v>0.11756195970605177</v>
      </c>
      <c r="AT16" s="8">
        <f t="shared" si="10"/>
        <v>-2.1215126104999142E-2</v>
      </c>
      <c r="AU16" s="8">
        <f t="shared" si="11"/>
        <v>4.8855244065885359E-2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908.49878884364443</v>
      </c>
      <c r="D17" s="3" t="s">
        <v>12</v>
      </c>
      <c r="F17" t="s">
        <v>143</v>
      </c>
      <c r="G17">
        <f xml:space="preserve"> 1/1000 * (O23 + O18 * (O28 * O25 + $G$11 * SIN(O17/180*PI())))</f>
        <v>59.591973469386076</v>
      </c>
      <c r="H17" t="s">
        <v>162</v>
      </c>
      <c r="J17" s="16" t="s">
        <v>74</v>
      </c>
      <c r="K17">
        <f xml:space="preserve"> 1000 * K11 / ($C$12 * $C$13 * $C$14)</f>
        <v>50.504628503146456</v>
      </c>
      <c r="L17" t="s">
        <v>12</v>
      </c>
      <c r="N17" t="s">
        <v>41</v>
      </c>
      <c r="O17">
        <f xml:space="preserve"> 90 - $C$32</f>
        <v>85</v>
      </c>
      <c r="P17" t="s">
        <v>62</v>
      </c>
      <c r="R17" t="s">
        <v>30</v>
      </c>
      <c r="S17">
        <f xml:space="preserve"> S12 / $C$6</f>
        <v>619.74064556210271</v>
      </c>
      <c r="T17" t="s">
        <v>31</v>
      </c>
      <c r="V17" t="s">
        <v>30</v>
      </c>
      <c r="W17">
        <f>(W12-$C$17*$C$31*SIN(G32/180*PI()))/$C$6</f>
        <v>348.02851231930924</v>
      </c>
      <c r="X17" t="s">
        <v>31</v>
      </c>
      <c r="AB17" s="8">
        <v>13</v>
      </c>
      <c r="AC17" s="8">
        <f t="shared" si="7"/>
        <v>0.3270263671875</v>
      </c>
      <c r="AD17" s="8">
        <f t="shared" si="0"/>
        <v>1.5183639860361087E-5</v>
      </c>
      <c r="AE17" s="8">
        <f t="shared" si="8"/>
        <v>0.3271484375</v>
      </c>
      <c r="AF17" s="8">
        <f t="shared" si="1"/>
        <v>-1.1057022690252882E-4</v>
      </c>
      <c r="AG17" s="8">
        <f t="shared" si="2"/>
        <v>0.32708740234375</v>
      </c>
      <c r="AH17" s="8">
        <f t="shared" si="3"/>
        <v>-4.7693633518253176E-5</v>
      </c>
      <c r="AI17" s="8">
        <f t="shared" si="4"/>
        <v>-7.2416295497320249E-10</v>
      </c>
      <c r="AJ17" s="8">
        <f t="shared" si="5"/>
        <v>5.2734958799193076E-9</v>
      </c>
      <c r="AK17" s="8">
        <f t="shared" si="6"/>
        <v>1.220703125E-4</v>
      </c>
      <c r="AM17" s="8">
        <v>13</v>
      </c>
      <c r="AN17" s="8">
        <f t="shared" si="13"/>
        <v>908.203125</v>
      </c>
      <c r="AO17" s="8">
        <v>-0.18045910563284906</v>
      </c>
      <c r="AP17" s="8">
        <f t="shared" si="14"/>
        <v>908.69140625</v>
      </c>
      <c r="AQ17" s="8">
        <v>0.11756195970605177</v>
      </c>
      <c r="AR17" s="8">
        <f t="shared" si="9"/>
        <v>908.447265625</v>
      </c>
      <c r="AS17" s="8">
        <v>-3.1446966978137425E-2</v>
      </c>
      <c r="AT17" s="8">
        <f t="shared" si="10"/>
        <v>5.6748915357404178E-3</v>
      </c>
      <c r="AU17" s="8">
        <f t="shared" si="11"/>
        <v>-3.6969670647613324E-3</v>
      </c>
      <c r="AV17" s="8">
        <f t="shared" si="12"/>
        <v>0.48828125</v>
      </c>
    </row>
    <row r="18" spans="2:48" x14ac:dyDescent="0.2">
      <c r="B18" t="s">
        <v>147</v>
      </c>
      <c r="C18" s="1">
        <v>1</v>
      </c>
      <c r="D18" t="s">
        <v>14</v>
      </c>
      <c r="F18" t="s">
        <v>129</v>
      </c>
      <c r="G18">
        <f>$C$6*G17</f>
        <v>59.591973469386076</v>
      </c>
      <c r="H18" t="s">
        <v>162</v>
      </c>
      <c r="J18" s="12" t="s">
        <v>75</v>
      </c>
      <c r="K18">
        <f xml:space="preserve"> $C$33 * ($C$5 * $C$41 * (2*$C$18*3.28084 * (K5*1000*0.00134102) * $C$39^0.5)^0.782 * 0.453592 + C6 * $C$6 * $C$41 * (2*$C$19*3.28084 * (K7*1000*0.00134102) * $C$40^0.5)^0.782 * 0.453592)</f>
        <v>43.094433126095993</v>
      </c>
      <c r="L18" t="s">
        <v>12</v>
      </c>
      <c r="N18" t="s">
        <v>30</v>
      </c>
      <c r="O18">
        <f>(O13+$C$17*$C$31*SIN(G16/180*PI()))/$C$6</f>
        <v>1071.9019094843889</v>
      </c>
      <c r="P18" t="s">
        <v>31</v>
      </c>
      <c r="R18" t="s">
        <v>42</v>
      </c>
      <c r="S18">
        <f xml:space="preserve"> PI() * $C$20 / ($C$19 * $C$23)</f>
        <v>157.07963267948966</v>
      </c>
      <c r="T18" t="s">
        <v>43</v>
      </c>
      <c r="V18" t="s">
        <v>42</v>
      </c>
      <c r="W18">
        <f xml:space="preserve"> PI() * $G$27 / ($C$19 * $C$23)</f>
        <v>157.07963267948966</v>
      </c>
      <c r="X18" t="s">
        <v>43</v>
      </c>
      <c r="AB18" s="8">
        <v>14</v>
      </c>
      <c r="AC18" s="8">
        <f t="shared" si="7"/>
        <v>0.3270263671875</v>
      </c>
      <c r="AD18" s="8">
        <f t="shared" si="0"/>
        <v>1.5183639860361087E-5</v>
      </c>
      <c r="AE18" s="8">
        <f t="shared" si="8"/>
        <v>0.32708740234375</v>
      </c>
      <c r="AF18" s="8">
        <f t="shared" si="1"/>
        <v>-4.7693633518253176E-5</v>
      </c>
      <c r="AG18" s="8">
        <f t="shared" si="2"/>
        <v>0.327056884765625</v>
      </c>
      <c r="AH18" s="8">
        <f t="shared" si="3"/>
        <v>-1.6255081851712649E-5</v>
      </c>
      <c r="AI18" s="8">
        <f t="shared" si="4"/>
        <v>-2.4681130873709631E-10</v>
      </c>
      <c r="AJ18" s="8">
        <f t="shared" si="5"/>
        <v>7.752639166447913E-10</v>
      </c>
      <c r="AK18" s="8">
        <f t="shared" si="6"/>
        <v>6.103515625E-5</v>
      </c>
      <c r="AM18" s="8">
        <v>14</v>
      </c>
      <c r="AN18" s="8">
        <f t="shared" si="13"/>
        <v>908.447265625</v>
      </c>
      <c r="AO18" s="8">
        <v>-3.1446966978137425E-2</v>
      </c>
      <c r="AP18" s="8">
        <f t="shared" si="14"/>
        <v>908.69140625</v>
      </c>
      <c r="AQ18" s="8">
        <v>0.11756195970605177</v>
      </c>
      <c r="AR18" s="8">
        <f t="shared" si="9"/>
        <v>908.5693359375</v>
      </c>
      <c r="AS18" s="8">
        <v>4.3057908128957934E-2</v>
      </c>
      <c r="AT18" s="8">
        <f t="shared" si="10"/>
        <v>-1.3540406150790152E-3</v>
      </c>
      <c r="AU18" s="8">
        <f t="shared" si="11"/>
        <v>5.0619720604834313E-3</v>
      </c>
      <c r="AV18" s="8">
        <f t="shared" si="12"/>
        <v>0.244140625</v>
      </c>
    </row>
    <row r="19" spans="2:48" x14ac:dyDescent="0.2">
      <c r="B19" t="s">
        <v>146</v>
      </c>
      <c r="C19" s="1">
        <v>1</v>
      </c>
      <c r="D19" t="s">
        <v>14</v>
      </c>
      <c r="F19" t="s">
        <v>130</v>
      </c>
      <c r="G19">
        <f>$G$13/$G$12</f>
        <v>120</v>
      </c>
      <c r="H19" t="s">
        <v>22</v>
      </c>
      <c r="J19" s="13" t="s">
        <v>76</v>
      </c>
      <c r="K19">
        <f xml:space="preserve"> 0.2138 * (K4) + 0.2138 * (K6)</f>
        <v>46.686038080530075</v>
      </c>
      <c r="L19" t="s">
        <v>12</v>
      </c>
      <c r="N19" t="s">
        <v>42</v>
      </c>
      <c r="O19">
        <f xml:space="preserve"> PI() * $G$11 / ($C$19 * $C$23)</f>
        <v>157.07963267948966</v>
      </c>
      <c r="P19" t="s">
        <v>43</v>
      </c>
      <c r="R19" t="s">
        <v>44</v>
      </c>
      <c r="S19">
        <f xml:space="preserve"> $C$20 * COS(S16/180*PI()) / (S18 * $C$19)</f>
        <v>2.7742534554270868E-2</v>
      </c>
      <c r="V19" t="s">
        <v>44</v>
      </c>
      <c r="W19">
        <f xml:space="preserve"> $G$27 * COS(W16/180*PI()) / (W18 * $C$19)</f>
        <v>2.7742534554270868E-2</v>
      </c>
      <c r="AB19" s="8">
        <v>15</v>
      </c>
      <c r="AC19" s="8">
        <f t="shared" si="7"/>
        <v>0.3270263671875</v>
      </c>
      <c r="AD19" s="8">
        <f t="shared" si="0"/>
        <v>1.5183639860361087E-5</v>
      </c>
      <c r="AE19" s="8">
        <f t="shared" si="8"/>
        <v>0.327056884765625</v>
      </c>
      <c r="AF19" s="8">
        <f t="shared" si="1"/>
        <v>-1.6255081851712649E-5</v>
      </c>
      <c r="AG19" s="8">
        <f t="shared" si="2"/>
        <v>0.3270416259765625</v>
      </c>
      <c r="AH19" s="8">
        <f t="shared" si="3"/>
        <v>-5.3574225428176803E-7</v>
      </c>
      <c r="AI19" s="8">
        <f t="shared" si="4"/>
        <v>-8.1345174469923589E-12</v>
      </c>
      <c r="AJ19" s="8">
        <f t="shared" si="5"/>
        <v>8.7085341947711913E-12</v>
      </c>
      <c r="AK19" s="8">
        <f t="shared" si="6"/>
        <v>3.0517578125E-5</v>
      </c>
      <c r="AM19" s="8">
        <v>15</v>
      </c>
      <c r="AN19" s="8">
        <f t="shared" si="13"/>
        <v>908.447265625</v>
      </c>
      <c r="AO19" s="8">
        <v>-3.1446966978137425E-2</v>
      </c>
      <c r="AP19" s="8">
        <f t="shared" si="14"/>
        <v>908.5693359375</v>
      </c>
      <c r="AQ19" s="8">
        <v>4.3057908128957934E-2</v>
      </c>
      <c r="AR19" s="8">
        <f t="shared" si="9"/>
        <v>908.50830078125</v>
      </c>
      <c r="AS19" s="8">
        <v>5.8055907256857608E-3</v>
      </c>
      <c r="AT19" s="8">
        <f t="shared" si="10"/>
        <v>-1.8256821983922102E-4</v>
      </c>
      <c r="AU19" s="8">
        <f t="shared" si="11"/>
        <v>2.499765921009077E-4</v>
      </c>
      <c r="AV19" s="8">
        <f t="shared" si="12"/>
        <v>0.1220703125</v>
      </c>
    </row>
    <row r="20" spans="2:48" x14ac:dyDescent="0.2">
      <c r="B20" t="s">
        <v>15</v>
      </c>
      <c r="C20" s="1">
        <v>50</v>
      </c>
      <c r="D20" t="s">
        <v>16</v>
      </c>
      <c r="J20" s="13" t="s">
        <v>107</v>
      </c>
      <c r="K20">
        <f>2.20462 * (49.9/398 * (K5 -2) + 0.1) * $C$5 * 0.453592 + 2.20462 * (49.9/398 * (K7 -2) + 0.1) * 0.453592 * $C$6</f>
        <v>26.020853341467763</v>
      </c>
      <c r="L20" t="s">
        <v>12</v>
      </c>
      <c r="N20" t="s">
        <v>44</v>
      </c>
      <c r="O20">
        <f xml:space="preserve"> $G$11 * COS(O17/180*PI()) / (O19 * $C$19)</f>
        <v>2.7742534554270868E-2</v>
      </c>
      <c r="R20" t="s">
        <v>45</v>
      </c>
      <c r="S20">
        <f xml:space="preserve"> S17 / ( $C$30 * PI() * $C$19^2 * S18^2 * $C$19^2)</f>
        <v>6.5265589453059377E-3</v>
      </c>
      <c r="V20" t="s">
        <v>45</v>
      </c>
      <c r="W20">
        <f xml:space="preserve"> W17 / ( $C$30 * PI() * $C$19^2 * W18^2 * $C$19^2)</f>
        <v>3.6651276894045367E-3</v>
      </c>
      <c r="AB20" s="8">
        <v>16</v>
      </c>
      <c r="AC20" s="8">
        <f t="shared" si="7"/>
        <v>0.3270263671875</v>
      </c>
      <c r="AD20" s="8">
        <f t="shared" si="0"/>
        <v>1.5183639860361087E-5</v>
      </c>
      <c r="AE20" s="8">
        <f t="shared" si="8"/>
        <v>0.3270416259765625</v>
      </c>
      <c r="AF20" s="8">
        <f t="shared" si="1"/>
        <v>-5.3574225428176803E-7</v>
      </c>
      <c r="AG20" s="8">
        <f t="shared" si="2"/>
        <v>0.32703399658203125</v>
      </c>
      <c r="AH20" s="8">
        <f t="shared" si="3"/>
        <v>7.3239434880134624E-6</v>
      </c>
      <c r="AI20" s="8">
        <f t="shared" si="4"/>
        <v>1.1120412027963322E-10</v>
      </c>
      <c r="AJ20" s="8">
        <f t="shared" si="5"/>
        <v>-3.9237459945006071E-12</v>
      </c>
      <c r="AK20" s="8">
        <f t="shared" si="6"/>
        <v>1.52587890625E-5</v>
      </c>
      <c r="AM20" s="8">
        <v>16</v>
      </c>
      <c r="AN20" s="8">
        <f t="shared" si="13"/>
        <v>908.447265625</v>
      </c>
      <c r="AO20" s="8">
        <v>-3.1446966978137425E-2</v>
      </c>
      <c r="AP20" s="8">
        <f t="shared" si="14"/>
        <v>908.50830078125</v>
      </c>
      <c r="AQ20" s="8">
        <v>5.8055907256857608E-3</v>
      </c>
      <c r="AR20" s="8">
        <f t="shared" si="9"/>
        <v>908.477783203125</v>
      </c>
      <c r="AS20" s="8">
        <v>-1.2820600146028482E-2</v>
      </c>
      <c r="AT20" s="8">
        <f t="shared" si="10"/>
        <v>4.0316898943206154E-4</v>
      </c>
      <c r="AU20" s="8">
        <f t="shared" si="11"/>
        <v>-7.4431157305508469E-5</v>
      </c>
      <c r="AV20" s="8">
        <f t="shared" si="12"/>
        <v>6.103515625E-2</v>
      </c>
    </row>
    <row r="21" spans="2:48" x14ac:dyDescent="0.2">
      <c r="B21" t="s">
        <v>17</v>
      </c>
      <c r="C21" s="1">
        <v>16.2</v>
      </c>
      <c r="D21" t="s">
        <v>18</v>
      </c>
      <c r="F21" s="63" t="s">
        <v>118</v>
      </c>
      <c r="G21" s="64"/>
      <c r="H21" s="64"/>
      <c r="J21" s="14" t="s">
        <v>84</v>
      </c>
      <c r="K21">
        <f xml:space="preserve"> $C$33 * (14.86 * ($C$17*2.20462)^0.144 * ($C$45/(PI()*$C$46))^0.778 * ($C$45*3.28084)^0.383 * $C$44^0.455 * 0.453592)</f>
        <v>158.95107253479472</v>
      </c>
      <c r="L21" t="s">
        <v>12</v>
      </c>
      <c r="N21" t="s">
        <v>45</v>
      </c>
      <c r="O21">
        <f xml:space="preserve"> O18 / ( $C$30 * PI() * $C$19^2 * O19^2 * $C$19^2)</f>
        <v>1.1288320438448341E-2</v>
      </c>
      <c r="R21" t="s">
        <v>4</v>
      </c>
      <c r="S21" s="1">
        <v>1.2E-2</v>
      </c>
      <c r="V21" t="s">
        <v>4</v>
      </c>
      <c r="W21" s="1">
        <v>1.2E-2</v>
      </c>
      <c r="AB21" s="8">
        <v>17</v>
      </c>
      <c r="AC21" s="8">
        <f t="shared" si="7"/>
        <v>0.32703399658203125</v>
      </c>
      <c r="AD21" s="8">
        <f t="shared" si="0"/>
        <v>7.3239434880134624E-6</v>
      </c>
      <c r="AE21" s="8">
        <f t="shared" si="8"/>
        <v>0.3270416259765625</v>
      </c>
      <c r="AF21" s="8">
        <f t="shared" si="1"/>
        <v>-5.3574225428176803E-7</v>
      </c>
      <c r="AG21" s="8">
        <f t="shared" si="2"/>
        <v>0.32703781127929688</v>
      </c>
      <c r="AH21" s="8">
        <f t="shared" si="3"/>
        <v>3.3940992881786869E-6</v>
      </c>
      <c r="AI21" s="8">
        <f t="shared" si="4"/>
        <v>2.4858191379327424E-11</v>
      </c>
      <c r="AJ21" s="8">
        <f t="shared" si="5"/>
        <v>-1.818362403904994E-12</v>
      </c>
      <c r="AK21" s="8">
        <f t="shared" si="6"/>
        <v>7.62939453125E-6</v>
      </c>
      <c r="AM21" s="8">
        <v>17</v>
      </c>
      <c r="AN21" s="8">
        <f t="shared" si="13"/>
        <v>908.477783203125</v>
      </c>
      <c r="AO21" s="8">
        <v>-1.2820600146028482E-2</v>
      </c>
      <c r="AP21" s="8">
        <f t="shared" si="14"/>
        <v>908.50830078125</v>
      </c>
      <c r="AQ21" s="8">
        <v>5.8055907256857608E-3</v>
      </c>
      <c r="AR21" s="8">
        <f t="shared" si="9"/>
        <v>908.4930419921875</v>
      </c>
      <c r="AS21" s="8">
        <v>-3.5074984359653172E-3</v>
      </c>
      <c r="AT21" s="8">
        <f t="shared" si="10"/>
        <v>4.4968234960331621E-5</v>
      </c>
      <c r="AU21" s="8">
        <f t="shared" si="11"/>
        <v>-2.0363100390197557E-5</v>
      </c>
      <c r="AV21" s="8">
        <f t="shared" si="12"/>
        <v>3.0517578125E-2</v>
      </c>
    </row>
    <row r="22" spans="2:48" x14ac:dyDescent="0.2">
      <c r="B22" t="s">
        <v>5</v>
      </c>
      <c r="C22" s="1">
        <v>7.32</v>
      </c>
      <c r="F22" s="4" t="s">
        <v>114</v>
      </c>
      <c r="G22">
        <f xml:space="preserve"> 1/1000 * (S22 + S17 * (S27 * S24 + $C$20 * SIN(S16/180*PI())))</f>
        <v>34.901172786886669</v>
      </c>
      <c r="H22" t="s">
        <v>162</v>
      </c>
      <c r="J22" s="14" t="s">
        <v>85</v>
      </c>
      <c r="K22">
        <f xml:space="preserve"> $C$33 * (0.054 * ($C$49*3.28084)^0.501 * ($C$17*2.20462*$C$50)^0.684 * 0.453592)</f>
        <v>11.589052521383746</v>
      </c>
      <c r="L22" t="s">
        <v>12</v>
      </c>
      <c r="N22" t="s">
        <v>4</v>
      </c>
      <c r="O22" s="1">
        <v>1.2E-2</v>
      </c>
      <c r="R22" t="s">
        <v>46</v>
      </c>
      <c r="S22">
        <f xml:space="preserve"> ($C$8 * $S$21 / 8) * (1 + 4.65 * S19^2) * ( PI() * $C$30 * S18^3 * $C$19^5)</f>
        <v>2918.983971136362</v>
      </c>
      <c r="T22" t="s">
        <v>29</v>
      </c>
      <c r="V22" t="s">
        <v>46</v>
      </c>
      <c r="W22">
        <f xml:space="preserve"> ($C$8 * $W$21 / 8) * (1 + 4.65 * W19^2) * ( PI() * $C$30 * W18^3 * $C$19^ 5)</f>
        <v>2918.983971136362</v>
      </c>
      <c r="X22" t="s">
        <v>29</v>
      </c>
      <c r="AB22" s="8">
        <v>18</v>
      </c>
      <c r="AC22" s="8">
        <f t="shared" si="7"/>
        <v>0.32703781127929688</v>
      </c>
      <c r="AD22" s="8">
        <f t="shared" si="0"/>
        <v>3.3940992881786869E-6</v>
      </c>
      <c r="AE22" s="8">
        <f t="shared" si="8"/>
        <v>0.3270416259765625</v>
      </c>
      <c r="AF22" s="8">
        <f t="shared" si="1"/>
        <v>-5.3574225428176803E-7</v>
      </c>
      <c r="AG22" s="8">
        <f t="shared" si="2"/>
        <v>0.32703971862792969</v>
      </c>
      <c r="AH22" s="8">
        <f t="shared" si="3"/>
        <v>1.4291781847419749E-6</v>
      </c>
      <c r="AI22" s="8">
        <f t="shared" si="4"/>
        <v>4.8507726595132449E-12</v>
      </c>
      <c r="AJ22" s="8">
        <f t="shared" si="5"/>
        <v>-7.6567114246399079E-13</v>
      </c>
      <c r="AK22" s="8">
        <f t="shared" si="6"/>
        <v>3.814697265625E-6</v>
      </c>
      <c r="AM22" s="8">
        <v>18</v>
      </c>
      <c r="AN22" s="8">
        <f t="shared" si="13"/>
        <v>908.4930419921875</v>
      </c>
      <c r="AO22" s="8">
        <v>-3.5074984359653172E-3</v>
      </c>
      <c r="AP22" s="8">
        <f t="shared" si="14"/>
        <v>908.50830078125</v>
      </c>
      <c r="AQ22" s="8">
        <v>5.8055907256857608E-3</v>
      </c>
      <c r="AR22" s="8">
        <f t="shared" si="9"/>
        <v>908.50067138671875</v>
      </c>
      <c r="AS22" s="8">
        <v>1.1490279455870223E-3</v>
      </c>
      <c r="AT22" s="8">
        <f t="shared" si="10"/>
        <v>-4.0302137220269225E-6</v>
      </c>
      <c r="AU22" s="8">
        <f t="shared" si="11"/>
        <v>6.6707859844537798E-6</v>
      </c>
      <c r="AV22" s="8">
        <f t="shared" si="12"/>
        <v>1.52587890625E-2</v>
      </c>
    </row>
    <row r="23" spans="2:48" x14ac:dyDescent="0.2">
      <c r="B23" t="s">
        <v>19</v>
      </c>
      <c r="C23" s="1">
        <v>1</v>
      </c>
      <c r="F23" s="4" t="s">
        <v>113</v>
      </c>
      <c r="G23">
        <f xml:space="preserve"> $C$6 * G22</f>
        <v>34.901172786886669</v>
      </c>
      <c r="H23" t="s">
        <v>162</v>
      </c>
      <c r="J23" s="14" t="s">
        <v>77</v>
      </c>
      <c r="K23">
        <f xml:space="preserve"> $C$33 * (0.04674 * ($C$17*2.20462)^0.397 * ($C$21*3.28084^2)^0.36 * $C$53^0.397 * $C$22^1.712 * 0.453592)</f>
        <v>103.89558584802901</v>
      </c>
      <c r="L23" t="s">
        <v>12</v>
      </c>
      <c r="N23" t="s">
        <v>46</v>
      </c>
      <c r="O23">
        <f xml:space="preserve"> ($C$8 * $O$22 / 8) * (1 + 4.65 * O20^2) * ( PI() * $C$30 * O19^3 * $C$19^ 5)</f>
        <v>2918.983971136362</v>
      </c>
      <c r="P23" t="s">
        <v>29</v>
      </c>
      <c r="R23" t="s">
        <v>47</v>
      </c>
      <c r="S23" s="5">
        <f>AG34</f>
        <v>0.32704110583290458</v>
      </c>
      <c r="V23" t="s">
        <v>47</v>
      </c>
      <c r="W23" s="5">
        <f>AG104</f>
        <v>0.32275562966242433</v>
      </c>
      <c r="AB23" s="8">
        <v>19</v>
      </c>
      <c r="AC23" s="8">
        <f t="shared" si="7"/>
        <v>0.32703971862792969</v>
      </c>
      <c r="AD23" s="8">
        <f t="shared" si="0"/>
        <v>1.4291781847419749E-6</v>
      </c>
      <c r="AE23" s="8">
        <f t="shared" si="8"/>
        <v>0.3270416259765625</v>
      </c>
      <c r="AF23" s="8">
        <f t="shared" si="1"/>
        <v>-5.3574225428176803E-7</v>
      </c>
      <c r="AG23" s="8">
        <f t="shared" si="2"/>
        <v>0.32704067230224609</v>
      </c>
      <c r="AH23" s="8">
        <f t="shared" si="3"/>
        <v>4.4671788218542119E-7</v>
      </c>
      <c r="AI23" s="8">
        <f t="shared" si="4"/>
        <v>6.3843945195353963E-13</v>
      </c>
      <c r="AJ23" s="8">
        <f t="shared" si="5"/>
        <v>-2.393256452299948E-13</v>
      </c>
      <c r="AK23" s="8">
        <f t="shared" si="6"/>
        <v>1.9073486328125E-6</v>
      </c>
      <c r="AM23" s="8">
        <v>19</v>
      </c>
      <c r="AN23" s="8">
        <f t="shared" si="13"/>
        <v>908.4930419921875</v>
      </c>
      <c r="AO23" s="8">
        <v>-3.5074984359653172E-3</v>
      </c>
      <c r="AP23" s="8">
        <f t="shared" si="14"/>
        <v>908.50067138671875</v>
      </c>
      <c r="AQ23" s="8">
        <v>1.1490279455870223E-3</v>
      </c>
      <c r="AR23" s="8">
        <f t="shared" si="9"/>
        <v>908.49685668945312</v>
      </c>
      <c r="AS23" s="8">
        <v>-1.1793175082175367E-3</v>
      </c>
      <c r="AT23" s="8">
        <f t="shared" si="10"/>
        <v>4.1364543155795252E-6</v>
      </c>
      <c r="AU23" s="8">
        <f t="shared" si="11"/>
        <v>-1.3550687736620025E-6</v>
      </c>
      <c r="AV23" s="8">
        <f t="shared" si="12"/>
        <v>7.62939453125E-3</v>
      </c>
    </row>
    <row r="24" spans="2:48" x14ac:dyDescent="0.2">
      <c r="F24" s="4" t="s">
        <v>121</v>
      </c>
      <c r="G24">
        <f xml:space="preserve"> ($C$27-G15-G31)/$C$20</f>
        <v>-119.75213694788637</v>
      </c>
      <c r="H24" t="s">
        <v>22</v>
      </c>
      <c r="J24" s="14" t="s">
        <v>86</v>
      </c>
      <c r="K24">
        <f xml:space="preserve"> $C$33 * (3.184 * ($C$17*2.20462)^0.887 * ($C$57*3.28084*3.28084)^0.101 * ($C$56)^0.138 ) / ( 174.04 * ($C$58*3.28084)^0.223 ) * 0.453592</f>
        <v>9.4163217089437357</v>
      </c>
      <c r="L24" t="s">
        <v>12</v>
      </c>
      <c r="N24" t="s">
        <v>47</v>
      </c>
      <c r="O24" s="5">
        <f>AG69</f>
        <v>0.3339422051794827</v>
      </c>
      <c r="R24" t="s">
        <v>48</v>
      </c>
      <c r="S24">
        <f xml:space="preserve"> S18 * $C$19 * S23 - $C$20 * SIN(S16/180*PI())</f>
        <v>1.561761870739474</v>
      </c>
      <c r="T24" t="s">
        <v>16</v>
      </c>
      <c r="V24" t="s">
        <v>48</v>
      </c>
      <c r="W24">
        <f xml:space="preserve"> W18 * $C$19 * W23 - $G$27 * SIN(W16/180*PI())</f>
        <v>0.88860084802372796</v>
      </c>
      <c r="X24" t="s">
        <v>16</v>
      </c>
      <c r="AB24" s="8">
        <v>20</v>
      </c>
      <c r="AC24" s="8">
        <f t="shared" si="7"/>
        <v>0.32704067230224609</v>
      </c>
      <c r="AD24" s="8">
        <f t="shared" si="0"/>
        <v>4.4671788218542119E-7</v>
      </c>
      <c r="AE24" s="8">
        <f t="shared" si="8"/>
        <v>0.3270416259765625</v>
      </c>
      <c r="AF24" s="8">
        <f t="shared" si="1"/>
        <v>-5.3574225428176803E-7</v>
      </c>
      <c r="AG24" s="8">
        <f t="shared" si="2"/>
        <v>0.3270411491394043</v>
      </c>
      <c r="AH24" s="8">
        <f t="shared" si="3"/>
        <v>-4.4512206809343979E-8</v>
      </c>
      <c r="AI24" s="8">
        <f t="shared" si="4"/>
        <v>-1.9884398757269626E-14</v>
      </c>
      <c r="AJ24" s="8">
        <f t="shared" si="5"/>
        <v>2.3847070019094209E-14</v>
      </c>
      <c r="AK24" s="8">
        <f t="shared" si="6"/>
        <v>9.5367431640625E-7</v>
      </c>
      <c r="AM24" s="8">
        <v>20</v>
      </c>
      <c r="AN24" s="8">
        <f t="shared" si="13"/>
        <v>908.49685668945312</v>
      </c>
      <c r="AO24" s="8">
        <v>-1.1793175082175367E-3</v>
      </c>
      <c r="AP24" s="8">
        <f t="shared" si="14"/>
        <v>908.50067138671875</v>
      </c>
      <c r="AQ24" s="8">
        <v>1.1490279455870223E-3</v>
      </c>
      <c r="AR24" s="8">
        <f t="shared" si="9"/>
        <v>908.49876403808594</v>
      </c>
      <c r="AS24" s="8">
        <v>-1.507159515767853E-5</v>
      </c>
      <c r="AT24" s="8">
        <f t="shared" si="10"/>
        <v>1.7774196046216937E-8</v>
      </c>
      <c r="AU24" s="8">
        <f t="shared" si="11"/>
        <v>-1.7317684020746674E-8</v>
      </c>
      <c r="AV24" s="8">
        <f t="shared" si="12"/>
        <v>3.814697265625E-3</v>
      </c>
    </row>
    <row r="25" spans="2:48" x14ac:dyDescent="0.2">
      <c r="B25" s="61" t="s">
        <v>20</v>
      </c>
      <c r="C25" s="61"/>
      <c r="D25" s="61"/>
      <c r="F25" s="4"/>
      <c r="J25" s="14" t="s">
        <v>87</v>
      </c>
      <c r="K25">
        <f xml:space="preserve"> $C$33 * ( 1.68 * ($C$17*2.20462)^0.567 * ($C$62*3.28084*3.28084)^1.249 * ($C$61)^0.482 ) / (639.95 * ($C$63*3.28084)^0.747 * (COS($C$64/180*PI()))^0.882 ) * 0.453592</f>
        <v>5.0846857935204053</v>
      </c>
      <c r="L25" t="s">
        <v>12</v>
      </c>
      <c r="N25" t="s">
        <v>48</v>
      </c>
      <c r="O25">
        <f xml:space="preserve"> O19 * $C$19 * O24 - $G$11 * SIN(O17/180*PI())</f>
        <v>2.6457840211846317</v>
      </c>
      <c r="P25" t="s">
        <v>16</v>
      </c>
      <c r="R25" t="s">
        <v>49</v>
      </c>
      <c r="S25">
        <f xml:space="preserve"> 1/$C$9 - S22 * SQRT( (2*$C$30*PI()*$C$19^2) / S17^3 )</f>
        <v>0.80843557455685522</v>
      </c>
      <c r="V25" t="s">
        <v>49</v>
      </c>
      <c r="W25">
        <f xml:space="preserve"> 1/$C$9 - W22 * SQRT( (2*$C$30*PI()*$C$19^2) / W17^3 )</f>
        <v>8.6043302813084921E-2</v>
      </c>
      <c r="AB25" s="8">
        <v>21</v>
      </c>
      <c r="AC25" s="8">
        <f t="shared" si="7"/>
        <v>0.32704067230224609</v>
      </c>
      <c r="AD25" s="8">
        <f t="shared" si="0"/>
        <v>4.4671788218542119E-7</v>
      </c>
      <c r="AE25" s="8">
        <f t="shared" si="8"/>
        <v>0.3270411491394043</v>
      </c>
      <c r="AF25" s="8">
        <f t="shared" si="1"/>
        <v>-4.4512206809343979E-8</v>
      </c>
      <c r="AG25" s="8">
        <f t="shared" si="2"/>
        <v>0.3270409107208252</v>
      </c>
      <c r="AH25" s="8">
        <f t="shared" si="3"/>
        <v>2.0110283249774596E-7</v>
      </c>
      <c r="AI25" s="8">
        <f t="shared" si="4"/>
        <v>8.9836231434882573E-14</v>
      </c>
      <c r="AJ25" s="8">
        <f t="shared" si="5"/>
        <v>-8.9515308700845292E-15</v>
      </c>
      <c r="AK25" s="8">
        <f t="shared" si="6"/>
        <v>4.76837158203125E-7</v>
      </c>
      <c r="AM25" s="8">
        <v>21</v>
      </c>
      <c r="AN25" s="8">
        <f t="shared" si="13"/>
        <v>908.49876403808594</v>
      </c>
      <c r="AO25" s="8">
        <v>-1.507159515767853E-5</v>
      </c>
      <c r="AP25" s="8">
        <f t="shared" si="14"/>
        <v>908.50067138671875</v>
      </c>
      <c r="AQ25" s="8">
        <v>1.1490279455870223E-3</v>
      </c>
      <c r="AR25" s="8">
        <f t="shared" si="9"/>
        <v>908.49971771240234</v>
      </c>
      <c r="AS25" s="8">
        <v>5.6692487930831703E-4</v>
      </c>
      <c r="AT25" s="8">
        <f t="shared" si="10"/>
        <v>-8.5444622657507162E-9</v>
      </c>
      <c r="AU25" s="8">
        <f t="shared" si="11"/>
        <v>6.5141252937380607E-7</v>
      </c>
      <c r="AV25" s="8">
        <f t="shared" si="12"/>
        <v>1.9073486328125E-3</v>
      </c>
    </row>
    <row r="26" spans="2:48" x14ac:dyDescent="0.2">
      <c r="B26" t="s">
        <v>92</v>
      </c>
      <c r="C26">
        <f>C44*100</f>
        <v>400</v>
      </c>
      <c r="D26" t="s">
        <v>12</v>
      </c>
      <c r="F26" s="63" t="s">
        <v>131</v>
      </c>
      <c r="G26" s="64"/>
      <c r="H26" s="64"/>
      <c r="J26" s="14" t="s">
        <v>192</v>
      </c>
      <c r="K26">
        <f>$C$33*(0.14*$G$6*1000/745.7)*0.453592</f>
        <v>10.81660288474397</v>
      </c>
      <c r="L26" t="s">
        <v>12</v>
      </c>
      <c r="N26" t="s">
        <v>49</v>
      </c>
      <c r="O26">
        <f xml:space="preserve"> 1/$C$9 - O23 * SQRT( (2*$C$30*PI()*$C$19^2) / O18^3 )</f>
        <v>1.1025751443833571</v>
      </c>
      <c r="R26" t="s">
        <v>50</v>
      </c>
      <c r="S26" s="1">
        <v>1.1499999999999999</v>
      </c>
      <c r="V26" t="s">
        <v>50</v>
      </c>
      <c r="W26" s="1">
        <v>1.1499999999999999</v>
      </c>
      <c r="AB26" s="8">
        <v>22</v>
      </c>
      <c r="AC26" s="8">
        <f t="shared" si="7"/>
        <v>0.3270409107208252</v>
      </c>
      <c r="AD26" s="8">
        <f t="shared" si="0"/>
        <v>2.0110283249774596E-7</v>
      </c>
      <c r="AE26" s="8">
        <f t="shared" si="8"/>
        <v>0.3270411491394043</v>
      </c>
      <c r="AF26" s="8">
        <f t="shared" si="1"/>
        <v>-4.4512206809343979E-8</v>
      </c>
      <c r="AG26" s="8">
        <f t="shared" si="2"/>
        <v>0.32704102993011475</v>
      </c>
      <c r="AH26" s="8">
        <f t="shared" si="3"/>
        <v>7.8295311567444514E-8</v>
      </c>
      <c r="AI26" s="8">
        <f t="shared" si="4"/>
        <v>1.5745408927506626E-14</v>
      </c>
      <c r="AJ26" s="8">
        <f t="shared" si="5"/>
        <v>-3.4850971006921121E-15</v>
      </c>
      <c r="AK26" s="8">
        <f t="shared" si="6"/>
        <v>2.384185791015625E-7</v>
      </c>
      <c r="AM26" s="8">
        <v>22</v>
      </c>
      <c r="AN26" s="8">
        <f t="shared" si="13"/>
        <v>908.49876403808594</v>
      </c>
      <c r="AO26" s="8">
        <v>-1.507159515767853E-5</v>
      </c>
      <c r="AP26" s="8">
        <f t="shared" si="14"/>
        <v>908.49971771240234</v>
      </c>
      <c r="AQ26" s="8">
        <v>5.6692487930831703E-4</v>
      </c>
      <c r="AR26" s="8">
        <f t="shared" si="9"/>
        <v>908.49924087524414</v>
      </c>
      <c r="AS26" s="8">
        <v>2.7585356008330564E-4</v>
      </c>
      <c r="AT26" s="8">
        <f t="shared" si="10"/>
        <v>-4.1575531803799324E-9</v>
      </c>
      <c r="AU26" s="8">
        <f t="shared" si="11"/>
        <v>1.5638824625699763E-7</v>
      </c>
      <c r="AV26" s="8">
        <f t="shared" si="12"/>
        <v>9.5367431640625E-4</v>
      </c>
    </row>
    <row r="27" spans="2:48" x14ac:dyDescent="0.2">
      <c r="B27" t="s">
        <v>21</v>
      </c>
      <c r="C27" s="1">
        <v>10000</v>
      </c>
      <c r="D27" t="s">
        <v>14</v>
      </c>
      <c r="F27" s="4" t="s">
        <v>154</v>
      </c>
      <c r="G27" s="1">
        <f>$C$20</f>
        <v>50</v>
      </c>
      <c r="H27" t="s">
        <v>16</v>
      </c>
      <c r="J27" s="15" t="s">
        <v>88</v>
      </c>
      <c r="K27">
        <f xml:space="preserve"> $C$33 * (0.0268 * $C$17)</f>
        <v>19.478214032807738</v>
      </c>
      <c r="L27" t="s">
        <v>12</v>
      </c>
      <c r="N27" t="s">
        <v>50</v>
      </c>
      <c r="O27" s="1">
        <v>1.1499999999999999</v>
      </c>
      <c r="R27" t="s">
        <v>51</v>
      </c>
      <c r="S27">
        <f xml:space="preserve"> 1/$C$36 * LN( EXP($C$36 * S25) + EXP($C$36 * S26) )</f>
        <v>1.1500011821829419</v>
      </c>
      <c r="V27" t="s">
        <v>51</v>
      </c>
      <c r="W27">
        <f xml:space="preserve"> 1/$C$36 * LN( EXP($C$36 * W25) + EXP($C$36 * W26) )</f>
        <v>1.1500000000000004</v>
      </c>
      <c r="AB27" s="8">
        <v>23</v>
      </c>
      <c r="AC27" s="8">
        <f t="shared" si="7"/>
        <v>0.32704102993011475</v>
      </c>
      <c r="AD27" s="8">
        <f t="shared" si="0"/>
        <v>7.8295311567444514E-8</v>
      </c>
      <c r="AE27" s="8">
        <f t="shared" si="8"/>
        <v>0.3270411491394043</v>
      </c>
      <c r="AF27" s="8">
        <f t="shared" si="1"/>
        <v>-4.4512206809343979E-8</v>
      </c>
      <c r="AG27" s="8">
        <f t="shared" si="2"/>
        <v>0.32704108953475952</v>
      </c>
      <c r="AH27" s="8">
        <f t="shared" si="3"/>
        <v>1.689155204598336E-8</v>
      </c>
      <c r="AI27" s="8">
        <f t="shared" si="4"/>
        <v>1.322529330297972E-15</v>
      </c>
      <c r="AJ27" s="8">
        <f t="shared" si="5"/>
        <v>-7.518802580016087E-16</v>
      </c>
      <c r="AK27" s="8">
        <f t="shared" si="6"/>
        <v>1.1920928955078125E-7</v>
      </c>
      <c r="AM27" s="8">
        <v>23</v>
      </c>
      <c r="AN27" s="8">
        <f t="shared" si="13"/>
        <v>908.49876403808594</v>
      </c>
      <c r="AO27" s="8">
        <v>-1.507159515767853E-5</v>
      </c>
      <c r="AP27" s="8">
        <f t="shared" si="14"/>
        <v>908.49924087524414</v>
      </c>
      <c r="AQ27" s="8">
        <v>2.7585356008330564E-4</v>
      </c>
      <c r="AR27" s="8">
        <f t="shared" si="9"/>
        <v>908.49900245666504</v>
      </c>
      <c r="AS27" s="8">
        <v>1.3041075169439864E-4</v>
      </c>
      <c r="AT27" s="8">
        <f t="shared" si="10"/>
        <v>-1.9654980537465157E-9</v>
      </c>
      <c r="AU27" s="8">
        <f t="shared" si="11"/>
        <v>3.5974270128039851E-8</v>
      </c>
      <c r="AV27" s="8">
        <f t="shared" si="12"/>
        <v>4.76837158203125E-4</v>
      </c>
    </row>
    <row r="28" spans="2:48" x14ac:dyDescent="0.2">
      <c r="F28" t="s">
        <v>126</v>
      </c>
      <c r="G28" s="1">
        <v>1.524</v>
      </c>
      <c r="H28" t="s">
        <v>16</v>
      </c>
      <c r="J28" s="15" t="s">
        <v>89</v>
      </c>
      <c r="K28">
        <f xml:space="preserve"> $C$33 * (11.5 * ($C$17*2.20462/1000)^0.4 * 0.453592)</f>
        <v>5.5095541000587778</v>
      </c>
      <c r="L28" t="s">
        <v>12</v>
      </c>
      <c r="N28" t="s">
        <v>51</v>
      </c>
      <c r="O28">
        <f xml:space="preserve"> 1/$C$36 * LN( EXP($C$36 * O26) + EXP($C$36 * O27) )</f>
        <v>1.1571986270418837</v>
      </c>
      <c r="AB28" s="8">
        <v>24</v>
      </c>
      <c r="AC28" s="8">
        <f t="shared" si="7"/>
        <v>0.32704108953475952</v>
      </c>
      <c r="AD28" s="8">
        <f t="shared" si="0"/>
        <v>1.689155204598336E-8</v>
      </c>
      <c r="AE28" s="8">
        <f t="shared" si="8"/>
        <v>0.3270411491394043</v>
      </c>
      <c r="AF28" s="8">
        <f t="shared" si="1"/>
        <v>-4.4512206809343979E-8</v>
      </c>
      <c r="AG28" s="8">
        <f t="shared" si="2"/>
        <v>0.32704111933708191</v>
      </c>
      <c r="AH28" s="8">
        <f t="shared" si="3"/>
        <v>-1.3810327437191461E-8</v>
      </c>
      <c r="AI28" s="8">
        <f t="shared" si="4"/>
        <v>-2.3327786467739154E-16</v>
      </c>
      <c r="AJ28" s="8">
        <f t="shared" si="5"/>
        <v>6.1472815098902368E-16</v>
      </c>
      <c r="AK28" s="8">
        <f t="shared" si="6"/>
        <v>5.9604644775390625E-8</v>
      </c>
      <c r="AM28" s="8">
        <v>24</v>
      </c>
      <c r="AN28" s="8">
        <f t="shared" si="13"/>
        <v>908.49876403808594</v>
      </c>
      <c r="AO28" s="8">
        <v>-1.507159515767853E-5</v>
      </c>
      <c r="AP28" s="8">
        <f t="shared" si="14"/>
        <v>908.49900245666504</v>
      </c>
      <c r="AQ28" s="8">
        <v>1.3041075169439864E-4</v>
      </c>
      <c r="AR28" s="8">
        <f t="shared" si="9"/>
        <v>908.49888324737549</v>
      </c>
      <c r="AS28" s="8">
        <v>5.7586923276176094E-5</v>
      </c>
      <c r="AT28" s="8">
        <f t="shared" si="10"/>
        <v>-8.6792679399482068E-10</v>
      </c>
      <c r="AU28" s="8">
        <f t="shared" si="11"/>
        <v>7.5099539522137869E-9</v>
      </c>
      <c r="AV28" s="8">
        <f t="shared" si="12"/>
        <v>2.384185791015625E-4</v>
      </c>
    </row>
    <row r="29" spans="2:48" x14ac:dyDescent="0.2">
      <c r="B29" s="19" t="s">
        <v>97</v>
      </c>
      <c r="C29" s="19"/>
      <c r="D29" s="19"/>
      <c r="F29" t="s">
        <v>125</v>
      </c>
      <c r="G29" s="1">
        <v>304.8</v>
      </c>
      <c r="H29" t="s">
        <v>14</v>
      </c>
      <c r="J29" s="15" t="s">
        <v>90</v>
      </c>
      <c r="K29">
        <f xml:space="preserve"> $C$33 * (8 * ($C$17/1000))</f>
        <v>5.8143922485993249</v>
      </c>
      <c r="L29" t="s">
        <v>12</v>
      </c>
      <c r="S29">
        <v>2</v>
      </c>
      <c r="T29" t="s">
        <v>194</v>
      </c>
      <c r="AB29" s="8">
        <v>25</v>
      </c>
      <c r="AC29" s="8">
        <f t="shared" si="7"/>
        <v>0.32704108953475952</v>
      </c>
      <c r="AD29" s="8">
        <f t="shared" si="0"/>
        <v>1.689155204598336E-8</v>
      </c>
      <c r="AE29" s="8">
        <f t="shared" si="8"/>
        <v>0.32704111933708191</v>
      </c>
      <c r="AF29" s="8">
        <f t="shared" si="1"/>
        <v>-1.3810327437191461E-8</v>
      </c>
      <c r="AG29" s="8">
        <f t="shared" si="2"/>
        <v>0.32704110443592072</v>
      </c>
      <c r="AH29" s="8">
        <f t="shared" si="3"/>
        <v>1.5406122488847984E-9</v>
      </c>
      <c r="AI29" s="8">
        <f t="shared" si="4"/>
        <v>2.6023331984717042E-17</v>
      </c>
      <c r="AJ29" s="8">
        <f t="shared" si="5"/>
        <v>-2.1276359610846971E-17</v>
      </c>
      <c r="AK29" s="8">
        <f t="shared" si="6"/>
        <v>2.9802322387695312E-8</v>
      </c>
      <c r="AM29" s="8">
        <v>25</v>
      </c>
      <c r="AN29" s="8">
        <f t="shared" si="13"/>
        <v>908.49876403808594</v>
      </c>
      <c r="AO29" s="8">
        <v>-1.507159515767853E-5</v>
      </c>
      <c r="AP29" s="8">
        <f t="shared" si="14"/>
        <v>908.49888324737549</v>
      </c>
      <c r="AQ29" s="8">
        <v>5.7586923276176094E-5</v>
      </c>
      <c r="AR29" s="8">
        <f t="shared" si="9"/>
        <v>908.49882364273071</v>
      </c>
      <c r="AS29" s="8">
        <v>2.1340319506180094E-5</v>
      </c>
      <c r="AT29" s="8">
        <f t="shared" si="10"/>
        <v>-3.216326561326566E-10</v>
      </c>
      <c r="AU29" s="8">
        <f t="shared" si="11"/>
        <v>1.2289233420914773E-9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127</v>
      </c>
      <c r="G30">
        <f>SQRT($G$27^2-$G$28^2)</f>
        <v>49.976768843133506</v>
      </c>
      <c r="H30" t="s">
        <v>16</v>
      </c>
      <c r="J30" s="15" t="s">
        <v>91</v>
      </c>
      <c r="K30">
        <f xml:space="preserve"> $C$33 * (13 * ($C$17*2.20462/1000)^1.3 * 0.453592)</f>
        <v>11.637354119558246</v>
      </c>
      <c r="L30" t="s">
        <v>12</v>
      </c>
      <c r="S30">
        <v>4.0999999999999996</v>
      </c>
      <c r="T30" t="s">
        <v>193</v>
      </c>
      <c r="AB30" s="8">
        <v>26</v>
      </c>
      <c r="AC30" s="8">
        <f>IF(AI29&gt;0, AG29, AC29)</f>
        <v>0.32704110443592072</v>
      </c>
      <c r="AD30" s="8">
        <f t="shared" si="0"/>
        <v>1.5406122488847984E-9</v>
      </c>
      <c r="AE30" s="8">
        <f t="shared" si="8"/>
        <v>0.32704111933708191</v>
      </c>
      <c r="AF30" s="8">
        <f t="shared" si="1"/>
        <v>-1.3810327437191461E-8</v>
      </c>
      <c r="AG30" s="8">
        <f t="shared" si="2"/>
        <v>0.32704111188650131</v>
      </c>
      <c r="AH30" s="8">
        <f t="shared" si="3"/>
        <v>-6.1348576219089068E-9</v>
      </c>
      <c r="AI30" s="8">
        <f t="shared" si="4"/>
        <v>-9.4514367974771273E-18</v>
      </c>
      <c r="AJ30" s="8">
        <f t="shared" si="5"/>
        <v>8.4724392539111733E-17</v>
      </c>
      <c r="AK30" s="8">
        <f t="shared" si="6"/>
        <v>1.4901161193847656E-8</v>
      </c>
      <c r="AM30" s="8">
        <v>26</v>
      </c>
      <c r="AN30" s="8">
        <f t="shared" si="13"/>
        <v>908.49876403808594</v>
      </c>
      <c r="AO30" s="8">
        <v>-1.507159515767853E-5</v>
      </c>
      <c r="AP30" s="8">
        <f t="shared" si="14"/>
        <v>908.49882364273071</v>
      </c>
      <c r="AQ30" s="8">
        <v>2.1340319506180094E-5</v>
      </c>
      <c r="AR30" s="8">
        <f t="shared" si="9"/>
        <v>908.49879384040833</v>
      </c>
      <c r="AS30" s="8">
        <v>3.061274014726223E-6</v>
      </c>
      <c r="AT30" s="8">
        <f t="shared" si="10"/>
        <v>-4.6138282616674855E-11</v>
      </c>
      <c r="AU30" s="8">
        <f t="shared" si="11"/>
        <v>6.5328565570224259E-11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128</v>
      </c>
      <c r="G31">
        <f>$G$30 * ($G$29/$G$28)</f>
        <v>9995.3537686267009</v>
      </c>
      <c r="H31" t="s">
        <v>14</v>
      </c>
      <c r="J31" s="3" t="s">
        <v>78</v>
      </c>
      <c r="K31" s="3">
        <f>$C$17 - $C$26 - SUM(K17:K30)</f>
        <v>-3.5527136788005009E-11</v>
      </c>
      <c r="L31" s="3" t="s">
        <v>12</v>
      </c>
      <c r="AB31" s="8">
        <v>27</v>
      </c>
      <c r="AC31" s="8">
        <f t="shared" si="7"/>
        <v>0.32704110443592072</v>
      </c>
      <c r="AD31" s="8">
        <f t="shared" si="0"/>
        <v>1.5406122488847984E-9</v>
      </c>
      <c r="AE31" s="8">
        <f t="shared" si="8"/>
        <v>0.32704111188650131</v>
      </c>
      <c r="AF31" s="8">
        <f t="shared" si="1"/>
        <v>-6.1348576219089068E-9</v>
      </c>
      <c r="AG31" s="8">
        <f t="shared" si="2"/>
        <v>0.32704110816121101</v>
      </c>
      <c r="AH31" s="8">
        <f t="shared" si="3"/>
        <v>-2.2971226587564786E-9</v>
      </c>
      <c r="AI31" s="8">
        <f t="shared" si="4"/>
        <v>-3.5389753052710459E-18</v>
      </c>
      <c r="AJ31" s="8">
        <f t="shared" si="5"/>
        <v>1.4092520451531835E-17</v>
      </c>
      <c r="AK31" s="8">
        <f t="shared" si="6"/>
        <v>7.4505805969238281E-9</v>
      </c>
      <c r="AM31" s="8">
        <v>27</v>
      </c>
      <c r="AN31" s="8">
        <f t="shared" si="13"/>
        <v>908.49876403808594</v>
      </c>
      <c r="AO31" s="8">
        <v>-1.507159515767853E-5</v>
      </c>
      <c r="AP31" s="8">
        <f t="shared" si="14"/>
        <v>908.49879384040833</v>
      </c>
      <c r="AQ31" s="8">
        <v>3.061274014726223E-6</v>
      </c>
      <c r="AR31" s="8">
        <f t="shared" si="9"/>
        <v>908.49877893924713</v>
      </c>
      <c r="AS31" s="8">
        <v>-6.0680480373775936E-6</v>
      </c>
      <c r="AT31" s="8">
        <f t="shared" si="10"/>
        <v>9.1455163416700847E-11</v>
      </c>
      <c r="AU31" s="8">
        <f t="shared" si="11"/>
        <v>-1.8575957776934484E-11</v>
      </c>
      <c r="AV31" s="8">
        <f t="shared" si="12"/>
        <v>2.9802322387695312E-5</v>
      </c>
    </row>
    <row r="32" spans="2:48" x14ac:dyDescent="0.2">
      <c r="B32" t="s">
        <v>61</v>
      </c>
      <c r="C32" s="1">
        <v>5</v>
      </c>
      <c r="D32" t="s">
        <v>62</v>
      </c>
      <c r="F32" t="s">
        <v>152</v>
      </c>
      <c r="G32">
        <f>ATAN(G28/G30)/PI()*180</f>
        <v>1.7466458786346903</v>
      </c>
      <c r="H32" t="s">
        <v>62</v>
      </c>
      <c r="J32" t="s">
        <v>79</v>
      </c>
      <c r="K32" s="10" t="str">
        <f>IF(ABS(K31)&lt;0.00001, "TRUE", "FALSE")</f>
        <v>TRUE</v>
      </c>
      <c r="AB32" s="8">
        <v>28</v>
      </c>
      <c r="AC32" s="8">
        <f t="shared" si="7"/>
        <v>0.32704110443592072</v>
      </c>
      <c r="AD32" s="8">
        <f t="shared" si="0"/>
        <v>1.5406122488847984E-9</v>
      </c>
      <c r="AE32" s="8">
        <f t="shared" si="8"/>
        <v>0.32704110816121101</v>
      </c>
      <c r="AF32" s="8">
        <f t="shared" si="1"/>
        <v>-2.2971226587564786E-9</v>
      </c>
      <c r="AG32" s="8">
        <f t="shared" si="2"/>
        <v>0.32704110629856586</v>
      </c>
      <c r="AH32" s="8">
        <f t="shared" si="3"/>
        <v>-3.7825520493584008E-10</v>
      </c>
      <c r="AI32" s="8">
        <f t="shared" si="4"/>
        <v>-5.8274460192858489E-19</v>
      </c>
      <c r="AJ32" s="8">
        <f t="shared" si="5"/>
        <v>8.6889860205069365E-19</v>
      </c>
      <c r="AK32" s="8">
        <f t="shared" si="6"/>
        <v>3.7252902984619141E-9</v>
      </c>
      <c r="AM32" s="8">
        <v>28</v>
      </c>
      <c r="AN32" s="8">
        <f t="shared" si="13"/>
        <v>908.49877893924713</v>
      </c>
      <c r="AO32" s="8">
        <v>-6.0680480373775936E-6</v>
      </c>
      <c r="AP32" s="8">
        <f t="shared" si="14"/>
        <v>908.49879384040833</v>
      </c>
      <c r="AQ32" s="8">
        <v>3.061274014726223E-6</v>
      </c>
      <c r="AR32" s="8">
        <f t="shared" si="9"/>
        <v>908.49878638982773</v>
      </c>
      <c r="AS32" s="8">
        <v>-1.5033870113256853E-6</v>
      </c>
      <c r="AT32" s="8">
        <f t="shared" si="10"/>
        <v>9.1226246034937908E-12</v>
      </c>
      <c r="AU32" s="8">
        <f t="shared" si="11"/>
        <v>-4.6022795918482383E-12</v>
      </c>
      <c r="AV32" s="8">
        <f t="shared" si="12"/>
        <v>1.4901161193847656E-5</v>
      </c>
    </row>
    <row r="33" spans="2:48" x14ac:dyDescent="0.2">
      <c r="B33" t="s">
        <v>105</v>
      </c>
      <c r="C33" s="1">
        <v>0.8</v>
      </c>
      <c r="F33" t="s">
        <v>143</v>
      </c>
      <c r="G33">
        <f>1/1000 * (W22 + W17 * (W27 * W24 + $G$27 * SIN(W16/180*PI())))</f>
        <v>20.609839104859923</v>
      </c>
      <c r="H33" t="s">
        <v>162</v>
      </c>
      <c r="AB33" s="8">
        <v>29</v>
      </c>
      <c r="AC33" s="8">
        <f t="shared" si="7"/>
        <v>0.32704110443592072</v>
      </c>
      <c r="AD33" s="8">
        <f t="shared" si="0"/>
        <v>1.5406122488847984E-9</v>
      </c>
      <c r="AE33" s="8">
        <f t="shared" si="8"/>
        <v>0.32704110629856586</v>
      </c>
      <c r="AF33" s="8">
        <f t="shared" si="1"/>
        <v>-3.7825520493584008E-10</v>
      </c>
      <c r="AG33" s="8">
        <f t="shared" si="2"/>
        <v>0.32704110536724329</v>
      </c>
      <c r="AH33" s="8">
        <f t="shared" si="3"/>
        <v>5.8117854973005478E-10</v>
      </c>
      <c r="AI33" s="8">
        <f t="shared" si="4"/>
        <v>8.9537079250322535E-19</v>
      </c>
      <c r="AJ33" s="8">
        <f t="shared" si="5"/>
        <v>-2.198338114324562E-19</v>
      </c>
      <c r="AK33" s="8">
        <f t="shared" si="6"/>
        <v>1.862645149230957E-9</v>
      </c>
      <c r="AM33" s="8">
        <v>29</v>
      </c>
      <c r="AN33" s="8">
        <f t="shared" si="13"/>
        <v>908.49878638982773</v>
      </c>
      <c r="AO33" s="8">
        <v>-1.5033870113256853E-6</v>
      </c>
      <c r="AP33" s="8">
        <f t="shared" si="14"/>
        <v>908.49879384040833</v>
      </c>
      <c r="AQ33" s="8">
        <v>3.061274014726223E-6</v>
      </c>
      <c r="AR33" s="8">
        <f t="shared" si="9"/>
        <v>908.49879011511803</v>
      </c>
      <c r="AS33" s="8">
        <v>7.7894350170026883E-7</v>
      </c>
      <c r="AT33" s="8">
        <f t="shared" si="10"/>
        <v>-1.171053543012731E-12</v>
      </c>
      <c r="AU33" s="8">
        <f t="shared" si="11"/>
        <v>2.3845595006948844E-12</v>
      </c>
      <c r="AV33" s="8">
        <f t="shared" si="12"/>
        <v>7.4505805969238281E-6</v>
      </c>
    </row>
    <row r="34" spans="2:48" x14ac:dyDescent="0.2">
      <c r="F34" t="s">
        <v>133</v>
      </c>
      <c r="G34">
        <f>$C$6*G33</f>
        <v>20.609839104859923</v>
      </c>
      <c r="H34" t="s">
        <v>162</v>
      </c>
      <c r="J34" s="2" t="s">
        <v>80</v>
      </c>
      <c r="K34" s="2"/>
      <c r="L34" s="2"/>
      <c r="AB34" s="8">
        <v>30</v>
      </c>
      <c r="AC34" s="8">
        <f t="shared" si="7"/>
        <v>0.32704110536724329</v>
      </c>
      <c r="AD34" s="8">
        <f t="shared" si="0"/>
        <v>5.8117854973005478E-10</v>
      </c>
      <c r="AE34" s="8">
        <f t="shared" si="8"/>
        <v>0.32704110629856586</v>
      </c>
      <c r="AF34" s="8">
        <f t="shared" si="1"/>
        <v>-3.7825520493584008E-10</v>
      </c>
      <c r="AG34" s="8">
        <f t="shared" si="2"/>
        <v>0.32704110583290458</v>
      </c>
      <c r="AH34" s="8">
        <f t="shared" si="3"/>
        <v>1.0146167239710735E-10</v>
      </c>
      <c r="AI34" s="8">
        <f t="shared" si="4"/>
        <v>5.8967347616936781E-20</v>
      </c>
      <c r="AJ34" s="8">
        <f t="shared" si="5"/>
        <v>-3.837840568570091E-20</v>
      </c>
      <c r="AK34" s="8">
        <f t="shared" si="6"/>
        <v>9.3132257461547852E-10</v>
      </c>
      <c r="AM34" s="8">
        <v>30</v>
      </c>
      <c r="AN34" s="8">
        <f t="shared" si="13"/>
        <v>908.49878638982773</v>
      </c>
      <c r="AO34" s="8">
        <v>-1.5033870113256853E-6</v>
      </c>
      <c r="AP34" s="8">
        <f t="shared" si="14"/>
        <v>908.49879011511803</v>
      </c>
      <c r="AQ34" s="8">
        <v>7.7894350170026883E-7</v>
      </c>
      <c r="AR34" s="8">
        <f t="shared" si="9"/>
        <v>908.49878825247288</v>
      </c>
      <c r="AS34" s="8">
        <v>-3.6222184007783653E-7</v>
      </c>
      <c r="AT34" s="8">
        <f t="shared" si="10"/>
        <v>5.44559609591509E-13</v>
      </c>
      <c r="AU34" s="8">
        <f t="shared" si="11"/>
        <v>-2.8215034850254476E-13</v>
      </c>
      <c r="AV34" s="8">
        <f t="shared" si="12"/>
        <v>3.7252902984619141E-6</v>
      </c>
    </row>
    <row r="35" spans="2:48" x14ac:dyDescent="0.2">
      <c r="B35" s="58" t="s">
        <v>27</v>
      </c>
      <c r="C35" s="58"/>
      <c r="D35" s="58"/>
      <c r="F35" t="s">
        <v>132</v>
      </c>
      <c r="G35">
        <f>$G$29/$G$28</f>
        <v>200</v>
      </c>
      <c r="H35" t="s">
        <v>22</v>
      </c>
      <c r="J35" t="s">
        <v>81</v>
      </c>
      <c r="K35">
        <f>ROUND($C$26/$C$17 * 100, 2)</f>
        <v>44.03</v>
      </c>
      <c r="L35" t="s">
        <v>82</v>
      </c>
      <c r="AM35" s="8">
        <v>31</v>
      </c>
      <c r="AN35" s="8">
        <f t="shared" si="13"/>
        <v>908.49878825247288</v>
      </c>
      <c r="AO35">
        <v>-3.6222184007783653E-7</v>
      </c>
      <c r="AP35" s="8">
        <f t="shared" si="14"/>
        <v>908.49879011511803</v>
      </c>
      <c r="AQ35">
        <v>7.7894350170026883E-7</v>
      </c>
      <c r="AR35" s="8">
        <f t="shared" si="9"/>
        <v>908.49878918379545</v>
      </c>
      <c r="AS35">
        <v>2.0836085923292558E-7</v>
      </c>
      <c r="AT35" s="8">
        <f t="shared" si="10"/>
        <v>-7.5472853831549378E-14</v>
      </c>
      <c r="AU35" s="8">
        <f t="shared" si="11"/>
        <v>1.6230133730817184E-13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6" t="s">
        <v>74</v>
      </c>
      <c r="K36">
        <f>ROUND(K17/$C$17 * 100, 2)</f>
        <v>5.56</v>
      </c>
      <c r="L36" t="s">
        <v>82</v>
      </c>
      <c r="AM36" s="8">
        <v>32</v>
      </c>
      <c r="AN36" s="8">
        <f t="shared" si="13"/>
        <v>908.49878825247288</v>
      </c>
      <c r="AO36">
        <v>-3.6222184007783653E-7</v>
      </c>
      <c r="AP36" s="8">
        <f t="shared" si="14"/>
        <v>908.49878918379545</v>
      </c>
      <c r="AQ36">
        <v>2.0836085923292558E-7</v>
      </c>
      <c r="AR36" s="8">
        <f t="shared" si="9"/>
        <v>908.49878871813416</v>
      </c>
      <c r="AS36">
        <v>-7.6930518844164908E-8</v>
      </c>
      <c r="AT36" s="8">
        <f t="shared" si="10"/>
        <v>2.7865914093876091E-14</v>
      </c>
      <c r="AU36" s="8">
        <f t="shared" si="11"/>
        <v>-1.6029309007604973E-14</v>
      </c>
      <c r="AV36" s="8">
        <f t="shared" si="12"/>
        <v>9.3132257461547852E-7</v>
      </c>
    </row>
    <row r="37" spans="2:48" x14ac:dyDescent="0.2">
      <c r="F37" s="21" t="s">
        <v>111</v>
      </c>
      <c r="G37" s="22"/>
      <c r="H37" s="22"/>
      <c r="J37" s="18" t="s">
        <v>108</v>
      </c>
      <c r="K37">
        <f>ROUND(SUM(K18:K20)/$C$17 * 100, 2)</f>
        <v>12.75</v>
      </c>
      <c r="L37" t="s">
        <v>82</v>
      </c>
      <c r="AB37" s="6" t="s">
        <v>142</v>
      </c>
      <c r="AM37" s="8">
        <v>33</v>
      </c>
      <c r="AN37" s="8">
        <f t="shared" si="13"/>
        <v>908.49878871813416</v>
      </c>
      <c r="AO37">
        <v>-7.6930518844164908E-8</v>
      </c>
      <c r="AP37" s="8">
        <f t="shared" si="14"/>
        <v>908.49878918379545</v>
      </c>
      <c r="AQ37">
        <v>2.0836085923292558E-7</v>
      </c>
      <c r="AR37" s="8">
        <f t="shared" si="9"/>
        <v>908.49878895096481</v>
      </c>
      <c r="AS37">
        <v>6.5715198616089765E-8</v>
      </c>
      <c r="AT37" s="8">
        <f t="shared" si="10"/>
        <v>-5.0555043254831333E-15</v>
      </c>
      <c r="AU37" s="8">
        <f t="shared" si="11"/>
        <v>1.3692475248310825E-14</v>
      </c>
      <c r="AV37" s="8">
        <f t="shared" si="12"/>
        <v>4.6566128730773926E-7</v>
      </c>
    </row>
    <row r="38" spans="2:48" x14ac:dyDescent="0.2">
      <c r="B38" s="61" t="s">
        <v>184</v>
      </c>
      <c r="C38" s="61"/>
      <c r="D38" s="61"/>
      <c r="F38" t="s">
        <v>117</v>
      </c>
      <c r="G38" s="1">
        <v>1.524</v>
      </c>
      <c r="H38" t="s">
        <v>16</v>
      </c>
      <c r="J38" s="17" t="s">
        <v>95</v>
      </c>
      <c r="K38">
        <f>ROUND(SUM(K21:K26)/$C$17 * 100, 2)</f>
        <v>32.99</v>
      </c>
      <c r="L38" t="s">
        <v>82</v>
      </c>
      <c r="AB38" s="7" t="s">
        <v>63</v>
      </c>
      <c r="AC38" s="7" t="s">
        <v>64</v>
      </c>
      <c r="AD38" s="7" t="s">
        <v>65</v>
      </c>
      <c r="AE38" s="7" t="s">
        <v>66</v>
      </c>
      <c r="AF38" s="7" t="s">
        <v>67</v>
      </c>
      <c r="AG38" s="7" t="s">
        <v>68</v>
      </c>
      <c r="AH38" s="7" t="s">
        <v>69</v>
      </c>
      <c r="AI38" s="7" t="s">
        <v>70</v>
      </c>
      <c r="AJ38" s="7" t="s">
        <v>71</v>
      </c>
      <c r="AK38" s="7" t="s">
        <v>72</v>
      </c>
      <c r="AM38" s="8">
        <v>34</v>
      </c>
      <c r="AN38" s="8">
        <f t="shared" si="13"/>
        <v>908.49878871813416</v>
      </c>
      <c r="AO38">
        <v>-7.6930518844164908E-8</v>
      </c>
      <c r="AP38" s="8">
        <f t="shared" si="14"/>
        <v>908.49878895096481</v>
      </c>
      <c r="AQ38">
        <v>6.5715198616089765E-8</v>
      </c>
      <c r="AR38" s="8">
        <f t="shared" si="9"/>
        <v>908.49878883454949</v>
      </c>
      <c r="AS38">
        <v>-5.6076601140375715E-9</v>
      </c>
      <c r="AT38" s="8">
        <f t="shared" si="10"/>
        <v>4.3140020207463933E-16</v>
      </c>
      <c r="AU38" s="8">
        <f t="shared" si="11"/>
        <v>-3.6850849816550359E-16</v>
      </c>
      <c r="AV38" s="8">
        <f t="shared" si="12"/>
        <v>2.3283064365386963E-7</v>
      </c>
    </row>
    <row r="39" spans="2:48" x14ac:dyDescent="0.2">
      <c r="B39" t="s">
        <v>182</v>
      </c>
      <c r="C39" s="1">
        <v>2</v>
      </c>
      <c r="F39" t="s">
        <v>123</v>
      </c>
      <c r="G39" s="1">
        <v>152.4</v>
      </c>
      <c r="H39" t="s">
        <v>14</v>
      </c>
      <c r="J39" s="15" t="s">
        <v>96</v>
      </c>
      <c r="K39">
        <f>ROUND(SUM(K27:K30)/$C$17*100, 2)</f>
        <v>4.67</v>
      </c>
      <c r="L39" t="s">
        <v>82</v>
      </c>
      <c r="AB39" s="8">
        <v>0</v>
      </c>
      <c r="AC39" s="9">
        <v>0</v>
      </c>
      <c r="AD39" s="8">
        <f t="shared" ref="AD39:AD69" si="15" xml:space="preserve"> $O$20 * TAN($O$17/180*PI()) + $O$21 / (2 * SQRT($O$20^2 + AC39^2)) - AC39</f>
        <v>0.52054651460369816</v>
      </c>
      <c r="AE39" s="9">
        <v>1</v>
      </c>
      <c r="AF39" s="8">
        <f t="shared" ref="AF39:AF69" si="16" xml:space="preserve"> $O$20 * TAN($O$17/180*PI()) + $O$21 / (2 * SQRT($O$20^2 + AE39^2)) - AE39</f>
        <v>-0.67725938957028098</v>
      </c>
      <c r="AG39" s="8">
        <f xml:space="preserve"> (AC39 + AE39)/2</f>
        <v>0.5</v>
      </c>
      <c r="AH39" s="8">
        <f t="shared" ref="AH39:AH69" si="17" xml:space="preserve"> $O$20 * TAN($O$17/180*PI()) + $O$21 / (2 * SQRT($O$20^2 + AG39^2)) - AG39</f>
        <v>-0.17163039464888014</v>
      </c>
      <c r="AI39" s="8">
        <f>AD39*AH39</f>
        <v>-8.934160373453176E-2</v>
      </c>
      <c r="AJ39" s="8">
        <f>AF39*AH39</f>
        <v>0.11623829631160698</v>
      </c>
      <c r="AK39" s="8">
        <f>AE39-AC39</f>
        <v>1</v>
      </c>
      <c r="AM39" s="8">
        <v>35</v>
      </c>
      <c r="AN39" s="8">
        <f t="shared" si="13"/>
        <v>908.49878883454949</v>
      </c>
      <c r="AO39">
        <v>-5.6076601140375715E-9</v>
      </c>
      <c r="AP39" s="8">
        <f t="shared" si="14"/>
        <v>908.49878895096481</v>
      </c>
      <c r="AQ39">
        <v>6.5715198616089765E-8</v>
      </c>
      <c r="AR39" s="8">
        <f t="shared" si="9"/>
        <v>908.49878889275715</v>
      </c>
      <c r="AS39">
        <v>3.0053740829316666E-8</v>
      </c>
      <c r="AT39" s="8">
        <f t="shared" si="10"/>
        <v>-1.6853116372618152E-16</v>
      </c>
      <c r="AU39" s="8">
        <f t="shared" si="11"/>
        <v>1.9749875477550311E-15</v>
      </c>
      <c r="AV39" s="8">
        <f t="shared" si="12"/>
        <v>1.1641532182693481E-7</v>
      </c>
    </row>
    <row r="40" spans="2:48" x14ac:dyDescent="0.2">
      <c r="B40" t="s">
        <v>183</v>
      </c>
      <c r="C40" s="1">
        <v>4</v>
      </c>
      <c r="F40" t="s">
        <v>115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142.8904838921523</v>
      </c>
      <c r="H40" t="s">
        <v>162</v>
      </c>
      <c r="J40" s="3" t="s">
        <v>83</v>
      </c>
      <c r="K40" s="3">
        <f>SUM(K35:K39)</f>
        <v>100.00000000000001</v>
      </c>
      <c r="L40" s="3" t="s">
        <v>82</v>
      </c>
      <c r="AB40" s="8">
        <v>1</v>
      </c>
      <c r="AC40" s="8">
        <f>IF(AI39&gt;0, AG39, AC39)</f>
        <v>0</v>
      </c>
      <c r="AD40" s="8">
        <f t="shared" si="15"/>
        <v>0.52054651460369816</v>
      </c>
      <c r="AE40" s="8">
        <f>IF(AJ39&gt;0, AG39, AE39)</f>
        <v>0.5</v>
      </c>
      <c r="AF40" s="8">
        <f t="shared" si="16"/>
        <v>-0.17163039464888014</v>
      </c>
      <c r="AG40" s="8">
        <f t="shared" ref="AG40:AG69" si="18" xml:space="preserve"> (AC40 + AE40)/2</f>
        <v>0.25</v>
      </c>
      <c r="AH40" s="8">
        <f t="shared" si="17"/>
        <v>8.9537524088979248E-2</v>
      </c>
      <c r="AI40" s="8">
        <f t="shared" ref="AI40:AI69" si="19">AD40*AH40</f>
        <v>4.6608446090762812E-2</v>
      </c>
      <c r="AJ40" s="8">
        <f t="shared" ref="AJ40:AJ69" si="20">AF40*AH40</f>
        <v>-1.5367360595275121E-2</v>
      </c>
      <c r="AK40" s="8">
        <f t="shared" ref="AK40:AK69" si="21">AE40-AC40</f>
        <v>0.5</v>
      </c>
      <c r="AM40" s="8">
        <v>36</v>
      </c>
      <c r="AN40" s="8">
        <f t="shared" si="13"/>
        <v>908.49878883454949</v>
      </c>
      <c r="AO40">
        <v>-5.6076601140375715E-9</v>
      </c>
      <c r="AP40" s="8">
        <f t="shared" si="14"/>
        <v>908.49878889275715</v>
      </c>
      <c r="AQ40">
        <v>3.0053740829316666E-8</v>
      </c>
      <c r="AR40" s="8">
        <f t="shared" si="9"/>
        <v>908.49878886365332</v>
      </c>
      <c r="AS40">
        <v>1.2223097201058408E-8</v>
      </c>
      <c r="AT40" s="8">
        <f t="shared" si="10"/>
        <v>-6.8542974644379514E-17</v>
      </c>
      <c r="AU40" s="8">
        <f t="shared" si="11"/>
        <v>3.6734979541215535E-16</v>
      </c>
      <c r="AV40" s="8">
        <f t="shared" si="12"/>
        <v>5.8207660913467407E-8</v>
      </c>
    </row>
    <row r="41" spans="2:48" x14ac:dyDescent="0.2">
      <c r="B41" t="s">
        <v>185</v>
      </c>
      <c r="C41" s="1">
        <v>0.14399999999999999</v>
      </c>
      <c r="F41" t="s">
        <v>30</v>
      </c>
      <c r="G41">
        <f xml:space="preserve"> $C$17 * $C$31 / $C$5</f>
        <v>1113.6662059516907</v>
      </c>
      <c r="H41" t="s">
        <v>31</v>
      </c>
      <c r="AB41" s="8">
        <v>2</v>
      </c>
      <c r="AC41" s="8">
        <f t="shared" ref="AC41:AC69" si="22">IF(AI40&gt;0, AG40, AC40)</f>
        <v>0.25</v>
      </c>
      <c r="AD41" s="8">
        <f t="shared" si="15"/>
        <v>8.9537524088979248E-2</v>
      </c>
      <c r="AE41" s="8">
        <f t="shared" ref="AE41:AE69" si="23">IF(AJ40&gt;0, AG40, AE40)</f>
        <v>0.5</v>
      </c>
      <c r="AF41" s="8">
        <f t="shared" si="16"/>
        <v>-0.17163039464888014</v>
      </c>
      <c r="AG41" s="8">
        <f t="shared" si="18"/>
        <v>0.375</v>
      </c>
      <c r="AH41" s="8">
        <f t="shared" si="17"/>
        <v>-4.2891304541164965E-2</v>
      </c>
      <c r="AI41" s="8">
        <f t="shared" si="19"/>
        <v>-3.8403812135623032E-3</v>
      </c>
      <c r="AJ41" s="8">
        <f t="shared" si="20"/>
        <v>7.3614515254054481E-3</v>
      </c>
      <c r="AK41" s="8">
        <f t="shared" si="21"/>
        <v>0.25</v>
      </c>
      <c r="AM41" s="8">
        <v>37</v>
      </c>
      <c r="AN41" s="8">
        <f t="shared" si="13"/>
        <v>908.49878883454949</v>
      </c>
      <c r="AO41">
        <v>-5.6076601140375715E-9</v>
      </c>
      <c r="AP41" s="8">
        <f t="shared" si="14"/>
        <v>908.49878886365332</v>
      </c>
      <c r="AQ41">
        <v>1.2223097201058408E-8</v>
      </c>
      <c r="AR41" s="8">
        <f t="shared" si="9"/>
        <v>908.4987888491014</v>
      </c>
      <c r="AS41">
        <v>3.3077185435104184E-9</v>
      </c>
      <c r="AT41" s="8">
        <f t="shared" si="10"/>
        <v>-1.8548561344905823E-17</v>
      </c>
      <c r="AU41" s="8">
        <f t="shared" si="11"/>
        <v>4.043056527107119E-17</v>
      </c>
      <c r="AV41" s="8">
        <f t="shared" si="12"/>
        <v>2.9103830456733704E-8</v>
      </c>
    </row>
    <row r="42" spans="2:48" x14ac:dyDescent="0.2">
      <c r="F42" t="s">
        <v>122</v>
      </c>
      <c r="G42">
        <f xml:space="preserve"> $G$39/$G$38</f>
        <v>100</v>
      </c>
      <c r="H42" t="s">
        <v>22</v>
      </c>
      <c r="J42" s="58" t="s">
        <v>188</v>
      </c>
      <c r="K42" s="58"/>
      <c r="L42" s="58"/>
      <c r="AB42" s="8">
        <v>3</v>
      </c>
      <c r="AC42" s="8">
        <f>IF(AI41&gt;0, AG41, AC41)</f>
        <v>0.25</v>
      </c>
      <c r="AD42" s="8">
        <f t="shared" si="15"/>
        <v>8.9537524088979248E-2</v>
      </c>
      <c r="AE42" s="8">
        <f t="shared" si="23"/>
        <v>0.375</v>
      </c>
      <c r="AF42" s="8">
        <f t="shared" si="16"/>
        <v>-4.2891304541164965E-2</v>
      </c>
      <c r="AG42" s="8">
        <f t="shared" si="18"/>
        <v>0.3125</v>
      </c>
      <c r="AH42" s="8">
        <f t="shared" si="17"/>
        <v>2.2589179227662626E-2</v>
      </c>
      <c r="AI42" s="8">
        <f t="shared" si="19"/>
        <v>2.022579179247112E-3</v>
      </c>
      <c r="AJ42" s="8">
        <f t="shared" si="20"/>
        <v>-9.6887936558863528E-4</v>
      </c>
      <c r="AK42" s="8">
        <f t="shared" si="21"/>
        <v>0.125</v>
      </c>
      <c r="AM42" s="8">
        <v>38</v>
      </c>
      <c r="AN42" s="8">
        <f t="shared" si="13"/>
        <v>908.49878883454949</v>
      </c>
      <c r="AO42">
        <v>-5.6076601140375715E-9</v>
      </c>
      <c r="AP42" s="8">
        <f t="shared" si="14"/>
        <v>908.4987888491014</v>
      </c>
      <c r="AQ42">
        <v>3.3077185435104184E-9</v>
      </c>
      <c r="AR42" s="8">
        <f t="shared" si="9"/>
        <v>908.49878884182544</v>
      </c>
      <c r="AS42">
        <v>-1.1499423635541461E-9</v>
      </c>
      <c r="AT42" s="8">
        <f t="shared" si="10"/>
        <v>6.4484859255446776E-18</v>
      </c>
      <c r="AU42" s="8">
        <f t="shared" si="11"/>
        <v>-3.8036856798962483E-18</v>
      </c>
      <c r="AV42" s="8">
        <f t="shared" si="12"/>
        <v>1.4551915228366852E-8</v>
      </c>
    </row>
    <row r="43" spans="2:48" x14ac:dyDescent="0.2">
      <c r="B43" s="61" t="s">
        <v>165</v>
      </c>
      <c r="C43" s="61"/>
      <c r="D43" s="61"/>
      <c r="J43" t="s">
        <v>81</v>
      </c>
      <c r="K43">
        <f>C26</f>
        <v>400</v>
      </c>
      <c r="L43" t="s">
        <v>12</v>
      </c>
      <c r="AB43" s="8">
        <v>4</v>
      </c>
      <c r="AC43" s="8">
        <f t="shared" si="22"/>
        <v>0.3125</v>
      </c>
      <c r="AD43" s="8">
        <f t="shared" si="15"/>
        <v>2.2589179227662626E-2</v>
      </c>
      <c r="AE43" s="8">
        <f t="shared" si="23"/>
        <v>0.375</v>
      </c>
      <c r="AF43" s="8">
        <f t="shared" si="16"/>
        <v>-4.2891304541164965E-2</v>
      </c>
      <c r="AG43" s="8">
        <f t="shared" si="18"/>
        <v>0.34375</v>
      </c>
      <c r="AH43" s="8">
        <f t="shared" si="17"/>
        <v>-1.0285216912328699E-2</v>
      </c>
      <c r="AI43" s="8">
        <f t="shared" si="19"/>
        <v>-2.3233460822797976E-4</v>
      </c>
      <c r="AJ43" s="8">
        <f t="shared" si="20"/>
        <v>4.411463708586306E-4</v>
      </c>
      <c r="AK43" s="8">
        <f t="shared" si="21"/>
        <v>6.25E-2</v>
      </c>
      <c r="AM43" s="8">
        <v>39</v>
      </c>
      <c r="AN43" s="8">
        <f t="shared" si="13"/>
        <v>908.49878884182544</v>
      </c>
      <c r="AO43">
        <v>-1.1499423635541461E-9</v>
      </c>
      <c r="AP43" s="8">
        <f t="shared" si="14"/>
        <v>908.4987888491014</v>
      </c>
      <c r="AQ43">
        <v>3.3077185435104184E-9</v>
      </c>
      <c r="AR43" s="8">
        <f t="shared" si="9"/>
        <v>908.49878884546342</v>
      </c>
      <c r="AS43">
        <v>1.0787744031404145E-9</v>
      </c>
      <c r="AT43" s="8">
        <f t="shared" si="10"/>
        <v>-1.2405283868890016E-18</v>
      </c>
      <c r="AU43" s="8">
        <f t="shared" si="11"/>
        <v>3.5682820975319328E-18</v>
      </c>
      <c r="AV43" s="8">
        <f t="shared" si="12"/>
        <v>7.2759576141834259E-9</v>
      </c>
    </row>
    <row r="44" spans="2:48" x14ac:dyDescent="0.2">
      <c r="B44" t="s">
        <v>166</v>
      </c>
      <c r="C44" s="1">
        <v>4</v>
      </c>
      <c r="F44" t="s">
        <v>186</v>
      </c>
      <c r="G44" s="1">
        <v>1</v>
      </c>
      <c r="J44" s="16" t="s">
        <v>74</v>
      </c>
      <c r="K44">
        <f>ROUND(K17, 2)</f>
        <v>50.5</v>
      </c>
      <c r="L44" t="s">
        <v>12</v>
      </c>
      <c r="AB44" s="8">
        <v>5</v>
      </c>
      <c r="AC44" s="8">
        <f t="shared" si="22"/>
        <v>0.3125</v>
      </c>
      <c r="AD44" s="8">
        <f t="shared" si="15"/>
        <v>2.2589179227662626E-2</v>
      </c>
      <c r="AE44" s="8">
        <f t="shared" si="23"/>
        <v>0.34375</v>
      </c>
      <c r="AF44" s="8">
        <f t="shared" si="16"/>
        <v>-1.0285216912328699E-2</v>
      </c>
      <c r="AG44" s="8">
        <f t="shared" si="18"/>
        <v>0.328125</v>
      </c>
      <c r="AH44" s="8">
        <f t="shared" si="17"/>
        <v>6.1137174451655341E-3</v>
      </c>
      <c r="AI44" s="8">
        <f t="shared" si="19"/>
        <v>1.381038591161319E-4</v>
      </c>
      <c r="AJ44" s="8">
        <f t="shared" si="20"/>
        <v>-6.288091006421555E-5</v>
      </c>
      <c r="AK44" s="8">
        <f t="shared" si="21"/>
        <v>3.125E-2</v>
      </c>
      <c r="AM44" s="8">
        <v>40</v>
      </c>
      <c r="AN44" s="8">
        <f t="shared" si="13"/>
        <v>908.49878884182544</v>
      </c>
      <c r="AO44">
        <v>-1.1499423635541461E-9</v>
      </c>
      <c r="AP44" s="8">
        <f t="shared" si="14"/>
        <v>908.49878884546342</v>
      </c>
      <c r="AQ44">
        <v>1.0787744031404145E-9</v>
      </c>
      <c r="AR44" s="11">
        <f t="shared" si="9"/>
        <v>908.49878884364443</v>
      </c>
      <c r="AS44">
        <v>-3.5527136788005009E-11</v>
      </c>
      <c r="AT44" s="8">
        <f t="shared" si="10"/>
        <v>4.0854159648309936E-20</v>
      </c>
      <c r="AU44" s="8">
        <f t="shared" si="11"/>
        <v>-3.8325765783767967E-20</v>
      </c>
      <c r="AV44" s="8">
        <f t="shared" si="12"/>
        <v>3.637978807091713E-9</v>
      </c>
    </row>
    <row r="45" spans="2:48" x14ac:dyDescent="0.2">
      <c r="B45" t="s">
        <v>167</v>
      </c>
      <c r="C45" s="1">
        <v>9</v>
      </c>
      <c r="D45" t="s">
        <v>14</v>
      </c>
      <c r="G45" s="1">
        <v>1</v>
      </c>
      <c r="J45" s="18" t="s">
        <v>108</v>
      </c>
      <c r="K45">
        <f>ROUND(SUM(K18:K20), 2)</f>
        <v>115.8</v>
      </c>
      <c r="L45" t="s">
        <v>12</v>
      </c>
      <c r="AB45" s="8">
        <v>6</v>
      </c>
      <c r="AC45" s="8">
        <f t="shared" si="22"/>
        <v>0.328125</v>
      </c>
      <c r="AD45" s="8">
        <f t="shared" si="15"/>
        <v>6.1137174451655341E-3</v>
      </c>
      <c r="AE45" s="8">
        <f t="shared" si="23"/>
        <v>0.34375</v>
      </c>
      <c r="AF45" s="8">
        <f t="shared" si="16"/>
        <v>-1.0285216912328699E-2</v>
      </c>
      <c r="AG45" s="8">
        <f t="shared" si="18"/>
        <v>0.3359375</v>
      </c>
      <c r="AH45" s="8">
        <f t="shared" si="17"/>
        <v>-2.0946575009905821E-3</v>
      </c>
      <c r="AI45" s="8">
        <f t="shared" si="19"/>
        <v>-1.2806144105452964E-5</v>
      </c>
      <c r="AJ45" s="8">
        <f t="shared" si="20"/>
        <v>2.1544006754724502E-5</v>
      </c>
      <c r="AK45" s="8">
        <f t="shared" si="21"/>
        <v>1.5625E-2</v>
      </c>
    </row>
    <row r="46" spans="2:48" x14ac:dyDescent="0.2">
      <c r="B46" t="s">
        <v>168</v>
      </c>
      <c r="C46" s="1">
        <v>1.8</v>
      </c>
      <c r="D46" t="s">
        <v>14</v>
      </c>
      <c r="G46" s="1">
        <v>50</v>
      </c>
      <c r="J46" s="17" t="s">
        <v>95</v>
      </c>
      <c r="K46">
        <f>ROUND(SUM(K21:K25), 2)</f>
        <v>288.94</v>
      </c>
      <c r="L46" t="s">
        <v>12</v>
      </c>
      <c r="AB46" s="8">
        <v>7</v>
      </c>
      <c r="AC46" s="8">
        <f t="shared" si="22"/>
        <v>0.328125</v>
      </c>
      <c r="AD46" s="8">
        <f t="shared" si="15"/>
        <v>6.1137174451655341E-3</v>
      </c>
      <c r="AE46" s="8">
        <f t="shared" si="23"/>
        <v>0.3359375</v>
      </c>
      <c r="AF46" s="8">
        <f t="shared" si="16"/>
        <v>-2.0946575009905821E-3</v>
      </c>
      <c r="AG46" s="8">
        <f t="shared" si="18"/>
        <v>0.33203125</v>
      </c>
      <c r="AH46" s="8">
        <f t="shared" si="17"/>
        <v>2.0072255147514095E-3</v>
      </c>
      <c r="AI46" s="8">
        <f t="shared" si="19"/>
        <v>1.2271609645917062E-5</v>
      </c>
      <c r="AJ46" s="8">
        <f t="shared" si="20"/>
        <v>-4.2044499806537226E-6</v>
      </c>
      <c r="AK46" s="8">
        <f t="shared" si="21"/>
        <v>7.8125E-3</v>
      </c>
    </row>
    <row r="47" spans="2:48" x14ac:dyDescent="0.2">
      <c r="G47" s="1">
        <v>16.2</v>
      </c>
      <c r="J47" s="15" t="s">
        <v>96</v>
      </c>
      <c r="K47">
        <f>ROUND(SUM(K27:K30), 2)</f>
        <v>42.44</v>
      </c>
      <c r="L47" t="s">
        <v>12</v>
      </c>
      <c r="AB47" s="8">
        <v>8</v>
      </c>
      <c r="AC47" s="8">
        <f t="shared" si="22"/>
        <v>0.33203125</v>
      </c>
      <c r="AD47" s="8">
        <f t="shared" si="15"/>
        <v>2.0072255147514095E-3</v>
      </c>
      <c r="AE47" s="8">
        <f t="shared" si="23"/>
        <v>0.3359375</v>
      </c>
      <c r="AF47" s="8">
        <f t="shared" si="16"/>
        <v>-2.0946575009905821E-3</v>
      </c>
      <c r="AG47" s="8">
        <f t="shared" si="18"/>
        <v>0.333984375</v>
      </c>
      <c r="AH47" s="8">
        <f t="shared" si="17"/>
        <v>-4.4282139569917778E-5</v>
      </c>
      <c r="AI47" s="8">
        <f t="shared" si="19"/>
        <v>-8.8884240392521977E-8</v>
      </c>
      <c r="AJ47" s="8">
        <f t="shared" si="20"/>
        <v>9.2755915810040143E-8</v>
      </c>
      <c r="AK47" s="8">
        <f t="shared" si="21"/>
        <v>3.90625E-3</v>
      </c>
    </row>
    <row r="48" spans="2:48" x14ac:dyDescent="0.2">
      <c r="B48" s="61" t="s">
        <v>169</v>
      </c>
      <c r="C48" s="61"/>
      <c r="D48" s="61"/>
      <c r="G48" s="1">
        <v>7.32</v>
      </c>
      <c r="J48" s="3" t="s">
        <v>83</v>
      </c>
      <c r="K48" s="3">
        <f>SUM(K43:K47)</f>
        <v>897.68000000000006</v>
      </c>
      <c r="L48" t="s">
        <v>12</v>
      </c>
      <c r="AB48" s="8">
        <v>9</v>
      </c>
      <c r="AC48" s="8">
        <f t="shared" si="22"/>
        <v>0.33203125</v>
      </c>
      <c r="AD48" s="8">
        <f t="shared" si="15"/>
        <v>2.0072255147514095E-3</v>
      </c>
      <c r="AE48" s="8">
        <f t="shared" si="23"/>
        <v>0.333984375</v>
      </c>
      <c r="AF48" s="8">
        <f t="shared" si="16"/>
        <v>-4.4282139569917778E-5</v>
      </c>
      <c r="AG48" s="8">
        <f t="shared" si="18"/>
        <v>0.3330078125</v>
      </c>
      <c r="AH48" s="8">
        <f t="shared" si="17"/>
        <v>9.8132892294544583E-4</v>
      </c>
      <c r="AI48" s="8">
        <f t="shared" si="19"/>
        <v>1.969748452499619E-6</v>
      </c>
      <c r="AJ48" s="8">
        <f t="shared" si="20"/>
        <v>-4.3455344329867318E-8</v>
      </c>
      <c r="AK48" s="8">
        <f t="shared" si="21"/>
        <v>1.953125E-3</v>
      </c>
    </row>
    <row r="49" spans="2:39" x14ac:dyDescent="0.2">
      <c r="B49" t="s">
        <v>170</v>
      </c>
      <c r="C49" s="1">
        <v>0.3</v>
      </c>
      <c r="D49" t="s">
        <v>14</v>
      </c>
      <c r="G49" s="1">
        <v>1</v>
      </c>
      <c r="AB49" s="8">
        <v>10</v>
      </c>
      <c r="AC49" s="8">
        <f t="shared" si="22"/>
        <v>0.3330078125</v>
      </c>
      <c r="AD49" s="8">
        <f t="shared" si="15"/>
        <v>9.8132892294544583E-4</v>
      </c>
      <c r="AE49" s="8">
        <f t="shared" si="23"/>
        <v>0.333984375</v>
      </c>
      <c r="AF49" s="8">
        <f t="shared" si="16"/>
        <v>-4.4282139569917778E-5</v>
      </c>
      <c r="AG49" s="8">
        <f t="shared" si="18"/>
        <v>0.33349609375</v>
      </c>
      <c r="AH49" s="8">
        <f t="shared" si="17"/>
        <v>4.6848785513486924E-4</v>
      </c>
      <c r="AI49" s="8">
        <f t="shared" si="19"/>
        <v>4.597406822925233E-7</v>
      </c>
      <c r="AJ49" s="8">
        <f t="shared" si="20"/>
        <v>-2.0745644587893701E-8</v>
      </c>
      <c r="AK49" s="8">
        <f t="shared" si="21"/>
        <v>9.765625E-4</v>
      </c>
    </row>
    <row r="50" spans="2:39" x14ac:dyDescent="0.2">
      <c r="B50" t="s">
        <v>171</v>
      </c>
      <c r="C50" s="1">
        <v>5.7</v>
      </c>
      <c r="AB50" s="8">
        <v>11</v>
      </c>
      <c r="AC50" s="8">
        <f t="shared" si="22"/>
        <v>0.33349609375</v>
      </c>
      <c r="AD50" s="8">
        <f t="shared" si="15"/>
        <v>4.6848785513486924E-4</v>
      </c>
      <c r="AE50" s="8">
        <f t="shared" si="23"/>
        <v>0.333984375</v>
      </c>
      <c r="AF50" s="8">
        <f t="shared" si="16"/>
        <v>-4.4282139569917778E-5</v>
      </c>
      <c r="AG50" s="8">
        <f t="shared" si="18"/>
        <v>0.333740234375</v>
      </c>
      <c r="AH50" s="8">
        <f t="shared" si="17"/>
        <v>2.1209399287308583E-4</v>
      </c>
      <c r="AI50" s="8">
        <f t="shared" si="19"/>
        <v>9.9363459808102226E-8</v>
      </c>
      <c r="AJ50" s="8">
        <f t="shared" si="20"/>
        <v>-9.3919757943471333E-9</v>
      </c>
      <c r="AK50" s="8">
        <f t="shared" si="21"/>
        <v>4.8828125E-4</v>
      </c>
    </row>
    <row r="51" spans="2:39" x14ac:dyDescent="0.2">
      <c r="F51" t="s">
        <v>187</v>
      </c>
      <c r="G51" s="1">
        <v>1.75</v>
      </c>
      <c r="J51" s="6" t="s">
        <v>189</v>
      </c>
      <c r="AB51" s="8">
        <v>12</v>
      </c>
      <c r="AC51" s="8">
        <f t="shared" si="22"/>
        <v>0.333740234375</v>
      </c>
      <c r="AD51" s="8">
        <f t="shared" si="15"/>
        <v>2.1209399287308583E-4</v>
      </c>
      <c r="AE51" s="8">
        <f t="shared" si="23"/>
        <v>0.333984375</v>
      </c>
      <c r="AF51" s="8">
        <f t="shared" si="16"/>
        <v>-4.4282139569917778E-5</v>
      </c>
      <c r="AG51" s="8">
        <f t="shared" si="18"/>
        <v>0.3338623046875</v>
      </c>
      <c r="AH51" s="8">
        <f t="shared" si="17"/>
        <v>8.3903712821797871E-5</v>
      </c>
      <c r="AI51" s="8">
        <f t="shared" si="19"/>
        <v>1.7795473469251839E-8</v>
      </c>
      <c r="AJ51" s="8">
        <f t="shared" si="20"/>
        <v>-3.7154359216091531E-9</v>
      </c>
      <c r="AK51" s="8">
        <f t="shared" si="21"/>
        <v>2.44140625E-4</v>
      </c>
    </row>
    <row r="52" spans="2:39" x14ac:dyDescent="0.2">
      <c r="B52" s="61" t="s">
        <v>181</v>
      </c>
      <c r="C52" s="61"/>
      <c r="D52" s="61"/>
      <c r="G52" s="1">
        <v>0.87</v>
      </c>
      <c r="J52" s="3" t="s">
        <v>109</v>
      </c>
      <c r="K52" s="5">
        <v>951.81985409544723</v>
      </c>
      <c r="L52" t="s">
        <v>12</v>
      </c>
      <c r="AB52" s="8">
        <v>13</v>
      </c>
      <c r="AC52" s="8">
        <f t="shared" si="22"/>
        <v>0.3338623046875</v>
      </c>
      <c r="AD52" s="8">
        <f t="shared" si="15"/>
        <v>8.3903712821797871E-5</v>
      </c>
      <c r="AE52" s="8">
        <f t="shared" si="23"/>
        <v>0.333984375</v>
      </c>
      <c r="AF52" s="8">
        <f t="shared" si="16"/>
        <v>-4.4282139569917778E-5</v>
      </c>
      <c r="AG52" s="8">
        <f t="shared" si="18"/>
        <v>0.33392333984375</v>
      </c>
      <c r="AH52" s="8">
        <f t="shared" si="17"/>
        <v>1.9810233467809635E-5</v>
      </c>
      <c r="AI52" s="8">
        <f t="shared" si="19"/>
        <v>1.6621521398158685E-9</v>
      </c>
      <c r="AJ52" s="8">
        <f t="shared" si="20"/>
        <v>-8.772395233342025E-10</v>
      </c>
      <c r="AK52" s="8">
        <f t="shared" si="21"/>
        <v>1.220703125E-4</v>
      </c>
    </row>
    <row r="53" spans="2:39" x14ac:dyDescent="0.2">
      <c r="B53" t="s">
        <v>171</v>
      </c>
      <c r="C53" s="1">
        <v>3</v>
      </c>
      <c r="G53" s="1">
        <v>40</v>
      </c>
      <c r="J53" s="16" t="s">
        <v>74</v>
      </c>
      <c r="K53">
        <v>121.42795988165344</v>
      </c>
      <c r="L53" t="s">
        <v>12</v>
      </c>
      <c r="AB53" s="8">
        <v>14</v>
      </c>
      <c r="AC53" s="8">
        <f t="shared" si="22"/>
        <v>0.33392333984375</v>
      </c>
      <c r="AD53" s="8">
        <f t="shared" si="15"/>
        <v>1.9810233467809635E-5</v>
      </c>
      <c r="AE53" s="8">
        <f t="shared" si="23"/>
        <v>0.333984375</v>
      </c>
      <c r="AF53" s="8">
        <f t="shared" si="16"/>
        <v>-4.4282139569917778E-5</v>
      </c>
      <c r="AG53" s="8">
        <f t="shared" si="18"/>
        <v>0.333953857421875</v>
      </c>
      <c r="AH53" s="8">
        <f t="shared" si="17"/>
        <v>-1.2236091303186036E-5</v>
      </c>
      <c r="AI53" s="8">
        <f t="shared" si="19"/>
        <v>-2.4239982544955044E-10</v>
      </c>
      <c r="AJ53" s="8">
        <f t="shared" si="20"/>
        <v>5.4184030287794122E-10</v>
      </c>
      <c r="AK53" s="8">
        <f t="shared" si="21"/>
        <v>6.103515625E-5</v>
      </c>
    </row>
    <row r="54" spans="2:39" x14ac:dyDescent="0.2">
      <c r="G54" s="1">
        <v>20</v>
      </c>
      <c r="J54" s="12" t="s">
        <v>75</v>
      </c>
      <c r="K54">
        <v>53.5762135527537</v>
      </c>
      <c r="L54" t="s">
        <v>12</v>
      </c>
      <c r="AB54" s="8">
        <v>15</v>
      </c>
      <c r="AC54" s="8">
        <f t="shared" si="22"/>
        <v>0.33392333984375</v>
      </c>
      <c r="AD54" s="8">
        <f t="shared" si="15"/>
        <v>1.9810233467809635E-5</v>
      </c>
      <c r="AE54" s="8">
        <f t="shared" si="23"/>
        <v>0.333953857421875</v>
      </c>
      <c r="AF54" s="8">
        <f t="shared" si="16"/>
        <v>-1.2236091303186036E-5</v>
      </c>
      <c r="AG54" s="8">
        <f t="shared" si="18"/>
        <v>0.3339385986328125</v>
      </c>
      <c r="AH54" s="8">
        <f t="shared" si="17"/>
        <v>3.7870365146019935E-6</v>
      </c>
      <c r="AI54" s="8">
        <f t="shared" si="19"/>
        <v>7.5022077505385557E-11</v>
      </c>
      <c r="AJ54" s="8">
        <f t="shared" si="20"/>
        <v>-4.6338524561169415E-11</v>
      </c>
      <c r="AK54" s="8">
        <f t="shared" si="21"/>
        <v>3.0517578125E-5</v>
      </c>
    </row>
    <row r="55" spans="2:39" x14ac:dyDescent="0.2">
      <c r="B55" s="61" t="s">
        <v>172</v>
      </c>
      <c r="C55" s="61"/>
      <c r="D55" s="61"/>
      <c r="G55" s="1">
        <v>6</v>
      </c>
      <c r="J55" s="13" t="s">
        <v>76</v>
      </c>
      <c r="K55">
        <v>40.873500379260243</v>
      </c>
      <c r="L55" t="s">
        <v>12</v>
      </c>
      <c r="AB55" s="8">
        <v>16</v>
      </c>
      <c r="AC55" s="8">
        <f t="shared" si="22"/>
        <v>0.3339385986328125</v>
      </c>
      <c r="AD55" s="8">
        <f t="shared" si="15"/>
        <v>3.7870365146019935E-6</v>
      </c>
      <c r="AE55" s="8">
        <f t="shared" si="23"/>
        <v>0.333953857421875</v>
      </c>
      <c r="AF55" s="8">
        <f t="shared" si="16"/>
        <v>-1.2236091303186036E-5</v>
      </c>
      <c r="AG55" s="8">
        <f t="shared" si="18"/>
        <v>0.33394622802734375</v>
      </c>
      <c r="AH55" s="8">
        <f t="shared" si="17"/>
        <v>-4.2245360356574224E-6</v>
      </c>
      <c r="AI55" s="8">
        <f t="shared" si="19"/>
        <v>-1.5998472224286607E-11</v>
      </c>
      <c r="AJ55" s="8">
        <f t="shared" si="20"/>
        <v>5.1691808645903802E-11</v>
      </c>
      <c r="AK55" s="8">
        <f t="shared" si="21"/>
        <v>1.52587890625E-5</v>
      </c>
      <c r="AM55" s="8"/>
    </row>
    <row r="56" spans="2:39" x14ac:dyDescent="0.2">
      <c r="B56" t="s">
        <v>173</v>
      </c>
      <c r="C56" s="1">
        <v>2</v>
      </c>
      <c r="G56" s="1">
        <v>1.3</v>
      </c>
      <c r="J56" s="13" t="s">
        <v>107</v>
      </c>
      <c r="K56">
        <v>23.21527784186987</v>
      </c>
      <c r="L56" t="s">
        <v>12</v>
      </c>
      <c r="AB56" s="8">
        <v>17</v>
      </c>
      <c r="AC56" s="8">
        <f t="shared" si="22"/>
        <v>0.3339385986328125</v>
      </c>
      <c r="AD56" s="8">
        <f t="shared" si="15"/>
        <v>3.7870365146019935E-6</v>
      </c>
      <c r="AE56" s="8">
        <f t="shared" si="23"/>
        <v>0.33394622802734375</v>
      </c>
      <c r="AF56" s="8">
        <f t="shared" si="16"/>
        <v>-4.2245360356574224E-6</v>
      </c>
      <c r="AG56" s="8">
        <f t="shared" si="18"/>
        <v>0.33394241333007812</v>
      </c>
      <c r="AH56" s="8">
        <f t="shared" si="17"/>
        <v>-2.1875192091069806E-7</v>
      </c>
      <c r="AI56" s="8">
        <f t="shared" si="19"/>
        <v>-8.284215121281409E-13</v>
      </c>
      <c r="AJ56" s="8">
        <f t="shared" si="20"/>
        <v>9.2412537275652641E-13</v>
      </c>
      <c r="AK56" s="8">
        <f t="shared" si="21"/>
        <v>7.62939453125E-6</v>
      </c>
      <c r="AM56" s="8"/>
    </row>
    <row r="57" spans="2:39" x14ac:dyDescent="0.2">
      <c r="B57" t="s">
        <v>175</v>
      </c>
      <c r="C57" s="1">
        <v>2</v>
      </c>
      <c r="D57" t="s">
        <v>18</v>
      </c>
      <c r="J57" s="14" t="s">
        <v>84</v>
      </c>
      <c r="K57">
        <v>160.02087517267341</v>
      </c>
      <c r="L57" t="s">
        <v>12</v>
      </c>
      <c r="AB57" s="8">
        <v>18</v>
      </c>
      <c r="AC57" s="8">
        <f t="shared" si="22"/>
        <v>0.3339385986328125</v>
      </c>
      <c r="AD57" s="8">
        <f t="shared" si="15"/>
        <v>3.7870365146019935E-6</v>
      </c>
      <c r="AE57" s="8">
        <f t="shared" si="23"/>
        <v>0.33394241333007812</v>
      </c>
      <c r="AF57" s="8">
        <f t="shared" si="16"/>
        <v>-2.1875192091069806E-7</v>
      </c>
      <c r="AG57" s="8">
        <f t="shared" si="18"/>
        <v>0.33394050598144531</v>
      </c>
      <c r="AH57" s="8">
        <f t="shared" si="17"/>
        <v>1.7841417567221463E-6</v>
      </c>
      <c r="AI57" s="8">
        <f t="shared" si="19"/>
        <v>6.7566099799329148E-12</v>
      </c>
      <c r="AJ57" s="8">
        <f t="shared" si="20"/>
        <v>-3.9028443645995686E-13</v>
      </c>
      <c r="AK57" s="8">
        <f t="shared" si="21"/>
        <v>3.814697265625E-6</v>
      </c>
      <c r="AM57" s="8"/>
    </row>
    <row r="58" spans="2:39" x14ac:dyDescent="0.2">
      <c r="B58" t="s">
        <v>174</v>
      </c>
      <c r="C58" s="1">
        <f>0.15*1.25</f>
        <v>0.1875</v>
      </c>
      <c r="D58" t="s">
        <v>14</v>
      </c>
      <c r="J58" s="14" t="s">
        <v>85</v>
      </c>
      <c r="K58">
        <v>11.964251380071035</v>
      </c>
      <c r="L58" t="s">
        <v>12</v>
      </c>
      <c r="AB58" s="8">
        <v>19</v>
      </c>
      <c r="AC58" s="8">
        <f t="shared" si="22"/>
        <v>0.33394050598144531</v>
      </c>
      <c r="AD58" s="8">
        <f t="shared" si="15"/>
        <v>1.7841417567221463E-6</v>
      </c>
      <c r="AE58" s="8">
        <f t="shared" si="23"/>
        <v>0.33394241333007812</v>
      </c>
      <c r="AF58" s="8">
        <f t="shared" si="16"/>
        <v>-2.1875192091069806E-7</v>
      </c>
      <c r="AG58" s="8">
        <f t="shared" si="18"/>
        <v>0.33394145965576172</v>
      </c>
      <c r="AH58" s="8">
        <f t="shared" si="17"/>
        <v>7.8269478287484873E-7</v>
      </c>
      <c r="AI58" s="8">
        <f t="shared" si="19"/>
        <v>1.3964384448955914E-12</v>
      </c>
      <c r="AJ58" s="8">
        <f t="shared" si="20"/>
        <v>-1.712159872406549E-13</v>
      </c>
      <c r="AK58" s="8">
        <f t="shared" si="21"/>
        <v>1.9073486328125E-6</v>
      </c>
    </row>
    <row r="59" spans="2:39" x14ac:dyDescent="0.2">
      <c r="J59" s="14" t="s">
        <v>77</v>
      </c>
      <c r="K59">
        <v>81.231772721223109</v>
      </c>
      <c r="L59" t="s">
        <v>12</v>
      </c>
      <c r="AB59" s="8">
        <v>20</v>
      </c>
      <c r="AC59" s="8">
        <f t="shared" si="22"/>
        <v>0.33394145965576172</v>
      </c>
      <c r="AD59" s="8">
        <f t="shared" si="15"/>
        <v>7.8269478287484873E-7</v>
      </c>
      <c r="AE59" s="8">
        <f t="shared" si="23"/>
        <v>0.33394241333007812</v>
      </c>
      <c r="AF59" s="8">
        <f t="shared" si="16"/>
        <v>-2.1875192091069806E-7</v>
      </c>
      <c r="AG59" s="8">
        <f t="shared" si="18"/>
        <v>0.33394193649291992</v>
      </c>
      <c r="AH59" s="8">
        <f t="shared" si="17"/>
        <v>2.8197139723129538E-7</v>
      </c>
      <c r="AI59" s="8">
        <f t="shared" si="19"/>
        <v>2.2069754153286647E-13</v>
      </c>
      <c r="AJ59" s="8">
        <f t="shared" si="20"/>
        <v>-6.168178478621936E-14</v>
      </c>
      <c r="AK59" s="8">
        <f t="shared" si="21"/>
        <v>9.5367431640625E-7</v>
      </c>
    </row>
    <row r="60" spans="2:39" x14ac:dyDescent="0.2">
      <c r="B60" s="61" t="s">
        <v>176</v>
      </c>
      <c r="C60" s="61"/>
      <c r="D60" s="61"/>
      <c r="J60" s="14" t="s">
        <v>86</v>
      </c>
      <c r="K60">
        <v>9.8135391340138352</v>
      </c>
      <c r="L60" t="s">
        <v>12</v>
      </c>
      <c r="AB60" s="8">
        <v>21</v>
      </c>
      <c r="AC60" s="8">
        <f t="shared" si="22"/>
        <v>0.33394193649291992</v>
      </c>
      <c r="AD60" s="8">
        <f t="shared" si="15"/>
        <v>2.8197139723129538E-7</v>
      </c>
      <c r="AE60" s="8">
        <f t="shared" si="23"/>
        <v>0.33394241333007812</v>
      </c>
      <c r="AF60" s="8">
        <f t="shared" si="16"/>
        <v>-2.1875192091069806E-7</v>
      </c>
      <c r="AG60" s="8">
        <f t="shared" si="18"/>
        <v>0.33394217491149902</v>
      </c>
      <c r="AH60" s="8">
        <f t="shared" si="17"/>
        <v>3.1609729722603674E-8</v>
      </c>
      <c r="AI60" s="8">
        <f t="shared" si="19"/>
        <v>8.9130396559861655E-15</v>
      </c>
      <c r="AJ60" s="8">
        <f t="shared" si="20"/>
        <v>-6.9146890962875406E-15</v>
      </c>
      <c r="AK60" s="8">
        <f t="shared" si="21"/>
        <v>4.76837158203125E-7</v>
      </c>
    </row>
    <row r="61" spans="2:39" x14ac:dyDescent="0.2">
      <c r="B61" t="s">
        <v>177</v>
      </c>
      <c r="C61" s="1">
        <v>1.2</v>
      </c>
      <c r="J61" s="14" t="s">
        <v>87</v>
      </c>
      <c r="K61">
        <v>5.2207724142141938</v>
      </c>
      <c r="L61" t="s">
        <v>12</v>
      </c>
      <c r="AB61" s="8">
        <v>22</v>
      </c>
      <c r="AC61" s="8">
        <f t="shared" si="22"/>
        <v>0.33394217491149902</v>
      </c>
      <c r="AD61" s="8">
        <f t="shared" si="15"/>
        <v>3.1609729722603674E-8</v>
      </c>
      <c r="AE61" s="8">
        <f t="shared" si="23"/>
        <v>0.33394241333007812</v>
      </c>
      <c r="AF61" s="8">
        <f t="shared" si="16"/>
        <v>-2.1875192091069806E-7</v>
      </c>
      <c r="AG61" s="8">
        <f t="shared" si="18"/>
        <v>0.33394229412078857</v>
      </c>
      <c r="AH61" s="8">
        <f t="shared" si="17"/>
        <v>-9.357109770347094E-8</v>
      </c>
      <c r="AI61" s="8">
        <f t="shared" si="19"/>
        <v>-2.9577571082540578E-15</v>
      </c>
      <c r="AJ61" s="8">
        <f t="shared" si="20"/>
        <v>2.0468857364356876E-14</v>
      </c>
      <c r="AK61" s="8">
        <f t="shared" si="21"/>
        <v>2.384185791015625E-7</v>
      </c>
    </row>
    <row r="62" spans="2:39" x14ac:dyDescent="0.2">
      <c r="B62" t="s">
        <v>178</v>
      </c>
      <c r="C62" s="1">
        <v>2.5</v>
      </c>
      <c r="D62" t="s">
        <v>18</v>
      </c>
      <c r="J62" s="15" t="s">
        <v>88</v>
      </c>
      <c r="K62">
        <v>20.40701767180639</v>
      </c>
      <c r="L62" t="s">
        <v>12</v>
      </c>
      <c r="AB62" s="8">
        <v>23</v>
      </c>
      <c r="AC62" s="8">
        <f t="shared" si="22"/>
        <v>0.33394217491149902</v>
      </c>
      <c r="AD62" s="8">
        <f t="shared" si="15"/>
        <v>3.1609729722603674E-8</v>
      </c>
      <c r="AE62" s="8">
        <f t="shared" si="23"/>
        <v>0.33394229412078857</v>
      </c>
      <c r="AF62" s="8">
        <f t="shared" si="16"/>
        <v>-9.357109770347094E-8</v>
      </c>
      <c r="AG62" s="8">
        <f t="shared" si="18"/>
        <v>0.3339422345161438</v>
      </c>
      <c r="AH62" s="8">
        <f t="shared" si="17"/>
        <v>-3.098068451778957E-8</v>
      </c>
      <c r="AI62" s="8">
        <f t="shared" si="19"/>
        <v>-9.792910642285804E-16</v>
      </c>
      <c r="AJ62" s="8">
        <f t="shared" si="20"/>
        <v>2.8988966579344971E-15</v>
      </c>
      <c r="AK62" s="8">
        <f t="shared" si="21"/>
        <v>1.1920928955078125E-7</v>
      </c>
    </row>
    <row r="63" spans="2:39" x14ac:dyDescent="0.2">
      <c r="B63" t="s">
        <v>179</v>
      </c>
      <c r="C63" s="1">
        <f>0.12*2.92</f>
        <v>0.35039999999999999</v>
      </c>
      <c r="D63" t="s">
        <v>14</v>
      </c>
      <c r="J63" s="15" t="s">
        <v>89</v>
      </c>
      <c r="K63">
        <v>5.613175418363693</v>
      </c>
      <c r="L63" t="s">
        <v>12</v>
      </c>
      <c r="AB63" s="8">
        <v>24</v>
      </c>
      <c r="AC63" s="8">
        <f t="shared" si="22"/>
        <v>0.33394217491149902</v>
      </c>
      <c r="AD63" s="8">
        <f t="shared" si="15"/>
        <v>3.1609729722603674E-8</v>
      </c>
      <c r="AE63" s="8">
        <f t="shared" si="23"/>
        <v>0.3339422345161438</v>
      </c>
      <c r="AF63" s="8">
        <f t="shared" si="16"/>
        <v>-3.098068451778957E-8</v>
      </c>
      <c r="AG63" s="8">
        <f t="shared" si="18"/>
        <v>0.33394220471382141</v>
      </c>
      <c r="AH63" s="8">
        <f t="shared" si="17"/>
        <v>3.1452246362917435E-10</v>
      </c>
      <c r="AI63" s="8">
        <f t="shared" si="19"/>
        <v>9.9419700670056457E-18</v>
      </c>
      <c r="AJ63" s="8">
        <f t="shared" si="20"/>
        <v>-9.7441212194533949E-18</v>
      </c>
      <c r="AK63" s="8">
        <f t="shared" si="21"/>
        <v>5.9604644775390625E-8</v>
      </c>
    </row>
    <row r="64" spans="2:39" x14ac:dyDescent="0.2">
      <c r="B64" t="s">
        <v>180</v>
      </c>
      <c r="C64" s="1">
        <v>35</v>
      </c>
      <c r="D64" t="s">
        <v>62</v>
      </c>
      <c r="J64" s="15" t="s">
        <v>90</v>
      </c>
      <c r="K64">
        <v>6.0916470662108626</v>
      </c>
      <c r="L64" t="s">
        <v>12</v>
      </c>
      <c r="AB64" s="8">
        <v>25</v>
      </c>
      <c r="AC64" s="8">
        <f t="shared" si="22"/>
        <v>0.33394220471382141</v>
      </c>
      <c r="AD64" s="8">
        <f t="shared" si="15"/>
        <v>3.1452246362917435E-10</v>
      </c>
      <c r="AE64" s="8">
        <f t="shared" si="23"/>
        <v>0.3339422345161438</v>
      </c>
      <c r="AF64" s="8">
        <f t="shared" si="16"/>
        <v>-3.098068451778957E-8</v>
      </c>
      <c r="AG64" s="8">
        <f t="shared" si="18"/>
        <v>0.3339422196149826</v>
      </c>
      <c r="AH64" s="8">
        <f t="shared" si="17"/>
        <v>-1.5333081082591349E-8</v>
      </c>
      <c r="AI64" s="8">
        <f t="shared" si="19"/>
        <v>-4.8225984371225188E-18</v>
      </c>
      <c r="AJ64" s="8">
        <f t="shared" si="20"/>
        <v>4.7502934770544992E-16</v>
      </c>
      <c r="AK64" s="8">
        <f t="shared" si="21"/>
        <v>2.9802322387695312E-8</v>
      </c>
    </row>
    <row r="65" spans="10:37" x14ac:dyDescent="0.2">
      <c r="J65" s="15" t="s">
        <v>91</v>
      </c>
      <c r="K65">
        <v>12.363851461833493</v>
      </c>
      <c r="L65" t="s">
        <v>12</v>
      </c>
      <c r="AB65" s="8">
        <v>26</v>
      </c>
      <c r="AC65" s="8">
        <f t="shared" si="22"/>
        <v>0.33394220471382141</v>
      </c>
      <c r="AD65" s="8">
        <f t="shared" si="15"/>
        <v>3.1452246362917435E-10</v>
      </c>
      <c r="AE65" s="8">
        <f t="shared" si="23"/>
        <v>0.3339422196149826</v>
      </c>
      <c r="AF65" s="8">
        <f t="shared" si="16"/>
        <v>-1.5333081082591349E-8</v>
      </c>
      <c r="AG65" s="8">
        <f t="shared" si="18"/>
        <v>0.33394221216440201</v>
      </c>
      <c r="AH65" s="8">
        <f t="shared" si="17"/>
        <v>-7.5092793094810872E-9</v>
      </c>
      <c r="AI65" s="8">
        <f t="shared" si="19"/>
        <v>-2.3618370284975768E-18</v>
      </c>
      <c r="AJ65" s="8">
        <f t="shared" si="20"/>
        <v>1.1514038852409909E-16</v>
      </c>
      <c r="AK65" s="8">
        <f t="shared" si="21"/>
        <v>1.4901161193847656E-8</v>
      </c>
    </row>
    <row r="66" spans="10:37" x14ac:dyDescent="0.2">
      <c r="AB66" s="8">
        <v>27</v>
      </c>
      <c r="AC66" s="8">
        <f t="shared" si="22"/>
        <v>0.33394220471382141</v>
      </c>
      <c r="AD66" s="8">
        <f t="shared" si="15"/>
        <v>3.1452246362917435E-10</v>
      </c>
      <c r="AE66" s="8">
        <f t="shared" si="23"/>
        <v>0.33394221216440201</v>
      </c>
      <c r="AF66" s="8">
        <f t="shared" si="16"/>
        <v>-7.5092793094810872E-9</v>
      </c>
      <c r="AG66" s="8">
        <f t="shared" si="18"/>
        <v>0.33394220843911171</v>
      </c>
      <c r="AH66" s="8">
        <f t="shared" si="17"/>
        <v>-3.5973784506815321E-9</v>
      </c>
      <c r="AI66" s="8">
        <f t="shared" si="19"/>
        <v>-1.1314563329148578E-18</v>
      </c>
      <c r="AJ66" s="8">
        <f t="shared" si="20"/>
        <v>2.7013719568075959E-17</v>
      </c>
      <c r="AK66" s="8">
        <f t="shared" si="21"/>
        <v>7.4505805969238281E-9</v>
      </c>
    </row>
    <row r="67" spans="10:37" x14ac:dyDescent="0.2">
      <c r="J67" s="6" t="s">
        <v>190</v>
      </c>
      <c r="AB67" s="8">
        <v>28</v>
      </c>
      <c r="AC67" s="8">
        <f t="shared" si="22"/>
        <v>0.33394220471382141</v>
      </c>
      <c r="AD67" s="8">
        <f t="shared" si="15"/>
        <v>3.1452246362917435E-10</v>
      </c>
      <c r="AE67" s="8">
        <f t="shared" si="23"/>
        <v>0.33394220843911171</v>
      </c>
      <c r="AF67" s="8">
        <f t="shared" si="16"/>
        <v>-3.5973784506815321E-9</v>
      </c>
      <c r="AG67" s="8">
        <f t="shared" si="18"/>
        <v>0.33394220657646656</v>
      </c>
      <c r="AH67" s="8">
        <f t="shared" si="17"/>
        <v>-1.6414279935261789E-9</v>
      </c>
      <c r="AI67" s="8">
        <f t="shared" si="19"/>
        <v>-5.1626597639374622E-19</v>
      </c>
      <c r="AJ67" s="8">
        <f t="shared" si="20"/>
        <v>5.9048376922565011E-18</v>
      </c>
      <c r="AK67" s="8">
        <f t="shared" si="21"/>
        <v>3.7252902984619141E-9</v>
      </c>
    </row>
    <row r="68" spans="10:37" x14ac:dyDescent="0.2">
      <c r="J68" s="3" t="s">
        <v>109</v>
      </c>
      <c r="K68">
        <v>1164.3186685523688</v>
      </c>
      <c r="L68" t="s">
        <v>12</v>
      </c>
      <c r="AB68" s="8">
        <v>29</v>
      </c>
      <c r="AC68" s="8">
        <f t="shared" si="22"/>
        <v>0.33394220471382141</v>
      </c>
      <c r="AD68" s="8">
        <f t="shared" si="15"/>
        <v>3.1452246362917435E-10</v>
      </c>
      <c r="AE68" s="8">
        <f t="shared" si="23"/>
        <v>0.33394220657646656</v>
      </c>
      <c r="AF68" s="8">
        <f t="shared" si="16"/>
        <v>-1.6414279935261789E-9</v>
      </c>
      <c r="AG68" s="8">
        <f t="shared" si="18"/>
        <v>0.33394220564514399</v>
      </c>
      <c r="AH68" s="8">
        <f t="shared" si="17"/>
        <v>-6.6345279270407786E-10</v>
      </c>
      <c r="AI68" s="8">
        <f t="shared" si="19"/>
        <v>-2.0867080686294248E-19</v>
      </c>
      <c r="AJ68" s="8">
        <f t="shared" si="20"/>
        <v>1.0890099863275944E-18</v>
      </c>
      <c r="AK68" s="8">
        <f t="shared" si="21"/>
        <v>1.862645149230957E-9</v>
      </c>
    </row>
    <row r="69" spans="10:37" x14ac:dyDescent="0.2">
      <c r="J69" s="16" t="s">
        <v>74</v>
      </c>
      <c r="K69">
        <v>202.24983079170909</v>
      </c>
      <c r="L69" t="s">
        <v>12</v>
      </c>
      <c r="AB69" s="8">
        <v>30</v>
      </c>
      <c r="AC69" s="8">
        <f t="shared" si="22"/>
        <v>0.33394220471382141</v>
      </c>
      <c r="AD69" s="8">
        <f t="shared" si="15"/>
        <v>3.1452246362917435E-10</v>
      </c>
      <c r="AE69" s="8">
        <f t="shared" si="23"/>
        <v>0.33394220564514399</v>
      </c>
      <c r="AF69" s="8">
        <f t="shared" si="16"/>
        <v>-6.6345279270407786E-10</v>
      </c>
      <c r="AG69" s="8">
        <f t="shared" si="18"/>
        <v>0.3339422051794827</v>
      </c>
      <c r="AH69" s="8">
        <f t="shared" si="17"/>
        <v>-1.7446516453745176E-10</v>
      </c>
      <c r="AI69" s="8">
        <f t="shared" si="19"/>
        <v>-5.4873213367788589E-20</v>
      </c>
      <c r="AJ69" s="8">
        <f t="shared" si="20"/>
        <v>1.1574940064194882E-19</v>
      </c>
      <c r="AK69" s="8">
        <f t="shared" si="21"/>
        <v>9.3132257461547852E-10</v>
      </c>
    </row>
    <row r="70" spans="10:37" x14ac:dyDescent="0.2">
      <c r="J70" s="12" t="s">
        <v>75</v>
      </c>
      <c r="K70">
        <v>67.099143770220167</v>
      </c>
      <c r="L70" t="s">
        <v>12</v>
      </c>
    </row>
    <row r="71" spans="10:37" x14ac:dyDescent="0.2">
      <c r="J71" s="13" t="s">
        <v>76</v>
      </c>
      <c r="K71">
        <v>82.233160449029171</v>
      </c>
      <c r="L71" t="s">
        <v>12</v>
      </c>
    </row>
    <row r="72" spans="10:37" x14ac:dyDescent="0.2">
      <c r="J72" s="13" t="s">
        <v>107</v>
      </c>
      <c r="K72">
        <v>47.469416866632521</v>
      </c>
      <c r="L72" t="s">
        <v>12</v>
      </c>
      <c r="AB72" s="6" t="s">
        <v>150</v>
      </c>
    </row>
    <row r="73" spans="10:37" x14ac:dyDescent="0.2">
      <c r="J73" s="14" t="s">
        <v>84</v>
      </c>
      <c r="K73">
        <v>164.73242963959723</v>
      </c>
      <c r="L73" t="s">
        <v>12</v>
      </c>
      <c r="AB73" s="7" t="s">
        <v>63</v>
      </c>
      <c r="AC73" s="7" t="s">
        <v>64</v>
      </c>
      <c r="AD73" s="7" t="s">
        <v>65</v>
      </c>
      <c r="AE73" s="7" t="s">
        <v>66</v>
      </c>
      <c r="AF73" s="7" t="s">
        <v>67</v>
      </c>
      <c r="AG73" s="7" t="s">
        <v>68</v>
      </c>
      <c r="AH73" s="7" t="s">
        <v>69</v>
      </c>
      <c r="AI73" s="7" t="s">
        <v>70</v>
      </c>
      <c r="AJ73" s="7" t="s">
        <v>71</v>
      </c>
      <c r="AK73" s="7" t="s">
        <v>72</v>
      </c>
    </row>
    <row r="74" spans="10:37" x14ac:dyDescent="0.2">
      <c r="J74" s="14" t="s">
        <v>85</v>
      </c>
      <c r="K74">
        <v>13.732424713984726</v>
      </c>
      <c r="L74" t="s">
        <v>12</v>
      </c>
      <c r="AB74" s="8">
        <v>0</v>
      </c>
      <c r="AC74" s="9">
        <v>0</v>
      </c>
      <c r="AD74" s="8">
        <f xml:space="preserve"> $W$19 * TAN($W$16/180*PI()) + $W$20 / (2 * SQRT($W$19^2 + AC74^2)) - AC74</f>
        <v>0.38315472846153692</v>
      </c>
      <c r="AE74" s="9">
        <v>1</v>
      </c>
      <c r="AF74" s="8">
        <f xml:space="preserve"> $W$19 * TAN($W$16/180*PI()) + $W$20 / (2 * SQRT($W$19^2 + AE74^2)) - AE74</f>
        <v>-0.68106951999675769</v>
      </c>
      <c r="AG74" s="8">
        <f xml:space="preserve"> (AC74 + AE74)/2</f>
        <v>0.5</v>
      </c>
      <c r="AH74" s="8">
        <f xml:space="preserve"> $W$19 * TAN($W$16/180*PI()) + $W$20 / (2 * SQRT($W$19^2 + AG74^2)) - AG74</f>
        <v>-0.17924188006906094</v>
      </c>
      <c r="AI74" s="8">
        <f>AD74*AH74</f>
        <v>-6.8677373886796414E-2</v>
      </c>
      <c r="AJ74" s="8">
        <f>AF74*AH74</f>
        <v>0.12207618122195174</v>
      </c>
      <c r="AK74" s="8">
        <f>AE74-AC74</f>
        <v>1</v>
      </c>
    </row>
    <row r="75" spans="10:37" x14ac:dyDescent="0.2">
      <c r="J75" s="14" t="s">
        <v>77</v>
      </c>
      <c r="K75">
        <v>114.6496826955896</v>
      </c>
      <c r="L75" t="s">
        <v>12</v>
      </c>
      <c r="AB75" s="8">
        <v>1</v>
      </c>
      <c r="AC75" s="8">
        <f>IF(AI74&gt;0, AG74, AC74)</f>
        <v>0</v>
      </c>
      <c r="AD75" s="8">
        <f t="shared" ref="AD75:AD104" si="24" xml:space="preserve"> $W$19 * TAN($W$16/180*PI()) + $W$20 / (2 * SQRT($W$19^2 + AC75^2)) - AC75</f>
        <v>0.38315472846153692</v>
      </c>
      <c r="AE75" s="8">
        <f>IF(AJ74&gt;0, AG74, AE74)</f>
        <v>0.5</v>
      </c>
      <c r="AF75" s="8">
        <f t="shared" ref="AF75:AF104" si="25" xml:space="preserve"> $W$19 * TAN($W$16/180*PI()) + $W$20 / (2 * SQRT($W$19^2 + AE75^2)) - AE75</f>
        <v>-0.17924188006906094</v>
      </c>
      <c r="AG75" s="8">
        <f t="shared" ref="AG75:AG104" si="26" xml:space="preserve"> (AC75 + AE75)/2</f>
        <v>0.25</v>
      </c>
      <c r="AH75" s="8">
        <f t="shared" ref="AH75:AH104" si="27" xml:space="preserve"> $W$19 * TAN($W$16/180*PI()) + $W$20 / (2 * SQRT($W$19^2 + AG75^2)) - AG75</f>
        <v>7.4384155214251291E-2</v>
      </c>
      <c r="AI75" s="8">
        <f t="shared" ref="AI75:AI104" si="28">AD75*AH75</f>
        <v>2.850064079295727E-2</v>
      </c>
      <c r="AJ75" s="8">
        <f t="shared" ref="AJ75:AJ104" si="29">AF75*AH75</f>
        <v>-1.3332755827951244E-2</v>
      </c>
      <c r="AK75" s="8">
        <f t="shared" ref="AK75:AK104" si="30">AE75-AC75</f>
        <v>0.5</v>
      </c>
    </row>
    <row r="76" spans="10:37" x14ac:dyDescent="0.2">
      <c r="J76" s="14" t="s">
        <v>86</v>
      </c>
      <c r="K76">
        <v>11.734195716688115</v>
      </c>
      <c r="L76" t="s">
        <v>12</v>
      </c>
      <c r="AB76" s="8">
        <v>2</v>
      </c>
      <c r="AC76" s="8">
        <f t="shared" ref="AC76:AC104" si="31">IF(AI75&gt;0, AG75, AC75)</f>
        <v>0.25</v>
      </c>
      <c r="AD76" s="8">
        <f t="shared" si="24"/>
        <v>7.4384155214251291E-2</v>
      </c>
      <c r="AE76" s="8">
        <f t="shared" ref="AE76:AE104" si="32">IF(AJ75&gt;0, AG75, AE75)</f>
        <v>0.5</v>
      </c>
      <c r="AF76" s="8">
        <f t="shared" si="25"/>
        <v>-0.17924188006906094</v>
      </c>
      <c r="AG76" s="8">
        <f t="shared" si="26"/>
        <v>0.375</v>
      </c>
      <c r="AH76" s="8">
        <f t="shared" si="27"/>
        <v>-5.3027860431534679E-2</v>
      </c>
      <c r="AI76" s="8">
        <f t="shared" si="28"/>
        <v>-3.9444326010189303E-3</v>
      </c>
      <c r="AJ76" s="8">
        <f t="shared" si="29"/>
        <v>9.5048133997880421E-3</v>
      </c>
      <c r="AK76" s="8">
        <f t="shared" si="30"/>
        <v>0.25</v>
      </c>
    </row>
    <row r="77" spans="10:37" x14ac:dyDescent="0.2">
      <c r="J77" s="14" t="s">
        <v>87</v>
      </c>
      <c r="K77">
        <v>5.8527093626715798</v>
      </c>
      <c r="L77" t="s">
        <v>12</v>
      </c>
      <c r="AB77" s="8">
        <v>3</v>
      </c>
      <c r="AC77" s="8">
        <f t="shared" si="31"/>
        <v>0.25</v>
      </c>
      <c r="AD77" s="8">
        <f t="shared" si="24"/>
        <v>7.4384155214251291E-2</v>
      </c>
      <c r="AE77" s="8">
        <f t="shared" si="32"/>
        <v>0.375</v>
      </c>
      <c r="AF77" s="8">
        <f t="shared" si="25"/>
        <v>-5.3027860431534679E-2</v>
      </c>
      <c r="AG77" s="8">
        <f t="shared" si="26"/>
        <v>0.3125</v>
      </c>
      <c r="AH77" s="8">
        <f t="shared" si="27"/>
        <v>1.0439852493387636E-2</v>
      </c>
      <c r="AI77" s="8">
        <f t="shared" si="28"/>
        <v>7.7655960828203424E-4</v>
      </c>
      <c r="AJ77" s="8">
        <f t="shared" si="29"/>
        <v>-5.5360304094516886E-4</v>
      </c>
      <c r="AK77" s="8">
        <f t="shared" si="30"/>
        <v>0.125</v>
      </c>
    </row>
    <row r="78" spans="10:37" x14ac:dyDescent="0.2">
      <c r="J78" s="15" t="s">
        <v>88</v>
      </c>
      <c r="K78">
        <v>24.962992253762788</v>
      </c>
      <c r="L78" t="s">
        <v>12</v>
      </c>
      <c r="AB78" s="8">
        <v>4</v>
      </c>
      <c r="AC78" s="8">
        <f t="shared" si="31"/>
        <v>0.3125</v>
      </c>
      <c r="AD78" s="8">
        <f t="shared" si="24"/>
        <v>1.0439852493387636E-2</v>
      </c>
      <c r="AE78" s="8">
        <f t="shared" si="32"/>
        <v>0.375</v>
      </c>
      <c r="AF78" s="8">
        <f t="shared" si="25"/>
        <v>-5.3027860431534679E-2</v>
      </c>
      <c r="AG78" s="8">
        <f t="shared" si="26"/>
        <v>0.34375</v>
      </c>
      <c r="AH78" s="8">
        <f t="shared" si="27"/>
        <v>-2.1337561598346155E-2</v>
      </c>
      <c r="AI78" s="8">
        <f t="shared" si="28"/>
        <v>-2.2276099565530637E-4</v>
      </c>
      <c r="AJ78" s="8">
        <f t="shared" si="29"/>
        <v>1.131485238386374E-3</v>
      </c>
      <c r="AK78" s="8">
        <f t="shared" si="30"/>
        <v>6.25E-2</v>
      </c>
    </row>
    <row r="79" spans="10:37" x14ac:dyDescent="0.2">
      <c r="J79" s="15" t="s">
        <v>89</v>
      </c>
      <c r="K79">
        <v>6.0843677430285634</v>
      </c>
      <c r="L79" t="s">
        <v>12</v>
      </c>
      <c r="AB79" s="8">
        <v>5</v>
      </c>
      <c r="AC79" s="8">
        <f t="shared" si="31"/>
        <v>0.3125</v>
      </c>
      <c r="AD79" s="8">
        <f t="shared" si="24"/>
        <v>1.0439852493387636E-2</v>
      </c>
      <c r="AE79" s="8">
        <f t="shared" si="32"/>
        <v>0.34375</v>
      </c>
      <c r="AF79" s="8">
        <f t="shared" si="25"/>
        <v>-2.1337561598346155E-2</v>
      </c>
      <c r="AG79" s="8">
        <f t="shared" si="26"/>
        <v>0.328125</v>
      </c>
      <c r="AH79" s="8">
        <f t="shared" si="27"/>
        <v>-5.4612781360365292E-3</v>
      </c>
      <c r="AI79" s="8">
        <f t="shared" si="28"/>
        <v>-5.7014938165584342E-5</v>
      </c>
      <c r="AJ79" s="8">
        <f t="shared" si="29"/>
        <v>1.1653035863338052E-4</v>
      </c>
      <c r="AK79" s="8">
        <f t="shared" si="30"/>
        <v>3.125E-2</v>
      </c>
    </row>
    <row r="80" spans="10:37" x14ac:dyDescent="0.2">
      <c r="J80" s="15" t="s">
        <v>90</v>
      </c>
      <c r="K80">
        <v>7.4516394787351601</v>
      </c>
      <c r="L80" t="s">
        <v>12</v>
      </c>
      <c r="AB80" s="8">
        <v>6</v>
      </c>
      <c r="AC80" s="8">
        <f t="shared" si="31"/>
        <v>0.3125</v>
      </c>
      <c r="AD80" s="8">
        <f t="shared" si="24"/>
        <v>1.0439852493387636E-2</v>
      </c>
      <c r="AE80" s="8">
        <f t="shared" si="32"/>
        <v>0.328125</v>
      </c>
      <c r="AF80" s="8">
        <f t="shared" si="25"/>
        <v>-5.4612781360365292E-3</v>
      </c>
      <c r="AG80" s="8">
        <f t="shared" si="26"/>
        <v>0.3203125</v>
      </c>
      <c r="AH80" s="8">
        <f t="shared" si="27"/>
        <v>2.4859573556348935E-3</v>
      </c>
      <c r="AI80" s="8">
        <f t="shared" si="28"/>
        <v>2.5953028097680277E-5</v>
      </c>
      <c r="AJ80" s="8">
        <f t="shared" si="29"/>
        <v>-1.357650455344803E-5</v>
      </c>
      <c r="AK80" s="8">
        <f t="shared" si="30"/>
        <v>1.5625E-2</v>
      </c>
    </row>
    <row r="81" spans="10:37" x14ac:dyDescent="0.2">
      <c r="J81" s="15" t="s">
        <v>91</v>
      </c>
      <c r="K81">
        <v>16.066675069990328</v>
      </c>
      <c r="L81" t="s">
        <v>12</v>
      </c>
      <c r="AB81" s="8">
        <v>7</v>
      </c>
      <c r="AC81" s="8">
        <f t="shared" si="31"/>
        <v>0.3203125</v>
      </c>
      <c r="AD81" s="8">
        <f t="shared" si="24"/>
        <v>2.4859573556348935E-3</v>
      </c>
      <c r="AE81" s="8">
        <f t="shared" si="32"/>
        <v>0.328125</v>
      </c>
      <c r="AF81" s="8">
        <f t="shared" si="25"/>
        <v>-5.4612781360365292E-3</v>
      </c>
      <c r="AG81" s="8">
        <f t="shared" si="26"/>
        <v>0.32421875</v>
      </c>
      <c r="AH81" s="8">
        <f t="shared" si="27"/>
        <v>-1.4884631995600306E-3</v>
      </c>
      <c r="AI81" s="8">
        <f t="shared" si="28"/>
        <v>-3.7002560395381063E-6</v>
      </c>
      <c r="AJ81" s="8">
        <f t="shared" si="29"/>
        <v>8.1289115280521718E-6</v>
      </c>
      <c r="AK81" s="8">
        <f t="shared" si="30"/>
        <v>7.8125E-3</v>
      </c>
    </row>
    <row r="82" spans="10:37" x14ac:dyDescent="0.2">
      <c r="AB82" s="8">
        <v>8</v>
      </c>
      <c r="AC82" s="8">
        <f t="shared" si="31"/>
        <v>0.3203125</v>
      </c>
      <c r="AD82" s="8">
        <f t="shared" si="24"/>
        <v>2.4859573556348935E-3</v>
      </c>
      <c r="AE82" s="8">
        <f t="shared" si="32"/>
        <v>0.32421875</v>
      </c>
      <c r="AF82" s="8">
        <f t="shared" si="25"/>
        <v>-1.4884631995600306E-3</v>
      </c>
      <c r="AG82" s="8">
        <f t="shared" si="26"/>
        <v>0.322265625</v>
      </c>
      <c r="AH82" s="8">
        <f t="shared" si="27"/>
        <v>4.9854278011196573E-4</v>
      </c>
      <c r="AI82" s="8">
        <f t="shared" si="28"/>
        <v>1.2393560913180105E-6</v>
      </c>
      <c r="AJ82" s="8">
        <f t="shared" si="29"/>
        <v>-7.4206258160300927E-7</v>
      </c>
      <c r="AK82" s="8">
        <f t="shared" si="30"/>
        <v>3.90625E-3</v>
      </c>
    </row>
    <row r="83" spans="10:37" x14ac:dyDescent="0.2">
      <c r="AB83" s="8">
        <v>9</v>
      </c>
      <c r="AC83" s="8">
        <f t="shared" si="31"/>
        <v>0.322265625</v>
      </c>
      <c r="AD83" s="8">
        <f t="shared" si="24"/>
        <v>4.9854278011196573E-4</v>
      </c>
      <c r="AE83" s="8">
        <f t="shared" si="32"/>
        <v>0.32421875</v>
      </c>
      <c r="AF83" s="8">
        <f t="shared" si="25"/>
        <v>-1.4884631995600306E-3</v>
      </c>
      <c r="AG83" s="8">
        <f t="shared" si="26"/>
        <v>0.3232421875</v>
      </c>
      <c r="AH83" s="8">
        <f t="shared" si="27"/>
        <v>-4.9501082809261243E-4</v>
      </c>
      <c r="AI83" s="8">
        <f t="shared" si="28"/>
        <v>-2.4678407442281735E-7</v>
      </c>
      <c r="AJ83" s="8">
        <f t="shared" si="29"/>
        <v>7.3680540099959013E-7</v>
      </c>
      <c r="AK83" s="8">
        <f t="shared" si="30"/>
        <v>1.953125E-3</v>
      </c>
    </row>
    <row r="84" spans="10:37" x14ac:dyDescent="0.2">
      <c r="AB84" s="8">
        <v>10</v>
      </c>
      <c r="AC84" s="8">
        <f t="shared" si="31"/>
        <v>0.322265625</v>
      </c>
      <c r="AD84" s="8">
        <f t="shared" si="24"/>
        <v>4.9854278011196573E-4</v>
      </c>
      <c r="AE84" s="8">
        <f t="shared" si="32"/>
        <v>0.3232421875</v>
      </c>
      <c r="AF84" s="8">
        <f t="shared" si="25"/>
        <v>-4.9501082809261243E-4</v>
      </c>
      <c r="AG84" s="8">
        <f t="shared" si="26"/>
        <v>0.32275390625</v>
      </c>
      <c r="AH84" s="8">
        <f t="shared" si="27"/>
        <v>1.7532648267648554E-6</v>
      </c>
      <c r="AI84" s="8">
        <f t="shared" si="28"/>
        <v>8.7407752100787497E-10</v>
      </c>
      <c r="AJ84" s="8">
        <f t="shared" si="29"/>
        <v>-8.6788507376252175E-10</v>
      </c>
      <c r="AK84" s="8">
        <f t="shared" si="30"/>
        <v>9.765625E-4</v>
      </c>
    </row>
    <row r="85" spans="10:37" x14ac:dyDescent="0.2">
      <c r="AB85" s="8">
        <v>11</v>
      </c>
      <c r="AC85" s="8">
        <f t="shared" si="31"/>
        <v>0.32275390625</v>
      </c>
      <c r="AD85" s="8">
        <f t="shared" si="24"/>
        <v>1.7532648267648554E-6</v>
      </c>
      <c r="AE85" s="8">
        <f t="shared" si="32"/>
        <v>0.3232421875</v>
      </c>
      <c r="AF85" s="8">
        <f t="shared" si="25"/>
        <v>-4.9501082809261243E-4</v>
      </c>
      <c r="AG85" s="8">
        <f t="shared" si="26"/>
        <v>0.322998046875</v>
      </c>
      <c r="AH85" s="8">
        <f t="shared" si="27"/>
        <v>-2.4663195232854651E-4</v>
      </c>
      <c r="AI85" s="8">
        <f t="shared" si="28"/>
        <v>-4.324111271739872E-10</v>
      </c>
      <c r="AJ85" s="8">
        <f t="shared" si="29"/>
        <v>1.2208548695625153E-7</v>
      </c>
      <c r="AK85" s="8">
        <f t="shared" si="30"/>
        <v>4.8828125E-4</v>
      </c>
    </row>
    <row r="86" spans="10:37" x14ac:dyDescent="0.2">
      <c r="AB86" s="8">
        <v>12</v>
      </c>
      <c r="AC86" s="8">
        <f t="shared" si="31"/>
        <v>0.32275390625</v>
      </c>
      <c r="AD86" s="8">
        <f t="shared" si="24"/>
        <v>1.7532648267648554E-6</v>
      </c>
      <c r="AE86" s="8">
        <f t="shared" si="32"/>
        <v>0.322998046875</v>
      </c>
      <c r="AF86" s="8">
        <f t="shared" si="25"/>
        <v>-2.4663195232854651E-4</v>
      </c>
      <c r="AG86" s="8">
        <f t="shared" si="26"/>
        <v>0.3228759765625</v>
      </c>
      <c r="AH86" s="8">
        <f t="shared" si="27"/>
        <v>-1.2244013731066428E-4</v>
      </c>
      <c r="AI86" s="8">
        <f t="shared" si="28"/>
        <v>-2.1466998613104691E-10</v>
      </c>
      <c r="AJ86" s="8">
        <f t="shared" si="29"/>
        <v>3.0197650108304443E-8</v>
      </c>
      <c r="AK86" s="8">
        <f t="shared" si="30"/>
        <v>2.44140625E-4</v>
      </c>
    </row>
    <row r="87" spans="10:37" x14ac:dyDescent="0.2">
      <c r="AB87" s="8">
        <v>13</v>
      </c>
      <c r="AC87" s="8">
        <f t="shared" si="31"/>
        <v>0.32275390625</v>
      </c>
      <c r="AD87" s="8">
        <f t="shared" si="24"/>
        <v>1.7532648267648554E-6</v>
      </c>
      <c r="AE87" s="8">
        <f t="shared" si="32"/>
        <v>0.3228759765625</v>
      </c>
      <c r="AF87" s="8">
        <f t="shared" si="25"/>
        <v>-1.2244013731066428E-4</v>
      </c>
      <c r="AG87" s="8">
        <f t="shared" si="26"/>
        <v>0.32281494140625</v>
      </c>
      <c r="AH87" s="8">
        <f t="shared" si="27"/>
        <v>-6.0343634742776597E-5</v>
      </c>
      <c r="AI87" s="8">
        <f t="shared" si="28"/>
        <v>-1.0579837231365592E-10</v>
      </c>
      <c r="AJ87" s="8">
        <f t="shared" si="29"/>
        <v>7.3884829237301382E-9</v>
      </c>
      <c r="AK87" s="8">
        <f t="shared" si="30"/>
        <v>1.220703125E-4</v>
      </c>
    </row>
    <row r="88" spans="10:37" x14ac:dyDescent="0.2">
      <c r="AB88" s="8">
        <v>14</v>
      </c>
      <c r="AC88" s="8">
        <f t="shared" si="31"/>
        <v>0.32275390625</v>
      </c>
      <c r="AD88" s="8">
        <f t="shared" si="24"/>
        <v>1.7532648267648554E-6</v>
      </c>
      <c r="AE88" s="8">
        <f t="shared" si="32"/>
        <v>0.32281494140625</v>
      </c>
      <c r="AF88" s="8">
        <f t="shared" si="25"/>
        <v>-6.0343634742776597E-5</v>
      </c>
      <c r="AG88" s="8">
        <f t="shared" si="26"/>
        <v>0.322784423828125</v>
      </c>
      <c r="AH88" s="8">
        <f t="shared" si="27"/>
        <v>-2.9295234597104258E-5</v>
      </c>
      <c r="AI88" s="8">
        <f t="shared" si="28"/>
        <v>-5.1362304410927796E-11</v>
      </c>
      <c r="AJ88" s="8">
        <f t="shared" si="29"/>
        <v>1.7677809362316115E-9</v>
      </c>
      <c r="AK88" s="8">
        <f t="shared" si="30"/>
        <v>6.103515625E-5</v>
      </c>
    </row>
    <row r="89" spans="10:37" x14ac:dyDescent="0.2">
      <c r="AB89" s="8">
        <v>15</v>
      </c>
      <c r="AC89" s="8">
        <f t="shared" si="31"/>
        <v>0.32275390625</v>
      </c>
      <c r="AD89" s="8">
        <f t="shared" si="24"/>
        <v>1.7532648267648554E-6</v>
      </c>
      <c r="AE89" s="8">
        <f t="shared" si="32"/>
        <v>0.322784423828125</v>
      </c>
      <c r="AF89" s="8">
        <f t="shared" si="25"/>
        <v>-2.9295234597104258E-5</v>
      </c>
      <c r="AG89" s="8">
        <f t="shared" si="26"/>
        <v>0.3227691650390625</v>
      </c>
      <c r="AH89" s="8">
        <f t="shared" si="27"/>
        <v>-1.3770997296658205E-5</v>
      </c>
      <c r="AI89" s="8">
        <f t="shared" si="28"/>
        <v>-2.414420518970474E-11</v>
      </c>
      <c r="AJ89" s="8">
        <f t="shared" si="29"/>
        <v>4.0342459644169064E-10</v>
      </c>
      <c r="AK89" s="8">
        <f t="shared" si="30"/>
        <v>3.0517578125E-5</v>
      </c>
    </row>
    <row r="90" spans="10:37" x14ac:dyDescent="0.2">
      <c r="AB90" s="8">
        <v>16</v>
      </c>
      <c r="AC90" s="8">
        <f t="shared" si="31"/>
        <v>0.32275390625</v>
      </c>
      <c r="AD90" s="8">
        <f t="shared" si="24"/>
        <v>1.7532648267648554E-6</v>
      </c>
      <c r="AE90" s="8">
        <f t="shared" si="32"/>
        <v>0.3227691650390625</v>
      </c>
      <c r="AF90" s="8">
        <f t="shared" si="25"/>
        <v>-1.3770997296658205E-5</v>
      </c>
      <c r="AG90" s="8">
        <f t="shared" si="26"/>
        <v>0.32276153564453125</v>
      </c>
      <c r="AH90" s="8">
        <f t="shared" si="27"/>
        <v>-6.0088693380477842E-6</v>
      </c>
      <c r="AI90" s="8">
        <f t="shared" si="28"/>
        <v>-1.0535139259025E-11</v>
      </c>
      <c r="AJ90" s="8">
        <f t="shared" si="29"/>
        <v>8.2748123410228419E-11</v>
      </c>
      <c r="AK90" s="8">
        <f t="shared" si="30"/>
        <v>1.52587890625E-5</v>
      </c>
    </row>
    <row r="91" spans="10:37" x14ac:dyDescent="0.2">
      <c r="AB91" s="8">
        <v>17</v>
      </c>
      <c r="AC91" s="8">
        <f t="shared" si="31"/>
        <v>0.32275390625</v>
      </c>
      <c r="AD91" s="8">
        <f t="shared" si="24"/>
        <v>1.7532648267648554E-6</v>
      </c>
      <c r="AE91" s="8">
        <f t="shared" si="32"/>
        <v>0.32276153564453125</v>
      </c>
      <c r="AF91" s="8">
        <f t="shared" si="25"/>
        <v>-6.0088693380477842E-6</v>
      </c>
      <c r="AG91" s="8">
        <f t="shared" si="26"/>
        <v>0.32275772094726562</v>
      </c>
      <c r="AH91" s="8">
        <f t="shared" si="27"/>
        <v>-2.1278030314375584E-6</v>
      </c>
      <c r="AI91" s="8">
        <f t="shared" si="28"/>
        <v>-3.7306022133031055E-12</v>
      </c>
      <c r="AJ91" s="8">
        <f t="shared" si="29"/>
        <v>1.2785690393010271E-11</v>
      </c>
      <c r="AK91" s="8">
        <f t="shared" si="30"/>
        <v>7.62939453125E-6</v>
      </c>
    </row>
    <row r="92" spans="10:37" x14ac:dyDescent="0.2">
      <c r="AB92" s="8">
        <v>18</v>
      </c>
      <c r="AC92" s="8">
        <f t="shared" si="31"/>
        <v>0.32275390625</v>
      </c>
      <c r="AD92" s="8">
        <f t="shared" si="24"/>
        <v>1.7532648267648554E-6</v>
      </c>
      <c r="AE92" s="8">
        <f t="shared" si="32"/>
        <v>0.32275772094726562</v>
      </c>
      <c r="AF92" s="8">
        <f t="shared" si="25"/>
        <v>-2.1278030314375584E-6</v>
      </c>
      <c r="AG92" s="8">
        <f t="shared" si="26"/>
        <v>0.32275581359863281</v>
      </c>
      <c r="AH92" s="8">
        <f t="shared" si="27"/>
        <v>-1.8726929629231392E-7</v>
      </c>
      <c r="AI92" s="8">
        <f t="shared" si="28"/>
        <v>-3.2833267032232015E-13</v>
      </c>
      <c r="AJ92" s="8">
        <f t="shared" si="29"/>
        <v>3.9847217634596388E-13</v>
      </c>
      <c r="AK92" s="8">
        <f t="shared" si="30"/>
        <v>3.814697265625E-6</v>
      </c>
    </row>
    <row r="93" spans="10:37" x14ac:dyDescent="0.2">
      <c r="AB93" s="8">
        <v>19</v>
      </c>
      <c r="AC93" s="8">
        <f t="shared" si="31"/>
        <v>0.32275390625</v>
      </c>
      <c r="AD93" s="8">
        <f t="shared" si="24"/>
        <v>1.7532648267648554E-6</v>
      </c>
      <c r="AE93" s="8">
        <f t="shared" si="32"/>
        <v>0.32275581359863281</v>
      </c>
      <c r="AF93" s="8">
        <f t="shared" si="25"/>
        <v>-1.8726929629231392E-7</v>
      </c>
      <c r="AG93" s="8">
        <f t="shared" si="26"/>
        <v>0.32275485992431641</v>
      </c>
      <c r="AH93" s="8">
        <f t="shared" si="27"/>
        <v>7.8299771671952456E-7</v>
      </c>
      <c r="AI93" s="8">
        <f t="shared" si="28"/>
        <v>1.3728023561615346E-12</v>
      </c>
      <c r="AJ93" s="8">
        <f t="shared" si="29"/>
        <v>-1.4663143140855392E-13</v>
      </c>
      <c r="AK93" s="8">
        <f t="shared" si="30"/>
        <v>1.9073486328125E-6</v>
      </c>
    </row>
    <row r="94" spans="10:37" x14ac:dyDescent="0.2">
      <c r="AB94" s="8">
        <v>20</v>
      </c>
      <c r="AC94" s="8">
        <f t="shared" si="31"/>
        <v>0.32275485992431641</v>
      </c>
      <c r="AD94" s="8">
        <f t="shared" si="24"/>
        <v>7.8299771671952456E-7</v>
      </c>
      <c r="AE94" s="8">
        <f t="shared" si="32"/>
        <v>0.32275581359863281</v>
      </c>
      <c r="AF94" s="8">
        <f t="shared" si="25"/>
        <v>-1.8726929629231392E-7</v>
      </c>
      <c r="AG94" s="8">
        <f t="shared" si="26"/>
        <v>0.32275533676147461</v>
      </c>
      <c r="AH94" s="8">
        <f t="shared" si="27"/>
        <v>2.9786419808441877E-7</v>
      </c>
      <c r="AI94" s="8">
        <f t="shared" si="28"/>
        <v>2.3322698699259208E-13</v>
      </c>
      <c r="AJ94" s="8">
        <f t="shared" si="29"/>
        <v>-5.5780818765943506E-14</v>
      </c>
      <c r="AK94" s="8">
        <f t="shared" si="30"/>
        <v>9.5367431640625E-7</v>
      </c>
    </row>
    <row r="95" spans="10:37" x14ac:dyDescent="0.2">
      <c r="AB95" s="8">
        <v>21</v>
      </c>
      <c r="AC95" s="8">
        <f t="shared" si="31"/>
        <v>0.32275533676147461</v>
      </c>
      <c r="AD95" s="8">
        <f t="shared" si="24"/>
        <v>2.9786419808441877E-7</v>
      </c>
      <c r="AE95" s="8">
        <f t="shared" si="32"/>
        <v>0.32275581359863281</v>
      </c>
      <c r="AF95" s="8">
        <f t="shared" si="25"/>
        <v>-1.8726929629231392E-7</v>
      </c>
      <c r="AG95" s="8">
        <f t="shared" si="26"/>
        <v>0.32275557518005371</v>
      </c>
      <c r="AH95" s="8">
        <f t="shared" si="27"/>
        <v>5.5297447842939107E-8</v>
      </c>
      <c r="AI95" s="8">
        <f t="shared" si="28"/>
        <v>1.6471129957852029E-14</v>
      </c>
      <c r="AJ95" s="8">
        <f t="shared" si="29"/>
        <v>-1.0355514144308139E-14</v>
      </c>
      <c r="AK95" s="8">
        <f t="shared" si="30"/>
        <v>4.76837158203125E-7</v>
      </c>
    </row>
    <row r="96" spans="10:37" x14ac:dyDescent="0.2">
      <c r="AB96" s="8">
        <v>22</v>
      </c>
      <c r="AC96" s="8">
        <f t="shared" si="31"/>
        <v>0.32275557518005371</v>
      </c>
      <c r="AD96" s="8">
        <f t="shared" si="24"/>
        <v>5.5297447842939107E-8</v>
      </c>
      <c r="AE96" s="8">
        <f t="shared" si="32"/>
        <v>0.32275581359863281</v>
      </c>
      <c r="AF96" s="8">
        <f t="shared" si="25"/>
        <v>-1.8726929629231392E-7</v>
      </c>
      <c r="AG96" s="8">
        <f t="shared" si="26"/>
        <v>0.32275569438934326</v>
      </c>
      <c r="AH96" s="8">
        <f t="shared" si="27"/>
        <v>-6.5985924946332375E-8</v>
      </c>
      <c r="AI96" s="8">
        <f t="shared" si="28"/>
        <v>-3.6488532430879088E-15</v>
      </c>
      <c r="AJ96" s="8">
        <f t="shared" si="29"/>
        <v>1.2357137729897106E-14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0.32275557518005371</v>
      </c>
      <c r="AD97" s="8">
        <f t="shared" si="24"/>
        <v>5.5297447842939107E-8</v>
      </c>
      <c r="AE97" s="8">
        <f t="shared" si="32"/>
        <v>0.32275569438934326</v>
      </c>
      <c r="AF97" s="8">
        <f t="shared" si="25"/>
        <v>-6.5985924946332375E-8</v>
      </c>
      <c r="AG97" s="8">
        <f t="shared" si="26"/>
        <v>0.32275563478469849</v>
      </c>
      <c r="AH97" s="8">
        <f t="shared" si="27"/>
        <v>-5.3442387182300877E-9</v>
      </c>
      <c r="AI97" s="8">
        <f t="shared" si="28"/>
        <v>-2.9552276178154401E-16</v>
      </c>
      <c r="AJ97" s="8">
        <f t="shared" si="29"/>
        <v>3.5264453495641407E-16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0.32275557518005371</v>
      </c>
      <c r="AD98" s="8">
        <f t="shared" si="24"/>
        <v>5.5297447842939107E-8</v>
      </c>
      <c r="AE98" s="8">
        <f t="shared" si="32"/>
        <v>0.32275563478469849</v>
      </c>
      <c r="AF98" s="8">
        <f t="shared" si="25"/>
        <v>-5.3442387182300877E-9</v>
      </c>
      <c r="AG98" s="8">
        <f t="shared" si="26"/>
        <v>0.3227556049823761</v>
      </c>
      <c r="AH98" s="8">
        <f t="shared" si="27"/>
        <v>2.4976604506843358E-8</v>
      </c>
      <c r="AI98" s="8">
        <f t="shared" si="28"/>
        <v>1.3811424850108884E-15</v>
      </c>
      <c r="AJ98" s="8">
        <f t="shared" si="29"/>
        <v>-1.3348093685539237E-16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0.3227556049823761</v>
      </c>
      <c r="AD99" s="8">
        <f t="shared" si="24"/>
        <v>2.4976604506843358E-8</v>
      </c>
      <c r="AE99" s="8">
        <f t="shared" si="32"/>
        <v>0.32275563478469849</v>
      </c>
      <c r="AF99" s="8">
        <f t="shared" si="25"/>
        <v>-5.3442387182300877E-9</v>
      </c>
      <c r="AG99" s="8">
        <f t="shared" si="26"/>
        <v>0.32275561988353729</v>
      </c>
      <c r="AH99" s="8">
        <f t="shared" si="27"/>
        <v>9.8161828665510598E-9</v>
      </c>
      <c r="AI99" s="8">
        <f t="shared" si="28"/>
        <v>2.4517491722469775E-16</v>
      </c>
      <c r="AJ99" s="8">
        <f t="shared" si="29"/>
        <v>-5.2460024540648983E-17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0.32275561988353729</v>
      </c>
      <c r="AD100" s="8">
        <f t="shared" si="24"/>
        <v>9.8161828665510598E-9</v>
      </c>
      <c r="AE100" s="8">
        <f t="shared" si="32"/>
        <v>0.32275563478469849</v>
      </c>
      <c r="AF100" s="8">
        <f t="shared" si="25"/>
        <v>-5.3442387182300877E-9</v>
      </c>
      <c r="AG100" s="8">
        <f t="shared" si="26"/>
        <v>0.32275562733411789</v>
      </c>
      <c r="AH100" s="8">
        <f t="shared" si="27"/>
        <v>2.235972074160486E-9</v>
      </c>
      <c r="AI100" s="8">
        <f t="shared" si="28"/>
        <v>2.1948710764460799E-17</v>
      </c>
      <c r="AJ100" s="8">
        <f t="shared" si="29"/>
        <v>-1.1949568531609706E-17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0.32275562733411789</v>
      </c>
      <c r="AD101" s="8">
        <f t="shared" si="24"/>
        <v>2.235972074160486E-9</v>
      </c>
      <c r="AE101" s="8">
        <f t="shared" si="32"/>
        <v>0.32275563478469849</v>
      </c>
      <c r="AF101" s="8">
        <f t="shared" si="25"/>
        <v>-5.3442387182300877E-9</v>
      </c>
      <c r="AG101" s="8">
        <f t="shared" si="26"/>
        <v>0.32275563105940819</v>
      </c>
      <c r="AH101" s="8">
        <f t="shared" si="27"/>
        <v>-1.5541333220348008E-9</v>
      </c>
      <c r="AI101" s="8">
        <f t="shared" si="28"/>
        <v>-3.4749987075920802E-18</v>
      </c>
      <c r="AJ101" s="8">
        <f t="shared" si="29"/>
        <v>8.305659472909932E-18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0.32275562733411789</v>
      </c>
      <c r="AD102" s="8">
        <f t="shared" si="24"/>
        <v>2.235972074160486E-9</v>
      </c>
      <c r="AE102" s="8">
        <f t="shared" si="32"/>
        <v>0.32275563105940819</v>
      </c>
      <c r="AF102" s="8">
        <f t="shared" si="25"/>
        <v>-1.5541333220348008E-9</v>
      </c>
      <c r="AG102" s="8">
        <f t="shared" si="26"/>
        <v>0.32275562919676304</v>
      </c>
      <c r="AH102" s="8">
        <f t="shared" si="27"/>
        <v>3.40919348307267E-10</v>
      </c>
      <c r="AI102" s="8">
        <f t="shared" si="28"/>
        <v>7.6228614235604098E-19</v>
      </c>
      <c r="AJ102" s="8">
        <f t="shared" si="29"/>
        <v>-5.2983411933071221E-19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0.32275562919676304</v>
      </c>
      <c r="AD103" s="8">
        <f t="shared" si="24"/>
        <v>3.40919348307267E-10</v>
      </c>
      <c r="AE103" s="8">
        <f t="shared" si="32"/>
        <v>0.32275563105940819</v>
      </c>
      <c r="AF103" s="8">
        <f t="shared" si="25"/>
        <v>-1.5541333220348008E-9</v>
      </c>
      <c r="AG103" s="8">
        <f t="shared" si="26"/>
        <v>0.32275563012808561</v>
      </c>
      <c r="AH103" s="8">
        <f t="shared" si="27"/>
        <v>-6.0660698686376691E-10</v>
      </c>
      <c r="AI103" s="8">
        <f t="shared" si="28"/>
        <v>-2.0680405864023029E-19</v>
      </c>
      <c r="AJ103" s="8">
        <f t="shared" si="29"/>
        <v>9.4274813166410684E-19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0.32275562919676304</v>
      </c>
      <c r="AD104" s="8">
        <f t="shared" si="24"/>
        <v>3.40919348307267E-10</v>
      </c>
      <c r="AE104" s="8">
        <f t="shared" si="32"/>
        <v>0.32275563012808561</v>
      </c>
      <c r="AF104" s="8">
        <f t="shared" si="25"/>
        <v>-6.0660698686376691E-10</v>
      </c>
      <c r="AG104" s="8">
        <f t="shared" si="26"/>
        <v>0.32275562966242433</v>
      </c>
      <c r="AH104" s="8">
        <f t="shared" si="27"/>
        <v>-1.3284379152267434E-10</v>
      </c>
      <c r="AI104" s="8">
        <f t="shared" si="28"/>
        <v>-4.5289018832576576E-20</v>
      </c>
      <c r="AJ104" s="8">
        <f t="shared" si="29"/>
        <v>8.0583972099127901E-20</v>
      </c>
      <c r="AK104" s="8">
        <f t="shared" si="30"/>
        <v>9.3132257461547852E-10</v>
      </c>
    </row>
  </sheetData>
  <mergeCells count="25">
    <mergeCell ref="B60:D60"/>
    <mergeCell ref="B52:D52"/>
    <mergeCell ref="R15:T15"/>
    <mergeCell ref="N16:P16"/>
    <mergeCell ref="V15:X15"/>
    <mergeCell ref="F26:H26"/>
    <mergeCell ref="B35:D35"/>
    <mergeCell ref="J42:L42"/>
    <mergeCell ref="B38:D38"/>
    <mergeCell ref="B43:D43"/>
    <mergeCell ref="B48:D48"/>
    <mergeCell ref="B55:D55"/>
    <mergeCell ref="B1:D1"/>
    <mergeCell ref="B3:D3"/>
    <mergeCell ref="F3:H3"/>
    <mergeCell ref="N3:P3"/>
    <mergeCell ref="R3:T3"/>
    <mergeCell ref="V3:X3"/>
    <mergeCell ref="J10:L10"/>
    <mergeCell ref="J3:L3"/>
    <mergeCell ref="F21:H21"/>
    <mergeCell ref="B25:D25"/>
    <mergeCell ref="F10:H10"/>
    <mergeCell ref="B11:D11"/>
    <mergeCell ref="B16:D16"/>
  </mergeCells>
  <conditionalFormatting sqref="K32">
    <cfRule type="containsText" dxfId="11" priority="1" operator="containsText" text="FALSE">
      <formula>NOT(ISERROR(SEARCH("FALSE",K32)))</formula>
    </cfRule>
    <cfRule type="containsText" dxfId="10" priority="2" operator="containsText" text="TRUE">
      <formula>NOT(ISERROR(SEARCH("TRUE",K32)))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NOT(ISERROR(SEARCH("YES",K32)))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753-A267-5243-ABFD-E2825908B8D2}">
  <dimension ref="B1:DA136"/>
  <sheetViews>
    <sheetView topLeftCell="J1" zoomScale="118" workbookViewId="0">
      <selection activeCell="S19" sqref="S19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3.832031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3.83203125" style="20" customWidth="1"/>
    <col min="19" max="19" width="10.83203125" style="20"/>
    <col min="20" max="20" width="6.33203125" style="20" customWidth="1"/>
    <col min="21" max="21" width="6.1640625" style="20" customWidth="1"/>
    <col min="22" max="22" width="13.832031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0" width="11.1640625" style="20" bestFit="1" customWidth="1"/>
    <col min="41" max="41" width="15.83203125" style="20" bestFit="1" customWidth="1"/>
    <col min="42" max="43" width="11.1640625" style="20" bestFit="1" customWidth="1"/>
    <col min="44" max="44" width="18.33203125" style="20" customWidth="1"/>
    <col min="45" max="48" width="11.1640625" style="20" bestFit="1" customWidth="1"/>
    <col min="49" max="50" width="10.83203125" style="20"/>
    <col min="51" max="51" width="11" style="20" bestFit="1" customWidth="1"/>
    <col min="52" max="54" width="10.83203125" style="20"/>
    <col min="55" max="55" width="11" style="20" bestFit="1" customWidth="1"/>
    <col min="56" max="58" width="10.83203125" style="20"/>
    <col min="59" max="59" width="11" style="20" bestFit="1" customWidth="1"/>
    <col min="60" max="62" width="10.83203125" style="20"/>
    <col min="63" max="63" width="11" style="20" bestFit="1" customWidth="1"/>
    <col min="64" max="66" width="10.83203125" style="20"/>
    <col min="67" max="67" width="12.83203125" style="20" bestFit="1" customWidth="1"/>
    <col min="68" max="70" width="10.83203125" style="20"/>
    <col min="71" max="71" width="12.83203125" style="20" bestFit="1" customWidth="1"/>
    <col min="72" max="73" width="10.83203125" style="20"/>
    <col min="74" max="75" width="11" style="20" bestFit="1" customWidth="1"/>
    <col min="76" max="76" width="12.83203125" style="20" bestFit="1" customWidth="1"/>
    <col min="77" max="77" width="11" style="20" bestFit="1" customWidth="1"/>
    <col min="78" max="78" width="12.83203125" style="20" bestFit="1" customWidth="1"/>
    <col min="79" max="79" width="11" style="20" bestFit="1" customWidth="1"/>
    <col min="80" max="80" width="12.83203125" style="20" bestFit="1" customWidth="1"/>
    <col min="81" max="83" width="11" style="20" bestFit="1" customWidth="1"/>
    <col min="84" max="84" width="10.83203125" style="20"/>
    <col min="85" max="86" width="11" style="20" bestFit="1" customWidth="1"/>
    <col min="87" max="87" width="12.83203125" style="20" bestFit="1" customWidth="1"/>
    <col min="88" max="88" width="11" style="20" bestFit="1" customWidth="1"/>
    <col min="89" max="89" width="12.83203125" style="20" bestFit="1" customWidth="1"/>
    <col min="90" max="16384" width="10.83203125" style="20"/>
  </cols>
  <sheetData>
    <row r="1" spans="2:105" x14ac:dyDescent="0.2">
      <c r="B1" s="65" t="s">
        <v>0</v>
      </c>
      <c r="C1" s="65"/>
      <c r="D1" s="65"/>
    </row>
    <row r="2" spans="2:105" x14ac:dyDescent="0.2">
      <c r="AB2" s="32" t="s">
        <v>141</v>
      </c>
      <c r="AM2" s="32" t="s">
        <v>104</v>
      </c>
      <c r="AX2" s="69" t="s">
        <v>231</v>
      </c>
      <c r="AY2" s="69"/>
      <c r="AZ2" s="69"/>
      <c r="BA2"/>
      <c r="BB2" s="69" t="s">
        <v>232</v>
      </c>
      <c r="BC2" s="69"/>
      <c r="BD2" s="69"/>
      <c r="BE2"/>
      <c r="BF2" s="69" t="s">
        <v>233</v>
      </c>
      <c r="BG2" s="69"/>
      <c r="BH2" s="69"/>
      <c r="BI2" s="69"/>
      <c r="BJ2" s="69"/>
      <c r="BK2" s="69"/>
      <c r="BL2" s="69"/>
      <c r="BM2"/>
      <c r="BN2" s="69" t="s">
        <v>234</v>
      </c>
      <c r="BO2" s="69"/>
      <c r="BP2" s="69"/>
      <c r="BQ2" s="69"/>
      <c r="BR2" s="69"/>
      <c r="BS2" s="69"/>
      <c r="BT2" s="69"/>
      <c r="BU2"/>
      <c r="BV2" s="69" t="s">
        <v>235</v>
      </c>
      <c r="BW2" s="69"/>
      <c r="BX2" s="69"/>
      <c r="BY2" s="69"/>
      <c r="BZ2" s="69"/>
      <c r="CA2" s="69"/>
      <c r="CB2" s="69"/>
      <c r="CC2" s="69"/>
      <c r="CD2" s="69"/>
      <c r="CE2" s="69"/>
      <c r="CF2"/>
      <c r="CG2" s="69" t="s">
        <v>236</v>
      </c>
      <c r="CH2" s="69"/>
      <c r="CI2" s="69"/>
      <c r="CJ2" s="69"/>
      <c r="CK2" s="69"/>
      <c r="CL2" s="69"/>
      <c r="CM2" s="69"/>
      <c r="CN2" s="69"/>
      <c r="CO2" s="69"/>
      <c r="CP2" s="69"/>
      <c r="CQ2"/>
    </row>
    <row r="3" spans="2:105" x14ac:dyDescent="0.2">
      <c r="B3" s="59" t="s">
        <v>205</v>
      </c>
      <c r="C3" s="60"/>
      <c r="D3" s="60"/>
      <c r="F3" s="59" t="s">
        <v>110</v>
      </c>
      <c r="G3" s="60"/>
      <c r="H3" s="60"/>
      <c r="J3" s="58" t="s">
        <v>157</v>
      </c>
      <c r="K3" s="58"/>
      <c r="L3" s="58"/>
      <c r="N3" s="58" t="s">
        <v>136</v>
      </c>
      <c r="O3" s="58"/>
      <c r="P3" s="58"/>
      <c r="R3" s="58" t="s">
        <v>134</v>
      </c>
      <c r="S3" s="58"/>
      <c r="T3" s="58"/>
      <c r="V3" s="58" t="s">
        <v>148</v>
      </c>
      <c r="W3" s="58"/>
      <c r="X3" s="58"/>
      <c r="AB3" s="23" t="s">
        <v>63</v>
      </c>
      <c r="AC3" s="23" t="s">
        <v>64</v>
      </c>
      <c r="AD3" s="23" t="s">
        <v>65</v>
      </c>
      <c r="AE3" s="23" t="s">
        <v>66</v>
      </c>
      <c r="AF3" s="23" t="s">
        <v>67</v>
      </c>
      <c r="AG3" s="23" t="s">
        <v>68</v>
      </c>
      <c r="AH3" s="23" t="s">
        <v>69</v>
      </c>
      <c r="AI3" s="23" t="s">
        <v>70</v>
      </c>
      <c r="AJ3" s="23" t="s">
        <v>71</v>
      </c>
      <c r="AK3" s="23" t="s">
        <v>72</v>
      </c>
      <c r="AM3" s="23" t="s">
        <v>63</v>
      </c>
      <c r="AN3" s="23" t="s">
        <v>64</v>
      </c>
      <c r="AO3" s="23" t="s">
        <v>65</v>
      </c>
      <c r="AP3" s="23" t="s">
        <v>66</v>
      </c>
      <c r="AQ3" s="23" t="s">
        <v>67</v>
      </c>
      <c r="AR3" s="23" t="s">
        <v>68</v>
      </c>
      <c r="AS3" s="23" t="s">
        <v>69</v>
      </c>
      <c r="AT3" s="23" t="s">
        <v>70</v>
      </c>
      <c r="AU3" s="23" t="s">
        <v>71</v>
      </c>
      <c r="AV3" s="23" t="s">
        <v>72</v>
      </c>
      <c r="AX3" s="8" t="s">
        <v>239</v>
      </c>
      <c r="AY3" s="9">
        <v>1</v>
      </c>
      <c r="AZ3" s="42" t="s">
        <v>16</v>
      </c>
      <c r="BA3"/>
      <c r="BB3" s="8" t="s">
        <v>240</v>
      </c>
      <c r="BC3" s="8">
        <f>0.5*AY9</f>
        <v>1.5269999999999999</v>
      </c>
      <c r="BD3" s="42" t="s">
        <v>14</v>
      </c>
      <c r="BE3"/>
      <c r="BF3" s="72" t="s">
        <v>241</v>
      </c>
      <c r="BG3" s="72"/>
      <c r="BH3" s="72"/>
      <c r="BI3"/>
      <c r="BJ3" s="72" t="s">
        <v>242</v>
      </c>
      <c r="BK3" s="72"/>
      <c r="BL3" s="72"/>
      <c r="BM3"/>
      <c r="BN3" s="72" t="s">
        <v>241</v>
      </c>
      <c r="BO3" s="72"/>
      <c r="BP3" s="72"/>
      <c r="BQ3" s="8"/>
      <c r="BR3" s="72" t="s">
        <v>242</v>
      </c>
      <c r="BS3" s="72"/>
      <c r="BT3" s="72"/>
      <c r="BU3"/>
      <c r="BV3" s="23" t="s">
        <v>63</v>
      </c>
      <c r="BW3" s="23" t="s">
        <v>64</v>
      </c>
      <c r="BX3" s="23" t="s">
        <v>65</v>
      </c>
      <c r="BY3" s="23" t="s">
        <v>66</v>
      </c>
      <c r="BZ3" s="23" t="s">
        <v>67</v>
      </c>
      <c r="CA3" s="23" t="s">
        <v>68</v>
      </c>
      <c r="CB3" s="23" t="s">
        <v>69</v>
      </c>
      <c r="CC3" s="23" t="s">
        <v>70</v>
      </c>
      <c r="CD3" s="23" t="s">
        <v>71</v>
      </c>
      <c r="CE3" s="23" t="s">
        <v>72</v>
      </c>
      <c r="CF3"/>
      <c r="CG3" s="23" t="s">
        <v>63</v>
      </c>
      <c r="CH3" s="23" t="s">
        <v>64</v>
      </c>
      <c r="CI3" s="23" t="s">
        <v>65</v>
      </c>
      <c r="CJ3" s="23" t="s">
        <v>66</v>
      </c>
      <c r="CK3" s="23" t="s">
        <v>67</v>
      </c>
      <c r="CL3" s="23" t="s">
        <v>68</v>
      </c>
      <c r="CM3" s="23" t="s">
        <v>69</v>
      </c>
      <c r="CN3" s="23" t="s">
        <v>70</v>
      </c>
      <c r="CO3" s="23" t="s">
        <v>71</v>
      </c>
      <c r="CP3" s="23" t="s">
        <v>72</v>
      </c>
      <c r="CQ3"/>
    </row>
    <row r="4" spans="2:105" x14ac:dyDescent="0.2">
      <c r="B4" s="20" t="s">
        <v>53</v>
      </c>
      <c r="C4" s="38" t="s">
        <v>99</v>
      </c>
      <c r="F4" t="s">
        <v>116</v>
      </c>
      <c r="G4" s="1">
        <v>2.54</v>
      </c>
      <c r="H4" t="s">
        <v>16</v>
      </c>
      <c r="J4" t="s">
        <v>158</v>
      </c>
      <c r="K4" s="20">
        <f>MAX(G6,G20,G27,G40,G48)</f>
        <v>249.24682520451083</v>
      </c>
      <c r="L4" s="20" t="s">
        <v>162</v>
      </c>
      <c r="N4" s="20" t="s">
        <v>37</v>
      </c>
      <c r="O4" s="20">
        <f xml:space="preserve"> 0.5 * $C$44 * $G$13^2</f>
        <v>1531.25</v>
      </c>
      <c r="P4" s="20" t="s">
        <v>38</v>
      </c>
      <c r="R4" s="20" t="s">
        <v>37</v>
      </c>
      <c r="S4" s="20">
        <f xml:space="preserve"> 0.5 * $C$44 * $C$8^2</f>
        <v>1531.25</v>
      </c>
      <c r="T4" s="20" t="s">
        <v>38</v>
      </c>
      <c r="V4" s="20" t="s">
        <v>37</v>
      </c>
      <c r="W4" s="20">
        <f xml:space="preserve"> 0.5 * $C$44 * $G$33^2</f>
        <v>1531.25</v>
      </c>
      <c r="X4" s="20" t="s">
        <v>38</v>
      </c>
      <c r="AB4" s="8">
        <v>0</v>
      </c>
      <c r="AC4" s="9">
        <v>0</v>
      </c>
      <c r="AD4" s="8">
        <f xml:space="preserve"> $C$10 * TAN($S$18/180*PI()) + $S$21 / (2 * SQRT($C$10^2 + AC4^2)) - AC4</f>
        <v>3.6676399497508998E-2</v>
      </c>
      <c r="AE4" s="9">
        <v>1</v>
      </c>
      <c r="AF4" s="8">
        <f xml:space="preserve"> $C$10 * TAN($S$18/180*PI()) + $S$21 / (2 * SQRT($C$10^2 + AE4^2)) - AE4</f>
        <v>-0.97894938551329136</v>
      </c>
      <c r="AG4" s="8">
        <f xml:space="preserve"> (AC4 + AE4)/2</f>
        <v>0.5</v>
      </c>
      <c r="AH4" s="8">
        <f t="shared" ref="AH4:AH33" si="0" xml:space="preserve"> $C$10 * TAN($S$18/180*PI()) + $S$21 / (2 * SQRT($C$10^2 + AG4^2)) - AG4</f>
        <v>-0.47396888561968931</v>
      </c>
      <c r="AI4" s="8">
        <f>AD4*AH4</f>
        <v>-1.7383472198376871E-2</v>
      </c>
      <c r="AJ4" s="8">
        <f>AF4*AH4</f>
        <v>0.46399154932981435</v>
      </c>
      <c r="AK4" s="8">
        <f>AE4-AC4</f>
        <v>1</v>
      </c>
      <c r="AM4" s="8">
        <v>0</v>
      </c>
      <c r="AN4" s="8"/>
      <c r="AO4" s="8">
        <f>K27</f>
        <v>6.1959326558280736E-11</v>
      </c>
      <c r="AP4" s="8"/>
      <c r="AQ4" s="8">
        <f>K27</f>
        <v>6.1959326558280736E-11</v>
      </c>
      <c r="AR4" s="8"/>
      <c r="AS4" s="8">
        <f>K27</f>
        <v>6.1959326558280736E-11</v>
      </c>
      <c r="AT4" s="8"/>
      <c r="AU4" s="8"/>
      <c r="AV4" s="8"/>
      <c r="AX4" s="8" t="s">
        <v>246</v>
      </c>
      <c r="AY4" s="9">
        <v>1100</v>
      </c>
      <c r="AZ4" s="42" t="s">
        <v>218</v>
      </c>
      <c r="BA4"/>
      <c r="BB4" s="8" t="s">
        <v>247</v>
      </c>
      <c r="BC4" s="8">
        <f>PI()*BC3^2</f>
        <v>7.3253426965622737</v>
      </c>
      <c r="BD4" s="42" t="s">
        <v>18</v>
      </c>
      <c r="BE4"/>
      <c r="BF4" s="8" t="s">
        <v>248</v>
      </c>
      <c r="BG4" s="8">
        <f>$AY$18-$AY$10</f>
        <v>0.15000000000000002</v>
      </c>
      <c r="BH4" s="42" t="s">
        <v>14</v>
      </c>
      <c r="BI4"/>
      <c r="BJ4" s="8" t="s">
        <v>248</v>
      </c>
      <c r="BK4" s="8">
        <f>$AY$19-$AY$18</f>
        <v>0.15000000000000002</v>
      </c>
      <c r="BL4" s="42" t="s">
        <v>14</v>
      </c>
      <c r="BM4"/>
      <c r="BN4" s="44" t="s">
        <v>249</v>
      </c>
      <c r="BO4" s="45">
        <f>CA34</f>
        <v>0.20799145693892535</v>
      </c>
      <c r="BP4" s="11" t="s">
        <v>250</v>
      </c>
      <c r="BQ4" s="8"/>
      <c r="BR4" s="44" t="s">
        <v>249</v>
      </c>
      <c r="BS4" s="45">
        <f>CL34</f>
        <v>0.20147736759135704</v>
      </c>
      <c r="BT4" s="11" t="s">
        <v>250</v>
      </c>
      <c r="BU4"/>
      <c r="BV4" s="46">
        <v>0</v>
      </c>
      <c r="BW4" s="46"/>
      <c r="BX4" s="46">
        <f>$BO$20</f>
        <v>-5.785007573672063E-9</v>
      </c>
      <c r="BY4" s="46"/>
      <c r="BZ4" s="46">
        <f>$BO$20</f>
        <v>-5.785007573672063E-9</v>
      </c>
      <c r="CA4" s="46"/>
      <c r="CB4" s="46">
        <f>$BO$20</f>
        <v>-5.785007573672063E-9</v>
      </c>
      <c r="CC4" s="46"/>
      <c r="CD4" s="46"/>
      <c r="CE4" s="46"/>
      <c r="CF4"/>
      <c r="CG4" s="46">
        <v>0</v>
      </c>
      <c r="CH4" s="46"/>
      <c r="CI4" s="46">
        <f>$BS$20</f>
        <v>-2.4493098400163449E-9</v>
      </c>
      <c r="CJ4" s="46"/>
      <c r="CK4" s="46">
        <f>$BS$20</f>
        <v>-2.4493098400163449E-9</v>
      </c>
      <c r="CL4" s="46"/>
      <c r="CM4" s="46">
        <f>$BS$20</f>
        <v>-2.4493098400163449E-9</v>
      </c>
      <c r="CN4" s="46"/>
      <c r="CO4" s="46"/>
      <c r="CP4" s="46"/>
      <c r="CQ4"/>
    </row>
    <row r="5" spans="2:105" x14ac:dyDescent="0.2">
      <c r="B5" s="26" t="s">
        <v>54</v>
      </c>
      <c r="C5" s="26">
        <f>AR44</f>
        <v>1286.0205520319141</v>
      </c>
      <c r="D5" s="26" t="s">
        <v>12</v>
      </c>
      <c r="F5" t="s">
        <v>119</v>
      </c>
      <c r="G5" s="1">
        <v>152.4</v>
      </c>
      <c r="H5" t="s">
        <v>14</v>
      </c>
      <c r="J5" t="s">
        <v>159</v>
      </c>
      <c r="K5" s="20">
        <f>K4/$C$17</f>
        <v>62.311706301127707</v>
      </c>
      <c r="L5" s="20" t="s">
        <v>162</v>
      </c>
      <c r="N5" s="20" t="s">
        <v>197</v>
      </c>
      <c r="O5" s="20">
        <f xml:space="preserve"> 0.85 * ($C$5 *2.20462/1000)^(2/3) * 0.3048^2</f>
        <v>0.15818669501286145</v>
      </c>
      <c r="P5" s="20" t="s">
        <v>198</v>
      </c>
      <c r="R5" s="20" t="s">
        <v>197</v>
      </c>
      <c r="S5" s="20">
        <f xml:space="preserve"> 0.85 * ($C$5 *2.20462/1000)^(2/3) * 0.3048^2</f>
        <v>0.15818669501286145</v>
      </c>
      <c r="T5" s="20" t="s">
        <v>198</v>
      </c>
      <c r="V5" s="20" t="s">
        <v>197</v>
      </c>
      <c r="W5" s="20">
        <f xml:space="preserve"> 0.85 * ($C$5 *2.20462/1000)^(2/3) * 0.3048^2</f>
        <v>0.15818669501286145</v>
      </c>
      <c r="X5" s="20" t="s">
        <v>198</v>
      </c>
      <c r="AB5" s="8">
        <v>1</v>
      </c>
      <c r="AC5" s="8">
        <f>IF(AI4&gt;0, AG4, AC4)</f>
        <v>0</v>
      </c>
      <c r="AD5" s="8">
        <f t="shared" ref="AD5:AD34" si="1" xml:space="preserve"> $C$10 * TAN($S$18/180*PI()) + $S$21 / (2 * SQRT($C$10^2 + AC5^2)) - AC5</f>
        <v>3.6676399497508998E-2</v>
      </c>
      <c r="AE5" s="8">
        <f>IF(AJ4&gt;0, AG4, AE4)</f>
        <v>0.5</v>
      </c>
      <c r="AF5" s="8">
        <f t="shared" ref="AF5:AF34" si="2" xml:space="preserve"> $C$10 * TAN($S$18/180*PI()) + $S$21 / (2 * SQRT($C$10^2 + AE5^2)) - AE5</f>
        <v>-0.47396888561968931</v>
      </c>
      <c r="AG5" s="8">
        <f t="shared" ref="AG5:AG34" si="3" xml:space="preserve"> (AC5 + AE5)/2</f>
        <v>0.25</v>
      </c>
      <c r="AH5" s="8">
        <f t="shared" si="0"/>
        <v>-0.21840563756059753</v>
      </c>
      <c r="AI5" s="8">
        <f t="shared" ref="AI5:AI34" si="4">AD5*AH5</f>
        <v>-8.0103324156806308E-3</v>
      </c>
      <c r="AJ5" s="8">
        <f t="shared" ref="AJ5:AJ34" si="5">AF5*AH5</f>
        <v>0.10351747664765416</v>
      </c>
      <c r="AK5" s="8">
        <f t="shared" ref="AK5:AK33" si="6">AE5-AC5</f>
        <v>0.5</v>
      </c>
      <c r="AM5" s="8">
        <v>1</v>
      </c>
      <c r="AN5" s="9">
        <v>500</v>
      </c>
      <c r="AO5" s="8">
        <f t="dataTable" ref="AO5:AO44" dt2D="0" dtr="0" r1="C5" ca="1"/>
        <v>-372.9422868155695</v>
      </c>
      <c r="AP5" s="9">
        <v>2500</v>
      </c>
      <c r="AQ5" s="8">
        <f t="dataTable" ref="AQ5:AQ44" dt2D="0" dtr="0" r1="C5"/>
        <v>211.60702640820818</v>
      </c>
      <c r="AR5" s="8">
        <f>(AN5+AP5)/2</f>
        <v>1500</v>
      </c>
      <c r="AS5" s="8">
        <f t="dataTable" ref="AS5:AS44" dt2D="0" dtr="0" r1="C5" ca="1"/>
        <v>69.939472560469085</v>
      </c>
      <c r="AT5" s="8">
        <f>AO5*AS5</f>
        <v>-26083.386835376114</v>
      </c>
      <c r="AU5" s="8">
        <f>AQ5*AS5</f>
        <v>14799.683817079333</v>
      </c>
      <c r="AV5" s="8">
        <f>AP5-AN5</f>
        <v>2000</v>
      </c>
      <c r="AX5" s="8" t="s">
        <v>252</v>
      </c>
      <c r="AY5" s="9">
        <v>0</v>
      </c>
      <c r="AZ5" s="42" t="s">
        <v>62</v>
      </c>
      <c r="BA5"/>
      <c r="BB5" s="8" t="s">
        <v>42</v>
      </c>
      <c r="BC5" s="8">
        <f>AY4*2*PI()/60</f>
        <v>115.19173063162575</v>
      </c>
      <c r="BD5" s="42" t="s">
        <v>43</v>
      </c>
      <c r="BE5"/>
      <c r="BF5" s="8" t="s">
        <v>253</v>
      </c>
      <c r="BG5" s="8">
        <f>(1+$BO$18)*$AY$3</f>
        <v>12.23892523232675</v>
      </c>
      <c r="BH5" s="42" t="s">
        <v>16</v>
      </c>
      <c r="BI5"/>
      <c r="BJ5" s="8" t="s">
        <v>253</v>
      </c>
      <c r="BK5" s="8">
        <f>(1+$BS$18)*$AY$3</f>
        <v>15.257305434912031</v>
      </c>
      <c r="BL5" s="42" t="s">
        <v>16</v>
      </c>
      <c r="BM5"/>
      <c r="BN5" s="8" t="s">
        <v>254</v>
      </c>
      <c r="BO5" s="8">
        <f>($AY$32+$AY$5)/180*PI()</f>
        <v>0.29670597283903599</v>
      </c>
      <c r="BP5" s="8" t="s">
        <v>250</v>
      </c>
      <c r="BQ5" s="8"/>
      <c r="BR5" s="8" t="s">
        <v>254</v>
      </c>
      <c r="BS5" s="8">
        <f>($AY$33+$AY$5)/180*PI()</f>
        <v>0.29670597283903599</v>
      </c>
      <c r="BT5" s="8" t="s">
        <v>250</v>
      </c>
      <c r="BU5"/>
      <c r="BV5" s="8">
        <v>1</v>
      </c>
      <c r="BW5" s="9">
        <f>0.01*PI()</f>
        <v>3.1415926535897934E-2</v>
      </c>
      <c r="BX5" s="8">
        <f t="dataTable" ref="BX5:BX34" dt2D="0" dtr="0" r1="BO4"/>
        <v>-1.7906410405487996</v>
      </c>
      <c r="BY5" s="9">
        <f>0.9*PI()</f>
        <v>2.8274333882308138</v>
      </c>
      <c r="BZ5" s="8">
        <f t="dataTable" ref="BZ5:BZ34" dt2D="0" dtr="0" r1="BO4" ca="1"/>
        <v>0.13161971972094719</v>
      </c>
      <c r="CA5" s="8">
        <f t="shared" ref="CA5:CA34" si="7">(BW5+BY5)/2</f>
        <v>1.4294246573833558</v>
      </c>
      <c r="CB5" s="8">
        <f t="dataTable" ref="CB5:CB34" dt2D="0" dtr="0" r1="BO4" ca="1"/>
        <v>0.96152670698992004</v>
      </c>
      <c r="CC5" s="8">
        <f t="shared" ref="CC5:CC34" si="8">BX5*CB5</f>
        <v>-1.7217491831198912</v>
      </c>
      <c r="CD5" s="8">
        <f t="shared" ref="CD5:CD34" si="9">BZ5*CB5</f>
        <v>0.12655587567821858</v>
      </c>
      <c r="CE5" s="8">
        <f t="shared" ref="CE5:CE34" si="10">BY5-BW5</f>
        <v>2.7960174616949161</v>
      </c>
      <c r="CF5"/>
      <c r="CG5" s="8">
        <v>1</v>
      </c>
      <c r="CH5" s="9">
        <f>0.01*PI()</f>
        <v>3.1415926535897934E-2</v>
      </c>
      <c r="CI5" s="8">
        <f t="dataTable" ref="CI5:CI34" dt2D="0" dtr="0" r1="BS4"/>
        <v>-1.7363096218797003</v>
      </c>
      <c r="CJ5" s="9">
        <f>0.9*PI()</f>
        <v>2.8274333882308138</v>
      </c>
      <c r="CK5" s="8">
        <f t="dataTable" ref="CK5:CK34" dt2D="0" dtr="0" r1="BS4" ca="1"/>
        <v>0.15090777810591835</v>
      </c>
      <c r="CL5" s="8">
        <f t="shared" ref="CL5:CL34" si="11">(CH5+CJ5)/2</f>
        <v>1.4294246573833558</v>
      </c>
      <c r="CM5" s="8">
        <f t="dataTable" ref="CM5:CM34" dt2D="0" dtr="0" r1="BS4" ca="1"/>
        <v>0.96520909025823931</v>
      </c>
      <c r="CN5" s="8">
        <f t="shared" ref="CN5:CN34" si="12">CI5*CM5</f>
        <v>-1.6759018305411331</v>
      </c>
      <c r="CO5" s="8">
        <f t="shared" ref="CO5:CO34" si="13">CK5*CM5</f>
        <v>0.14565755921850571</v>
      </c>
      <c r="CP5" s="8">
        <f t="shared" ref="CP5:CP34" si="14">CJ5-CH5</f>
        <v>2.7960174616949161</v>
      </c>
      <c r="CQ5"/>
    </row>
    <row r="6" spans="2:105" x14ac:dyDescent="0.2">
      <c r="B6" s="20" t="s">
        <v>147</v>
      </c>
      <c r="C6" s="33">
        <v>1.5</v>
      </c>
      <c r="D6" s="20" t="s">
        <v>14</v>
      </c>
      <c r="F6" t="s">
        <v>112</v>
      </c>
      <c r="G6" s="20">
        <f xml:space="preserve"> 1/1000 * ($C$5*$C$46)/$C$20 * ( ($G$4/2) + SQRT( ($G$4/2)^2 + ($C$5*$C$46)/(2*$C$44*$C$17*PI()*$C$6*$C$6 ) ) )</f>
        <v>249.24682520451083</v>
      </c>
      <c r="H6" s="20" t="s">
        <v>162</v>
      </c>
      <c r="N6" t="s">
        <v>199</v>
      </c>
      <c r="O6">
        <f xml:space="preserve"> O5 / (PI() * $C$6^2)</f>
        <v>2.2378839504592862E-2</v>
      </c>
      <c r="R6" t="s">
        <v>199</v>
      </c>
      <c r="S6">
        <f xml:space="preserve"> S5 / (PI() * $C$6^2)</f>
        <v>2.2378839504592862E-2</v>
      </c>
      <c r="V6" t="s">
        <v>199</v>
      </c>
      <c r="W6">
        <f xml:space="preserve"> W5 / (PI() * $C$6^2)</f>
        <v>2.2378839504592862E-2</v>
      </c>
      <c r="AB6" s="8">
        <v>2</v>
      </c>
      <c r="AC6" s="8">
        <f t="shared" ref="AC6:AC34" si="15">IF(AI5&gt;0, AG5, AC5)</f>
        <v>0</v>
      </c>
      <c r="AD6" s="8">
        <f t="shared" si="1"/>
        <v>3.6676399497508998E-2</v>
      </c>
      <c r="AE6" s="8">
        <f t="shared" ref="AE6:AE34" si="16">IF(AJ5&gt;0, AG5, AE5)</f>
        <v>0.25</v>
      </c>
      <c r="AF6" s="8">
        <f t="shared" si="2"/>
        <v>-0.21840563756059753</v>
      </c>
      <c r="AG6" s="8">
        <f t="shared" si="3"/>
        <v>0.125</v>
      </c>
      <c r="AH6" s="8">
        <f t="shared" si="0"/>
        <v>-9.0010234749446791E-2</v>
      </c>
      <c r="AI6" s="8">
        <f t="shared" si="4"/>
        <v>-3.3012513285352774E-3</v>
      </c>
      <c r="AJ6" s="8">
        <f t="shared" si="5"/>
        <v>1.9658742707431977E-2</v>
      </c>
      <c r="AK6" s="8">
        <f t="shared" si="6"/>
        <v>0.25</v>
      </c>
      <c r="AM6" s="8">
        <v>2</v>
      </c>
      <c r="AN6" s="8">
        <f>IF(AT5&gt;0, AR5, AN5)</f>
        <v>500</v>
      </c>
      <c r="AO6" s="8">
        <v>-372.9422868155695</v>
      </c>
      <c r="AP6" s="8">
        <f>IF(AU5&gt;0, AR5, AP5)</f>
        <v>1500</v>
      </c>
      <c r="AQ6" s="8">
        <v>69.939472560469085</v>
      </c>
      <c r="AR6" s="8">
        <f t="shared" ref="AR6:AR43" si="17">(AN6+AP6)/2</f>
        <v>1000</v>
      </c>
      <c r="AS6" s="8">
        <v>-114.18504289974794</v>
      </c>
      <c r="AT6" s="8">
        <f t="shared" ref="AT6:AT44" si="18">AO6*AS6</f>
        <v>42584.431019165902</v>
      </c>
      <c r="AU6" s="8">
        <f t="shared" ref="AU6:AU44" si="19">AQ6*AS6</f>
        <v>-7986.0416747029067</v>
      </c>
      <c r="AV6" s="8">
        <f t="shared" ref="AV6:AV44" si="20">AP6-AN6</f>
        <v>1000</v>
      </c>
      <c r="AX6" s="8"/>
      <c r="AY6" s="8"/>
      <c r="AZ6" s="42"/>
      <c r="BA6"/>
      <c r="BB6" s="8" t="s">
        <v>256</v>
      </c>
      <c r="BC6" s="49">
        <f>$AY$4/60</f>
        <v>18.333333333333332</v>
      </c>
      <c r="BD6" s="42" t="s">
        <v>257</v>
      </c>
      <c r="BE6"/>
      <c r="BF6" s="8" t="s">
        <v>258</v>
      </c>
      <c r="BG6" s="8">
        <f>(1-$BO$19)*$BC$5*$AY$18</f>
        <v>57.992395705947146</v>
      </c>
      <c r="BH6" s="42" t="s">
        <v>16</v>
      </c>
      <c r="BI6"/>
      <c r="BJ6" s="8" t="s">
        <v>258</v>
      </c>
      <c r="BK6" s="8">
        <f>(1-$BS$19)*$BC$5*$AY$19</f>
        <v>74.699678118020174</v>
      </c>
      <c r="BL6" s="42" t="s">
        <v>16</v>
      </c>
      <c r="BM6"/>
      <c r="BN6" s="8" t="s">
        <v>41</v>
      </c>
      <c r="BO6" s="8">
        <f>BO5-BO4</f>
        <v>8.8714515900110646E-2</v>
      </c>
      <c r="BP6" s="8" t="s">
        <v>250</v>
      </c>
      <c r="BQ6" s="8"/>
      <c r="BR6" s="8" t="s">
        <v>41</v>
      </c>
      <c r="BS6" s="8">
        <f>BS5-BS4</f>
        <v>9.5228605247678955E-2</v>
      </c>
      <c r="BT6" s="8" t="s">
        <v>250</v>
      </c>
      <c r="BU6"/>
      <c r="BV6" s="8">
        <v>2</v>
      </c>
      <c r="BW6" s="8">
        <f t="shared" ref="BW6:BW34" si="21">IF(CC5&gt;0,CA5,BW5)</f>
        <v>3.1415926535897934E-2</v>
      </c>
      <c r="BX6" s="8">
        <v>-1.7906410405487996</v>
      </c>
      <c r="BY6" s="8">
        <f t="shared" ref="BY6:BY34" si="22">IF(CD5&gt;0,CA5,BY5)</f>
        <v>1.4294246573833558</v>
      </c>
      <c r="BZ6" s="8">
        <v>0.96152670698992004</v>
      </c>
      <c r="CA6" s="8">
        <f t="shared" si="7"/>
        <v>0.73042029195962688</v>
      </c>
      <c r="CB6" s="8">
        <v>0.70132206170042299</v>
      </c>
      <c r="CC6" s="8">
        <f t="shared" si="8"/>
        <v>-1.2558160663230749</v>
      </c>
      <c r="CD6" s="8">
        <f t="shared" si="9"/>
        <v>0.6743398925261892</v>
      </c>
      <c r="CE6" s="8">
        <f t="shared" si="10"/>
        <v>1.3980087308474578</v>
      </c>
      <c r="CF6"/>
      <c r="CG6" s="8">
        <v>2</v>
      </c>
      <c r="CH6" s="8">
        <f t="shared" ref="CH6:CH34" si="23">IF(CN5&gt;0,CL5,CH5)</f>
        <v>3.1415926535897934E-2</v>
      </c>
      <c r="CI6" s="8">
        <v>-1.7363096218797003</v>
      </c>
      <c r="CJ6" s="8">
        <f t="shared" ref="CJ6:CJ34" si="24">IF(CO5&gt;0,CL5,CJ5)</f>
        <v>1.4294246573833558</v>
      </c>
      <c r="CK6" s="8">
        <v>0.96520909025823931</v>
      </c>
      <c r="CL6" s="8">
        <f t="shared" si="11"/>
        <v>0.73042029195962688</v>
      </c>
      <c r="CM6" s="8">
        <v>0.69702495369112494</v>
      </c>
      <c r="CN6" s="8">
        <f t="shared" si="12"/>
        <v>-1.2102511337841528</v>
      </c>
      <c r="CO6" s="8">
        <f t="shared" si="13"/>
        <v>0.67277482143950207</v>
      </c>
      <c r="CP6" s="8">
        <f t="shared" si="14"/>
        <v>1.3980087308474578</v>
      </c>
      <c r="CQ6"/>
    </row>
    <row r="7" spans="2:105" x14ac:dyDescent="0.2">
      <c r="B7" s="20" t="s">
        <v>206</v>
      </c>
      <c r="C7" s="33">
        <v>0.1225</v>
      </c>
      <c r="D7" s="20" t="s">
        <v>14</v>
      </c>
      <c r="F7" t="s">
        <v>30</v>
      </c>
      <c r="G7" s="20">
        <f xml:space="preserve"> $C$5 * $C$46 / $C$17</f>
        <v>3152.8883616459425</v>
      </c>
      <c r="H7" s="20" t="s">
        <v>31</v>
      </c>
      <c r="J7" s="58" t="s">
        <v>34</v>
      </c>
      <c r="K7" s="58"/>
      <c r="L7" s="58"/>
      <c r="N7" t="s">
        <v>201</v>
      </c>
      <c r="O7" s="33">
        <v>3.4909389999999998E-2</v>
      </c>
      <c r="R7" t="s">
        <v>201</v>
      </c>
      <c r="S7" s="33">
        <v>3.4909389999999998E-2</v>
      </c>
      <c r="V7" t="s">
        <v>201</v>
      </c>
      <c r="W7" s="33">
        <v>3.4909389999999998E-2</v>
      </c>
      <c r="AB7" s="8">
        <v>3</v>
      </c>
      <c r="AC7" s="8">
        <f t="shared" si="15"/>
        <v>0</v>
      </c>
      <c r="AD7" s="8">
        <f t="shared" si="1"/>
        <v>3.6676399497508998E-2</v>
      </c>
      <c r="AE7" s="8">
        <f t="shared" si="16"/>
        <v>0.125</v>
      </c>
      <c r="AF7" s="8">
        <f t="shared" si="2"/>
        <v>-9.0010234749446791E-2</v>
      </c>
      <c r="AG7" s="8">
        <f t="shared" si="3"/>
        <v>6.25E-2</v>
      </c>
      <c r="AH7" s="8">
        <f t="shared" si="0"/>
        <v>-2.6284480973544487E-2</v>
      </c>
      <c r="AI7" s="8">
        <f t="shared" si="4"/>
        <v>-9.6402012477039183E-4</v>
      </c>
      <c r="AJ7" s="8">
        <f t="shared" si="5"/>
        <v>2.3658723026961071E-3</v>
      </c>
      <c r="AK7" s="8">
        <f t="shared" si="6"/>
        <v>0.125</v>
      </c>
      <c r="AM7" s="8">
        <v>3</v>
      </c>
      <c r="AN7" s="8">
        <f t="shared" ref="AN7:AN44" si="25">IF(AT6&gt;0, AR6, AN6)</f>
        <v>1000</v>
      </c>
      <c r="AO7" s="8">
        <v>-114.18504289974794</v>
      </c>
      <c r="AP7" s="8">
        <f t="shared" ref="AP7:AP44" si="26">IF(AU6&gt;0, AR6, AP6)</f>
        <v>1500</v>
      </c>
      <c r="AQ7" s="8">
        <v>69.939472560469085</v>
      </c>
      <c r="AR7" s="8">
        <f t="shared" si="17"/>
        <v>1250</v>
      </c>
      <c r="AS7" s="8">
        <v>-13.137753708396644</v>
      </c>
      <c r="AT7" s="8">
        <f t="shared" si="18"/>
        <v>1500.1349707995935</v>
      </c>
      <c r="AU7" s="8">
        <f t="shared" si="19"/>
        <v>-918.84756499460809</v>
      </c>
      <c r="AV7" s="8">
        <f t="shared" si="20"/>
        <v>500</v>
      </c>
      <c r="AX7" s="69" t="s">
        <v>260</v>
      </c>
      <c r="AY7" s="69"/>
      <c r="AZ7" s="69"/>
      <c r="BA7"/>
      <c r="BB7" s="8" t="s">
        <v>261</v>
      </c>
      <c r="BC7" s="49">
        <f>$AY$3/(BC6*AY9)</f>
        <v>1.7860332202178961E-2</v>
      </c>
      <c r="BD7"/>
      <c r="BE7"/>
      <c r="BF7" s="8" t="s">
        <v>262</v>
      </c>
      <c r="BG7" s="8">
        <f>SQRT(BG5^2 + BG6^2)</f>
        <v>59.269800493654792</v>
      </c>
      <c r="BH7" s="42" t="s">
        <v>16</v>
      </c>
      <c r="BI7"/>
      <c r="BJ7" s="8" t="s">
        <v>262</v>
      </c>
      <c r="BK7" s="8">
        <f>SQRT(BK5^2 + BK6^2)</f>
        <v>76.241899766926181</v>
      </c>
      <c r="BL7" s="42" t="s">
        <v>16</v>
      </c>
      <c r="BM7"/>
      <c r="BN7" s="8" t="s">
        <v>263</v>
      </c>
      <c r="BO7" s="8">
        <f>BO6/PI()*180</f>
        <v>5.0829673426225757</v>
      </c>
      <c r="BP7" s="8" t="s">
        <v>62</v>
      </c>
      <c r="BQ7" s="8"/>
      <c r="BR7" s="8" t="s">
        <v>263</v>
      </c>
      <c r="BS7" s="8">
        <f>BS6/PI()*180</f>
        <v>5.4561971696093678</v>
      </c>
      <c r="BT7" s="8" t="s">
        <v>62</v>
      </c>
      <c r="BU7"/>
      <c r="BV7" s="8">
        <v>3</v>
      </c>
      <c r="BW7" s="8">
        <f t="shared" si="21"/>
        <v>3.1415926535897934E-2</v>
      </c>
      <c r="BX7" s="8">
        <v>-1.7906410405487996</v>
      </c>
      <c r="BY7" s="8">
        <f t="shared" si="22"/>
        <v>0.73042029195962688</v>
      </c>
      <c r="BZ7" s="8">
        <v>0.70132206170042299</v>
      </c>
      <c r="CA7" s="8">
        <f t="shared" si="7"/>
        <v>0.38091810924776243</v>
      </c>
      <c r="CB7" s="8">
        <v>0.37290047612708654</v>
      </c>
      <c r="CC7" s="8">
        <f t="shared" si="8"/>
        <v>-0.66773089659334905</v>
      </c>
      <c r="CD7" s="8">
        <f t="shared" si="9"/>
        <v>0.26152333072651768</v>
      </c>
      <c r="CE7" s="8">
        <f t="shared" si="10"/>
        <v>0.6990043654237289</v>
      </c>
      <c r="CF7"/>
      <c r="CG7" s="8">
        <v>3</v>
      </c>
      <c r="CH7" s="8">
        <f t="shared" si="23"/>
        <v>3.1415926535897934E-2</v>
      </c>
      <c r="CI7" s="8">
        <v>-1.7363096218797003</v>
      </c>
      <c r="CJ7" s="8">
        <f t="shared" si="24"/>
        <v>0.73042029195962688</v>
      </c>
      <c r="CK7" s="8">
        <v>0.69702495369112494</v>
      </c>
      <c r="CL7" s="8">
        <f t="shared" si="11"/>
        <v>0.38091810924776243</v>
      </c>
      <c r="CM7" s="8">
        <v>0.37413243592100948</v>
      </c>
      <c r="CN7" s="8">
        <f t="shared" si="12"/>
        <v>-0.64960974834693919</v>
      </c>
      <c r="CO7" s="8">
        <f t="shared" si="13"/>
        <v>0.26077964382218938</v>
      </c>
      <c r="CP7" s="8">
        <f t="shared" si="14"/>
        <v>0.6990043654237289</v>
      </c>
      <c r="CQ7"/>
      <c r="CR7"/>
      <c r="CS7"/>
      <c r="CT7"/>
      <c r="CU7"/>
      <c r="CV7"/>
      <c r="CW7"/>
      <c r="CX7"/>
      <c r="CY7"/>
      <c r="CZ7"/>
      <c r="DA7"/>
    </row>
    <row r="8" spans="2:105" x14ac:dyDescent="0.2">
      <c r="B8" s="20" t="s">
        <v>15</v>
      </c>
      <c r="C8" s="33">
        <v>50</v>
      </c>
      <c r="D8" s="20" t="s">
        <v>16</v>
      </c>
      <c r="F8" t="s">
        <v>120</v>
      </c>
      <c r="G8" s="24">
        <f>$G$5/$G$4</f>
        <v>60</v>
      </c>
      <c r="H8" s="20" t="s">
        <v>22</v>
      </c>
      <c r="J8" s="20" t="s">
        <v>153</v>
      </c>
      <c r="K8" s="20">
        <f xml:space="preserve"> (G6*G8 + G20*G21 + G27*G28 + G40*G41 + G48*G50)/3600</f>
        <v>78.697352789459288</v>
      </c>
      <c r="L8" s="20" t="s">
        <v>163</v>
      </c>
      <c r="N8" s="20" t="s">
        <v>200</v>
      </c>
      <c r="O8" s="20">
        <f xml:space="preserve"> $O$7 + O6</f>
        <v>5.7288229504592864E-2</v>
      </c>
      <c r="R8" s="20" t="s">
        <v>200</v>
      </c>
      <c r="S8" s="20">
        <f xml:space="preserve"> $S$7 + S6</f>
        <v>5.7288229504592864E-2</v>
      </c>
      <c r="V8" s="20" t="s">
        <v>200</v>
      </c>
      <c r="W8" s="20">
        <f xml:space="preserve"> $W$7 + W6</f>
        <v>5.7288229504592864E-2</v>
      </c>
      <c r="AB8" s="8">
        <v>4</v>
      </c>
      <c r="AC8" s="8">
        <f t="shared" si="15"/>
        <v>0</v>
      </c>
      <c r="AD8" s="8">
        <f t="shared" si="1"/>
        <v>3.6676399497508998E-2</v>
      </c>
      <c r="AE8" s="8">
        <f t="shared" si="16"/>
        <v>6.25E-2</v>
      </c>
      <c r="AF8" s="8">
        <f t="shared" si="2"/>
        <v>-2.6284480973544487E-2</v>
      </c>
      <c r="AG8" s="8">
        <f t="shared" si="3"/>
        <v>3.125E-2</v>
      </c>
      <c r="AH8" s="8">
        <f t="shared" si="0"/>
        <v>5.3084014112259464E-3</v>
      </c>
      <c r="AI8" s="8">
        <f t="shared" si="4"/>
        <v>1.9469305085126335E-4</v>
      </c>
      <c r="AJ8" s="8">
        <f t="shared" si="5"/>
        <v>-1.3952857589330509E-4</v>
      </c>
      <c r="AK8" s="8">
        <f t="shared" si="6"/>
        <v>6.25E-2</v>
      </c>
      <c r="AM8" s="8">
        <v>4</v>
      </c>
      <c r="AN8" s="8">
        <f t="shared" si="25"/>
        <v>1250</v>
      </c>
      <c r="AO8" s="8">
        <v>-13.137753708396644</v>
      </c>
      <c r="AP8" s="8">
        <f t="shared" si="26"/>
        <v>1500</v>
      </c>
      <c r="AQ8" s="8">
        <v>69.939472560469085</v>
      </c>
      <c r="AR8" s="8">
        <f t="shared" si="17"/>
        <v>1375</v>
      </c>
      <c r="AS8" s="8">
        <v>30.807131432231358</v>
      </c>
      <c r="AT8" s="8">
        <f t="shared" si="18"/>
        <v>-404.73650521886037</v>
      </c>
      <c r="AU8" s="8">
        <f t="shared" si="19"/>
        <v>2154.6345234713099</v>
      </c>
      <c r="AV8" s="8">
        <f t="shared" si="20"/>
        <v>250</v>
      </c>
      <c r="AX8" s="8" t="s">
        <v>264</v>
      </c>
      <c r="AY8" s="9">
        <v>3</v>
      </c>
      <c r="AZ8" s="42"/>
      <c r="BA8"/>
      <c r="BB8"/>
      <c r="BC8"/>
      <c r="BD8"/>
      <c r="BE8"/>
      <c r="BF8" s="8" t="s">
        <v>265</v>
      </c>
      <c r="BG8" s="53">
        <f>$AY$41*BG7*$AY$25/$AY$42</f>
        <v>722043.70214645762</v>
      </c>
      <c r="BH8" s="42"/>
      <c r="BI8"/>
      <c r="BJ8" s="8" t="s">
        <v>265</v>
      </c>
      <c r="BK8" s="53">
        <f>$AY$41*BK7*$AY$26/$AY$42</f>
        <v>1161004.0675833721</v>
      </c>
      <c r="BL8" s="42"/>
      <c r="BM8"/>
      <c r="BN8" s="8" t="s">
        <v>266</v>
      </c>
      <c r="BO8" s="8">
        <f xml:space="preserve"> $AY$8*$AY$25 / (2*PI()*$AY$18)</f>
        <v>0.16370222718023522</v>
      </c>
      <c r="BP8" s="8"/>
      <c r="BQ8" s="8"/>
      <c r="BR8" s="8" t="s">
        <v>266</v>
      </c>
      <c r="BS8" s="8">
        <f xml:space="preserve"> $AY$8*$AY$26 / (2*PI()*$AY$19)</f>
        <v>0.15915494309189535</v>
      </c>
      <c r="BT8" s="8"/>
      <c r="BU8"/>
      <c r="BV8" s="8">
        <v>4</v>
      </c>
      <c r="BW8" s="8">
        <f t="shared" si="21"/>
        <v>3.1415926535897934E-2</v>
      </c>
      <c r="BX8" s="8">
        <v>-1.7906410405487996</v>
      </c>
      <c r="BY8" s="8">
        <f t="shared" si="22"/>
        <v>0.38091810924776243</v>
      </c>
      <c r="BZ8" s="8">
        <v>0.37290047612708654</v>
      </c>
      <c r="CA8" s="8">
        <f t="shared" si="7"/>
        <v>0.20616701789183017</v>
      </c>
      <c r="CB8" s="8">
        <v>-5.518645206470163E-3</v>
      </c>
      <c r="CC8" s="8">
        <f t="shared" si="8"/>
        <v>9.8819125949333782E-3</v>
      </c>
      <c r="CD8" s="8">
        <f t="shared" si="9"/>
        <v>-2.0579054250691878E-3</v>
      </c>
      <c r="CE8" s="8">
        <f t="shared" si="10"/>
        <v>0.34950218271186451</v>
      </c>
      <c r="CF8"/>
      <c r="CG8" s="8">
        <v>4</v>
      </c>
      <c r="CH8" s="8">
        <f t="shared" si="23"/>
        <v>3.1415926535897934E-2</v>
      </c>
      <c r="CI8" s="8">
        <v>-1.7363096218797003</v>
      </c>
      <c r="CJ8" s="8">
        <f t="shared" si="24"/>
        <v>0.38091810924776243</v>
      </c>
      <c r="CK8" s="8">
        <v>0.37413243592100948</v>
      </c>
      <c r="CL8" s="8">
        <f t="shared" si="11"/>
        <v>0.20616701789183017</v>
      </c>
      <c r="CM8" s="8">
        <v>1.406980592209834E-2</v>
      </c>
      <c r="CN8" s="8">
        <f t="shared" si="12"/>
        <v>-2.4429539400519337E-2</v>
      </c>
      <c r="CO8" s="8">
        <f t="shared" si="13"/>
        <v>5.263970762570497E-3</v>
      </c>
      <c r="CP8" s="8">
        <f t="shared" si="14"/>
        <v>0.34950218271186451</v>
      </c>
      <c r="CQ8"/>
      <c r="CR8"/>
      <c r="CS8"/>
      <c r="CT8"/>
      <c r="CU8"/>
      <c r="CV8"/>
      <c r="CW8"/>
      <c r="CX8"/>
      <c r="CY8"/>
      <c r="CZ8"/>
      <c r="DA8"/>
    </row>
    <row r="9" spans="2:105" x14ac:dyDescent="0.2">
      <c r="B9" s="20" t="s">
        <v>219</v>
      </c>
      <c r="C9" s="33">
        <v>720</v>
      </c>
      <c r="D9" s="20" t="s">
        <v>218</v>
      </c>
      <c r="F9" t="s">
        <v>214</v>
      </c>
      <c r="G9" s="24">
        <f>$C$9*2*PI()*$C$6/60 * $C$6</f>
        <v>169.64600329384885</v>
      </c>
      <c r="H9" s="20" t="s">
        <v>16</v>
      </c>
      <c r="J9" s="20" t="s">
        <v>35</v>
      </c>
      <c r="K9" s="20">
        <f xml:space="preserve"> (G8 + G21 + G28 + G41 + G50)/60</f>
        <v>34.67079771753523</v>
      </c>
      <c r="L9" s="20" t="s">
        <v>164</v>
      </c>
      <c r="N9" s="20" t="s">
        <v>57</v>
      </c>
      <c r="O9" s="20">
        <f xml:space="preserve"> O4 *$O$8 * PI() * $C$6^2</f>
        <v>620.07453045639511</v>
      </c>
      <c r="P9" s="20" t="s">
        <v>31</v>
      </c>
      <c r="R9" s="20" t="s">
        <v>57</v>
      </c>
      <c r="S9" s="20">
        <f xml:space="preserve"> S4 *$S$8 * PI() * $C$6 * $C$6</f>
        <v>620.07453045639511</v>
      </c>
      <c r="T9" s="20" t="s">
        <v>31</v>
      </c>
      <c r="V9" s="20" t="s">
        <v>57</v>
      </c>
      <c r="W9" s="20">
        <f xml:space="preserve"> W4 *$W$8 * PI() * $C$6 * $C$6</f>
        <v>620.07453045639511</v>
      </c>
      <c r="X9" s="20" t="s">
        <v>31</v>
      </c>
      <c r="AB9" s="8">
        <v>5</v>
      </c>
      <c r="AC9" s="8">
        <f t="shared" si="15"/>
        <v>3.125E-2</v>
      </c>
      <c r="AD9" s="8">
        <f t="shared" si="1"/>
        <v>5.3084014112259464E-3</v>
      </c>
      <c r="AE9" s="8">
        <f t="shared" si="16"/>
        <v>6.25E-2</v>
      </c>
      <c r="AF9" s="8">
        <f t="shared" si="2"/>
        <v>-2.6284480973544487E-2</v>
      </c>
      <c r="AG9" s="8">
        <f t="shared" si="3"/>
        <v>4.6875E-2</v>
      </c>
      <c r="AH9" s="8">
        <f t="shared" si="0"/>
        <v>-1.0461451590038653E-2</v>
      </c>
      <c r="AI9" s="8">
        <f t="shared" si="4"/>
        <v>-5.5533584384033106E-5</v>
      </c>
      <c r="AJ9" s="8">
        <f t="shared" si="5"/>
        <v>2.7497382527402769E-4</v>
      </c>
      <c r="AK9" s="8">
        <f t="shared" si="6"/>
        <v>3.125E-2</v>
      </c>
      <c r="AM9" s="8">
        <v>5</v>
      </c>
      <c r="AN9" s="8">
        <f t="shared" si="25"/>
        <v>1250</v>
      </c>
      <c r="AO9" s="8">
        <v>-13.137753708396644</v>
      </c>
      <c r="AP9" s="8">
        <f t="shared" si="26"/>
        <v>1375</v>
      </c>
      <c r="AQ9" s="8">
        <v>30.807131432231358</v>
      </c>
      <c r="AR9" s="8">
        <f t="shared" si="17"/>
        <v>1312.5</v>
      </c>
      <c r="AS9" s="8">
        <v>9.4161017719795836</v>
      </c>
      <c r="AT9" s="8">
        <f t="shared" si="18"/>
        <v>-123.70642597346499</v>
      </c>
      <c r="AU9" s="8">
        <f t="shared" si="19"/>
        <v>290.08308486864161</v>
      </c>
      <c r="AV9" s="8">
        <f t="shared" si="20"/>
        <v>125</v>
      </c>
      <c r="AX9" s="8" t="s">
        <v>267</v>
      </c>
      <c r="AY9" s="9">
        <v>3.0539999999999998</v>
      </c>
      <c r="AZ9" s="42" t="s">
        <v>14</v>
      </c>
      <c r="BA9"/>
      <c r="BB9" s="69" t="s">
        <v>268</v>
      </c>
      <c r="BC9" s="69"/>
      <c r="BD9" s="69"/>
      <c r="BE9"/>
      <c r="BF9" s="8" t="s">
        <v>269</v>
      </c>
      <c r="BG9" s="49">
        <f xml:space="preserve"> $BO$8 * PI() * $AY$41 * BG7^2 *$BO$14 * $AY$18 * BG4</f>
        <v>153.39160340638563</v>
      </c>
      <c r="BH9" s="42" t="s">
        <v>31</v>
      </c>
      <c r="BI9"/>
      <c r="BJ9" s="8" t="s">
        <v>269</v>
      </c>
      <c r="BK9" s="49">
        <f xml:space="preserve"> $BS$8 * PI() * $AY$41 * BK7^2 * $BS$14 * $AY$19 * BK4</f>
        <v>331.31101263560038</v>
      </c>
      <c r="BL9" s="42" t="s">
        <v>31</v>
      </c>
      <c r="BM9"/>
      <c r="BN9" s="8" t="s">
        <v>270</v>
      </c>
      <c r="BO9" s="8">
        <f>IF(-$AY$8*($BC$3-$AY$18)/(2*$AY$18*SIN(BO4))&gt;500, 1, 2*ACOS(MIN(1, EXP(-$AY$8*($BC$3-$AY$18)/(2*$AY$18*SIN(BO4)))))/PI() )</f>
        <v>0.99999939354124312</v>
      </c>
      <c r="BP9" s="8"/>
      <c r="BQ9" s="8"/>
      <c r="BR9" s="8" t="s">
        <v>270</v>
      </c>
      <c r="BS9" s="8">
        <f>IF(-$AY$8*($BC$3-$AY$19)/(2*$AY$19*SIN(BS4))&gt;500, 1, 2*ACOS(MIN(1, EXP(-$AY$8*($BC$3-$AY$19)/(2*$AY$19*SIN(BS4)))))/PI() )</f>
        <v>0.99995045915579239</v>
      </c>
      <c r="BT9" s="8"/>
      <c r="BU9"/>
      <c r="BV9" s="8">
        <v>5</v>
      </c>
      <c r="BW9" s="8">
        <f t="shared" si="21"/>
        <v>0.20616701789183017</v>
      </c>
      <c r="BX9" s="8">
        <v>-5.518645206470163E-3</v>
      </c>
      <c r="BY9" s="8">
        <f t="shared" si="22"/>
        <v>0.38091810924776243</v>
      </c>
      <c r="BZ9" s="8">
        <v>0.37290047612708654</v>
      </c>
      <c r="CA9" s="8">
        <f t="shared" si="7"/>
        <v>0.2935425635697963</v>
      </c>
      <c r="CB9" s="8">
        <v>0.21091202980096629</v>
      </c>
      <c r="CC9" s="8">
        <f t="shared" si="8"/>
        <v>-1.1639486622479949E-3</v>
      </c>
      <c r="CD9" s="8">
        <f t="shared" si="9"/>
        <v>7.8649196333710591E-2</v>
      </c>
      <c r="CE9" s="8">
        <f t="shared" si="10"/>
        <v>0.17475109135593225</v>
      </c>
      <c r="CF9"/>
      <c r="CG9" s="8">
        <v>5</v>
      </c>
      <c r="CH9" s="8">
        <f t="shared" si="23"/>
        <v>3.1415926535897934E-2</v>
      </c>
      <c r="CI9" s="8">
        <v>-1.7363096218797003</v>
      </c>
      <c r="CJ9" s="8">
        <f t="shared" si="24"/>
        <v>0.20616701789183017</v>
      </c>
      <c r="CK9" s="8">
        <v>1.406980592209834E-2</v>
      </c>
      <c r="CL9" s="8">
        <f t="shared" si="11"/>
        <v>0.11879147221386405</v>
      </c>
      <c r="CM9" s="8">
        <v>-0.37195897733009375</v>
      </c>
      <c r="CN9" s="8">
        <f t="shared" si="12"/>
        <v>0.64583595128277504</v>
      </c>
      <c r="CO9" s="8">
        <f t="shared" si="13"/>
        <v>-5.2333906220165954E-3</v>
      </c>
      <c r="CP9" s="8">
        <f t="shared" si="14"/>
        <v>0.17475109135593225</v>
      </c>
      <c r="CQ9"/>
      <c r="CR9"/>
      <c r="CS9"/>
      <c r="CT9"/>
      <c r="CU9"/>
      <c r="CV9"/>
      <c r="CW9"/>
      <c r="CX9"/>
      <c r="CY9"/>
      <c r="CZ9"/>
      <c r="DA9"/>
    </row>
    <row r="10" spans="2:105" x14ac:dyDescent="0.2">
      <c r="B10" s="20" t="s">
        <v>100</v>
      </c>
      <c r="C10" s="33">
        <v>0.3</v>
      </c>
      <c r="F10" s="20" t="s">
        <v>217</v>
      </c>
      <c r="G10" s="20">
        <f>G9/$C$45</f>
        <v>0.49834908845015763</v>
      </c>
      <c r="H10" s="20" t="s">
        <v>215</v>
      </c>
      <c r="N10" s="20" t="s">
        <v>60</v>
      </c>
      <c r="O10" s="20">
        <f xml:space="preserve"> O9</f>
        <v>620.07453045639511</v>
      </c>
      <c r="P10" s="20" t="s">
        <v>31</v>
      </c>
      <c r="R10" s="20" t="s">
        <v>60</v>
      </c>
      <c r="S10" s="20">
        <f xml:space="preserve"> S9</f>
        <v>620.07453045639511</v>
      </c>
      <c r="T10" s="20" t="s">
        <v>31</v>
      </c>
      <c r="V10" s="20" t="s">
        <v>60</v>
      </c>
      <c r="W10" s="20">
        <f xml:space="preserve"> W9 + W40</f>
        <v>620.07453045639511</v>
      </c>
      <c r="X10" s="20" t="s">
        <v>31</v>
      </c>
      <c r="AB10" s="8">
        <v>6</v>
      </c>
      <c r="AC10" s="8">
        <f t="shared" si="15"/>
        <v>3.125E-2</v>
      </c>
      <c r="AD10" s="8">
        <f t="shared" si="1"/>
        <v>5.3084014112259464E-3</v>
      </c>
      <c r="AE10" s="8">
        <f t="shared" si="16"/>
        <v>4.6875E-2</v>
      </c>
      <c r="AF10" s="8">
        <f t="shared" si="2"/>
        <v>-1.0461451590038653E-2</v>
      </c>
      <c r="AG10" s="8">
        <f t="shared" si="3"/>
        <v>3.90625E-2</v>
      </c>
      <c r="AH10" s="8">
        <f t="shared" si="0"/>
        <v>-2.5696410175267831E-3</v>
      </c>
      <c r="AI10" s="8">
        <f t="shared" si="4"/>
        <v>-1.3640686003783252E-5</v>
      </c>
      <c r="AJ10" s="8">
        <f t="shared" si="5"/>
        <v>2.688217510863411E-5</v>
      </c>
      <c r="AK10" s="8">
        <f t="shared" si="6"/>
        <v>1.5625E-2</v>
      </c>
      <c r="AM10" s="8">
        <v>6</v>
      </c>
      <c r="AN10" s="8">
        <f t="shared" si="25"/>
        <v>1250</v>
      </c>
      <c r="AO10" s="8">
        <v>-13.137753708396644</v>
      </c>
      <c r="AP10" s="8">
        <f t="shared" si="26"/>
        <v>1312.5</v>
      </c>
      <c r="AQ10" s="8">
        <v>9.4161017719795836</v>
      </c>
      <c r="AR10" s="8">
        <f t="shared" si="17"/>
        <v>1281.25</v>
      </c>
      <c r="AS10" s="8">
        <v>-1.7183278524136085</v>
      </c>
      <c r="AT10" s="8">
        <f t="shared" si="18"/>
        <v>22.574968115288126</v>
      </c>
      <c r="AU10" s="8">
        <f t="shared" si="19"/>
        <v>-16.179949935953651</v>
      </c>
      <c r="AV10" s="8">
        <f t="shared" si="20"/>
        <v>62.5</v>
      </c>
      <c r="AX10" s="8" t="s">
        <v>271</v>
      </c>
      <c r="AY10" s="9">
        <v>0.375</v>
      </c>
      <c r="AZ10" s="42" t="s">
        <v>14</v>
      </c>
      <c r="BA10"/>
      <c r="BB10" s="10" t="s">
        <v>272</v>
      </c>
      <c r="BC10" s="54">
        <f>BG9+BK9+BG18+BK18+BG27+BK27+BG36</f>
        <v>4978.883407094213</v>
      </c>
      <c r="BD10" s="42" t="s">
        <v>31</v>
      </c>
      <c r="BE10"/>
      <c r="BF10" s="8" t="s">
        <v>273</v>
      </c>
      <c r="BG10" s="49">
        <f xml:space="preserve"> $BO$8 * PI() * $AY$41 * BG7^2 * $BO$15 * $AY$18^2 * BG4</f>
        <v>17.793400469948409</v>
      </c>
      <c r="BH10" s="42" t="s">
        <v>274</v>
      </c>
      <c r="BI10"/>
      <c r="BJ10" s="8" t="s">
        <v>273</v>
      </c>
      <c r="BK10" s="49">
        <f xml:space="preserve"> $BS$8 * PI() * $AY$41 * BK7^2 * $BS$15 * $AY$19^2 * BK4</f>
        <v>47.915556034205601</v>
      </c>
      <c r="BL10" s="42" t="s">
        <v>274</v>
      </c>
      <c r="BM10"/>
      <c r="BN10" s="8" t="s">
        <v>275</v>
      </c>
      <c r="BO10" s="8">
        <f>IF(-$AY$8*($AY$18-$AY$10)/(2*$AY$18*SIN(BO4))&gt;500, 1, 2*ACOS(MIN(1, EXP(-$AY$8*($AY$18-$AY$10)/(2*$AY$18*SIN(BO4)))))/PI() )</f>
        <v>0.91989351400523434</v>
      </c>
      <c r="BP10" s="8"/>
      <c r="BQ10" s="8"/>
      <c r="BR10" s="8" t="s">
        <v>275</v>
      </c>
      <c r="BS10" s="8">
        <f>IF(-$AY$8*($AY$19-$AY$10)/(2*$AY$19*SIN(BS4))&gt;500, 1, 2*ACOS(MIN(1, EXP(-$AY$8*($AY$19-$AY$10)/(2*$AY$19*SIN(BS4)))))/PI() )</f>
        <v>0.977240066943313</v>
      </c>
      <c r="BT10" s="8"/>
      <c r="BU10"/>
      <c r="BV10" s="8">
        <v>6</v>
      </c>
      <c r="BW10" s="8">
        <f t="shared" si="21"/>
        <v>0.20616701789183017</v>
      </c>
      <c r="BX10" s="8">
        <v>-5.518645206470163E-3</v>
      </c>
      <c r="BY10" s="8">
        <f t="shared" si="22"/>
        <v>0.2935425635697963</v>
      </c>
      <c r="BZ10" s="8">
        <v>0.21091202980096629</v>
      </c>
      <c r="CA10" s="8">
        <f t="shared" si="7"/>
        <v>0.24985479073081324</v>
      </c>
      <c r="CB10" s="8">
        <v>0.11286928364899326</v>
      </c>
      <c r="CC10" s="8">
        <f t="shared" si="8"/>
        <v>-6.2288553116723779E-4</v>
      </c>
      <c r="CD10" s="8">
        <f t="shared" si="9"/>
        <v>2.3805489716590186E-2</v>
      </c>
      <c r="CE10" s="8">
        <f t="shared" si="10"/>
        <v>8.7375545677966127E-2</v>
      </c>
      <c r="CF10"/>
      <c r="CG10" s="8">
        <v>6</v>
      </c>
      <c r="CH10" s="8">
        <f t="shared" si="23"/>
        <v>0.11879147221386405</v>
      </c>
      <c r="CI10" s="8">
        <v>-0.37195897733009375</v>
      </c>
      <c r="CJ10" s="8">
        <f t="shared" si="24"/>
        <v>0.20616701789183017</v>
      </c>
      <c r="CK10" s="8">
        <v>1.406980592209834E-2</v>
      </c>
      <c r="CL10" s="8">
        <f t="shared" si="11"/>
        <v>0.16247924505284711</v>
      </c>
      <c r="CM10" s="8">
        <v>-0.13820876872336998</v>
      </c>
      <c r="CN10" s="8">
        <f t="shared" si="12"/>
        <v>5.1407992272396147E-2</v>
      </c>
      <c r="CO10" s="8">
        <f t="shared" si="13"/>
        <v>-1.9445705526699908E-3</v>
      </c>
      <c r="CP10" s="8">
        <f t="shared" si="14"/>
        <v>8.7375545677966127E-2</v>
      </c>
      <c r="CQ10"/>
      <c r="CR10"/>
      <c r="CS10"/>
      <c r="CT10"/>
      <c r="CU10"/>
      <c r="CV10"/>
      <c r="CW10"/>
      <c r="CX10"/>
      <c r="CY10"/>
      <c r="CZ10"/>
      <c r="DA10"/>
    </row>
    <row r="11" spans="2:105" x14ac:dyDescent="0.2">
      <c r="J11" s="59" t="s">
        <v>73</v>
      </c>
      <c r="K11" s="59"/>
      <c r="L11" s="59"/>
      <c r="N11" s="20" t="s">
        <v>195</v>
      </c>
      <c r="O11" s="20">
        <f>($O$8*PI()*$C$6^2)/(0.3048^2)/($C$5*2.20462/1000)^(2/3) + 0.4</f>
        <v>2.5759392424665344</v>
      </c>
      <c r="R11" s="20" t="s">
        <v>195</v>
      </c>
      <c r="S11" s="20">
        <f>($S$8*PI()*$C$6^2)/(0.3048^2)/($C$5*2.20462/1000)^(2/3) + 0.4</f>
        <v>2.5759392424665344</v>
      </c>
      <c r="V11" s="20" t="s">
        <v>195</v>
      </c>
      <c r="W11" s="20">
        <f>($W$8*PI()*$C$6^2)/(0.3048^2)/($C$5*2.20462/1000)^(2/3) + 0.4</f>
        <v>2.5759392424665344</v>
      </c>
      <c r="AB11" s="8">
        <v>7</v>
      </c>
      <c r="AC11" s="8">
        <f t="shared" si="15"/>
        <v>3.125E-2</v>
      </c>
      <c r="AD11" s="8">
        <f t="shared" si="1"/>
        <v>5.3084014112259464E-3</v>
      </c>
      <c r="AE11" s="8">
        <f t="shared" si="16"/>
        <v>3.90625E-2</v>
      </c>
      <c r="AF11" s="8">
        <f t="shared" si="2"/>
        <v>-2.5696410175267831E-3</v>
      </c>
      <c r="AG11" s="8">
        <f t="shared" si="3"/>
        <v>3.515625E-2</v>
      </c>
      <c r="AH11" s="8">
        <f t="shared" si="0"/>
        <v>1.3711270589828184E-3</v>
      </c>
      <c r="AI11" s="8">
        <f t="shared" si="4"/>
        <v>7.2784928148744745E-6</v>
      </c>
      <c r="AJ11" s="8">
        <f t="shared" si="5"/>
        <v>-3.5233043310031149E-6</v>
      </c>
      <c r="AK11" s="8">
        <f t="shared" si="6"/>
        <v>7.8125E-3</v>
      </c>
      <c r="AM11" s="8">
        <v>7</v>
      </c>
      <c r="AN11" s="8">
        <f t="shared" si="25"/>
        <v>1281.25</v>
      </c>
      <c r="AO11" s="8">
        <v>-1.7183278524136085</v>
      </c>
      <c r="AP11" s="8">
        <f t="shared" si="26"/>
        <v>1312.5</v>
      </c>
      <c r="AQ11" s="8">
        <v>9.4161017719795836</v>
      </c>
      <c r="AR11" s="8">
        <f t="shared" si="17"/>
        <v>1296.875</v>
      </c>
      <c r="AS11" s="8">
        <v>3.884871057754026</v>
      </c>
      <c r="AT11" s="8">
        <f t="shared" si="18"/>
        <v>-6.6754821415742596</v>
      </c>
      <c r="AU11" s="8">
        <f t="shared" si="19"/>
        <v>36.580341250829882</v>
      </c>
      <c r="AV11" s="8">
        <f t="shared" si="20"/>
        <v>31.25</v>
      </c>
      <c r="AX11" s="68" t="s">
        <v>276</v>
      </c>
      <c r="AY11" s="9" t="s">
        <v>277</v>
      </c>
      <c r="AZ11" s="42"/>
      <c r="BA11"/>
      <c r="BB11" s="10" t="s">
        <v>278</v>
      </c>
      <c r="BC11" s="54">
        <f>BG10+BK10+BG19+BK19+BG28+BK28+BG37</f>
        <v>941.54823247211618</v>
      </c>
      <c r="BD11" s="42" t="s">
        <v>274</v>
      </c>
      <c r="BE11"/>
      <c r="BF11"/>
      <c r="BG11" s="49"/>
      <c r="BH11"/>
      <c r="BI11"/>
      <c r="BJ11"/>
      <c r="BK11"/>
      <c r="BL11"/>
      <c r="BM11"/>
      <c r="BN11" s="8" t="s">
        <v>279</v>
      </c>
      <c r="BO11" s="8">
        <f>IF(BO4=0,1,BO9*BO10)</f>
        <v>0.91989295612775734</v>
      </c>
      <c r="BP11" s="8"/>
      <c r="BQ11" s="8"/>
      <c r="BR11" s="8" t="s">
        <v>279</v>
      </c>
      <c r="BS11" s="8">
        <f>IF(BS4=0,1,BS9*BS10)</f>
        <v>0.97719165364540317</v>
      </c>
      <c r="BT11" s="8"/>
      <c r="BU11"/>
      <c r="BV11" s="8">
        <v>7</v>
      </c>
      <c r="BW11" s="8">
        <f t="shared" si="21"/>
        <v>0.20616701789183017</v>
      </c>
      <c r="BX11" s="8">
        <v>-5.518645206470163E-3</v>
      </c>
      <c r="BY11" s="8">
        <f t="shared" si="22"/>
        <v>0.24985479073081324</v>
      </c>
      <c r="BZ11" s="8">
        <v>0.11286928364899326</v>
      </c>
      <c r="CA11" s="8">
        <f t="shared" si="7"/>
        <v>0.2280109043113217</v>
      </c>
      <c r="CB11" s="8">
        <v>5.6945174269527762E-2</v>
      </c>
      <c r="CC11" s="8">
        <f t="shared" si="8"/>
        <v>-3.1426021301413743E-4</v>
      </c>
      <c r="CD11" s="8">
        <f t="shared" si="9"/>
        <v>6.4273610270686819E-3</v>
      </c>
      <c r="CE11" s="8">
        <f t="shared" si="10"/>
        <v>4.3687772838983063E-2</v>
      </c>
      <c r="CF11"/>
      <c r="CG11" s="8">
        <v>7</v>
      </c>
      <c r="CH11" s="8">
        <f t="shared" si="23"/>
        <v>0.16247924505284711</v>
      </c>
      <c r="CI11" s="8">
        <v>-0.13820876872336998</v>
      </c>
      <c r="CJ11" s="8">
        <f t="shared" si="24"/>
        <v>0.20616701789183017</v>
      </c>
      <c r="CK11" s="8">
        <v>1.406980592209834E-2</v>
      </c>
      <c r="CL11" s="8">
        <f t="shared" si="11"/>
        <v>0.18432313147233864</v>
      </c>
      <c r="CM11" s="8">
        <v>-5.5563284550877487E-2</v>
      </c>
      <c r="CN11" s="8">
        <f t="shared" si="12"/>
        <v>7.679333144003023E-3</v>
      </c>
      <c r="CO11" s="8">
        <f t="shared" si="13"/>
        <v>-7.8176463002517125E-4</v>
      </c>
      <c r="CP11" s="8">
        <f t="shared" si="14"/>
        <v>4.3687772838983063E-2</v>
      </c>
      <c r="CQ11"/>
      <c r="CR11"/>
      <c r="CS11"/>
      <c r="CT11"/>
      <c r="CU11"/>
      <c r="CV11"/>
      <c r="CW11"/>
      <c r="CX11"/>
      <c r="CY11"/>
      <c r="CZ11"/>
      <c r="DA11"/>
    </row>
    <row r="12" spans="2:105" x14ac:dyDescent="0.2">
      <c r="B12" s="58" t="s">
        <v>20</v>
      </c>
      <c r="C12" s="58"/>
      <c r="D12" s="58"/>
      <c r="F12" s="63" t="s">
        <v>124</v>
      </c>
      <c r="G12" s="64"/>
      <c r="H12" s="64"/>
      <c r="J12" s="26" t="s">
        <v>109</v>
      </c>
      <c r="K12" s="20">
        <f>C5</f>
        <v>1286.0205520319141</v>
      </c>
      <c r="L12" s="20" t="s">
        <v>12</v>
      </c>
      <c r="AB12" s="8">
        <v>8</v>
      </c>
      <c r="AC12" s="8">
        <f t="shared" si="15"/>
        <v>3.515625E-2</v>
      </c>
      <c r="AD12" s="8">
        <f t="shared" si="1"/>
        <v>1.3711270589828184E-3</v>
      </c>
      <c r="AE12" s="8">
        <f t="shared" si="16"/>
        <v>3.90625E-2</v>
      </c>
      <c r="AF12" s="8">
        <f t="shared" si="2"/>
        <v>-2.5696410175267831E-3</v>
      </c>
      <c r="AG12" s="8">
        <f t="shared" si="3"/>
        <v>3.7109375E-2</v>
      </c>
      <c r="AH12" s="8">
        <f t="shared" si="0"/>
        <v>-5.988233141967364E-4</v>
      </c>
      <c r="AI12" s="8">
        <f t="shared" si="4"/>
        <v>-8.2106284964491541E-7</v>
      </c>
      <c r="AJ12" s="8">
        <f t="shared" si="5"/>
        <v>1.5387609504112622E-6</v>
      </c>
      <c r="AK12" s="8">
        <f t="shared" si="6"/>
        <v>3.90625E-3</v>
      </c>
      <c r="AM12" s="8">
        <v>8</v>
      </c>
      <c r="AN12" s="8">
        <f t="shared" si="25"/>
        <v>1281.25</v>
      </c>
      <c r="AO12" s="8">
        <v>-1.7183278524136085</v>
      </c>
      <c r="AP12" s="8">
        <f t="shared" si="26"/>
        <v>1296.875</v>
      </c>
      <c r="AQ12" s="8">
        <v>3.884871057754026</v>
      </c>
      <c r="AR12" s="8">
        <f t="shared" si="17"/>
        <v>1289.0625</v>
      </c>
      <c r="AS12" s="8">
        <v>1.0922229281834461</v>
      </c>
      <c r="AT12" s="8">
        <f t="shared" si="18"/>
        <v>-1.876797078542364</v>
      </c>
      <c r="AU12" s="8">
        <f t="shared" si="19"/>
        <v>4.2431452423152241</v>
      </c>
      <c r="AV12" s="8">
        <f t="shared" si="20"/>
        <v>15.625</v>
      </c>
      <c r="AX12" s="68"/>
      <c r="AY12" s="9" t="s">
        <v>277</v>
      </c>
      <c r="AZ12" s="42"/>
      <c r="BA12"/>
      <c r="BB12" s="10" t="s">
        <v>280</v>
      </c>
      <c r="BC12" s="54">
        <f>BC11*BC5/1000</f>
        <v>108.45857037161134</v>
      </c>
      <c r="BD12" s="42" t="s">
        <v>162</v>
      </c>
      <c r="BE12"/>
      <c r="BF12" s="72" t="s">
        <v>281</v>
      </c>
      <c r="BG12" s="72"/>
      <c r="BH12" s="72"/>
      <c r="BI12"/>
      <c r="BJ12" s="72" t="s">
        <v>282</v>
      </c>
      <c r="BK12" s="72"/>
      <c r="BL12" s="72"/>
      <c r="BM12"/>
      <c r="BN12" s="8" t="s">
        <v>283</v>
      </c>
      <c r="BO12" s="8">
        <f>IF(BO7&lt;$BG$42, $BC$43*BO7^2 + $BD$43*BO7 + $BE$43, IF(BO7&gt;$BH$42, $BI$43*BO7^2 + $BJ$43*BO7 + $BK$43, $BF$43*BO7^2 + $BG$43*BO7 + $BH$43))</f>
        <v>0.90131069669985098</v>
      </c>
      <c r="BP12" s="8"/>
      <c r="BQ12" s="8"/>
      <c r="BR12" s="8" t="s">
        <v>283</v>
      </c>
      <c r="BS12" s="8">
        <f>IF(BS7&lt;$BG$42, $BC$43*BS7^2 + $BD$43*BS7 + $BE$43, IF(BS7&gt;$BH$42, $BI$43*BS7^2 + $BJ$43*BS7 + $BK$43, $BF$43*BS7^2 + $BG$43*BS7 + $BH$43))</f>
        <v>0.9398829729369117</v>
      </c>
      <c r="BT12" s="8"/>
      <c r="BU12"/>
      <c r="BV12" s="8">
        <v>8</v>
      </c>
      <c r="BW12" s="8">
        <f t="shared" si="21"/>
        <v>0.20616701789183017</v>
      </c>
      <c r="BX12" s="8">
        <v>-5.518645206470163E-3</v>
      </c>
      <c r="BY12" s="8">
        <f t="shared" si="22"/>
        <v>0.2280109043113217</v>
      </c>
      <c r="BZ12" s="8">
        <v>5.6945174269527762E-2</v>
      </c>
      <c r="CA12" s="8">
        <f t="shared" si="7"/>
        <v>0.21708896110157594</v>
      </c>
      <c r="CB12" s="8">
        <v>2.6655914637893158E-2</v>
      </c>
      <c r="CC12" s="8">
        <f t="shared" si="8"/>
        <v>-1.4710453554048694E-4</v>
      </c>
      <c r="CD12" s="8">
        <f t="shared" si="9"/>
        <v>1.517925704368482E-3</v>
      </c>
      <c r="CE12" s="8">
        <f t="shared" si="10"/>
        <v>2.1843886419491532E-2</v>
      </c>
      <c r="CF12"/>
      <c r="CG12" s="8">
        <v>8</v>
      </c>
      <c r="CH12" s="8">
        <f t="shared" si="23"/>
        <v>0.18432313147233864</v>
      </c>
      <c r="CI12" s="8">
        <v>-5.5563284550877487E-2</v>
      </c>
      <c r="CJ12" s="8">
        <f t="shared" si="24"/>
        <v>0.20616701789183017</v>
      </c>
      <c r="CK12" s="8">
        <v>1.406980592209834E-2</v>
      </c>
      <c r="CL12" s="8">
        <f t="shared" si="11"/>
        <v>0.19524507468208441</v>
      </c>
      <c r="CM12" s="8">
        <v>-1.9399598979421399E-2</v>
      </c>
      <c r="CN12" s="8">
        <f t="shared" si="12"/>
        <v>1.0779054382665037E-3</v>
      </c>
      <c r="CO12" s="8">
        <f t="shared" si="13"/>
        <v>-2.729485926069961E-4</v>
      </c>
      <c r="CP12" s="8">
        <f t="shared" si="14"/>
        <v>2.1843886419491532E-2</v>
      </c>
      <c r="CQ12"/>
      <c r="CR12"/>
      <c r="CS12"/>
      <c r="CT12"/>
      <c r="CU12"/>
      <c r="CV12"/>
      <c r="CW12"/>
      <c r="CX12"/>
      <c r="CY12"/>
      <c r="CZ12"/>
      <c r="DA12"/>
    </row>
    <row r="13" spans="2:105" x14ac:dyDescent="0.2">
      <c r="B13" s="20" t="s">
        <v>92</v>
      </c>
      <c r="C13" s="20">
        <f>C28*100</f>
        <v>400</v>
      </c>
      <c r="D13" s="20" t="s">
        <v>12</v>
      </c>
      <c r="F13" s="4" t="s">
        <v>154</v>
      </c>
      <c r="G13" s="1">
        <f>$C$8</f>
        <v>50</v>
      </c>
      <c r="H13" t="s">
        <v>16</v>
      </c>
      <c r="J13" s="27" t="s">
        <v>74</v>
      </c>
      <c r="K13" s="20">
        <f xml:space="preserve"> K8 * 1000 / ($C$39 * $C$40 * $C$41)</f>
        <v>462.92560464387816</v>
      </c>
      <c r="L13" s="20" t="s">
        <v>12</v>
      </c>
      <c r="N13" s="59" t="s">
        <v>101</v>
      </c>
      <c r="O13" s="66"/>
      <c r="P13" s="66"/>
      <c r="R13" s="59" t="s">
        <v>101</v>
      </c>
      <c r="S13" s="66"/>
      <c r="T13" s="66"/>
      <c r="V13" s="59" t="s">
        <v>101</v>
      </c>
      <c r="W13" s="66"/>
      <c r="X13" s="66"/>
      <c r="AB13" s="8">
        <v>9</v>
      </c>
      <c r="AC13" s="8">
        <f t="shared" si="15"/>
        <v>3.515625E-2</v>
      </c>
      <c r="AD13" s="8">
        <f t="shared" si="1"/>
        <v>1.3711270589828184E-3</v>
      </c>
      <c r="AE13" s="8">
        <f t="shared" si="16"/>
        <v>3.7109375E-2</v>
      </c>
      <c r="AF13" s="8">
        <f t="shared" si="2"/>
        <v>-5.988233141967364E-4</v>
      </c>
      <c r="AG13" s="8">
        <f t="shared" si="3"/>
        <v>3.61328125E-2</v>
      </c>
      <c r="AH13" s="8">
        <f t="shared" si="0"/>
        <v>3.8626068149608117E-4</v>
      </c>
      <c r="AI13" s="8">
        <f t="shared" si="4"/>
        <v>5.2961247222042096E-7</v>
      </c>
      <c r="AJ13" s="8">
        <f t="shared" si="5"/>
        <v>-2.3130190143737335E-7</v>
      </c>
      <c r="AK13" s="8">
        <f t="shared" si="6"/>
        <v>1.953125E-3</v>
      </c>
      <c r="AM13" s="8">
        <v>9</v>
      </c>
      <c r="AN13" s="8">
        <f t="shared" si="25"/>
        <v>1281.25</v>
      </c>
      <c r="AO13" s="8">
        <v>-1.7183278524136085</v>
      </c>
      <c r="AP13" s="8">
        <f t="shared" si="26"/>
        <v>1289.0625</v>
      </c>
      <c r="AQ13" s="8">
        <v>1.0922229281834461</v>
      </c>
      <c r="AR13" s="8">
        <f t="shared" si="17"/>
        <v>1285.15625</v>
      </c>
      <c r="AS13" s="8">
        <v>-0.3108222384646524</v>
      </c>
      <c r="AT13" s="8">
        <f t="shared" si="18"/>
        <v>0.53409450950335668</v>
      </c>
      <c r="AU13" s="8">
        <f t="shared" si="19"/>
        <v>-0.33948717544039603</v>
      </c>
      <c r="AV13" s="8">
        <f t="shared" si="20"/>
        <v>7.8125</v>
      </c>
      <c r="AX13" s="68"/>
      <c r="AY13" s="9" t="s">
        <v>277</v>
      </c>
      <c r="AZ13" s="42"/>
      <c r="BA13"/>
      <c r="BB13"/>
      <c r="BC13"/>
      <c r="BD13"/>
      <c r="BE13"/>
      <c r="BF13" s="8" t="s">
        <v>248</v>
      </c>
      <c r="BG13" s="8">
        <f>$AY$20-$AY$19</f>
        <v>0.14999999999999991</v>
      </c>
      <c r="BH13" s="42" t="s">
        <v>14</v>
      </c>
      <c r="BI13"/>
      <c r="BJ13" s="8" t="s">
        <v>248</v>
      </c>
      <c r="BK13" s="8">
        <f>$AY$21-$AY$20</f>
        <v>0.15000000000000002</v>
      </c>
      <c r="BL13" s="42" t="s">
        <v>14</v>
      </c>
      <c r="BM13"/>
      <c r="BN13" s="8" t="s">
        <v>284</v>
      </c>
      <c r="BO13" s="8">
        <f>IF(BO7&lt;$BG$42, $BC$44*BO7^2 + $BD$44*BO7 + $BE$44, IF(BO7&gt;$BH$42, $BI$44*BO7^2 + $BJ$44*BO7 + $BK$44, $BF$44*BO7^2 + $BG$44*BO7 + $BH$44))</f>
        <v>8.5327629935067102E-3</v>
      </c>
      <c r="BP13" s="8"/>
      <c r="BQ13" s="8"/>
      <c r="BR13" s="8" t="s">
        <v>284</v>
      </c>
      <c r="BS13" s="8">
        <f>IF(BS7&lt;$BG$42, $BC$44*BS7^2 + $BD$44*BS7 + $BE$44, IF(BS7&gt;$BH$42, $BI$44*BS7^2 + $BJ$44*BS7 + $BK$44, $BF$44*BS7^2 + $BG$44*BS7 + $BH$44))</f>
        <v>9.0131833561674646E-3</v>
      </c>
      <c r="BT13" s="8"/>
      <c r="BU13"/>
      <c r="BV13" s="8">
        <v>9</v>
      </c>
      <c r="BW13" s="8">
        <f t="shared" si="21"/>
        <v>0.20616701789183017</v>
      </c>
      <c r="BX13" s="8">
        <v>-5.518645206470163E-3</v>
      </c>
      <c r="BY13" s="8">
        <f t="shared" si="22"/>
        <v>0.21708896110157594</v>
      </c>
      <c r="BZ13" s="8">
        <v>2.6655914637893158E-2</v>
      </c>
      <c r="CA13" s="8">
        <f t="shared" si="7"/>
        <v>0.21162798949670306</v>
      </c>
      <c r="CB13" s="8">
        <v>1.0822961784637569E-2</v>
      </c>
      <c r="CC13" s="8">
        <f t="shared" si="8"/>
        <v>-5.972808617259988E-5</v>
      </c>
      <c r="CD13" s="8">
        <f t="shared" si="9"/>
        <v>2.8849594546047884E-4</v>
      </c>
      <c r="CE13" s="8">
        <f t="shared" si="10"/>
        <v>1.0921943209745766E-2</v>
      </c>
      <c r="CF13"/>
      <c r="CG13" s="8">
        <v>9</v>
      </c>
      <c r="CH13" s="8">
        <f t="shared" si="23"/>
        <v>0.19524507468208441</v>
      </c>
      <c r="CI13" s="8">
        <v>-1.9399598979421399E-2</v>
      </c>
      <c r="CJ13" s="8">
        <f t="shared" si="24"/>
        <v>0.20616701789183017</v>
      </c>
      <c r="CK13" s="8">
        <v>1.406980592209834E-2</v>
      </c>
      <c r="CL13" s="8">
        <f t="shared" si="11"/>
        <v>0.20070604628695729</v>
      </c>
      <c r="CM13" s="8">
        <v>-2.3563091369655596E-3</v>
      </c>
      <c r="CN13" s="8">
        <f t="shared" si="12"/>
        <v>4.5711452328678389E-5</v>
      </c>
      <c r="CO13" s="8">
        <f t="shared" si="13"/>
        <v>-3.3152812249572456E-5</v>
      </c>
      <c r="CP13" s="8">
        <f t="shared" si="14"/>
        <v>1.0921943209745766E-2</v>
      </c>
      <c r="CQ13"/>
      <c r="CR13"/>
      <c r="CS13"/>
      <c r="CT13"/>
      <c r="CU13"/>
      <c r="CV13"/>
      <c r="CW13"/>
      <c r="CX13"/>
      <c r="CY13"/>
      <c r="CZ13"/>
      <c r="DA13"/>
    </row>
    <row r="14" spans="2:105" x14ac:dyDescent="0.2">
      <c r="B14" s="20" t="s">
        <v>21</v>
      </c>
      <c r="C14" s="33">
        <v>96000</v>
      </c>
      <c r="D14" s="20" t="s">
        <v>14</v>
      </c>
      <c r="F14" t="s">
        <v>126</v>
      </c>
      <c r="G14" s="1">
        <v>2.54</v>
      </c>
      <c r="H14" t="s">
        <v>16</v>
      </c>
      <c r="J14" s="28" t="s">
        <v>229</v>
      </c>
      <c r="K14" s="20">
        <f xml:space="preserve"> $C$17 * (0.0095 * MAX(G7,O19,S19,W19,G49) - 1.9275)</f>
        <v>112.54300056435058</v>
      </c>
      <c r="L14" s="20" t="s">
        <v>12</v>
      </c>
      <c r="N14" s="20" t="s">
        <v>102</v>
      </c>
      <c r="O14" s="20">
        <f>SQRT((O10*COS(G18/180*PI()))^2 + (O10*SIN(G18/180*PI())+$C$5*$C$46)^2)</f>
        <v>12658.210585721114</v>
      </c>
      <c r="P14" s="20" t="s">
        <v>31</v>
      </c>
      <c r="R14" s="20" t="s">
        <v>102</v>
      </c>
      <c r="S14" s="20">
        <f xml:space="preserve"> SQRT( ($C$5*$C$46)^2 + S10^2)</f>
        <v>12626.787903475677</v>
      </c>
      <c r="T14" s="20" t="s">
        <v>31</v>
      </c>
      <c r="V14" s="20" t="s">
        <v>102</v>
      </c>
      <c r="W14" s="20">
        <f xml:space="preserve"> SQRT( (W10*COS(G38/180*PI()))^2 + ($C$5*$C$46 - W10*SIN(G38/180*PI()))^2 )</f>
        <v>12607.896703078522</v>
      </c>
      <c r="X14" s="20" t="s">
        <v>31</v>
      </c>
      <c r="AB14" s="8">
        <v>10</v>
      </c>
      <c r="AC14" s="8">
        <f t="shared" si="15"/>
        <v>3.61328125E-2</v>
      </c>
      <c r="AD14" s="8">
        <f t="shared" si="1"/>
        <v>3.8626068149608117E-4</v>
      </c>
      <c r="AE14" s="8">
        <f t="shared" si="16"/>
        <v>3.7109375E-2</v>
      </c>
      <c r="AF14" s="8">
        <f t="shared" si="2"/>
        <v>-5.988233141967364E-4</v>
      </c>
      <c r="AG14" s="8">
        <f t="shared" si="3"/>
        <v>3.662109375E-2</v>
      </c>
      <c r="AH14" s="8">
        <f t="shared" si="0"/>
        <v>-1.0625416246665131E-4</v>
      </c>
      <c r="AI14" s="8">
        <f t="shared" si="4"/>
        <v>-4.1041805206164066E-8</v>
      </c>
      <c r="AJ14" s="8">
        <f t="shared" si="5"/>
        <v>6.3627469715478618E-8</v>
      </c>
      <c r="AK14" s="8">
        <f t="shared" si="6"/>
        <v>9.765625E-4</v>
      </c>
      <c r="AM14" s="8">
        <v>10</v>
      </c>
      <c r="AN14" s="8">
        <f t="shared" si="25"/>
        <v>1285.15625</v>
      </c>
      <c r="AO14" s="8">
        <v>-0.3108222384646524</v>
      </c>
      <c r="AP14" s="8">
        <f t="shared" si="26"/>
        <v>1289.0625</v>
      </c>
      <c r="AQ14" s="8">
        <v>1.0922229281834461</v>
      </c>
      <c r="AR14" s="8">
        <f t="shared" si="17"/>
        <v>1287.109375</v>
      </c>
      <c r="AS14" s="8">
        <v>0.39125857616625126</v>
      </c>
      <c r="AT14" s="8">
        <f t="shared" si="18"/>
        <v>-0.12161186646248691</v>
      </c>
      <c r="AU14" s="8">
        <f t="shared" si="19"/>
        <v>0.42734158773718883</v>
      </c>
      <c r="AV14" s="8">
        <f t="shared" si="20"/>
        <v>3.90625</v>
      </c>
      <c r="AX14" s="68"/>
      <c r="AY14" s="9" t="s">
        <v>277</v>
      </c>
      <c r="AZ14" s="42"/>
      <c r="BA14"/>
      <c r="BB14" s="69" t="s">
        <v>285</v>
      </c>
      <c r="BC14" s="69"/>
      <c r="BD14" s="69"/>
      <c r="BE14"/>
      <c r="BF14" s="8" t="s">
        <v>253</v>
      </c>
      <c r="BG14" s="8">
        <f>(1+$BO$37)*$AY$3</f>
        <v>17.436619311182056</v>
      </c>
      <c r="BH14" s="42" t="s">
        <v>16</v>
      </c>
      <c r="BI14"/>
      <c r="BJ14" s="8" t="s">
        <v>253</v>
      </c>
      <c r="BK14" s="8">
        <f>(1+$BS$37)*$AY$3</f>
        <v>19.076379533570648</v>
      </c>
      <c r="BL14" s="42" t="s">
        <v>16</v>
      </c>
      <c r="BM14"/>
      <c r="BN14" s="8" t="s">
        <v>286</v>
      </c>
      <c r="BO14" s="8">
        <f xml:space="preserve"> BO12*COS(BO4) - BO13*SIN(BO4)</f>
        <v>0.88012335274816722</v>
      </c>
      <c r="BP14" s="8"/>
      <c r="BQ14" s="8"/>
      <c r="BR14" s="8" t="s">
        <v>286</v>
      </c>
      <c r="BS14" s="8">
        <f xml:space="preserve"> BS12*COS(BS4) - BS13*SIN(BS4)</f>
        <v>0.91906732937529478</v>
      </c>
      <c r="BT14" s="8"/>
      <c r="BU14"/>
      <c r="BV14" s="8">
        <v>10</v>
      </c>
      <c r="BW14" s="8">
        <f t="shared" si="21"/>
        <v>0.20616701789183017</v>
      </c>
      <c r="BX14" s="8">
        <v>-5.518645206470163E-3</v>
      </c>
      <c r="BY14" s="8">
        <f t="shared" si="22"/>
        <v>0.21162798949670306</v>
      </c>
      <c r="BZ14" s="8">
        <v>1.0822961784637569E-2</v>
      </c>
      <c r="CA14" s="8">
        <f t="shared" si="7"/>
        <v>0.20889750369426663</v>
      </c>
      <c r="CB14" s="8">
        <v>2.7183000780960954E-3</v>
      </c>
      <c r="CC14" s="8">
        <f t="shared" si="8"/>
        <v>-1.5001333695732487E-5</v>
      </c>
      <c r="CD14" s="8">
        <f t="shared" si="9"/>
        <v>2.9420057864411362E-5</v>
      </c>
      <c r="CE14" s="8">
        <f t="shared" si="10"/>
        <v>5.4609716048728829E-3</v>
      </c>
      <c r="CF14"/>
      <c r="CG14" s="8">
        <v>10</v>
      </c>
      <c r="CH14" s="8">
        <f t="shared" si="23"/>
        <v>0.20070604628695729</v>
      </c>
      <c r="CI14" s="8">
        <v>-2.3563091369655596E-3</v>
      </c>
      <c r="CJ14" s="8">
        <f t="shared" si="24"/>
        <v>0.20616701789183017</v>
      </c>
      <c r="CK14" s="8">
        <v>1.406980592209834E-2</v>
      </c>
      <c r="CL14" s="8">
        <f t="shared" si="11"/>
        <v>0.20343653208939372</v>
      </c>
      <c r="CM14" s="8">
        <v>5.9307072856442378E-3</v>
      </c>
      <c r="CN14" s="8">
        <f t="shared" si="12"/>
        <v>-1.397457976583173E-5</v>
      </c>
      <c r="CO14" s="8">
        <f t="shared" si="13"/>
        <v>8.3443900489789066E-5</v>
      </c>
      <c r="CP14" s="8">
        <f t="shared" si="14"/>
        <v>5.4609716048728829E-3</v>
      </c>
      <c r="CQ14"/>
      <c r="CR14"/>
      <c r="CS14"/>
      <c r="CT14"/>
      <c r="CU14"/>
      <c r="CV14"/>
      <c r="CW14"/>
      <c r="CX14"/>
      <c r="CY14"/>
      <c r="CZ14"/>
      <c r="DA14"/>
    </row>
    <row r="15" spans="2:105" x14ac:dyDescent="0.2">
      <c r="F15" t="s">
        <v>125</v>
      </c>
      <c r="G15" s="1">
        <v>304.8</v>
      </c>
      <c r="H15" t="s">
        <v>14</v>
      </c>
      <c r="J15" s="28" t="s">
        <v>230</v>
      </c>
      <c r="K15" s="20">
        <f xml:space="preserve"> C17 * 0.0037 * C18^0.28 * (C6*3.28084)^1.5 * (G9*3.28084)^0.43 * (0.01742 * C18^0.66 * C7*3.28084 * (C6*3.28084)^1.3 * (G9*3.28084)^0.67 + C46*3.28084/(C6*3.28084)^2 * PI()*(C6*3.28084)^4/2 * C19)^0.55 * 0.453592</f>
        <v>29.400698950678304</v>
      </c>
      <c r="L15" s="20" t="s">
        <v>12</v>
      </c>
      <c r="N15" s="20" t="s">
        <v>156</v>
      </c>
      <c r="O15" s="20">
        <f>ACOS(O10*COS(G18/180*PI())/O14) /PI() *180</f>
        <v>87.195816042397297</v>
      </c>
      <c r="P15" s="20" t="s">
        <v>62</v>
      </c>
      <c r="R15" s="20" t="s">
        <v>103</v>
      </c>
      <c r="S15" s="20">
        <f>$C$5*$C$46/S14</f>
        <v>0.99879348120770184</v>
      </c>
      <c r="V15" s="20" t="s">
        <v>156</v>
      </c>
      <c r="W15" s="20">
        <f xml:space="preserve"> ACOS(W10*COS(G38/180*PI())/W14) /PI() * 180</f>
        <v>87.182284600507899</v>
      </c>
      <c r="X15" s="20" t="s">
        <v>62</v>
      </c>
      <c r="AB15" s="8">
        <v>11</v>
      </c>
      <c r="AC15" s="8">
        <f t="shared" si="15"/>
        <v>3.61328125E-2</v>
      </c>
      <c r="AD15" s="8">
        <f t="shared" si="1"/>
        <v>3.8626068149608117E-4</v>
      </c>
      <c r="AE15" s="8">
        <f t="shared" si="16"/>
        <v>3.662109375E-2</v>
      </c>
      <c r="AF15" s="8">
        <f t="shared" si="2"/>
        <v>-1.0625416246665131E-4</v>
      </c>
      <c r="AG15" s="8">
        <f t="shared" si="3"/>
        <v>3.6376953125E-2</v>
      </c>
      <c r="AH15" s="8">
        <f t="shared" si="0"/>
        <v>1.4001005407941747E-4</v>
      </c>
      <c r="AI15" s="8">
        <f t="shared" si="4"/>
        <v>5.408037890501897E-8</v>
      </c>
      <c r="AJ15" s="8">
        <f t="shared" si="5"/>
        <v>-1.487665103311906E-8</v>
      </c>
      <c r="AK15" s="8">
        <f t="shared" si="6"/>
        <v>4.8828125E-4</v>
      </c>
      <c r="AM15" s="8">
        <v>11</v>
      </c>
      <c r="AN15" s="8">
        <f t="shared" si="25"/>
        <v>1285.15625</v>
      </c>
      <c r="AO15" s="8">
        <v>-0.3108222384646524</v>
      </c>
      <c r="AP15" s="8">
        <f t="shared" si="26"/>
        <v>1287.109375</v>
      </c>
      <c r="AQ15" s="8">
        <v>0.39125857616625126</v>
      </c>
      <c r="AR15" s="8">
        <f t="shared" si="17"/>
        <v>1286.1328125</v>
      </c>
      <c r="AS15" s="8">
        <v>4.0356136658715513E-2</v>
      </c>
      <c r="AT15" s="8">
        <f t="shared" si="18"/>
        <v>-1.2543584732047374E-2</v>
      </c>
      <c r="AU15" s="8">
        <f t="shared" si="19"/>
        <v>1.5789684568659687E-2</v>
      </c>
      <c r="AV15" s="8">
        <f t="shared" si="20"/>
        <v>1.953125</v>
      </c>
      <c r="AX15" s="68"/>
      <c r="AY15" s="9" t="s">
        <v>277</v>
      </c>
      <c r="AZ15" s="42"/>
      <c r="BA15"/>
      <c r="BB15" s="8" t="s">
        <v>287</v>
      </c>
      <c r="BC15" s="8">
        <f>SQRT(BC10^3/(2*AY41*PI()*(AY9/2)^2))/1000</f>
        <v>82.927947944833036</v>
      </c>
      <c r="BD15" s="42" t="s">
        <v>162</v>
      </c>
      <c r="BE15"/>
      <c r="BF15" s="8" t="s">
        <v>258</v>
      </c>
      <c r="BG15" s="8">
        <f>(1-$BO$38)*$BC$5*$AY$20</f>
        <v>91.739152113704833</v>
      </c>
      <c r="BH15" s="42" t="s">
        <v>16</v>
      </c>
      <c r="BI15"/>
      <c r="BJ15" s="8" t="s">
        <v>258</v>
      </c>
      <c r="BK15" s="8">
        <f>(1-$BS$38)*$BC$5*$AY$21</f>
        <v>108.95105870926399</v>
      </c>
      <c r="BL15" s="42" t="s">
        <v>16</v>
      </c>
      <c r="BM15"/>
      <c r="BN15" s="8" t="s">
        <v>288</v>
      </c>
      <c r="BO15" s="8">
        <f xml:space="preserve"> BO12*SIN(BO4) + BO13*COS(BO4)</f>
        <v>0.19446507135524177</v>
      </c>
      <c r="BP15" s="8"/>
      <c r="BQ15" s="8"/>
      <c r="BR15" s="8" t="s">
        <v>288</v>
      </c>
      <c r="BS15" s="8">
        <f xml:space="preserve"> BS12*SIN(BS4) + BS13*COS(BS4)</f>
        <v>0.1969174557166091</v>
      </c>
      <c r="BT15" s="8"/>
      <c r="BU15"/>
      <c r="BV15" s="8">
        <v>11</v>
      </c>
      <c r="BW15" s="8">
        <f t="shared" si="21"/>
        <v>0.20616701789183017</v>
      </c>
      <c r="BX15" s="8">
        <v>-5.518645206470163E-3</v>
      </c>
      <c r="BY15" s="8">
        <f t="shared" si="22"/>
        <v>0.20889750369426663</v>
      </c>
      <c r="BZ15" s="8">
        <v>2.7183000780960954E-3</v>
      </c>
      <c r="CA15" s="8">
        <f t="shared" si="7"/>
        <v>0.2075322607930484</v>
      </c>
      <c r="CB15" s="8">
        <v>-1.3833014791022492E-3</v>
      </c>
      <c r="CC15" s="8">
        <f t="shared" si="8"/>
        <v>7.6339500767507141E-6</v>
      </c>
      <c r="CD15" s="8">
        <f t="shared" si="9"/>
        <v>-3.7602285186740882E-6</v>
      </c>
      <c r="CE15" s="8">
        <f t="shared" si="10"/>
        <v>2.7304858024364553E-3</v>
      </c>
      <c r="CF15"/>
      <c r="CG15" s="8">
        <v>11</v>
      </c>
      <c r="CH15" s="8">
        <f t="shared" si="23"/>
        <v>0.20070604628695729</v>
      </c>
      <c r="CI15" s="8">
        <v>-2.3563091369655596E-3</v>
      </c>
      <c r="CJ15" s="8">
        <f t="shared" si="24"/>
        <v>0.20343653208939372</v>
      </c>
      <c r="CK15" s="8">
        <v>5.9307072856442378E-3</v>
      </c>
      <c r="CL15" s="8">
        <f t="shared" si="11"/>
        <v>0.20207128918817552</v>
      </c>
      <c r="CM15" s="8">
        <v>1.8060735672682533E-3</v>
      </c>
      <c r="CN15" s="8">
        <f t="shared" si="12"/>
        <v>-4.2556676485861673E-6</v>
      </c>
      <c r="CO15" s="8">
        <f t="shared" si="13"/>
        <v>1.0711293663807308E-5</v>
      </c>
      <c r="CP15" s="8">
        <f t="shared" si="14"/>
        <v>2.7304858024364276E-3</v>
      </c>
      <c r="CQ15"/>
      <c r="CR15"/>
      <c r="CS15"/>
      <c r="CT15"/>
      <c r="CU15"/>
      <c r="CV15"/>
      <c r="CW15"/>
      <c r="CX15"/>
      <c r="CY15"/>
      <c r="CZ15"/>
      <c r="DA15"/>
    </row>
    <row r="16" spans="2:105" x14ac:dyDescent="0.2">
      <c r="B16" s="61" t="s">
        <v>184</v>
      </c>
      <c r="C16" s="61"/>
      <c r="D16" s="61"/>
      <c r="F16" t="s">
        <v>127</v>
      </c>
      <c r="G16" s="24">
        <f>SQRT($G$13^2-$G$14^2)</f>
        <v>49.935442323063484</v>
      </c>
      <c r="H16" t="s">
        <v>16</v>
      </c>
      <c r="J16" s="29" t="s">
        <v>76</v>
      </c>
      <c r="K16" s="20">
        <f xml:space="preserve"> 0.2138 * K4</f>
        <v>53.288971228724414</v>
      </c>
      <c r="L16" s="20" t="s">
        <v>12</v>
      </c>
      <c r="AB16" s="8">
        <v>12</v>
      </c>
      <c r="AC16" s="8">
        <f t="shared" si="15"/>
        <v>3.6376953125E-2</v>
      </c>
      <c r="AD16" s="8">
        <f t="shared" si="1"/>
        <v>1.4001005407941747E-4</v>
      </c>
      <c r="AE16" s="8">
        <f t="shared" si="16"/>
        <v>3.662109375E-2</v>
      </c>
      <c r="AF16" s="8">
        <f t="shared" si="2"/>
        <v>-1.0625416246665131E-4</v>
      </c>
      <c r="AG16" s="8">
        <f t="shared" si="3"/>
        <v>3.64990234375E-2</v>
      </c>
      <c r="AH16" s="8">
        <f t="shared" si="0"/>
        <v>1.6879643688627599E-5</v>
      </c>
      <c r="AI16" s="8">
        <f t="shared" si="4"/>
        <v>2.3633198256860479E-9</v>
      </c>
      <c r="AJ16" s="8">
        <f t="shared" si="5"/>
        <v>-1.7935324028706224E-9</v>
      </c>
      <c r="AK16" s="8">
        <f t="shared" si="6"/>
        <v>2.44140625E-4</v>
      </c>
      <c r="AM16" s="8">
        <v>12</v>
      </c>
      <c r="AN16" s="8">
        <f t="shared" si="25"/>
        <v>1285.15625</v>
      </c>
      <c r="AO16" s="8">
        <v>-0.3108222384646524</v>
      </c>
      <c r="AP16" s="8">
        <f t="shared" si="26"/>
        <v>1286.1328125</v>
      </c>
      <c r="AQ16" s="8">
        <v>4.0356136658715513E-2</v>
      </c>
      <c r="AR16" s="8">
        <f t="shared" si="17"/>
        <v>1285.64453125</v>
      </c>
      <c r="AS16" s="8">
        <v>-0.13519922688465158</v>
      </c>
      <c r="AT16" s="8">
        <f t="shared" si="18"/>
        <v>4.202292633897782E-2</v>
      </c>
      <c r="AU16" s="8">
        <f t="shared" si="19"/>
        <v>-5.4561184763096838E-3</v>
      </c>
      <c r="AV16" s="8">
        <f t="shared" si="20"/>
        <v>0.9765625</v>
      </c>
      <c r="AX16" s="68"/>
      <c r="AY16" s="9" t="s">
        <v>277</v>
      </c>
      <c r="AZ16" s="42"/>
      <c r="BA16"/>
      <c r="BB16" s="8" t="s">
        <v>289</v>
      </c>
      <c r="BC16" s="8">
        <f>BC15/BC12</f>
        <v>0.76460484091480463</v>
      </c>
      <c r="BD16" s="42"/>
      <c r="BE16"/>
      <c r="BF16" s="8" t="s">
        <v>262</v>
      </c>
      <c r="BG16" s="8">
        <f>SQRT(BG14^2 + BG15^2)</f>
        <v>93.381517033857193</v>
      </c>
      <c r="BH16" s="42" t="s">
        <v>16</v>
      </c>
      <c r="BI16"/>
      <c r="BJ16" s="8" t="s">
        <v>262</v>
      </c>
      <c r="BK16" s="8">
        <f>SQRT(BK14^2 + BK15^2)</f>
        <v>110.6085053238598</v>
      </c>
      <c r="BL16" s="42" t="s">
        <v>16</v>
      </c>
      <c r="BM16"/>
      <c r="BN16" s="8" t="s">
        <v>51</v>
      </c>
      <c r="BO16" s="8">
        <f xml:space="preserve"> 4*BO11*SIN(BO4)*SIN(BO4) / (BO8*BO14)</f>
        <v>1.0889764794522949</v>
      </c>
      <c r="BP16" s="8"/>
      <c r="BQ16" s="8"/>
      <c r="BR16" s="8" t="s">
        <v>51</v>
      </c>
      <c r="BS16" s="8">
        <f xml:space="preserve"> 4*BS11*SIN(BS4)*SIN(BS4) / (BS8*BS14)</f>
        <v>1.0701394807430644</v>
      </c>
      <c r="BT16" s="8"/>
      <c r="BU16"/>
      <c r="BV16" s="8">
        <v>12</v>
      </c>
      <c r="BW16" s="8">
        <f t="shared" si="21"/>
        <v>0.2075322607930484</v>
      </c>
      <c r="BX16" s="8">
        <v>-1.3833014791022492E-3</v>
      </c>
      <c r="BY16" s="8">
        <f t="shared" si="22"/>
        <v>0.20889750369426663</v>
      </c>
      <c r="BZ16" s="8">
        <v>2.7183000780960954E-3</v>
      </c>
      <c r="CA16" s="8">
        <f t="shared" si="7"/>
        <v>0.20821488224365753</v>
      </c>
      <c r="CB16" s="8">
        <v>6.7167438727669046E-4</v>
      </c>
      <c r="CC16" s="8">
        <f t="shared" si="8"/>
        <v>-9.2912817339494282E-7</v>
      </c>
      <c r="CD16" s="8">
        <f t="shared" si="9"/>
        <v>1.8258125393893747E-6</v>
      </c>
      <c r="CE16" s="8">
        <f t="shared" si="10"/>
        <v>1.3652429012182277E-3</v>
      </c>
      <c r="CF16"/>
      <c r="CG16" s="8">
        <v>12</v>
      </c>
      <c r="CH16" s="8">
        <f t="shared" si="23"/>
        <v>0.20070604628695729</v>
      </c>
      <c r="CI16" s="8">
        <v>-2.3563091369655596E-3</v>
      </c>
      <c r="CJ16" s="8">
        <f t="shared" si="24"/>
        <v>0.20207128918817552</v>
      </c>
      <c r="CK16" s="8">
        <v>1.8060735672682533E-3</v>
      </c>
      <c r="CL16" s="8">
        <f t="shared" si="11"/>
        <v>0.20138866773756642</v>
      </c>
      <c r="CM16" s="8">
        <v>-2.7034990085455721E-4</v>
      </c>
      <c r="CN16" s="8">
        <f t="shared" si="12"/>
        <v>6.3702794156132633E-7</v>
      </c>
      <c r="CO16" s="8">
        <f t="shared" si="13"/>
        <v>-4.8827180984700877E-7</v>
      </c>
      <c r="CP16" s="8">
        <f t="shared" si="14"/>
        <v>1.3652429012182277E-3</v>
      </c>
      <c r="CQ16"/>
      <c r="CR16"/>
      <c r="CS16"/>
      <c r="CT16"/>
      <c r="CU16"/>
      <c r="CV16"/>
      <c r="CW16"/>
      <c r="CX16"/>
      <c r="CY16"/>
      <c r="CZ16"/>
      <c r="DA16"/>
    </row>
    <row r="17" spans="2:105" x14ac:dyDescent="0.2">
      <c r="B17" s="20" t="s">
        <v>144</v>
      </c>
      <c r="C17" s="33">
        <v>4</v>
      </c>
      <c r="F17" t="s">
        <v>128</v>
      </c>
      <c r="G17" s="24">
        <f>$G$16*($G$15/$G$14)</f>
        <v>5992.2530787676178</v>
      </c>
      <c r="H17" t="s">
        <v>14</v>
      </c>
      <c r="J17" s="29" t="s">
        <v>107</v>
      </c>
      <c r="K17" s="20">
        <f xml:space="preserve"> 0.1149 * K4</f>
        <v>28.638460215998293</v>
      </c>
      <c r="L17" s="20" t="s">
        <v>12</v>
      </c>
      <c r="N17" s="59" t="s">
        <v>40</v>
      </c>
      <c r="O17" s="66"/>
      <c r="P17" s="66"/>
      <c r="R17" s="59" t="s">
        <v>40</v>
      </c>
      <c r="S17" s="66"/>
      <c r="T17" s="66"/>
      <c r="V17" s="59" t="s">
        <v>40</v>
      </c>
      <c r="W17" s="66"/>
      <c r="X17" s="66"/>
      <c r="AB17" s="8">
        <v>13</v>
      </c>
      <c r="AC17" s="8">
        <f t="shared" si="15"/>
        <v>3.64990234375E-2</v>
      </c>
      <c r="AD17" s="8">
        <f t="shared" si="1"/>
        <v>1.6879643688627599E-5</v>
      </c>
      <c r="AE17" s="8">
        <f t="shared" si="16"/>
        <v>3.662109375E-2</v>
      </c>
      <c r="AF17" s="8">
        <f t="shared" si="2"/>
        <v>-1.0625416246665131E-4</v>
      </c>
      <c r="AG17" s="8">
        <f t="shared" si="3"/>
        <v>3.656005859375E-2</v>
      </c>
      <c r="AH17" s="8">
        <f t="shared" si="0"/>
        <v>-4.4686835013560411E-5</v>
      </c>
      <c r="AI17" s="8">
        <f t="shared" si="4"/>
        <v>-7.5429785260138781E-10</v>
      </c>
      <c r="AJ17" s="8">
        <f t="shared" si="5"/>
        <v>4.7481622276512906E-9</v>
      </c>
      <c r="AK17" s="8">
        <f t="shared" si="6"/>
        <v>1.220703125E-4</v>
      </c>
      <c r="AM17" s="8">
        <v>13</v>
      </c>
      <c r="AN17" s="8">
        <f t="shared" si="25"/>
        <v>1285.64453125</v>
      </c>
      <c r="AO17" s="8">
        <v>-0.13519922688465158</v>
      </c>
      <c r="AP17" s="8">
        <f t="shared" si="26"/>
        <v>1286.1328125</v>
      </c>
      <c r="AQ17" s="8">
        <v>4.0356136658715513E-2</v>
      </c>
      <c r="AR17" s="8">
        <f t="shared" si="17"/>
        <v>1285.888671875</v>
      </c>
      <c r="AS17" s="8">
        <v>-4.7409323504780332E-2</v>
      </c>
      <c r="AT17" s="8">
        <f t="shared" si="18"/>
        <v>6.4097038849706411E-3</v>
      </c>
      <c r="AU17" s="8">
        <f t="shared" si="19"/>
        <v>-1.9132571382561687E-3</v>
      </c>
      <c r="AV17" s="8">
        <f t="shared" si="20"/>
        <v>0.48828125</v>
      </c>
      <c r="AX17" s="68"/>
      <c r="AY17" s="9" t="s">
        <v>277</v>
      </c>
      <c r="AZ17" s="42"/>
      <c r="BA17"/>
      <c r="BB17" s="8" t="s">
        <v>286</v>
      </c>
      <c r="BC17" s="8">
        <f>BC10/($AY$41*BC6^2*AY9^4)</f>
        <v>0.13900706290509893</v>
      </c>
      <c r="BD17" s="8"/>
      <c r="BE17"/>
      <c r="BF17" s="8" t="s">
        <v>265</v>
      </c>
      <c r="BG17" s="53">
        <f>$AY$41*BG16*$AY$27/$AY$42</f>
        <v>1422004.4548318726</v>
      </c>
      <c r="BH17" s="42"/>
      <c r="BI17"/>
      <c r="BJ17" s="8" t="s">
        <v>265</v>
      </c>
      <c r="BK17" s="53">
        <f>$AY$41*BK16*$AY$28/$AY$42</f>
        <v>1572046.2980421514</v>
      </c>
      <c r="BL17" s="42"/>
      <c r="BM17"/>
      <c r="BN17" s="8" t="s">
        <v>290</v>
      </c>
      <c r="BO17" s="8">
        <f xml:space="preserve"> 4*BO11*SIN(BO4)*COS(BO4) / (BO8*BO15)</f>
        <v>23.353305151239201</v>
      </c>
      <c r="BP17" s="8"/>
      <c r="BQ17" s="8"/>
      <c r="BR17" s="8" t="s">
        <v>290</v>
      </c>
      <c r="BS17" s="8">
        <f xml:space="preserve"> 4*BS11*SIN(BS4)*COS(BS4) / (BS8*BS15)</f>
        <v>24.453693830474801</v>
      </c>
      <c r="BT17" s="8"/>
      <c r="BU17"/>
      <c r="BV17" s="8">
        <v>13</v>
      </c>
      <c r="BW17" s="8">
        <f t="shared" si="21"/>
        <v>0.2075322607930484</v>
      </c>
      <c r="BX17" s="8">
        <v>-1.3833014791022492E-3</v>
      </c>
      <c r="BY17" s="8">
        <f t="shared" si="22"/>
        <v>0.20821488224365753</v>
      </c>
      <c r="BZ17" s="8">
        <v>6.7167438727669046E-4</v>
      </c>
      <c r="CA17" s="8">
        <f t="shared" si="7"/>
        <v>0.20787357151835295</v>
      </c>
      <c r="CB17" s="8">
        <v>-3.5476448492918061E-4</v>
      </c>
      <c r="CC17" s="8">
        <f t="shared" si="8"/>
        <v>4.9074623673548308E-7</v>
      </c>
      <c r="CD17" s="8">
        <f t="shared" si="9"/>
        <v>-2.3828621804233809E-7</v>
      </c>
      <c r="CE17" s="8">
        <f t="shared" si="10"/>
        <v>6.8262145060912771E-4</v>
      </c>
      <c r="CF17"/>
      <c r="CG17" s="8">
        <v>13</v>
      </c>
      <c r="CH17" s="8">
        <f t="shared" si="23"/>
        <v>0.20138866773756642</v>
      </c>
      <c r="CI17" s="8">
        <v>-2.7034990085455721E-4</v>
      </c>
      <c r="CJ17" s="8">
        <f t="shared" si="24"/>
        <v>0.20207128918817552</v>
      </c>
      <c r="CK17" s="8">
        <v>1.8060735672682533E-3</v>
      </c>
      <c r="CL17" s="8">
        <f t="shared" si="11"/>
        <v>0.20172997846287097</v>
      </c>
      <c r="CM17" s="8">
        <v>7.69047593485837E-4</v>
      </c>
      <c r="CN17" s="8">
        <f t="shared" si="12"/>
        <v>-2.0791194065133184E-7</v>
      </c>
      <c r="CO17" s="8">
        <f t="shared" si="13"/>
        <v>1.3889565305660311E-6</v>
      </c>
      <c r="CP17" s="8">
        <f t="shared" si="14"/>
        <v>6.8262145060909996E-4</v>
      </c>
      <c r="CQ17"/>
      <c r="CR17"/>
      <c r="CS17"/>
      <c r="CT17"/>
      <c r="CU17"/>
      <c r="CV17"/>
      <c r="CW17"/>
      <c r="CX17"/>
      <c r="CY17"/>
      <c r="CZ17"/>
      <c r="DA17"/>
    </row>
    <row r="18" spans="2:105" x14ac:dyDescent="0.2">
      <c r="B18" t="s">
        <v>182</v>
      </c>
      <c r="C18" s="1">
        <v>5</v>
      </c>
      <c r="D18"/>
      <c r="F18" t="s">
        <v>152</v>
      </c>
      <c r="G18" s="24">
        <f>ATAN(G14/G16)/PI()*180</f>
        <v>2.9118789347687013</v>
      </c>
      <c r="H18" t="s">
        <v>62</v>
      </c>
      <c r="J18" s="30" t="s">
        <v>84</v>
      </c>
      <c r="K18" s="20">
        <f xml:space="preserve"> $C$47 * (14.86 * ($C$5*2.20462)^0.144 * ($C$29/(PI()*$C$30))^0.778 * ($C$29*3.28084)^0.383 * $C$28^0.455 * 0.453592)</f>
        <v>88.389521600746079</v>
      </c>
      <c r="L18" s="20" t="s">
        <v>12</v>
      </c>
      <c r="N18" s="20" t="s">
        <v>41</v>
      </c>
      <c r="O18" s="20">
        <f xml:space="preserve"> 90 + G18 - O15</f>
        <v>5.7160628923714114</v>
      </c>
      <c r="P18" s="20" t="s">
        <v>62</v>
      </c>
      <c r="R18" s="20" t="s">
        <v>41</v>
      </c>
      <c r="S18" s="20">
        <f xml:space="preserve"> ACOS(S15)/PI()*180</f>
        <v>2.8148052386843272</v>
      </c>
      <c r="T18" s="20" t="s">
        <v>62</v>
      </c>
      <c r="V18" s="20" t="s">
        <v>41</v>
      </c>
      <c r="W18" s="20">
        <f>90-G38-W15</f>
        <v>1.0710695208574066</v>
      </c>
      <c r="X18" s="20" t="s">
        <v>62</v>
      </c>
      <c r="AB18" s="8">
        <v>14</v>
      </c>
      <c r="AC18" s="8">
        <f t="shared" si="15"/>
        <v>3.64990234375E-2</v>
      </c>
      <c r="AD18" s="8">
        <f t="shared" si="1"/>
        <v>1.6879643688627599E-5</v>
      </c>
      <c r="AE18" s="8">
        <f t="shared" si="16"/>
        <v>3.656005859375E-2</v>
      </c>
      <c r="AF18" s="8">
        <f t="shared" si="2"/>
        <v>-4.4686835013560411E-5</v>
      </c>
      <c r="AG18" s="8">
        <f t="shared" si="3"/>
        <v>3.6529541015625E-2</v>
      </c>
      <c r="AH18" s="8">
        <f t="shared" si="0"/>
        <v>-1.3903489556703341E-5</v>
      </c>
      <c r="AI18" s="8">
        <f t="shared" si="4"/>
        <v>-2.346859497457073E-10</v>
      </c>
      <c r="AJ18" s="8">
        <f t="shared" si="5"/>
        <v>6.2130294393316242E-10</v>
      </c>
      <c r="AK18" s="8">
        <f t="shared" si="6"/>
        <v>6.103515625E-5</v>
      </c>
      <c r="AM18" s="8">
        <v>14</v>
      </c>
      <c r="AN18" s="8">
        <f t="shared" si="25"/>
        <v>1285.888671875</v>
      </c>
      <c r="AO18" s="8">
        <v>-4.7409323504780332E-2</v>
      </c>
      <c r="AP18" s="8">
        <f t="shared" si="26"/>
        <v>1286.1328125</v>
      </c>
      <c r="AQ18" s="8">
        <v>4.0356136658715513E-2</v>
      </c>
      <c r="AR18" s="8">
        <f t="shared" si="17"/>
        <v>1286.0107421875</v>
      </c>
      <c r="AS18" s="8">
        <v>-3.5215640103842816E-3</v>
      </c>
      <c r="AT18" s="8">
        <f t="shared" si="18"/>
        <v>1.6695496741110001E-4</v>
      </c>
      <c r="AU18" s="8">
        <f t="shared" si="19"/>
        <v>-1.4211671845548233E-4</v>
      </c>
      <c r="AV18" s="8">
        <f t="shared" si="20"/>
        <v>0.244140625</v>
      </c>
      <c r="AX18" s="68" t="s">
        <v>291</v>
      </c>
      <c r="AY18" s="9">
        <v>0.52500000000000002</v>
      </c>
      <c r="AZ18" s="42" t="s">
        <v>14</v>
      </c>
      <c r="BA18"/>
      <c r="BB18" s="8" t="s">
        <v>288</v>
      </c>
      <c r="BC18" s="8">
        <f>BC11/($AY$41*BC6^2*AY9^5)</f>
        <v>8.6075281278111364E-3</v>
      </c>
      <c r="BD18" s="42"/>
      <c r="BE18"/>
      <c r="BF18" s="8" t="s">
        <v>269</v>
      </c>
      <c r="BG18" s="49">
        <f xml:space="preserve"> $BO$27 * PI() * $AY$41 * BG16^2 *$BO$33 * $AY$20 * BG13</f>
        <v>541.2491799423791</v>
      </c>
      <c r="BH18" s="42" t="s">
        <v>31</v>
      </c>
      <c r="BI18"/>
      <c r="BJ18" s="8" t="s">
        <v>269</v>
      </c>
      <c r="BK18" s="49">
        <f xml:space="preserve"> $BS$27 * PI() * $AY$41 * BK16^2 * $BS$33 * $AY$21 * BK13</f>
        <v>770.41036338461458</v>
      </c>
      <c r="BL18" s="42" t="s">
        <v>31</v>
      </c>
      <c r="BM18"/>
      <c r="BN18" s="8" t="s">
        <v>64</v>
      </c>
      <c r="BO18" s="8">
        <f>1/(BO16-1)</f>
        <v>11.23892523232675</v>
      </c>
      <c r="BP18" s="8"/>
      <c r="BQ18" s="8"/>
      <c r="BR18" s="8" t="s">
        <v>64</v>
      </c>
      <c r="BS18" s="8">
        <f>1/(BS16-1)</f>
        <v>14.257305434912031</v>
      </c>
      <c r="BT18" s="8"/>
      <c r="BU18"/>
      <c r="BV18" s="8">
        <v>14</v>
      </c>
      <c r="BW18" s="8">
        <f t="shared" si="21"/>
        <v>0.20787357151835295</v>
      </c>
      <c r="BX18" s="8">
        <v>-3.5476448492918061E-4</v>
      </c>
      <c r="BY18" s="8">
        <f t="shared" si="22"/>
        <v>0.20821488224365753</v>
      </c>
      <c r="BZ18" s="8">
        <v>6.7167438727669046E-4</v>
      </c>
      <c r="CA18" s="8">
        <f t="shared" si="7"/>
        <v>0.20804422688100524</v>
      </c>
      <c r="CB18" s="8">
        <v>1.5871655241695218E-4</v>
      </c>
      <c r="CC18" s="8">
        <f t="shared" si="8"/>
        <v>-5.6306995967935337E-8</v>
      </c>
      <c r="CD18" s="8">
        <f t="shared" si="9"/>
        <v>1.0660584309532508E-7</v>
      </c>
      <c r="CE18" s="8">
        <f t="shared" si="10"/>
        <v>3.4131072530457773E-4</v>
      </c>
      <c r="CF18"/>
      <c r="CG18" s="8">
        <v>14</v>
      </c>
      <c r="CH18" s="8">
        <f t="shared" si="23"/>
        <v>0.20138866773756642</v>
      </c>
      <c r="CI18" s="8">
        <v>-2.7034990085455721E-4</v>
      </c>
      <c r="CJ18" s="8">
        <f t="shared" si="24"/>
        <v>0.20172997846287097</v>
      </c>
      <c r="CK18" s="8">
        <v>7.69047593485837E-4</v>
      </c>
      <c r="CL18" s="8">
        <f t="shared" si="11"/>
        <v>0.20155932310021868</v>
      </c>
      <c r="CM18" s="8">
        <v>2.4964605937427727E-4</v>
      </c>
      <c r="CN18" s="8">
        <f t="shared" si="12"/>
        <v>-6.7491787400566766E-8</v>
      </c>
      <c r="CO18" s="8">
        <f t="shared" si="13"/>
        <v>1.919897011850103E-7</v>
      </c>
      <c r="CP18" s="8">
        <f t="shared" si="14"/>
        <v>3.4131072530454998E-4</v>
      </c>
      <c r="CQ18"/>
      <c r="CR18"/>
      <c r="CS18"/>
      <c r="CT18"/>
      <c r="CU18"/>
      <c r="CV18"/>
      <c r="CW18"/>
      <c r="CX18"/>
      <c r="CY18"/>
      <c r="CZ18"/>
      <c r="DA18"/>
    </row>
    <row r="19" spans="2:105" x14ac:dyDescent="0.2">
      <c r="B19" s="20" t="s">
        <v>209</v>
      </c>
      <c r="C19" s="20">
        <f>$C$18*$C$7/(PI()*$C$6)</f>
        <v>0.1299765368583812</v>
      </c>
      <c r="F19" t="s">
        <v>155</v>
      </c>
      <c r="G19" s="20">
        <f xml:space="preserve"> 1/1000 * (O23 + O19 * (O28 * O25 + $G$13 * SIN(O18/180*PI())))</f>
        <v>39.894282941558849</v>
      </c>
      <c r="H19" t="s">
        <v>162</v>
      </c>
      <c r="J19" s="30" t="s">
        <v>85</v>
      </c>
      <c r="K19" s="20">
        <f xml:space="preserve"> $C$47 * C34 * $C$5</f>
        <v>33.436534352829767</v>
      </c>
      <c r="L19" s="20" t="s">
        <v>12</v>
      </c>
      <c r="N19" s="20" t="s">
        <v>30</v>
      </c>
      <c r="O19" s="20">
        <f xml:space="preserve"> O14 / $C$17</f>
        <v>3164.5526464302784</v>
      </c>
      <c r="P19" s="20" t="s">
        <v>31</v>
      </c>
      <c r="R19" s="20" t="s">
        <v>30</v>
      </c>
      <c r="S19" s="20">
        <f xml:space="preserve"> S14 / $C$17</f>
        <v>3156.6969758689193</v>
      </c>
      <c r="T19" s="20" t="s">
        <v>31</v>
      </c>
      <c r="V19" s="20" t="s">
        <v>30</v>
      </c>
      <c r="W19" s="20">
        <f xml:space="preserve"> W14 / $C$17</f>
        <v>3151.9741757696306</v>
      </c>
      <c r="X19" s="20" t="s">
        <v>31</v>
      </c>
      <c r="AB19" s="8">
        <v>15</v>
      </c>
      <c r="AC19" s="8">
        <f t="shared" si="15"/>
        <v>3.64990234375E-2</v>
      </c>
      <c r="AD19" s="8">
        <f t="shared" si="1"/>
        <v>1.6879643688627599E-5</v>
      </c>
      <c r="AE19" s="8">
        <f t="shared" si="16"/>
        <v>3.6529541015625E-2</v>
      </c>
      <c r="AF19" s="8">
        <f t="shared" si="2"/>
        <v>-1.3903489556703341E-5</v>
      </c>
      <c r="AG19" s="8">
        <f t="shared" si="3"/>
        <v>3.65142822265625E-2</v>
      </c>
      <c r="AH19" s="8">
        <f t="shared" si="0"/>
        <v>1.4881035938912879E-6</v>
      </c>
      <c r="AI19" s="8">
        <f t="shared" si="4"/>
        <v>2.5118658436651126E-11</v>
      </c>
      <c r="AJ19" s="8">
        <f t="shared" si="5"/>
        <v>-2.068983277696023E-11</v>
      </c>
      <c r="AK19" s="8">
        <f t="shared" si="6"/>
        <v>3.0517578125E-5</v>
      </c>
      <c r="AM19" s="8">
        <v>15</v>
      </c>
      <c r="AN19" s="8">
        <f t="shared" si="25"/>
        <v>1286.0107421875</v>
      </c>
      <c r="AO19" s="8">
        <v>-3.5215640103842816E-3</v>
      </c>
      <c r="AP19" s="8">
        <f t="shared" si="26"/>
        <v>1286.1328125</v>
      </c>
      <c r="AQ19" s="8">
        <v>4.0356136658715513E-2</v>
      </c>
      <c r="AR19" s="8">
        <f t="shared" si="17"/>
        <v>1286.07177734375</v>
      </c>
      <c r="AS19" s="8">
        <v>1.8417658455064156E-2</v>
      </c>
      <c r="AT19" s="8">
        <f t="shared" si="18"/>
        <v>-6.4858963170903706E-5</v>
      </c>
      <c r="AU19" s="8">
        <f t="shared" si="19"/>
        <v>7.4326554154611633E-4</v>
      </c>
      <c r="AV19" s="8">
        <f t="shared" si="20"/>
        <v>0.1220703125</v>
      </c>
      <c r="AX19" s="68"/>
      <c r="AY19" s="9">
        <v>0.67500000000000004</v>
      </c>
      <c r="AZ19" s="42" t="s">
        <v>14</v>
      </c>
      <c r="BA19"/>
      <c r="BB19" s="8" t="s">
        <v>292</v>
      </c>
      <c r="BC19" s="8">
        <f>2*PI()*BC18</f>
        <v>5.4082694263797942E-2</v>
      </c>
      <c r="BD19" s="42"/>
      <c r="BE19"/>
      <c r="BF19" s="8" t="s">
        <v>273</v>
      </c>
      <c r="BG19" s="49">
        <f xml:space="preserve"> $BO$27 * PI() * $AY$41 * BG16^2 * $BO$34 * $AY$20^2 * BG13</f>
        <v>89.488241156515613</v>
      </c>
      <c r="BH19" s="42" t="s">
        <v>274</v>
      </c>
      <c r="BI19"/>
      <c r="BJ19" s="8" t="s">
        <v>273</v>
      </c>
      <c r="BK19" s="49">
        <f xml:space="preserve"> $BS$27 * PI() * $AY$41 * BK16^2 * $BS$34 * $AY$21^2 * BK13</f>
        <v>139.65882716234117</v>
      </c>
      <c r="BL19" s="42" t="s">
        <v>274</v>
      </c>
      <c r="BM19"/>
      <c r="BN19" s="8" t="s">
        <v>293</v>
      </c>
      <c r="BO19" s="8">
        <f>1/(BO17+1)</f>
        <v>4.10621882241358E-2</v>
      </c>
      <c r="BP19" s="8"/>
      <c r="BQ19" s="8"/>
      <c r="BR19" s="8" t="s">
        <v>293</v>
      </c>
      <c r="BS19" s="8">
        <f>1/(BS17+1)</f>
        <v>3.9287028698472656E-2</v>
      </c>
      <c r="BT19" s="8"/>
      <c r="BU19"/>
      <c r="BV19" s="8">
        <v>15</v>
      </c>
      <c r="BW19" s="8">
        <f t="shared" si="21"/>
        <v>0.20787357151835295</v>
      </c>
      <c r="BX19" s="8">
        <v>-3.5476448492918061E-4</v>
      </c>
      <c r="BY19" s="8">
        <f t="shared" si="22"/>
        <v>0.20804422688100524</v>
      </c>
      <c r="BZ19" s="8">
        <v>1.5871655241695218E-4</v>
      </c>
      <c r="CA19" s="8">
        <f t="shared" si="7"/>
        <v>0.20795889919967908</v>
      </c>
      <c r="CB19" s="8">
        <v>-9.7958483125399481E-5</v>
      </c>
      <c r="CC19" s="8">
        <f t="shared" si="8"/>
        <v>3.4752190810426175E-8</v>
      </c>
      <c r="CD19" s="8">
        <f t="shared" si="9"/>
        <v>-1.5547632721657592E-8</v>
      </c>
      <c r="CE19" s="8">
        <f t="shared" si="10"/>
        <v>1.7065536265228887E-4</v>
      </c>
      <c r="CF19"/>
      <c r="CG19" s="8">
        <v>15</v>
      </c>
      <c r="CH19" s="8">
        <f t="shared" si="23"/>
        <v>0.20138866773756642</v>
      </c>
      <c r="CI19" s="8">
        <v>-2.7034990085455721E-4</v>
      </c>
      <c r="CJ19" s="8">
        <f t="shared" si="24"/>
        <v>0.20155932310021868</v>
      </c>
      <c r="CK19" s="8">
        <v>2.4964605937427727E-4</v>
      </c>
      <c r="CL19" s="8">
        <f t="shared" si="11"/>
        <v>0.20147399541889255</v>
      </c>
      <c r="CM19" s="8">
        <v>-1.0277520559685144E-5</v>
      </c>
      <c r="CN19" s="8">
        <f t="shared" si="12"/>
        <v>2.7785266643415521E-9</v>
      </c>
      <c r="CO19" s="8">
        <f t="shared" si="13"/>
        <v>-2.5657425078635125E-9</v>
      </c>
      <c r="CP19" s="8">
        <f t="shared" si="14"/>
        <v>1.7065536265226111E-4</v>
      </c>
      <c r="CQ19"/>
      <c r="CR19"/>
      <c r="CS19"/>
      <c r="CT19"/>
      <c r="CU19"/>
      <c r="CV19"/>
      <c r="CW19"/>
      <c r="CX19"/>
      <c r="CY19"/>
      <c r="CZ19"/>
      <c r="DA19"/>
    </row>
    <row r="20" spans="2:105" x14ac:dyDescent="0.2">
      <c r="B20" s="20" t="s">
        <v>210</v>
      </c>
      <c r="C20" s="33">
        <v>0.75</v>
      </c>
      <c r="F20" t="s">
        <v>129</v>
      </c>
      <c r="G20" s="24">
        <f>$C$17*G19</f>
        <v>159.5771317662354</v>
      </c>
      <c r="H20" t="s">
        <v>162</v>
      </c>
      <c r="J20" s="30" t="s">
        <v>86</v>
      </c>
      <c r="K20" s="20">
        <f xml:space="preserve"> $C$47 * 0</f>
        <v>0</v>
      </c>
      <c r="L20" s="20" t="s">
        <v>12</v>
      </c>
      <c r="N20" s="20" t="s">
        <v>42</v>
      </c>
      <c r="O20" s="20">
        <f xml:space="preserve"> $G$13 * COS(O18/180*PI()) / ($C$10 * $C$6)</f>
        <v>110.55863183669031</v>
      </c>
      <c r="P20" s="20" t="s">
        <v>43</v>
      </c>
      <c r="R20" s="20" t="s">
        <v>42</v>
      </c>
      <c r="S20" s="20">
        <f xml:space="preserve"> $C$8 * COS(S18/180*PI()) / ($C$10 * $C$6)</f>
        <v>110.97705346752244</v>
      </c>
      <c r="T20" s="20" t="s">
        <v>43</v>
      </c>
      <c r="V20" s="20" t="s">
        <v>42</v>
      </c>
      <c r="W20" s="20">
        <f xml:space="preserve"> $G$33 * COS(W18/180*PI()) / ($C$10 * $C$6)</f>
        <v>111.09169756352277</v>
      </c>
      <c r="X20" s="20" t="s">
        <v>43</v>
      </c>
      <c r="AB20" s="8">
        <v>16</v>
      </c>
      <c r="AC20" s="8">
        <f t="shared" si="15"/>
        <v>3.65142822265625E-2</v>
      </c>
      <c r="AD20" s="8">
        <f t="shared" si="1"/>
        <v>1.4881035938912879E-6</v>
      </c>
      <c r="AE20" s="8">
        <f t="shared" si="16"/>
        <v>3.6529541015625E-2</v>
      </c>
      <c r="AF20" s="8">
        <f t="shared" si="2"/>
        <v>-1.3903489556703341E-5</v>
      </c>
      <c r="AG20" s="8">
        <f t="shared" si="3"/>
        <v>3.652191162109375E-2</v>
      </c>
      <c r="AH20" s="8">
        <f t="shared" si="0"/>
        <v>-6.2076863496102197E-6</v>
      </c>
      <c r="AI20" s="8">
        <f t="shared" si="4"/>
        <v>-9.237680366604858E-12</v>
      </c>
      <c r="AJ20" s="8">
        <f t="shared" si="5"/>
        <v>8.6308502333095576E-11</v>
      </c>
      <c r="AK20" s="8">
        <f t="shared" si="6"/>
        <v>1.52587890625E-5</v>
      </c>
      <c r="AM20" s="8">
        <v>16</v>
      </c>
      <c r="AN20" s="8">
        <f t="shared" si="25"/>
        <v>1286.0107421875</v>
      </c>
      <c r="AO20" s="8">
        <v>-3.5215640103842816E-3</v>
      </c>
      <c r="AP20" s="8">
        <f t="shared" si="26"/>
        <v>1286.07177734375</v>
      </c>
      <c r="AQ20" s="8">
        <v>1.8417658455064156E-2</v>
      </c>
      <c r="AR20" s="8">
        <f t="shared" si="17"/>
        <v>1286.041259765625</v>
      </c>
      <c r="AS20" s="8">
        <v>7.4445988494744597E-3</v>
      </c>
      <c r="AT20" s="8">
        <f t="shared" si="18"/>
        <v>-2.6216631380057487E-5</v>
      </c>
      <c r="AU20" s="8">
        <f t="shared" si="19"/>
        <v>1.3711207894458418E-4</v>
      </c>
      <c r="AV20" s="8">
        <f t="shared" si="20"/>
        <v>6.103515625E-2</v>
      </c>
      <c r="AX20" s="68"/>
      <c r="AY20" s="9">
        <v>0.82499999999999996</v>
      </c>
      <c r="AZ20" s="42" t="s">
        <v>14</v>
      </c>
      <c r="BA20"/>
      <c r="BB20" s="8" t="s">
        <v>294</v>
      </c>
      <c r="BC20" s="8">
        <f>BC17/BC19*BC7</f>
        <v>4.5905855019433478E-2</v>
      </c>
      <c r="BD20" s="55"/>
      <c r="BE20"/>
      <c r="BF20"/>
      <c r="BG20"/>
      <c r="BH20"/>
      <c r="BI20"/>
      <c r="BJ20"/>
      <c r="BK20"/>
      <c r="BL20"/>
      <c r="BM20"/>
      <c r="BN20" s="23" t="s">
        <v>295</v>
      </c>
      <c r="BO20" s="56">
        <f>SIN(BO4)/(1+BO18) - $AY$3*COS(BO4)/($BC$5*$AY$18*(1-BO19))</f>
        <v>-5.785007573672063E-9</v>
      </c>
      <c r="BP20" s="56"/>
      <c r="BQ20" s="8"/>
      <c r="BR20" s="23" t="s">
        <v>295</v>
      </c>
      <c r="BS20" s="56">
        <f>SIN(BS4)/(1+BS18) - $AY$3*COS(BS4)/($BC$5*$AY$19*(1-BS19))</f>
        <v>-2.4493098400163449E-9</v>
      </c>
      <c r="BT20" s="56"/>
      <c r="BU20"/>
      <c r="BV20" s="8">
        <v>16</v>
      </c>
      <c r="BW20" s="8">
        <f t="shared" si="21"/>
        <v>0.20795889919967908</v>
      </c>
      <c r="BX20" s="8">
        <v>-9.7958483125399481E-5</v>
      </c>
      <c r="BY20" s="8">
        <f t="shared" si="22"/>
        <v>0.20804422688100524</v>
      </c>
      <c r="BZ20" s="8">
        <v>1.5871655241695218E-4</v>
      </c>
      <c r="CA20" s="8">
        <f t="shared" si="7"/>
        <v>0.20800156304034217</v>
      </c>
      <c r="CB20" s="8">
        <v>3.0395395064775066E-5</v>
      </c>
      <c r="CC20" s="8">
        <f t="shared" si="8"/>
        <v>-2.9774867945426189E-9</v>
      </c>
      <c r="CD20" s="8">
        <f t="shared" si="9"/>
        <v>4.8242523140323416E-9</v>
      </c>
      <c r="CE20" s="8">
        <f t="shared" si="10"/>
        <v>8.5327681326158311E-5</v>
      </c>
      <c r="CF20"/>
      <c r="CG20" s="8">
        <v>16</v>
      </c>
      <c r="CH20" s="8">
        <f t="shared" si="23"/>
        <v>0.20147399541889255</v>
      </c>
      <c r="CI20" s="8">
        <v>-1.0277520559685144E-5</v>
      </c>
      <c r="CJ20" s="8">
        <f t="shared" si="24"/>
        <v>0.20155932310021868</v>
      </c>
      <c r="CK20" s="8">
        <v>2.4964605937427727E-4</v>
      </c>
      <c r="CL20" s="8">
        <f t="shared" si="11"/>
        <v>0.20151665925955561</v>
      </c>
      <c r="CM20" s="8">
        <v>1.1970285732492043E-4</v>
      </c>
      <c r="CN20" s="8">
        <f t="shared" si="12"/>
        <v>-1.2302485772099271E-9</v>
      </c>
      <c r="CO20" s="8">
        <f t="shared" si="13"/>
        <v>2.988334662700773E-8</v>
      </c>
      <c r="CP20" s="8">
        <f t="shared" si="14"/>
        <v>8.5327681326130556E-5</v>
      </c>
      <c r="CQ20"/>
      <c r="CR20"/>
      <c r="CS20"/>
      <c r="CT20"/>
      <c r="CU20"/>
      <c r="CV20"/>
      <c r="CW20"/>
      <c r="CX20"/>
      <c r="CY20"/>
      <c r="CZ20"/>
      <c r="DA20"/>
    </row>
    <row r="21" spans="2:105" x14ac:dyDescent="0.2">
      <c r="B21" t="s">
        <v>185</v>
      </c>
      <c r="C21" s="1">
        <v>0.14399999999999999</v>
      </c>
      <c r="D21"/>
      <c r="F21" t="s">
        <v>130</v>
      </c>
      <c r="G21" s="24">
        <f>$G$15/$G$14</f>
        <v>120</v>
      </c>
      <c r="H21" t="s">
        <v>22</v>
      </c>
      <c r="J21" s="30" t="s">
        <v>87</v>
      </c>
      <c r="K21" s="20">
        <f xml:space="preserve"> $C$47 * 0</f>
        <v>0</v>
      </c>
      <c r="L21" s="20" t="s">
        <v>12</v>
      </c>
      <c r="N21" s="20" t="s">
        <v>45</v>
      </c>
      <c r="O21" s="20">
        <f xml:space="preserve"> O19 / ($C$44 * PI() * $C$6^2 * O20^2 * $C$6^2)</f>
        <v>1.3288501695961196E-2</v>
      </c>
      <c r="R21" s="20" t="s">
        <v>45</v>
      </c>
      <c r="S21" s="20">
        <f xml:space="preserve"> S19 / ($C$44 * PI() * $C$6^2 * S20^2 * $C$6^2)</f>
        <v>1.3155747126255125E-2</v>
      </c>
      <c r="V21" s="20" t="s">
        <v>45</v>
      </c>
      <c r="W21" s="20">
        <f xml:space="preserve"> W19 / ($C$44 * PI() * $C$6^2 * W20^2 * $C$6^2)</f>
        <v>1.3108966291056038E-2</v>
      </c>
      <c r="AB21" s="8">
        <v>17</v>
      </c>
      <c r="AC21" s="8">
        <f t="shared" si="15"/>
        <v>3.65142822265625E-2</v>
      </c>
      <c r="AD21" s="8">
        <f t="shared" si="1"/>
        <v>1.4881035938912879E-6</v>
      </c>
      <c r="AE21" s="8">
        <f t="shared" si="16"/>
        <v>3.652191162109375E-2</v>
      </c>
      <c r="AF21" s="8">
        <f t="shared" si="2"/>
        <v>-6.2076863496102197E-6</v>
      </c>
      <c r="AG21" s="8">
        <f t="shared" si="3"/>
        <v>3.6518096923828125E-2</v>
      </c>
      <c r="AH21" s="8">
        <f t="shared" si="0"/>
        <v>-2.3597897198870954E-6</v>
      </c>
      <c r="AI21" s="8">
        <f t="shared" si="4"/>
        <v>-3.5116115629917022E-12</v>
      </c>
      <c r="AJ21" s="8">
        <f t="shared" si="5"/>
        <v>1.4648834432093647E-11</v>
      </c>
      <c r="AK21" s="8">
        <f t="shared" si="6"/>
        <v>7.62939453125E-6</v>
      </c>
      <c r="AM21" s="8">
        <v>17</v>
      </c>
      <c r="AN21" s="8">
        <f t="shared" si="25"/>
        <v>1286.0107421875</v>
      </c>
      <c r="AO21" s="8">
        <v>-3.5215640103842816E-3</v>
      </c>
      <c r="AP21" s="8">
        <f t="shared" si="26"/>
        <v>1286.041259765625</v>
      </c>
      <c r="AQ21" s="8">
        <v>7.4445988494744597E-3</v>
      </c>
      <c r="AR21" s="8">
        <f t="shared" si="17"/>
        <v>1286.0260009765625</v>
      </c>
      <c r="AS21" s="8">
        <v>1.9613195772762992E-3</v>
      </c>
      <c r="AT21" s="8">
        <f t="shared" si="18"/>
        <v>-6.9069124361983282E-6</v>
      </c>
      <c r="AU21" s="8">
        <f t="shared" si="19"/>
        <v>1.460123746844287E-5</v>
      </c>
      <c r="AV21" s="8">
        <f t="shared" si="20"/>
        <v>3.0517578125E-2</v>
      </c>
      <c r="AX21" s="68"/>
      <c r="AY21" s="9">
        <v>0.97499999999999998</v>
      </c>
      <c r="AZ21" s="42" t="s">
        <v>14</v>
      </c>
      <c r="BA21"/>
      <c r="BB21"/>
      <c r="BC21"/>
      <c r="BD21" s="55"/>
      <c r="BE21"/>
      <c r="BF21" s="72" t="s">
        <v>296</v>
      </c>
      <c r="BG21" s="72"/>
      <c r="BH21" s="72"/>
      <c r="BI21"/>
      <c r="BJ21" s="72" t="s">
        <v>297</v>
      </c>
      <c r="BK21" s="72"/>
      <c r="BL21" s="72"/>
      <c r="BM21"/>
      <c r="BN21" s="8"/>
      <c r="BO21" s="8"/>
      <c r="BP21" s="8"/>
      <c r="BQ21" s="8"/>
      <c r="BR21" s="8"/>
      <c r="BS21" s="8"/>
      <c r="BT21" s="8"/>
      <c r="BU21"/>
      <c r="BV21" s="8">
        <v>17</v>
      </c>
      <c r="BW21" s="8">
        <f t="shared" si="21"/>
        <v>0.20795889919967908</v>
      </c>
      <c r="BX21" s="8">
        <v>-9.7958483125399481E-5</v>
      </c>
      <c r="BY21" s="8">
        <f t="shared" si="22"/>
        <v>0.20800156304034217</v>
      </c>
      <c r="BZ21" s="8">
        <v>3.0395395064775066E-5</v>
      </c>
      <c r="CA21" s="8">
        <f t="shared" si="7"/>
        <v>0.20798023112001063</v>
      </c>
      <c r="CB21" s="8">
        <v>-3.3777452630823906E-5</v>
      </c>
      <c r="CC21" s="8">
        <f t="shared" si="8"/>
        <v>3.308788023555544E-9</v>
      </c>
      <c r="CD21" s="8">
        <f t="shared" si="9"/>
        <v>-1.0266790169956186E-9</v>
      </c>
      <c r="CE21" s="8">
        <f t="shared" si="10"/>
        <v>4.2663840663093033E-5</v>
      </c>
      <c r="CF21"/>
      <c r="CG21" s="8">
        <v>17</v>
      </c>
      <c r="CH21" s="8">
        <f t="shared" si="23"/>
        <v>0.20147399541889255</v>
      </c>
      <c r="CI21" s="8">
        <v>-1.0277520559685144E-5</v>
      </c>
      <c r="CJ21" s="8">
        <f t="shared" si="24"/>
        <v>0.20151665925955561</v>
      </c>
      <c r="CK21" s="8">
        <v>1.1970285732492043E-4</v>
      </c>
      <c r="CL21" s="8">
        <f t="shared" si="11"/>
        <v>0.2014953273392241</v>
      </c>
      <c r="CM21" s="8">
        <v>5.4717316877122765E-5</v>
      </c>
      <c r="CN21" s="8">
        <f t="shared" si="12"/>
        <v>-5.6235834917543617E-10</v>
      </c>
      <c r="CO21" s="8">
        <f t="shared" si="13"/>
        <v>6.5498191753446876E-9</v>
      </c>
      <c r="CP21" s="8">
        <f t="shared" si="14"/>
        <v>4.2663840663065278E-5</v>
      </c>
      <c r="CQ21"/>
      <c r="CR21"/>
      <c r="CS21"/>
      <c r="CT21"/>
      <c r="CU21"/>
      <c r="CV21"/>
      <c r="CW21"/>
      <c r="CX21"/>
      <c r="CY21"/>
      <c r="CZ21"/>
      <c r="DA21"/>
    </row>
    <row r="22" spans="2:105" x14ac:dyDescent="0.2">
      <c r="B22" s="20" t="s">
        <v>222</v>
      </c>
      <c r="C22" s="33" t="b">
        <v>0</v>
      </c>
      <c r="F22" t="s">
        <v>214</v>
      </c>
      <c r="G22" s="24">
        <f>O20*$C$6</f>
        <v>165.83794775503546</v>
      </c>
      <c r="H22" s="20" t="s">
        <v>16</v>
      </c>
      <c r="J22" s="30" t="s">
        <v>192</v>
      </c>
      <c r="K22" s="20">
        <f>$C$47*(0.14*$G$6*1000/745.7)*0.453592</f>
        <v>16.980438494132258</v>
      </c>
      <c r="L22" s="20" t="s">
        <v>12</v>
      </c>
      <c r="N22" s="20" t="s">
        <v>4</v>
      </c>
      <c r="O22" s="33">
        <v>1.2E-2</v>
      </c>
      <c r="R22" s="20" t="s">
        <v>4</v>
      </c>
      <c r="S22" s="33">
        <v>1.2E-2</v>
      </c>
      <c r="V22" s="20" t="s">
        <v>4</v>
      </c>
      <c r="W22" s="33">
        <v>1.2E-2</v>
      </c>
      <c r="AB22" s="8">
        <v>18</v>
      </c>
      <c r="AC22" s="8">
        <f t="shared" si="15"/>
        <v>3.65142822265625E-2</v>
      </c>
      <c r="AD22" s="8">
        <f t="shared" si="1"/>
        <v>1.4881035938912879E-6</v>
      </c>
      <c r="AE22" s="8">
        <f t="shared" si="16"/>
        <v>3.6518096923828125E-2</v>
      </c>
      <c r="AF22" s="8">
        <f t="shared" si="2"/>
        <v>-2.3597897198870954E-6</v>
      </c>
      <c r="AG22" s="8">
        <f t="shared" si="3"/>
        <v>3.6516189575195312E-2</v>
      </c>
      <c r="AH22" s="8">
        <f t="shared" si="0"/>
        <v>-4.3584264849960697E-7</v>
      </c>
      <c r="AI22" s="8">
        <f t="shared" si="4"/>
        <v>-6.4857901160336245E-13</v>
      </c>
      <c r="AJ22" s="8">
        <f t="shared" si="5"/>
        <v>1.0284970014177373E-12</v>
      </c>
      <c r="AK22" s="8">
        <f t="shared" si="6"/>
        <v>3.814697265625E-6</v>
      </c>
      <c r="AM22" s="8">
        <v>18</v>
      </c>
      <c r="AN22" s="8">
        <f t="shared" si="25"/>
        <v>1286.0107421875</v>
      </c>
      <c r="AO22" s="8">
        <v>-3.5215640103842816E-3</v>
      </c>
      <c r="AP22" s="8">
        <f t="shared" si="26"/>
        <v>1286.0260009765625</v>
      </c>
      <c r="AQ22" s="8">
        <v>1.9613195772762992E-3</v>
      </c>
      <c r="AR22" s="8">
        <f t="shared" si="17"/>
        <v>1286.0183715820312</v>
      </c>
      <c r="AS22" s="8">
        <v>-7.8070618872061459E-4</v>
      </c>
      <c r="AT22" s="8">
        <f t="shared" si="18"/>
        <v>2.7493068168827954E-6</v>
      </c>
      <c r="AU22" s="8">
        <f t="shared" si="19"/>
        <v>-1.5312143320385065E-6</v>
      </c>
      <c r="AV22" s="8">
        <f t="shared" si="20"/>
        <v>1.52587890625E-2</v>
      </c>
      <c r="AX22" s="68"/>
      <c r="AY22" s="9">
        <v>1.125</v>
      </c>
      <c r="AZ22" s="42" t="s">
        <v>14</v>
      </c>
      <c r="BA22"/>
      <c r="BB22" s="69" t="s">
        <v>298</v>
      </c>
      <c r="BC22" s="69"/>
      <c r="BD22" s="69"/>
      <c r="BE22"/>
      <c r="BF22" s="8" t="s">
        <v>248</v>
      </c>
      <c r="BG22" s="8">
        <f>$AY$22-$AY$21</f>
        <v>0.15000000000000002</v>
      </c>
      <c r="BH22" s="42" t="s">
        <v>14</v>
      </c>
      <c r="BI22"/>
      <c r="BJ22" s="8" t="s">
        <v>248</v>
      </c>
      <c r="BK22" s="8">
        <f>$AY$23-$AY$22</f>
        <v>0.14999999999999991</v>
      </c>
      <c r="BL22" s="42" t="s">
        <v>14</v>
      </c>
      <c r="BM22"/>
      <c r="BN22" s="72" t="s">
        <v>281</v>
      </c>
      <c r="BO22" s="72"/>
      <c r="BP22" s="72"/>
      <c r="BQ22" s="8"/>
      <c r="BR22" s="72" t="s">
        <v>282</v>
      </c>
      <c r="BS22" s="72"/>
      <c r="BT22" s="72"/>
      <c r="BU22"/>
      <c r="BV22" s="8">
        <v>18</v>
      </c>
      <c r="BW22" s="8">
        <f t="shared" si="21"/>
        <v>0.20798023112001063</v>
      </c>
      <c r="BX22" s="8">
        <v>-3.3777452630823906E-5</v>
      </c>
      <c r="BY22" s="8">
        <f t="shared" si="22"/>
        <v>0.20800156304034217</v>
      </c>
      <c r="BZ22" s="8">
        <v>3.0395395064775066E-5</v>
      </c>
      <c r="CA22" s="8">
        <f t="shared" si="7"/>
        <v>0.2079908970801764</v>
      </c>
      <c r="CB22" s="8">
        <v>-1.6900060950397755E-6</v>
      </c>
      <c r="CC22" s="8">
        <f t="shared" si="8"/>
        <v>5.7084100821009703E-11</v>
      </c>
      <c r="CD22" s="8">
        <f t="shared" si="9"/>
        <v>-5.1368402920611775E-11</v>
      </c>
      <c r="CE22" s="8">
        <f t="shared" si="10"/>
        <v>2.1331920331546517E-5</v>
      </c>
      <c r="CF22"/>
      <c r="CG22" s="8">
        <v>18</v>
      </c>
      <c r="CH22" s="8">
        <f t="shared" si="23"/>
        <v>0.20147399541889255</v>
      </c>
      <c r="CI22" s="8">
        <v>-1.0277520559685144E-5</v>
      </c>
      <c r="CJ22" s="8">
        <f t="shared" si="24"/>
        <v>0.2014953273392241</v>
      </c>
      <c r="CK22" s="8">
        <v>5.4717316877122765E-5</v>
      </c>
      <c r="CL22" s="8">
        <f t="shared" si="11"/>
        <v>0.20148466137905832</v>
      </c>
      <c r="CM22" s="8">
        <v>2.2221060471791856E-5</v>
      </c>
      <c r="CN22" s="8">
        <f t="shared" si="12"/>
        <v>-2.2837740585684766E-10</v>
      </c>
      <c r="CO22" s="8">
        <f t="shared" si="13"/>
        <v>1.215876807180742E-9</v>
      </c>
      <c r="CP22" s="8">
        <f t="shared" si="14"/>
        <v>2.1331920331546517E-5</v>
      </c>
      <c r="CQ22"/>
      <c r="CR22"/>
      <c r="CS22"/>
      <c r="CT22"/>
      <c r="CU22"/>
      <c r="CV22"/>
      <c r="CW22"/>
      <c r="CX22"/>
      <c r="CY22"/>
      <c r="CZ22"/>
      <c r="DA22"/>
    </row>
    <row r="23" spans="2:105" x14ac:dyDescent="0.2">
      <c r="B23" s="20" t="s">
        <v>223</v>
      </c>
      <c r="C23" s="20">
        <f>IF(C22=TRUE,1.1794,1)</f>
        <v>1</v>
      </c>
      <c r="F23" s="20" t="s">
        <v>217</v>
      </c>
      <c r="G23" s="20">
        <f>G22/$C$45</f>
        <v>0.48716261208355499</v>
      </c>
      <c r="H23" s="20" t="s">
        <v>215</v>
      </c>
      <c r="J23" s="31" t="s">
        <v>88</v>
      </c>
      <c r="K23" s="20">
        <f xml:space="preserve"> $C$47 * (0.0268 * $C$5)</f>
        <v>27.57228063556424</v>
      </c>
      <c r="L23" s="20" t="s">
        <v>12</v>
      </c>
      <c r="N23" s="20" t="s">
        <v>46</v>
      </c>
      <c r="O23" s="20">
        <f xml:space="preserve"> ($C$19 * O22 / 8) * (1 + 4.65 *$C$10^ 2) * ( PI() * $C$44 * O20^3 *$C$6^ 5)</f>
        <v>10922.090836773667</v>
      </c>
      <c r="P23" s="20" t="s">
        <v>29</v>
      </c>
      <c r="R23" s="20" t="s">
        <v>46</v>
      </c>
      <c r="S23" s="20">
        <f xml:space="preserve"> ($C$19 * S22 / 8) * (1 + 4.65 *$C$10^ 2) * ( PI() * $C$44 * S20^3 *$C$6^ 5)</f>
        <v>11046.568409411881</v>
      </c>
      <c r="T23" s="20" t="s">
        <v>29</v>
      </c>
      <c r="V23" s="20" t="s">
        <v>46</v>
      </c>
      <c r="W23" s="20">
        <f xml:space="preserve"> ($C$19 * W22 / 8) * (1 + 4.65 *$C$10^ 2) * ( PI() * $C$44 * W20^3 *$C$6^ 5)</f>
        <v>11080.838536362488</v>
      </c>
      <c r="X23" s="20" t="s">
        <v>29</v>
      </c>
      <c r="AB23" s="8">
        <v>19</v>
      </c>
      <c r="AC23" s="8">
        <f t="shared" si="15"/>
        <v>3.65142822265625E-2</v>
      </c>
      <c r="AD23" s="8">
        <f t="shared" si="1"/>
        <v>1.4881035938912879E-6</v>
      </c>
      <c r="AE23" s="8">
        <f t="shared" si="16"/>
        <v>3.6516189575195312E-2</v>
      </c>
      <c r="AF23" s="8">
        <f t="shared" si="2"/>
        <v>-4.3584264849960697E-7</v>
      </c>
      <c r="AG23" s="8">
        <f t="shared" si="3"/>
        <v>3.6515235900878906E-2</v>
      </c>
      <c r="AH23" s="8">
        <f t="shared" si="0"/>
        <v>5.2613057631434312E-7</v>
      </c>
      <c r="AI23" s="8">
        <f t="shared" si="4"/>
        <v>7.8293680146946855E-13</v>
      </c>
      <c r="AJ23" s="8">
        <f t="shared" si="5"/>
        <v>-2.2931014383746788E-13</v>
      </c>
      <c r="AK23" s="8">
        <f t="shared" si="6"/>
        <v>1.9073486328125E-6</v>
      </c>
      <c r="AM23" s="8">
        <v>19</v>
      </c>
      <c r="AN23" s="8">
        <f t="shared" si="25"/>
        <v>1286.0183715820312</v>
      </c>
      <c r="AO23" s="8">
        <v>-7.8070618872061459E-4</v>
      </c>
      <c r="AP23" s="8">
        <f t="shared" si="26"/>
        <v>1286.0260009765625</v>
      </c>
      <c r="AQ23" s="8">
        <v>1.9613195772762992E-3</v>
      </c>
      <c r="AR23" s="8">
        <f t="shared" si="17"/>
        <v>1286.0221862792969</v>
      </c>
      <c r="AS23" s="8">
        <v>5.9052926803815353E-4</v>
      </c>
      <c r="AT23" s="8">
        <f t="shared" si="18"/>
        <v>-4.6102985417804108E-7</v>
      </c>
      <c r="AU23" s="8">
        <f t="shared" si="19"/>
        <v>1.1582166143578736E-6</v>
      </c>
      <c r="AV23" s="8">
        <f t="shared" si="20"/>
        <v>7.62939453125E-3</v>
      </c>
      <c r="AX23" s="68"/>
      <c r="AY23" s="9">
        <v>1.2749999999999999</v>
      </c>
      <c r="AZ23" s="42" t="s">
        <v>14</v>
      </c>
      <c r="BA23"/>
      <c r="BB23" s="70" t="s">
        <v>299</v>
      </c>
      <c r="BC23" s="68">
        <f>BO20</f>
        <v>-5.785007573672063E-9</v>
      </c>
      <c r="BD23" s="68"/>
      <c r="BE23"/>
      <c r="BF23" s="8" t="s">
        <v>253</v>
      </c>
      <c r="BG23" s="8">
        <f>(1+$BO$56)*$AY$3</f>
        <v>20.271729817762573</v>
      </c>
      <c r="BH23" s="42" t="s">
        <v>16</v>
      </c>
      <c r="BI23"/>
      <c r="BJ23" s="8" t="s">
        <v>253</v>
      </c>
      <c r="BK23" s="8">
        <f>(1+$BS$56)*$AY$3</f>
        <v>20.326758082476172</v>
      </c>
      <c r="BL23" s="42" t="s">
        <v>16</v>
      </c>
      <c r="BM23"/>
      <c r="BN23" s="44" t="s">
        <v>249</v>
      </c>
      <c r="BO23" s="45">
        <f>CA68</f>
        <v>0.18782684470291544</v>
      </c>
      <c r="BP23" s="11" t="s">
        <v>250</v>
      </c>
      <c r="BQ23" s="8"/>
      <c r="BR23" s="44" t="s">
        <v>249</v>
      </c>
      <c r="BS23" s="45">
        <f>CL68</f>
        <v>0.17333411718447045</v>
      </c>
      <c r="BT23" s="11" t="s">
        <v>250</v>
      </c>
      <c r="BU23"/>
      <c r="BV23" s="8">
        <v>19</v>
      </c>
      <c r="BW23" s="8">
        <f t="shared" si="21"/>
        <v>0.2079908970801764</v>
      </c>
      <c r="BX23" s="8">
        <v>-1.6900060950397755E-6</v>
      </c>
      <c r="BY23" s="8">
        <f t="shared" si="22"/>
        <v>0.20800156304034217</v>
      </c>
      <c r="BZ23" s="8">
        <v>3.0395395064775066E-5</v>
      </c>
      <c r="CA23" s="8">
        <f t="shared" si="7"/>
        <v>0.2079962300602593</v>
      </c>
      <c r="CB23" s="8">
        <v>1.4352950136669457E-5</v>
      </c>
      <c r="CC23" s="8">
        <f t="shared" si="8"/>
        <v>-2.425657321277336E-11</v>
      </c>
      <c r="CD23" s="8">
        <f t="shared" si="9"/>
        <v>4.3626358974908543E-10</v>
      </c>
      <c r="CE23" s="8">
        <f t="shared" si="10"/>
        <v>1.0665960165773258E-5</v>
      </c>
      <c r="CF23"/>
      <c r="CG23" s="8">
        <v>19</v>
      </c>
      <c r="CH23" s="8">
        <f t="shared" si="23"/>
        <v>0.20147399541889255</v>
      </c>
      <c r="CI23" s="8">
        <v>-1.0277520559685144E-5</v>
      </c>
      <c r="CJ23" s="8">
        <f t="shared" si="24"/>
        <v>0.20148466137905832</v>
      </c>
      <c r="CK23" s="8">
        <v>2.2221060471791856E-5</v>
      </c>
      <c r="CL23" s="8">
        <f t="shared" si="11"/>
        <v>0.20147932839897542</v>
      </c>
      <c r="CM23" s="8">
        <v>5.9720605580029784E-6</v>
      </c>
      <c r="CN23" s="8">
        <f t="shared" si="12"/>
        <v>-6.1377975168560345E-11</v>
      </c>
      <c r="CO23" s="8">
        <f t="shared" si="13"/>
        <v>1.3270551880058721E-10</v>
      </c>
      <c r="CP23" s="8">
        <f t="shared" si="14"/>
        <v>1.0665960165773258E-5</v>
      </c>
      <c r="CQ23"/>
      <c r="CR23"/>
      <c r="CS23"/>
      <c r="CT23"/>
      <c r="CU23"/>
      <c r="CV23"/>
      <c r="CW23"/>
      <c r="CX23"/>
      <c r="CY23"/>
      <c r="CZ23"/>
      <c r="DA23"/>
    </row>
    <row r="24" spans="2:105" x14ac:dyDescent="0.2">
      <c r="B24" s="20" t="s">
        <v>224</v>
      </c>
      <c r="C24" s="33">
        <v>1</v>
      </c>
      <c r="D24" s="20" t="s">
        <v>226</v>
      </c>
      <c r="J24" s="31" t="s">
        <v>89</v>
      </c>
      <c r="K24" s="20">
        <f xml:space="preserve"> $C$47 * (11.5 * ($C$5*2.20462/1000)^0.4 * 0.453592)</f>
        <v>6.3311976903541076</v>
      </c>
      <c r="L24" s="20" t="s">
        <v>12</v>
      </c>
      <c r="N24" s="20" t="s">
        <v>47</v>
      </c>
      <c r="O24" s="34">
        <f>AG69</f>
        <v>5.1852837670594454E-2</v>
      </c>
      <c r="R24" s="20" t="s">
        <v>47</v>
      </c>
      <c r="S24" s="34">
        <f>AG34</f>
        <v>3.6515757907181978E-2</v>
      </c>
      <c r="V24" s="20" t="s">
        <v>47</v>
      </c>
      <c r="W24" s="34">
        <f>AG104</f>
        <v>2.7366695459932089E-2</v>
      </c>
      <c r="AB24" s="8">
        <v>20</v>
      </c>
      <c r="AC24" s="8">
        <f t="shared" si="15"/>
        <v>3.6515235900878906E-2</v>
      </c>
      <c r="AD24" s="8">
        <f t="shared" si="1"/>
        <v>5.2613057631434312E-7</v>
      </c>
      <c r="AE24" s="8">
        <f t="shared" si="16"/>
        <v>3.6516189575195312E-2</v>
      </c>
      <c r="AF24" s="8">
        <f t="shared" si="2"/>
        <v>-4.3584264849960697E-7</v>
      </c>
      <c r="AG24" s="8">
        <f t="shared" si="3"/>
        <v>3.6515712738037109E-2</v>
      </c>
      <c r="AH24" s="8">
        <f t="shared" si="0"/>
        <v>4.5143989810259022E-8</v>
      </c>
      <c r="AI24" s="8">
        <f t="shared" si="4"/>
        <v>2.3751633376000411E-14</v>
      </c>
      <c r="AJ24" s="8">
        <f t="shared" si="5"/>
        <v>-1.967567608274256E-14</v>
      </c>
      <c r="AK24" s="8">
        <f t="shared" si="6"/>
        <v>9.5367431640625E-7</v>
      </c>
      <c r="AM24" s="8">
        <v>20</v>
      </c>
      <c r="AN24" s="8">
        <f t="shared" si="25"/>
        <v>1286.0183715820312</v>
      </c>
      <c r="AO24" s="8">
        <v>-7.8070618872061459E-4</v>
      </c>
      <c r="AP24" s="8">
        <f t="shared" si="26"/>
        <v>1286.0221862792969</v>
      </c>
      <c r="AQ24" s="8">
        <v>5.9052926803815353E-4</v>
      </c>
      <c r="AR24" s="8">
        <f t="shared" si="17"/>
        <v>1286.0202789306641</v>
      </c>
      <c r="AS24" s="8">
        <v>-9.4866977974561451E-5</v>
      </c>
      <c r="AT24" s="8">
        <f t="shared" si="18"/>
        <v>7.4063236809962354E-8</v>
      </c>
      <c r="AU24" s="8">
        <f t="shared" si="19"/>
        <v>-5.6021727064309407E-8</v>
      </c>
      <c r="AV24" s="8">
        <f t="shared" si="20"/>
        <v>3.814697265625E-3</v>
      </c>
      <c r="AX24" s="68"/>
      <c r="AY24" s="9">
        <v>1.425</v>
      </c>
      <c r="AZ24" s="42" t="s">
        <v>14</v>
      </c>
      <c r="BA24"/>
      <c r="BB24" s="70"/>
      <c r="BC24" s="68">
        <f>BS20</f>
        <v>-2.4493098400163449E-9</v>
      </c>
      <c r="BD24" s="68"/>
      <c r="BE24"/>
      <c r="BF24" s="8" t="s">
        <v>258</v>
      </c>
      <c r="BG24" s="8">
        <f>(1-$BO$57)*$BC$5*$AY$22</f>
        <v>126.27664823914773</v>
      </c>
      <c r="BH24" s="42" t="s">
        <v>16</v>
      </c>
      <c r="BI24"/>
      <c r="BJ24" s="8" t="s">
        <v>258</v>
      </c>
      <c r="BK24" s="8">
        <f>(1-$BS$57)*$BC$5*$AY$23</f>
        <v>143.90070223136044</v>
      </c>
      <c r="BL24" s="42" t="s">
        <v>16</v>
      </c>
      <c r="BM24"/>
      <c r="BN24" s="8" t="s">
        <v>254</v>
      </c>
      <c r="BO24" s="8">
        <f>($AY$34+$AY$5)/180*PI()</f>
        <v>0.29670597283903599</v>
      </c>
      <c r="BP24" s="8" t="s">
        <v>250</v>
      </c>
      <c r="BQ24" s="8"/>
      <c r="BR24" s="8" t="s">
        <v>254</v>
      </c>
      <c r="BS24" s="8">
        <f>($AY$35+$AY$5)/180*PI()</f>
        <v>0.29670597283903599</v>
      </c>
      <c r="BT24" s="8" t="s">
        <v>250</v>
      </c>
      <c r="BU24"/>
      <c r="BV24" s="8">
        <v>20</v>
      </c>
      <c r="BW24" s="8">
        <f t="shared" si="21"/>
        <v>0.2079908970801764</v>
      </c>
      <c r="BX24" s="8">
        <v>-1.6900060950397755E-6</v>
      </c>
      <c r="BY24" s="8">
        <f t="shared" si="22"/>
        <v>0.2079962300602593</v>
      </c>
      <c r="BZ24" s="8">
        <v>1.4352950136669457E-5</v>
      </c>
      <c r="CA24" s="8">
        <f t="shared" si="7"/>
        <v>0.20799356357021787</v>
      </c>
      <c r="CB24" s="8">
        <v>6.3315359363214085E-6</v>
      </c>
      <c r="CC24" s="8">
        <f t="shared" si="8"/>
        <v>-1.0700334323346552E-11</v>
      </c>
      <c r="CD24" s="8">
        <f t="shared" si="9"/>
        <v>9.0876219582551933E-11</v>
      </c>
      <c r="CE24" s="8">
        <f t="shared" si="10"/>
        <v>5.332980082900507E-6</v>
      </c>
      <c r="CF24"/>
      <c r="CG24" s="8">
        <v>20</v>
      </c>
      <c r="CH24" s="8">
        <f t="shared" si="23"/>
        <v>0.20147399541889255</v>
      </c>
      <c r="CI24" s="8">
        <v>-1.0277520559685144E-5</v>
      </c>
      <c r="CJ24" s="8">
        <f t="shared" si="24"/>
        <v>0.20147932839897542</v>
      </c>
      <c r="CK24" s="8">
        <v>5.9720605580029784E-6</v>
      </c>
      <c r="CL24" s="8">
        <f t="shared" si="11"/>
        <v>0.20147666190893398</v>
      </c>
      <c r="CM24" s="8">
        <v>-2.1526573474282829E-6</v>
      </c>
      <c r="CN24" s="8">
        <f t="shared" si="12"/>
        <v>2.2123980146151464E-11</v>
      </c>
      <c r="CO24" s="8">
        <f t="shared" si="13"/>
        <v>-1.2855800039471762E-11</v>
      </c>
      <c r="CP24" s="8">
        <f t="shared" si="14"/>
        <v>5.3329800828727514E-6</v>
      </c>
      <c r="CQ24"/>
      <c r="CR24"/>
      <c r="CS24"/>
      <c r="CT24"/>
      <c r="CU24"/>
      <c r="CV24"/>
      <c r="CW24"/>
      <c r="CX24"/>
      <c r="CY24"/>
      <c r="CZ24"/>
      <c r="DA24"/>
    </row>
    <row r="25" spans="2:105" x14ac:dyDescent="0.2">
      <c r="B25" s="20" t="s">
        <v>225</v>
      </c>
      <c r="C25" s="33">
        <v>1</v>
      </c>
      <c r="D25" s="20" t="s">
        <v>226</v>
      </c>
      <c r="F25" s="59" t="s">
        <v>118</v>
      </c>
      <c r="G25" s="60"/>
      <c r="H25" s="60"/>
      <c r="J25" s="31" t="s">
        <v>90</v>
      </c>
      <c r="K25" s="20">
        <f xml:space="preserve"> $C$47 * (8 * ($C$5/1000))</f>
        <v>8.2305315330042514</v>
      </c>
      <c r="L25" s="20" t="s">
        <v>12</v>
      </c>
      <c r="N25" s="20" t="s">
        <v>48</v>
      </c>
      <c r="O25" s="20">
        <f xml:space="preserve"> O20 * $C$6 * O24 - $C$8 * SIN(O18/180*PI())</f>
        <v>3.6192326833944772</v>
      </c>
      <c r="P25" s="20" t="s">
        <v>16</v>
      </c>
      <c r="R25" s="20" t="s">
        <v>48</v>
      </c>
      <c r="S25" s="20">
        <f xml:space="preserve"> S20 * $C$6 * S24 - $C$8 * SIN(S18/180*PI())</f>
        <v>3.6232238350508057</v>
      </c>
      <c r="T25" s="20" t="s">
        <v>16</v>
      </c>
      <c r="V25" s="20" t="s">
        <v>48</v>
      </c>
      <c r="W25" s="20">
        <f xml:space="preserve"> W20 * $C$6 * W24 - $C$8 * SIN(W18/180*PI())</f>
        <v>3.6256889374448935</v>
      </c>
      <c r="X25" s="20" t="s">
        <v>16</v>
      </c>
      <c r="AB25" s="8">
        <v>21</v>
      </c>
      <c r="AC25" s="8">
        <f t="shared" si="15"/>
        <v>3.6515712738037109E-2</v>
      </c>
      <c r="AD25" s="8">
        <f t="shared" si="1"/>
        <v>4.5143989810259022E-8</v>
      </c>
      <c r="AE25" s="8">
        <f t="shared" si="16"/>
        <v>3.6516189575195312E-2</v>
      </c>
      <c r="AF25" s="8">
        <f t="shared" si="2"/>
        <v>-4.3584264849960697E-7</v>
      </c>
      <c r="AG25" s="8">
        <f t="shared" si="3"/>
        <v>3.6515951156616211E-2</v>
      </c>
      <c r="AH25" s="8">
        <f t="shared" si="0"/>
        <v>-1.9534932287068596E-7</v>
      </c>
      <c r="AI25" s="8">
        <f t="shared" si="4"/>
        <v>-8.8188478411152471E-15</v>
      </c>
      <c r="AJ25" s="8">
        <f t="shared" si="5"/>
        <v>8.5141566262564615E-14</v>
      </c>
      <c r="AK25" s="8">
        <f t="shared" si="6"/>
        <v>4.76837158203125E-7</v>
      </c>
      <c r="AM25" s="8">
        <v>21</v>
      </c>
      <c r="AN25" s="8">
        <f t="shared" si="25"/>
        <v>1286.0202789306641</v>
      </c>
      <c r="AO25" s="8">
        <v>-9.4866977974561451E-5</v>
      </c>
      <c r="AP25" s="8">
        <f t="shared" si="26"/>
        <v>1286.0221862792969</v>
      </c>
      <c r="AQ25" s="8">
        <v>5.9052926803815353E-4</v>
      </c>
      <c r="AR25" s="8">
        <f t="shared" si="17"/>
        <v>1286.0212326049805</v>
      </c>
      <c r="AS25" s="8">
        <v>2.4502723999830778E-4</v>
      </c>
      <c r="AT25" s="8">
        <f t="shared" si="18"/>
        <v>-2.3244993780087045E-8</v>
      </c>
      <c r="AU25" s="8">
        <f t="shared" si="19"/>
        <v>1.4469575668560967E-7</v>
      </c>
      <c r="AV25" s="8">
        <f t="shared" si="20"/>
        <v>1.9073486328125E-3</v>
      </c>
      <c r="AX25" s="68" t="s">
        <v>300</v>
      </c>
      <c r="AY25" s="9">
        <v>0.18</v>
      </c>
      <c r="AZ25" s="42" t="s">
        <v>14</v>
      </c>
      <c r="BA25"/>
      <c r="BB25" s="70"/>
      <c r="BC25" s="68">
        <f>BO39</f>
        <v>-7.1855308803742135E-9</v>
      </c>
      <c r="BD25" s="68"/>
      <c r="BE25"/>
      <c r="BF25" s="8" t="s">
        <v>262</v>
      </c>
      <c r="BG25" s="8">
        <f>SQRT(BG23^2 + BG24^2)</f>
        <v>127.89345143641177</v>
      </c>
      <c r="BH25" s="42" t="s">
        <v>16</v>
      </c>
      <c r="BI25"/>
      <c r="BJ25" s="8" t="s">
        <v>262</v>
      </c>
      <c r="BK25" s="8">
        <f>SQRT(BK23^2 + BK24^2)</f>
        <v>145.32924412114093</v>
      </c>
      <c r="BL25" s="42" t="s">
        <v>16</v>
      </c>
      <c r="BM25"/>
      <c r="BN25" s="8" t="s">
        <v>41</v>
      </c>
      <c r="BO25" s="8">
        <f>BO24-BO23</f>
        <v>0.10887912813612055</v>
      </c>
      <c r="BP25" s="8" t="s">
        <v>250</v>
      </c>
      <c r="BQ25" s="8"/>
      <c r="BR25" s="8" t="s">
        <v>41</v>
      </c>
      <c r="BS25" s="8">
        <f>BS24-BS23</f>
        <v>0.12337185565456554</v>
      </c>
      <c r="BT25" s="8" t="s">
        <v>250</v>
      </c>
      <c r="BU25"/>
      <c r="BV25" s="8">
        <v>21</v>
      </c>
      <c r="BW25" s="8">
        <f t="shared" si="21"/>
        <v>0.2079908970801764</v>
      </c>
      <c r="BX25" s="8">
        <v>-1.6900060950397755E-6</v>
      </c>
      <c r="BY25" s="8">
        <f t="shared" si="22"/>
        <v>0.20799356357021787</v>
      </c>
      <c r="BZ25" s="8">
        <v>6.3315359363214085E-6</v>
      </c>
      <c r="CA25" s="8">
        <f t="shared" si="7"/>
        <v>0.20799223032519715</v>
      </c>
      <c r="CB25" s="8">
        <v>2.3207808998865209E-6</v>
      </c>
      <c r="CC25" s="8">
        <f t="shared" si="8"/>
        <v>-3.9221338660601157E-12</v>
      </c>
      <c r="CD25" s="8">
        <f t="shared" si="9"/>
        <v>1.4694107667959843E-11</v>
      </c>
      <c r="CE25" s="8">
        <f t="shared" si="10"/>
        <v>2.6664900414641313E-6</v>
      </c>
      <c r="CF25"/>
      <c r="CG25" s="8">
        <v>21</v>
      </c>
      <c r="CH25" s="8">
        <f t="shared" si="23"/>
        <v>0.20147666190893398</v>
      </c>
      <c r="CI25" s="8">
        <v>-2.1526573474282829E-6</v>
      </c>
      <c r="CJ25" s="8">
        <f t="shared" si="24"/>
        <v>0.20147932839897542</v>
      </c>
      <c r="CK25" s="8">
        <v>5.9720605580029784E-6</v>
      </c>
      <c r="CL25" s="8">
        <f t="shared" si="11"/>
        <v>0.2014779951539547</v>
      </c>
      <c r="CM25" s="8">
        <v>1.9097197682532707E-6</v>
      </c>
      <c r="CN25" s="8">
        <f t="shared" si="12"/>
        <v>-4.1109722906594409E-12</v>
      </c>
      <c r="CO25" s="8">
        <f t="shared" si="13"/>
        <v>1.1404962104823947E-11</v>
      </c>
      <c r="CP25" s="8">
        <f t="shared" si="14"/>
        <v>2.6664900414363757E-6</v>
      </c>
      <c r="CQ25"/>
      <c r="CR25"/>
      <c r="CS25"/>
      <c r="CT25"/>
      <c r="CU25"/>
      <c r="CV25"/>
      <c r="CW25"/>
      <c r="CX25"/>
      <c r="CY25"/>
      <c r="CZ25"/>
      <c r="DA25"/>
    </row>
    <row r="26" spans="2:105" x14ac:dyDescent="0.2">
      <c r="F26" s="25" t="s">
        <v>32</v>
      </c>
      <c r="G26" s="20">
        <f xml:space="preserve"> 1/1000 * (S23 + S19 * (S25 * S28 + $C$8 * SIN(S18/180*PI())))</f>
        <v>31.987807001325979</v>
      </c>
      <c r="H26" s="20" t="s">
        <v>162</v>
      </c>
      <c r="J26" s="31" t="s">
        <v>91</v>
      </c>
      <c r="K26" s="20">
        <f xml:space="preserve"> $C$47 * (13 * ($C$5*2.20462/1000)^1.3 * 0.453592)</f>
        <v>18.283312121591717</v>
      </c>
      <c r="L26" s="20" t="s">
        <v>12</v>
      </c>
      <c r="N26" s="20" t="s">
        <v>49</v>
      </c>
      <c r="O26" s="20">
        <f xml:space="preserve"> 1/$C$20 - O23 * SQRT( (2*$C$44*PI()*$C$6^2) / O19^3 )</f>
        <v>1.0780123349094124</v>
      </c>
      <c r="R26" s="20" t="s">
        <v>49</v>
      </c>
      <c r="S26" s="20">
        <f xml:space="preserve"> 1/$C$20 - S23 * SQRT( (2*$C$44*PI()*$C$6^2) / S19^3 )</f>
        <v>1.0741379375463476</v>
      </c>
      <c r="V26" s="20" t="s">
        <v>49</v>
      </c>
      <c r="W26" s="20">
        <f xml:space="preserve"> 1/$C$20 - W23 * SQRT( (2*$C$44*PI()*$C$6^2) / W19^3 )</f>
        <v>1.0727492481451997</v>
      </c>
      <c r="AB26" s="8">
        <v>22</v>
      </c>
      <c r="AC26" s="8">
        <f t="shared" si="15"/>
        <v>3.6515712738037109E-2</v>
      </c>
      <c r="AD26" s="8">
        <f t="shared" si="1"/>
        <v>4.5143989810259022E-8</v>
      </c>
      <c r="AE26" s="8">
        <f t="shared" si="16"/>
        <v>3.6515951156616211E-2</v>
      </c>
      <c r="AF26" s="8">
        <f t="shared" si="2"/>
        <v>-1.9534932287068596E-7</v>
      </c>
      <c r="AG26" s="8">
        <f t="shared" si="3"/>
        <v>3.651583194732666E-2</v>
      </c>
      <c r="AH26" s="8">
        <f t="shared" si="0"/>
        <v>-7.5102664906512295E-8</v>
      </c>
      <c r="AI26" s="8">
        <f t="shared" si="4"/>
        <v>-3.390433939262889E-15</v>
      </c>
      <c r="AJ26" s="8">
        <f t="shared" si="5"/>
        <v>1.4671254735271205E-14</v>
      </c>
      <c r="AK26" s="8">
        <f t="shared" si="6"/>
        <v>2.384185791015625E-7</v>
      </c>
      <c r="AM26" s="8">
        <v>22</v>
      </c>
      <c r="AN26" s="8">
        <f t="shared" si="25"/>
        <v>1286.0202789306641</v>
      </c>
      <c r="AO26" s="8">
        <v>-9.4866977974561451E-5</v>
      </c>
      <c r="AP26" s="8">
        <f t="shared" si="26"/>
        <v>1286.0212326049805</v>
      </c>
      <c r="AQ26" s="8">
        <v>2.4502723999830778E-4</v>
      </c>
      <c r="AR26" s="8">
        <f t="shared" si="17"/>
        <v>1286.0207557678223</v>
      </c>
      <c r="AS26" s="8">
        <v>7.7810586049054109E-5</v>
      </c>
      <c r="AT26" s="8">
        <f t="shared" si="18"/>
        <v>-7.3816551529033349E-9</v>
      </c>
      <c r="AU26" s="8">
        <f t="shared" si="19"/>
        <v>1.9065713142250559E-8</v>
      </c>
      <c r="AV26" s="8">
        <f t="shared" si="20"/>
        <v>9.5367431640625E-4</v>
      </c>
      <c r="AX26" s="68"/>
      <c r="AY26" s="9">
        <v>0.22500000000000001</v>
      </c>
      <c r="AZ26" s="42" t="s">
        <v>14</v>
      </c>
      <c r="BA26"/>
      <c r="BB26" s="70"/>
      <c r="BC26" s="68">
        <f>BS39</f>
        <v>-5.7714195835639748E-9</v>
      </c>
      <c r="BD26" s="68"/>
      <c r="BE26"/>
      <c r="BF26" s="8" t="s">
        <v>265</v>
      </c>
      <c r="BG26" s="53">
        <f>$AY$41*BG25*$AY$29/$AY$42</f>
        <v>1622957.2998232504</v>
      </c>
      <c r="BH26" s="42"/>
      <c r="BI26"/>
      <c r="BJ26" s="8" t="s">
        <v>265</v>
      </c>
      <c r="BK26" s="53">
        <f>$AY$41*BK25*$AY$30/$AY$42</f>
        <v>1401604.2086683239</v>
      </c>
      <c r="BL26" s="42"/>
      <c r="BM26"/>
      <c r="BN26" s="8" t="s">
        <v>263</v>
      </c>
      <c r="BO26" s="8">
        <f>BO25/PI()*180</f>
        <v>6.2383145192638008</v>
      </c>
      <c r="BP26" s="8" t="s">
        <v>62</v>
      </c>
      <c r="BQ26" s="8"/>
      <c r="BR26" s="8" t="s">
        <v>263</v>
      </c>
      <c r="BS26" s="8">
        <f>BS25/PI()*180</f>
        <v>7.068686639703806</v>
      </c>
      <c r="BT26" s="8" t="s">
        <v>62</v>
      </c>
      <c r="BU26"/>
      <c r="BV26" s="8">
        <v>22</v>
      </c>
      <c r="BW26" s="8">
        <f t="shared" si="21"/>
        <v>0.2079908970801764</v>
      </c>
      <c r="BX26" s="8">
        <v>-1.6900060950397755E-6</v>
      </c>
      <c r="BY26" s="8">
        <f t="shared" si="22"/>
        <v>0.20799223032519715</v>
      </c>
      <c r="BZ26" s="8">
        <v>2.3207808998865209E-6</v>
      </c>
      <c r="CA26" s="8">
        <f t="shared" si="7"/>
        <v>0.20799156370268679</v>
      </c>
      <c r="CB26" s="8">
        <v>3.1539139728337107E-7</v>
      </c>
      <c r="CC26" s="8">
        <f t="shared" si="8"/>
        <v>-5.3301338373200844E-13</v>
      </c>
      <c r="CD26" s="8">
        <f t="shared" si="9"/>
        <v>7.3195433080376918E-13</v>
      </c>
      <c r="CE26" s="8">
        <f t="shared" si="10"/>
        <v>1.3332450207459434E-6</v>
      </c>
      <c r="CF26"/>
      <c r="CG26" s="8">
        <v>22</v>
      </c>
      <c r="CH26" s="8">
        <f t="shared" si="23"/>
        <v>0.20147666190893398</v>
      </c>
      <c r="CI26" s="8">
        <v>-2.1526573474282829E-6</v>
      </c>
      <c r="CJ26" s="8">
        <f t="shared" si="24"/>
        <v>0.2014779951539547</v>
      </c>
      <c r="CK26" s="8">
        <v>1.9097197682532707E-6</v>
      </c>
      <c r="CL26" s="8">
        <f t="shared" si="11"/>
        <v>0.20147732853144434</v>
      </c>
      <c r="CM26" s="8">
        <v>-1.2146424873717143E-7</v>
      </c>
      <c r="CN26" s="8">
        <f t="shared" si="12"/>
        <v>2.614709074939286E-13</v>
      </c>
      <c r="CO26" s="8">
        <f t="shared" si="13"/>
        <v>-2.3196267694940867E-13</v>
      </c>
      <c r="CP26" s="8">
        <f t="shared" si="14"/>
        <v>1.3332450207181878E-6</v>
      </c>
      <c r="CQ26"/>
      <c r="CR26"/>
      <c r="CS26"/>
      <c r="CT26"/>
      <c r="CU26"/>
      <c r="CV26"/>
      <c r="CW26"/>
      <c r="CX26"/>
      <c r="CY26"/>
      <c r="CZ26"/>
      <c r="DA26"/>
    </row>
    <row r="27" spans="2:105" x14ac:dyDescent="0.2">
      <c r="B27" s="61" t="s">
        <v>165</v>
      </c>
      <c r="C27" s="61"/>
      <c r="D27" s="61"/>
      <c r="F27" s="25" t="s">
        <v>33</v>
      </c>
      <c r="G27" s="20">
        <f>$C$17 * G26</f>
        <v>127.95122800530392</v>
      </c>
      <c r="H27" s="20" t="s">
        <v>162</v>
      </c>
      <c r="J27" s="26" t="s">
        <v>78</v>
      </c>
      <c r="K27" s="26">
        <f>$C$5 - $C$13 - SUM(K13:K26)</f>
        <v>6.1959326558280736E-11</v>
      </c>
      <c r="L27" s="26" t="s">
        <v>12</v>
      </c>
      <c r="N27" s="20" t="s">
        <v>50</v>
      </c>
      <c r="O27" s="33">
        <v>1.1499999999999999</v>
      </c>
      <c r="R27" s="20" t="s">
        <v>50</v>
      </c>
      <c r="S27" s="33">
        <v>1.1499999999999999</v>
      </c>
      <c r="V27" s="20" t="s">
        <v>50</v>
      </c>
      <c r="W27" s="33">
        <v>1.1499999999999999</v>
      </c>
      <c r="AB27" s="8">
        <v>23</v>
      </c>
      <c r="AC27" s="8">
        <f t="shared" si="15"/>
        <v>3.6515712738037109E-2</v>
      </c>
      <c r="AD27" s="8">
        <f t="shared" si="1"/>
        <v>4.5143989810259022E-8</v>
      </c>
      <c r="AE27" s="8">
        <f t="shared" si="16"/>
        <v>3.651583194732666E-2</v>
      </c>
      <c r="AF27" s="8">
        <f t="shared" si="2"/>
        <v>-7.5102664906512295E-8</v>
      </c>
      <c r="AG27" s="8">
        <f t="shared" si="3"/>
        <v>3.6515772342681885E-2</v>
      </c>
      <c r="AH27" s="8">
        <f t="shared" si="0"/>
        <v>-1.497933714567079E-8</v>
      </c>
      <c r="AI27" s="8">
        <f t="shared" si="4"/>
        <v>-6.7622704346859664E-16</v>
      </c>
      <c r="AJ27" s="8">
        <f t="shared" si="5"/>
        <v>1.1249881381729856E-15</v>
      </c>
      <c r="AK27" s="8">
        <f t="shared" si="6"/>
        <v>1.1920928955078125E-7</v>
      </c>
      <c r="AM27" s="8">
        <v>23</v>
      </c>
      <c r="AN27" s="8">
        <f t="shared" si="25"/>
        <v>1286.0202789306641</v>
      </c>
      <c r="AO27" s="8">
        <v>-9.4866977974561451E-5</v>
      </c>
      <c r="AP27" s="8">
        <f t="shared" si="26"/>
        <v>1286.0207557678223</v>
      </c>
      <c r="AQ27" s="8">
        <v>7.7810586049054109E-5</v>
      </c>
      <c r="AR27" s="8">
        <f t="shared" si="17"/>
        <v>1286.0205173492432</v>
      </c>
      <c r="AS27" s="8">
        <v>-8.3070722212141845E-6</v>
      </c>
      <c r="AT27" s="8">
        <f t="shared" si="18"/>
        <v>7.8806683744301736E-10</v>
      </c>
      <c r="AU27" s="8">
        <f t="shared" si="19"/>
        <v>-6.4637815788449331E-10</v>
      </c>
      <c r="AV27" s="8">
        <f t="shared" si="20"/>
        <v>4.76837158203125E-4</v>
      </c>
      <c r="AX27" s="68"/>
      <c r="AY27" s="9">
        <v>0.22500000000000001</v>
      </c>
      <c r="AZ27" s="42" t="s">
        <v>14</v>
      </c>
      <c r="BA27"/>
      <c r="BB27" s="70"/>
      <c r="BC27" s="68">
        <f>BO58</f>
        <v>2.8131671818421022E-9</v>
      </c>
      <c r="BD27" s="68"/>
      <c r="BE27"/>
      <c r="BF27" s="8" t="s">
        <v>269</v>
      </c>
      <c r="BG27" s="49">
        <f xml:space="preserve"> $BO$46 * PI() * $AY$41 * BG25^2 * $BO$52 * $AY$22 * BG22</f>
        <v>991.73268785653318</v>
      </c>
      <c r="BH27" s="42" t="s">
        <v>31</v>
      </c>
      <c r="BI27"/>
      <c r="BJ27" s="8" t="s">
        <v>269</v>
      </c>
      <c r="BK27" s="49">
        <f xml:space="preserve"> $BS$46 * PI() * $AY$41 * BK25^2 * $BS$52 * $AY$23 * BK22</f>
        <v>1067.6036174984533</v>
      </c>
      <c r="BL27" s="42" t="s">
        <v>31</v>
      </c>
      <c r="BM27"/>
      <c r="BN27" s="8" t="s">
        <v>266</v>
      </c>
      <c r="BO27" s="8">
        <f xml:space="preserve"> $AY$8*$AY$27 / (2*PI()*$AY$20)</f>
        <v>0.13021768071155074</v>
      </c>
      <c r="BP27" s="8"/>
      <c r="BQ27" s="8"/>
      <c r="BR27" s="8" t="s">
        <v>266</v>
      </c>
      <c r="BS27" s="8">
        <f xml:space="preserve"> $AY$8*$AY$28 / (2*PI()*$AY$21)</f>
        <v>0.10283857861322468</v>
      </c>
      <c r="BT27" s="8"/>
      <c r="BU27"/>
      <c r="BV27" s="8">
        <v>23</v>
      </c>
      <c r="BW27" s="8">
        <f t="shared" si="21"/>
        <v>0.2079908970801764</v>
      </c>
      <c r="BX27" s="8">
        <v>-1.6900060950397755E-6</v>
      </c>
      <c r="BY27" s="8">
        <f t="shared" si="22"/>
        <v>0.20799156370268679</v>
      </c>
      <c r="BZ27" s="8">
        <v>3.1539139728337107E-7</v>
      </c>
      <c r="CA27" s="8">
        <f t="shared" si="7"/>
        <v>0.20799123039143158</v>
      </c>
      <c r="CB27" s="8">
        <v>-6.8730635016667208E-7</v>
      </c>
      <c r="CC27" s="8">
        <f t="shared" si="8"/>
        <v>1.1615519209412179E-12</v>
      </c>
      <c r="CD27" s="8">
        <f t="shared" si="9"/>
        <v>-2.1677051014080063E-13</v>
      </c>
      <c r="CE27" s="8">
        <f t="shared" si="10"/>
        <v>6.666225103868495E-7</v>
      </c>
      <c r="CF27"/>
      <c r="CG27" s="8">
        <v>23</v>
      </c>
      <c r="CH27" s="8">
        <f t="shared" si="23"/>
        <v>0.20147732853144434</v>
      </c>
      <c r="CI27" s="8">
        <v>-1.2146424873717143E-7</v>
      </c>
      <c r="CJ27" s="8">
        <f t="shared" si="24"/>
        <v>0.2014779951539547</v>
      </c>
      <c r="CK27" s="8">
        <v>1.9097197682532707E-6</v>
      </c>
      <c r="CL27" s="8">
        <f t="shared" si="11"/>
        <v>0.20147766184269952</v>
      </c>
      <c r="CM27" s="8">
        <v>8.9412889494287773E-7</v>
      </c>
      <c r="CN27" s="8">
        <f t="shared" si="12"/>
        <v>-1.0860469449843392E-13</v>
      </c>
      <c r="CO27" s="8">
        <f t="shared" si="13"/>
        <v>1.7075356260388655E-12</v>
      </c>
      <c r="CP27" s="8">
        <f t="shared" si="14"/>
        <v>6.6662251035909392E-7</v>
      </c>
      <c r="CQ27"/>
      <c r="CR27"/>
      <c r="CS27"/>
      <c r="CT27"/>
      <c r="CU27"/>
      <c r="CV27"/>
      <c r="CW27"/>
      <c r="CX27"/>
      <c r="CY27"/>
      <c r="CZ27"/>
      <c r="DA27"/>
    </row>
    <row r="28" spans="2:105" x14ac:dyDescent="0.2">
      <c r="B28" t="s">
        <v>166</v>
      </c>
      <c r="C28" s="1">
        <v>4</v>
      </c>
      <c r="D28"/>
      <c r="F28" s="25" t="s">
        <v>121</v>
      </c>
      <c r="G28" s="20">
        <f xml:space="preserve"> ($C$14-G17-G37)/$C$8</f>
        <v>1600.2478630521136</v>
      </c>
      <c r="H28" s="20" t="s">
        <v>22</v>
      </c>
      <c r="J28" s="20" t="s">
        <v>79</v>
      </c>
      <c r="K28" s="10" t="str">
        <f>IF(ABS(K27)&lt;0.00001, "TRUE", "FALSE")</f>
        <v>TRUE</v>
      </c>
      <c r="N28" s="20" t="s">
        <v>51</v>
      </c>
      <c r="O28" s="20">
        <f xml:space="preserve"> 1/$C$50 * LN( EXP($C$50 * O26) + EXP($C$50 * O27) )</f>
        <v>1.1536394740062539</v>
      </c>
      <c r="R28" s="20" t="s">
        <v>51</v>
      </c>
      <c r="S28" s="20">
        <f xml:space="preserve"> 1/$C$50 * LN( EXP($C$50 * S26) + EXP($C$50 * S27) )</f>
        <v>1.1532589762954284</v>
      </c>
      <c r="V28" s="20" t="s">
        <v>51</v>
      </c>
      <c r="W28" s="20">
        <f xml:space="preserve"> 1/$C$50 * LN( EXP($C$50 * W26) + EXP($C$50 * W27) )</f>
        <v>1.153132047044527</v>
      </c>
      <c r="AB28" s="8">
        <v>24</v>
      </c>
      <c r="AC28" s="8">
        <f t="shared" si="15"/>
        <v>3.6515712738037109E-2</v>
      </c>
      <c r="AD28" s="8">
        <f t="shared" si="1"/>
        <v>4.5143989810259022E-8</v>
      </c>
      <c r="AE28" s="8">
        <f t="shared" si="16"/>
        <v>3.6515772342681885E-2</v>
      </c>
      <c r="AF28" s="8">
        <f t="shared" si="2"/>
        <v>-1.497933714567079E-8</v>
      </c>
      <c r="AG28" s="8">
        <f t="shared" si="3"/>
        <v>3.6515742540359497E-2</v>
      </c>
      <c r="AH28" s="8">
        <f t="shared" si="0"/>
        <v>1.5082326436377524E-8</v>
      </c>
      <c r="AI28" s="8">
        <f t="shared" si="4"/>
        <v>6.8087639095882719E-16</v>
      </c>
      <c r="AJ28" s="8">
        <f t="shared" si="5"/>
        <v>-2.2592325263156241E-16</v>
      </c>
      <c r="AK28" s="8">
        <f t="shared" si="6"/>
        <v>5.9604644775390625E-8</v>
      </c>
      <c r="AM28" s="8">
        <v>24</v>
      </c>
      <c r="AN28" s="8">
        <f t="shared" si="25"/>
        <v>1286.0205173492432</v>
      </c>
      <c r="AO28" s="8">
        <v>-8.3070722212141845E-6</v>
      </c>
      <c r="AP28" s="8">
        <f t="shared" si="26"/>
        <v>1286.0207557678223</v>
      </c>
      <c r="AQ28" s="8">
        <v>7.7810586049054109E-5</v>
      </c>
      <c r="AR28" s="8">
        <f t="shared" si="17"/>
        <v>1286.0206365585327</v>
      </c>
      <c r="AS28" s="8">
        <v>3.4972877529071411E-5</v>
      </c>
      <c r="AT28" s="8">
        <f t="shared" si="18"/>
        <v>-2.9052221941767489E-10</v>
      </c>
      <c r="AU28" s="8">
        <f t="shared" si="19"/>
        <v>2.7212600963588417E-9</v>
      </c>
      <c r="AV28" s="8">
        <f t="shared" si="20"/>
        <v>2.384185791015625E-4</v>
      </c>
      <c r="AX28" s="68"/>
      <c r="AY28" s="9">
        <v>0.21</v>
      </c>
      <c r="AZ28" s="42" t="s">
        <v>14</v>
      </c>
      <c r="BA28"/>
      <c r="BB28" s="70"/>
      <c r="BC28" s="68">
        <f>BS58</f>
        <v>8.1482677983385488E-10</v>
      </c>
      <c r="BD28" s="68"/>
      <c r="BE28"/>
      <c r="BF28" s="8" t="s">
        <v>273</v>
      </c>
      <c r="BG28" s="49">
        <f xml:space="preserve"> $BO$46 * PI() * $AY$41 * BG25^2 * $BO$53 * $AY$22^2 * BG22</f>
        <v>191.86032891858915</v>
      </c>
      <c r="BH28" s="42" t="s">
        <v>274</v>
      </c>
      <c r="BI28"/>
      <c r="BJ28" s="8" t="s">
        <v>273</v>
      </c>
      <c r="BK28" s="49">
        <f xml:space="preserve"> $BS$46 * PI() * $AY$41 * BK25^2 * $BS$53 * $AY$23^2 * BK22</f>
        <v>209.0910382006237</v>
      </c>
      <c r="BL28" s="42" t="s">
        <v>274</v>
      </c>
      <c r="BM28"/>
      <c r="BN28" s="8" t="s">
        <v>270</v>
      </c>
      <c r="BO28" s="8">
        <f>IF(-$AY$8*($BC$3-$AY$20)/(2*$AY$20*SIN(BO23))&gt;500, 1, 2*ACOS(MIN(1, EXP(-$AY$8*($BC$3-$AY$20)/(2*$AY$20*SIN(BO23)))))/PI() )</f>
        <v>0.99931571126568908</v>
      </c>
      <c r="BP28" s="8"/>
      <c r="BQ28" s="8"/>
      <c r="BR28" s="8" t="s">
        <v>270</v>
      </c>
      <c r="BS28" s="8">
        <f>IF(-$AY$8*($BC$3-$AY$21)/(2*$AY$21*SIN(BS23))&gt;500, 1, 2*ACOS(MIN(1, EXP(-$AY$8*($BC$3-$AY$21)/(2*$AY$21*SIN(BS23)))))/PI() )</f>
        <v>0.99537176520309123</v>
      </c>
      <c r="BT28" s="8"/>
      <c r="BU28"/>
      <c r="BV28" s="8">
        <v>24</v>
      </c>
      <c r="BW28" s="8">
        <f t="shared" si="21"/>
        <v>0.20799123039143158</v>
      </c>
      <c r="BX28" s="8">
        <v>-6.8730635016667208E-7</v>
      </c>
      <c r="BY28" s="8">
        <f t="shared" si="22"/>
        <v>0.20799156370268679</v>
      </c>
      <c r="BZ28" s="8">
        <v>3.1539139728337107E-7</v>
      </c>
      <c r="CA28" s="8">
        <f t="shared" si="7"/>
        <v>0.20799139704705918</v>
      </c>
      <c r="CB28" s="8">
        <v>-1.8595722674555337E-7</v>
      </c>
      <c r="CC28" s="8">
        <f t="shared" si="8"/>
        <v>1.2780958280160254E-13</v>
      </c>
      <c r="CD28" s="8">
        <f t="shared" si="9"/>
        <v>-5.8649309578220743E-14</v>
      </c>
      <c r="CE28" s="8">
        <f t="shared" si="10"/>
        <v>3.3331125520730254E-7</v>
      </c>
      <c r="CF28"/>
      <c r="CG28" s="8">
        <v>24</v>
      </c>
      <c r="CH28" s="8">
        <f t="shared" si="23"/>
        <v>0.20147732853144434</v>
      </c>
      <c r="CI28" s="8">
        <v>-1.2146424873717143E-7</v>
      </c>
      <c r="CJ28" s="8">
        <f t="shared" si="24"/>
        <v>0.20147766184269952</v>
      </c>
      <c r="CK28" s="8">
        <v>8.9412889494287773E-7</v>
      </c>
      <c r="CL28" s="8">
        <f t="shared" si="11"/>
        <v>0.20147749518707192</v>
      </c>
      <c r="CM28" s="8">
        <v>3.863326068359596E-7</v>
      </c>
      <c r="CN28" s="8">
        <f t="shared" si="12"/>
        <v>-4.6925599852002852E-14</v>
      </c>
      <c r="CO28" s="8">
        <f t="shared" si="13"/>
        <v>3.4543114683063782E-13</v>
      </c>
      <c r="CP28" s="8">
        <f t="shared" si="14"/>
        <v>3.3331125517954696E-7</v>
      </c>
      <c r="CQ28"/>
      <c r="CR28"/>
      <c r="CS28"/>
      <c r="CT28"/>
      <c r="CU28"/>
      <c r="CV28"/>
      <c r="CW28"/>
      <c r="CX28"/>
      <c r="CY28"/>
      <c r="CZ28"/>
      <c r="DA28"/>
    </row>
    <row r="29" spans="2:105" x14ac:dyDescent="0.2">
      <c r="B29" t="s">
        <v>167</v>
      </c>
      <c r="C29" s="1">
        <v>5.2</v>
      </c>
      <c r="D29" t="s">
        <v>14</v>
      </c>
      <c r="F29" t="s">
        <v>214</v>
      </c>
      <c r="G29" s="24">
        <f>S20*$C$6</f>
        <v>166.46558020128367</v>
      </c>
      <c r="H29" s="20" t="s">
        <v>16</v>
      </c>
      <c r="AB29" s="8">
        <v>25</v>
      </c>
      <c r="AC29" s="8">
        <f t="shared" si="15"/>
        <v>3.6515742540359497E-2</v>
      </c>
      <c r="AD29" s="8">
        <f t="shared" si="1"/>
        <v>1.5082326436377524E-8</v>
      </c>
      <c r="AE29" s="8">
        <f t="shared" si="16"/>
        <v>3.6515772342681885E-2</v>
      </c>
      <c r="AF29" s="8">
        <f t="shared" si="2"/>
        <v>-1.497933714567079E-8</v>
      </c>
      <c r="AG29" s="8">
        <f t="shared" si="3"/>
        <v>3.6515757441520691E-2</v>
      </c>
      <c r="AH29" s="8">
        <f t="shared" si="0"/>
        <v>5.1494669639495783E-11</v>
      </c>
      <c r="AI29" s="8">
        <f t="shared" si="4"/>
        <v>7.7665941723629433E-19</v>
      </c>
      <c r="AJ29" s="8">
        <f t="shared" si="5"/>
        <v>-7.7135601773494506E-19</v>
      </c>
      <c r="AK29" s="8">
        <f t="shared" si="6"/>
        <v>2.9802322387695312E-8</v>
      </c>
      <c r="AM29" s="8">
        <v>25</v>
      </c>
      <c r="AN29" s="8">
        <f t="shared" si="25"/>
        <v>1286.0205173492432</v>
      </c>
      <c r="AO29" s="8">
        <v>-8.3070722212141845E-6</v>
      </c>
      <c r="AP29" s="8">
        <f t="shared" si="26"/>
        <v>1286.0206365585327</v>
      </c>
      <c r="AQ29" s="8">
        <v>3.4972877529071411E-5</v>
      </c>
      <c r="AR29" s="8">
        <f t="shared" si="17"/>
        <v>1286.0205769538879</v>
      </c>
      <c r="AS29" s="8">
        <v>1.0528909683671372E-5</v>
      </c>
      <c r="AT29" s="8">
        <f t="shared" si="18"/>
        <v>-8.7464413152899485E-11</v>
      </c>
      <c r="AU29" s="8">
        <f t="shared" si="19"/>
        <v>3.6822626888169292E-10</v>
      </c>
      <c r="AV29" s="8">
        <f t="shared" si="20"/>
        <v>1.1920928955078125E-4</v>
      </c>
      <c r="AX29" s="68"/>
      <c r="AY29" s="9">
        <v>0.1875</v>
      </c>
      <c r="AZ29" s="42" t="s">
        <v>14</v>
      </c>
      <c r="BA29"/>
      <c r="BB29" s="70"/>
      <c r="BC29" s="68">
        <f>BO77</f>
        <v>-4.7047981378833814E-9</v>
      </c>
      <c r="BD29" s="68"/>
      <c r="BE29"/>
      <c r="BF29"/>
      <c r="BG29"/>
      <c r="BH29"/>
      <c r="BI29"/>
      <c r="BJ29"/>
      <c r="BK29"/>
      <c r="BL29"/>
      <c r="BM29"/>
      <c r="BN29" s="8" t="s">
        <v>275</v>
      </c>
      <c r="BO29" s="8">
        <f>IF(-$AY$8*($AY$20-$AY$10)/(2*$AY$20*SIN(BO23))&gt;500, 1, 2*ACOS(MIN(1, EXP(-$AY$8*($AY$20-$AY$10)/(2*$AY$20*SIN(BO23)))))/PI() )</f>
        <v>0.99203993604646279</v>
      </c>
      <c r="BP29" s="8"/>
      <c r="BQ29" s="8"/>
      <c r="BR29" s="8" t="s">
        <v>275</v>
      </c>
      <c r="BS29" s="8">
        <f>IF(-$AY$8*($AY$21-$AY$10)/(2*$AY$21*SIN(BS23))&gt;500, 1, 2*ACOS(MIN(1, EXP(-$AY$8*($AY$21-$AY$10)/(2*$AY$21*SIN(BS23)))))/PI() )</f>
        <v>0.99698380515021612</v>
      </c>
      <c r="BT29" s="8"/>
      <c r="BU29"/>
      <c r="BV29" s="8">
        <v>25</v>
      </c>
      <c r="BW29" s="8">
        <f t="shared" si="21"/>
        <v>0.20799139704705918</v>
      </c>
      <c r="BX29" s="8">
        <v>-1.8595722674555337E-7</v>
      </c>
      <c r="BY29" s="8">
        <f t="shared" si="22"/>
        <v>0.20799156370268679</v>
      </c>
      <c r="BZ29" s="8">
        <v>3.1539139728337107E-7</v>
      </c>
      <c r="CA29" s="8">
        <f t="shared" si="7"/>
        <v>0.20799148037487297</v>
      </c>
      <c r="CB29" s="8">
        <v>6.4717147654769214E-8</v>
      </c>
      <c r="CC29" s="8">
        <f t="shared" si="8"/>
        <v>-1.2034621300763376E-14</v>
      </c>
      <c r="CD29" s="8">
        <f t="shared" si="9"/>
        <v>2.0411231627031904E-14</v>
      </c>
      <c r="CE29" s="8">
        <f t="shared" si="10"/>
        <v>1.6665562760365127E-7</v>
      </c>
      <c r="CF29"/>
      <c r="CG29" s="8">
        <v>25</v>
      </c>
      <c r="CH29" s="8">
        <f t="shared" si="23"/>
        <v>0.20147732853144434</v>
      </c>
      <c r="CI29" s="8">
        <v>-1.2146424873717143E-7</v>
      </c>
      <c r="CJ29" s="8">
        <f t="shared" si="24"/>
        <v>0.20147749518707192</v>
      </c>
      <c r="CK29" s="8">
        <v>3.863326068359596E-7</v>
      </c>
      <c r="CL29" s="8">
        <f t="shared" si="11"/>
        <v>0.20147741185925813</v>
      </c>
      <c r="CM29" s="8">
        <v>1.3243425000218634E-7</v>
      </c>
      <c r="CN29" s="8">
        <f t="shared" si="12"/>
        <v>-1.6086026683586307E-14</v>
      </c>
      <c r="CO29" s="8">
        <f t="shared" si="13"/>
        <v>5.1163669037709838E-14</v>
      </c>
      <c r="CP29" s="8">
        <f t="shared" si="14"/>
        <v>1.6665562757589569E-7</v>
      </c>
      <c r="CQ29"/>
      <c r="CR29"/>
      <c r="CS29"/>
      <c r="CT29"/>
      <c r="CU29"/>
      <c r="CV29"/>
      <c r="CW29"/>
      <c r="CX29"/>
      <c r="CY29"/>
      <c r="CZ29"/>
      <c r="DA29"/>
    </row>
    <row r="30" spans="2:105" x14ac:dyDescent="0.2">
      <c r="B30" t="s">
        <v>168</v>
      </c>
      <c r="C30" s="1">
        <v>1.8</v>
      </c>
      <c r="D30" t="s">
        <v>14</v>
      </c>
      <c r="F30" s="20" t="s">
        <v>217</v>
      </c>
      <c r="G30" s="20">
        <f>G29/$C$45</f>
        <v>0.48900633401862331</v>
      </c>
      <c r="H30" s="20" t="s">
        <v>215</v>
      </c>
      <c r="J30" s="58" t="s">
        <v>188</v>
      </c>
      <c r="K30" s="58"/>
      <c r="L30" s="58"/>
      <c r="AB30" s="8">
        <v>26</v>
      </c>
      <c r="AC30" s="8">
        <f t="shared" si="15"/>
        <v>3.6515757441520691E-2</v>
      </c>
      <c r="AD30" s="8">
        <f t="shared" si="1"/>
        <v>5.1494669639495783E-11</v>
      </c>
      <c r="AE30" s="8">
        <f t="shared" si="16"/>
        <v>3.6515772342681885E-2</v>
      </c>
      <c r="AF30" s="8">
        <f t="shared" si="2"/>
        <v>-1.497933714567079E-8</v>
      </c>
      <c r="AG30" s="8">
        <f t="shared" si="3"/>
        <v>3.6515764892101288E-2</v>
      </c>
      <c r="AH30" s="8">
        <f t="shared" si="0"/>
        <v>-7.4639212310767533E-9</v>
      </c>
      <c r="AI30" s="8">
        <f t="shared" si="4"/>
        <v>-3.8435215800951607E-19</v>
      </c>
      <c r="AJ30" s="8">
        <f t="shared" si="5"/>
        <v>1.1180459254902886E-16</v>
      </c>
      <c r="AK30" s="8">
        <f t="shared" si="6"/>
        <v>1.4901161193847656E-8</v>
      </c>
      <c r="AM30" s="8">
        <v>26</v>
      </c>
      <c r="AN30" s="8">
        <f t="shared" si="25"/>
        <v>1286.0205173492432</v>
      </c>
      <c r="AO30" s="8">
        <v>-8.3070722212141845E-6</v>
      </c>
      <c r="AP30" s="8">
        <f t="shared" si="26"/>
        <v>1286.0205769538879</v>
      </c>
      <c r="AQ30" s="8">
        <v>1.0528909683671372E-5</v>
      </c>
      <c r="AR30" s="8">
        <f t="shared" si="17"/>
        <v>1286.0205471515656</v>
      </c>
      <c r="AS30" s="8">
        <v>-2.0617502514141961E-6</v>
      </c>
      <c r="AT30" s="8">
        <f t="shared" si="18"/>
        <v>1.7127108240604229E-11</v>
      </c>
      <c r="AU30" s="8">
        <f t="shared" si="19"/>
        <v>-2.1707982187426816E-11</v>
      </c>
      <c r="AV30" s="8">
        <f t="shared" si="20"/>
        <v>5.9604644775390625E-5</v>
      </c>
      <c r="AX30" s="68"/>
      <c r="AY30" s="9">
        <v>0.14249999999999999</v>
      </c>
      <c r="AZ30" s="42" t="s">
        <v>14</v>
      </c>
      <c r="BA30"/>
      <c r="BB30" s="54" t="s">
        <v>301</v>
      </c>
      <c r="BC30" s="68" t="b">
        <f>IF(BC23&lt;0.00001,IF(BC24&lt;0.00001,IF(BC25&lt;0.00001,IF(BC26&lt;0.00001,IF(BC27&lt;0.00001,IF(BC28&lt;0.00001,IF(BC29&lt;0.00001,TRUE,FALSE),FALSE),FALSE),FALSE),FALSE),FALSE),FALSE)</f>
        <v>1</v>
      </c>
      <c r="BD30" s="68"/>
      <c r="BE30"/>
      <c r="BF30" s="72" t="s">
        <v>302</v>
      </c>
      <c r="BG30" s="72"/>
      <c r="BH30" s="72"/>
      <c r="BI30"/>
      <c r="BJ30"/>
      <c r="BK30"/>
      <c r="BL30"/>
      <c r="BM30"/>
      <c r="BN30" s="8" t="s">
        <v>279</v>
      </c>
      <c r="BO30" s="8">
        <f>IF(BO23=0,1,BO28*BO29)</f>
        <v>0.99136109429423969</v>
      </c>
      <c r="BP30" s="8"/>
      <c r="BQ30" s="8"/>
      <c r="BR30" s="8" t="s">
        <v>279</v>
      </c>
      <c r="BS30" s="8">
        <f>IF(BS23=0,1,BS28*BS29)</f>
        <v>0.99236953001126538</v>
      </c>
      <c r="BT30" s="8"/>
      <c r="BU30"/>
      <c r="BV30" s="8">
        <v>26</v>
      </c>
      <c r="BW30" s="8">
        <f t="shared" si="21"/>
        <v>0.20799139704705918</v>
      </c>
      <c r="BX30" s="8">
        <v>-1.8595722674555337E-7</v>
      </c>
      <c r="BY30" s="8">
        <f t="shared" si="22"/>
        <v>0.20799148037487297</v>
      </c>
      <c r="BZ30" s="8">
        <v>6.4717147654769214E-8</v>
      </c>
      <c r="CA30" s="8">
        <f t="shared" si="7"/>
        <v>0.20799143871096609</v>
      </c>
      <c r="CB30" s="8">
        <v>-6.0620023983187776E-8</v>
      </c>
      <c r="CC30" s="8">
        <f t="shared" si="8"/>
        <v>1.1272731545162532E-14</v>
      </c>
      <c r="CD30" s="8">
        <f t="shared" si="9"/>
        <v>-3.9231550429556146E-15</v>
      </c>
      <c r="CE30" s="8">
        <f t="shared" si="10"/>
        <v>8.3327813787947846E-8</v>
      </c>
      <c r="CF30"/>
      <c r="CG30" s="8">
        <v>26</v>
      </c>
      <c r="CH30" s="8">
        <f t="shared" si="23"/>
        <v>0.20147732853144434</v>
      </c>
      <c r="CI30" s="8">
        <v>-1.2146424873717143E-7</v>
      </c>
      <c r="CJ30" s="8">
        <f t="shared" si="24"/>
        <v>0.20147741185925813</v>
      </c>
      <c r="CK30" s="8">
        <v>1.3243425000218634E-7</v>
      </c>
      <c r="CL30" s="8">
        <f t="shared" si="11"/>
        <v>0.20147737019535122</v>
      </c>
      <c r="CM30" s="8">
        <v>5.4850182954618854E-9</v>
      </c>
      <c r="CN30" s="8">
        <f t="shared" si="12"/>
        <v>-6.6623362656791856E-16</v>
      </c>
      <c r="CO30" s="8">
        <f t="shared" si="13"/>
        <v>7.2640428420776528E-16</v>
      </c>
      <c r="CP30" s="8">
        <f t="shared" si="14"/>
        <v>8.3327813787947846E-8</v>
      </c>
      <c r="CQ30"/>
      <c r="CR30"/>
      <c r="CS30"/>
      <c r="CT30"/>
      <c r="CU30"/>
      <c r="CV30"/>
      <c r="CW30"/>
      <c r="CX30"/>
      <c r="CY30"/>
      <c r="CZ30"/>
      <c r="DA30"/>
    </row>
    <row r="31" spans="2:105" x14ac:dyDescent="0.2">
      <c r="J31" s="20" t="s">
        <v>81</v>
      </c>
      <c r="K31" s="20">
        <f>ROUND($C$13,2)</f>
        <v>400</v>
      </c>
      <c r="L31" s="20" t="s">
        <v>12</v>
      </c>
      <c r="AB31" s="8">
        <v>27</v>
      </c>
      <c r="AC31" s="8">
        <f t="shared" si="15"/>
        <v>3.6515757441520691E-2</v>
      </c>
      <c r="AD31" s="8">
        <f t="shared" si="1"/>
        <v>5.1494669639495783E-11</v>
      </c>
      <c r="AE31" s="8">
        <f t="shared" si="16"/>
        <v>3.6515764892101288E-2</v>
      </c>
      <c r="AF31" s="8">
        <f t="shared" si="2"/>
        <v>-7.4639212310767533E-9</v>
      </c>
      <c r="AG31" s="8">
        <f t="shared" si="3"/>
        <v>3.6515761166810989E-2</v>
      </c>
      <c r="AH31" s="8">
        <f t="shared" si="0"/>
        <v>-3.7062132807186288E-9</v>
      </c>
      <c r="AI31" s="8">
        <f t="shared" si="4"/>
        <v>-1.9085022850411763E-19</v>
      </c>
      <c r="AJ31" s="8">
        <f t="shared" si="5"/>
        <v>2.7662883992854399E-17</v>
      </c>
      <c r="AK31" s="8">
        <f t="shared" si="6"/>
        <v>7.4505805969238281E-9</v>
      </c>
      <c r="AM31" s="8">
        <v>27</v>
      </c>
      <c r="AN31" s="8">
        <f t="shared" si="25"/>
        <v>1286.0205471515656</v>
      </c>
      <c r="AO31" s="8">
        <v>-2.0617502514141961E-6</v>
      </c>
      <c r="AP31" s="8">
        <f t="shared" si="26"/>
        <v>1286.0205769538879</v>
      </c>
      <c r="AQ31" s="8">
        <v>1.0528909683671372E-5</v>
      </c>
      <c r="AR31" s="8">
        <f t="shared" si="17"/>
        <v>1286.0205620527267</v>
      </c>
      <c r="AS31" s="8">
        <v>4.2335796024417505E-6</v>
      </c>
      <c r="AT31" s="8">
        <f t="shared" si="18"/>
        <v>-8.7285838097162914E-12</v>
      </c>
      <c r="AU31" s="8">
        <f t="shared" si="19"/>
        <v>4.4574977272742546E-11</v>
      </c>
      <c r="AV31" s="8">
        <f t="shared" si="20"/>
        <v>2.9802322387695312E-5</v>
      </c>
      <c r="AX31" s="68"/>
      <c r="AY31" s="9">
        <v>0.12</v>
      </c>
      <c r="AZ31" s="42" t="s">
        <v>14</v>
      </c>
      <c r="BA31"/>
      <c r="BB31"/>
      <c r="BC31"/>
      <c r="BD31"/>
      <c r="BE31"/>
      <c r="BF31" s="8" t="s">
        <v>248</v>
      </c>
      <c r="BG31" s="8">
        <f>$AY$24-$AY$23</f>
        <v>0.15000000000000013</v>
      </c>
      <c r="BH31" s="42" t="s">
        <v>14</v>
      </c>
      <c r="BI31"/>
      <c r="BJ31"/>
      <c r="BK31"/>
      <c r="BL31"/>
      <c r="BM31"/>
      <c r="BN31" s="8" t="s">
        <v>283</v>
      </c>
      <c r="BO31" s="8">
        <f>IF(BO26&lt;$BG$42, $BC$43*BO26^2 + $BD$43*BO26 + $BE$43, IF(BO26&gt;$BH$42, $BI$43*BO26^2 + $BJ$43*BO26 + $BK$43, $BF$43*BO26^2 + $BG$43*BO26 + $BH$43))</f>
        <v>1.020712650200986</v>
      </c>
      <c r="BP31" s="8"/>
      <c r="BQ31" s="8"/>
      <c r="BR31" s="8" t="s">
        <v>283</v>
      </c>
      <c r="BS31" s="8">
        <f>IF(BS26&lt;$BG$42, $BC$43*BS26^2 + $BD$43*BS26 + $BE$43, IF(BS26&gt;$BH$42, $BI$43*BS26^2 + $BJ$43*BS26 + $BK$43, $BF$43*BS26^2 + $BG$43*BS26 + $BH$43))</f>
        <v>1.1065293253251292</v>
      </c>
      <c r="BT31" s="8"/>
      <c r="BU31"/>
      <c r="BV31" s="8">
        <v>27</v>
      </c>
      <c r="BW31" s="8">
        <f t="shared" si="21"/>
        <v>0.20799143871096609</v>
      </c>
      <c r="BX31" s="8">
        <v>-6.0620023983187776E-8</v>
      </c>
      <c r="BY31" s="8">
        <f t="shared" si="22"/>
        <v>0.20799148037487297</v>
      </c>
      <c r="BZ31" s="8">
        <v>6.4717147654769214E-8</v>
      </c>
      <c r="CA31" s="8">
        <f t="shared" si="7"/>
        <v>0.20799145954291953</v>
      </c>
      <c r="CB31" s="8">
        <v>2.048565747592157E-9</v>
      </c>
      <c r="CC31" s="8">
        <f t="shared" si="8"/>
        <v>-1.2418410475017355E-16</v>
      </c>
      <c r="CD31" s="8">
        <f t="shared" si="9"/>
        <v>1.3257733196742431E-16</v>
      </c>
      <c r="CE31" s="8">
        <f t="shared" si="10"/>
        <v>4.1663906880096135E-8</v>
      </c>
      <c r="CF31"/>
      <c r="CG31" s="8">
        <v>27</v>
      </c>
      <c r="CH31" s="8">
        <f t="shared" si="23"/>
        <v>0.20147732853144434</v>
      </c>
      <c r="CI31" s="8">
        <v>-1.2146424873717143E-7</v>
      </c>
      <c r="CJ31" s="8">
        <f t="shared" si="24"/>
        <v>0.20147737019535122</v>
      </c>
      <c r="CK31" s="8">
        <v>5.4850182954618854E-9</v>
      </c>
      <c r="CL31" s="8">
        <f t="shared" si="11"/>
        <v>0.20147734936339778</v>
      </c>
      <c r="CM31" s="8">
        <v>-5.798961079730991E-8</v>
      </c>
      <c r="CN31" s="8">
        <f t="shared" si="12"/>
        <v>7.0436645100562132E-15</v>
      </c>
      <c r="CO31" s="8">
        <f t="shared" si="13"/>
        <v>-3.1807407616995893E-16</v>
      </c>
      <c r="CP31" s="8">
        <f t="shared" si="14"/>
        <v>4.1663906880096135E-8</v>
      </c>
      <c r="CQ31"/>
      <c r="CR31"/>
      <c r="CS31"/>
      <c r="CT31"/>
      <c r="CU31"/>
      <c r="CV31"/>
      <c r="CW31"/>
      <c r="CX31"/>
      <c r="CY31"/>
      <c r="CZ31"/>
      <c r="DA31"/>
    </row>
    <row r="32" spans="2:105" x14ac:dyDescent="0.2">
      <c r="B32" s="61" t="s">
        <v>169</v>
      </c>
      <c r="C32" s="61"/>
      <c r="D32" s="61"/>
      <c r="F32" s="63" t="s">
        <v>131</v>
      </c>
      <c r="G32" s="64"/>
      <c r="H32" s="64"/>
      <c r="J32" s="27" t="s">
        <v>74</v>
      </c>
      <c r="K32" s="20">
        <f>ROUND(K13,2)</f>
        <v>462.93</v>
      </c>
      <c r="L32" s="20" t="s">
        <v>12</v>
      </c>
      <c r="AB32" s="8">
        <v>28</v>
      </c>
      <c r="AC32" s="8">
        <f t="shared" si="15"/>
        <v>3.6515757441520691E-2</v>
      </c>
      <c r="AD32" s="8">
        <f t="shared" si="1"/>
        <v>5.1494669639495783E-11</v>
      </c>
      <c r="AE32" s="8">
        <f t="shared" si="16"/>
        <v>3.6515761166810989E-2</v>
      </c>
      <c r="AF32" s="8">
        <f t="shared" si="2"/>
        <v>-3.7062132807186288E-9</v>
      </c>
      <c r="AG32" s="8">
        <f t="shared" si="3"/>
        <v>3.651575930416584E-2</v>
      </c>
      <c r="AH32" s="8">
        <f t="shared" si="0"/>
        <v>-1.8273593055395665E-9</v>
      </c>
      <c r="AI32" s="8">
        <f t="shared" si="4"/>
        <v>-9.4099263751418412E-20</v>
      </c>
      <c r="AJ32" s="8">
        <f t="shared" si="5"/>
        <v>6.7725833268355119E-18</v>
      </c>
      <c r="AK32" s="8">
        <f t="shared" si="6"/>
        <v>3.7252902984619141E-9</v>
      </c>
      <c r="AM32" s="8">
        <v>28</v>
      </c>
      <c r="AN32" s="8">
        <f t="shared" si="25"/>
        <v>1286.0205471515656</v>
      </c>
      <c r="AO32" s="8">
        <v>-2.0617502514141961E-6</v>
      </c>
      <c r="AP32" s="8">
        <f t="shared" si="26"/>
        <v>1286.0205620527267</v>
      </c>
      <c r="AQ32" s="8">
        <v>4.2335796024417505E-6</v>
      </c>
      <c r="AR32" s="8">
        <f t="shared" si="17"/>
        <v>1286.0205546021461</v>
      </c>
      <c r="AS32" s="8">
        <v>1.0859137091756565E-6</v>
      </c>
      <c r="AT32" s="8">
        <f t="shared" si="18"/>
        <v>-2.2388828629070321E-12</v>
      </c>
      <c r="AU32" s="8">
        <f t="shared" si="19"/>
        <v>4.5973021291779227E-12</v>
      </c>
      <c r="AV32" s="8">
        <f t="shared" si="20"/>
        <v>1.4901161193847656E-5</v>
      </c>
      <c r="AX32" s="68" t="s">
        <v>303</v>
      </c>
      <c r="AY32" s="9">
        <v>17</v>
      </c>
      <c r="AZ32" s="42" t="s">
        <v>62</v>
      </c>
      <c r="BA32"/>
      <c r="BB32"/>
      <c r="BC32"/>
      <c r="BD32"/>
      <c r="BE32"/>
      <c r="BF32" s="8" t="s">
        <v>253</v>
      </c>
      <c r="BG32" s="8">
        <f>(1+$BO$75)*$AY$3</f>
        <v>22.703910763441108</v>
      </c>
      <c r="BH32" s="42" t="s">
        <v>16</v>
      </c>
      <c r="BI32"/>
      <c r="BJ32"/>
      <c r="BK32"/>
      <c r="BL32"/>
      <c r="BM32"/>
      <c r="BN32" s="8" t="s">
        <v>284</v>
      </c>
      <c r="BO32" s="8">
        <f>IF(BO26&lt;$BG$42, $BC$44*BO26^2 + $BD$44*BO26 + $BE$44, IF(BO26&gt;$BH$42, $BI$44*BO26^2 + $BJ$44*BO26 + $BK$44, $BF$44*BO26^2 + $BG$44*BO26 + $BH$44))</f>
        <v>1.0167519377578317E-2</v>
      </c>
      <c r="BP32" s="8"/>
      <c r="BQ32" s="8"/>
      <c r="BR32" s="8" t="s">
        <v>284</v>
      </c>
      <c r="BS32" s="8">
        <f>IF(BS26&lt;$BG$42, $BC$44*BS26^2 + $BD$44*BS26 + $BE$44, IF(BS26&gt;$BH$42, $BI$44*BS26^2 + $BJ$44*BS26 + $BK$44, $BF$44*BS26^2 + $BG$44*BS26 + $BH$44))</f>
        <v>1.1611781927534655E-2</v>
      </c>
      <c r="BT32" s="8"/>
      <c r="BU32"/>
      <c r="BV32" s="8">
        <v>28</v>
      </c>
      <c r="BW32" s="8">
        <f t="shared" si="21"/>
        <v>0.20799143871096609</v>
      </c>
      <c r="BX32" s="8">
        <v>-6.0620023983187776E-8</v>
      </c>
      <c r="BY32" s="8">
        <f t="shared" si="22"/>
        <v>0.20799145954291953</v>
      </c>
      <c r="BZ32" s="8">
        <v>2.048565747592157E-9</v>
      </c>
      <c r="CA32" s="8">
        <f t="shared" si="7"/>
        <v>0.20799144912694281</v>
      </c>
      <c r="CB32" s="8">
        <v>-2.9285728054412319E-8</v>
      </c>
      <c r="CC32" s="8">
        <f t="shared" si="8"/>
        <v>1.7753015370235899E-15</v>
      </c>
      <c r="CD32" s="8">
        <f t="shared" si="9"/>
        <v>-5.9993739385567785E-17</v>
      </c>
      <c r="CE32" s="8">
        <f t="shared" si="10"/>
        <v>2.0831953440048068E-8</v>
      </c>
      <c r="CF32"/>
      <c r="CG32" s="8">
        <v>28</v>
      </c>
      <c r="CH32" s="8">
        <f t="shared" si="23"/>
        <v>0.20147734936339778</v>
      </c>
      <c r="CI32" s="8">
        <v>-5.798961079730991E-8</v>
      </c>
      <c r="CJ32" s="8">
        <f t="shared" si="24"/>
        <v>0.20147737019535122</v>
      </c>
      <c r="CK32" s="8">
        <v>5.4850182954618854E-9</v>
      </c>
      <c r="CL32" s="8">
        <f t="shared" si="11"/>
        <v>0.2014773597793745</v>
      </c>
      <c r="CM32" s="8">
        <v>-2.6252295174528095E-8</v>
      </c>
      <c r="CN32" s="8">
        <f t="shared" si="12"/>
        <v>1.5223603797069812E-15</v>
      </c>
      <c r="CO32" s="8">
        <f t="shared" si="13"/>
        <v>-1.4399431933015238E-16</v>
      </c>
      <c r="CP32" s="8">
        <f t="shared" si="14"/>
        <v>2.0831953440048068E-8</v>
      </c>
      <c r="CQ32"/>
      <c r="CR32"/>
      <c r="CS32"/>
      <c r="CT32"/>
      <c r="CU32"/>
      <c r="CV32"/>
      <c r="CW32"/>
      <c r="CX32"/>
      <c r="CY32"/>
      <c r="CZ32"/>
      <c r="DA32"/>
    </row>
    <row r="33" spans="2:105" x14ac:dyDescent="0.2">
      <c r="B33" s="20" t="s">
        <v>202</v>
      </c>
      <c r="C33" s="37" t="s">
        <v>203</v>
      </c>
      <c r="F33" s="4" t="s">
        <v>154</v>
      </c>
      <c r="G33" s="1">
        <f>$C$8</f>
        <v>50</v>
      </c>
      <c r="H33" t="s">
        <v>16</v>
      </c>
      <c r="J33" s="35" t="s">
        <v>108</v>
      </c>
      <c r="K33" s="20">
        <f>ROUND(SUM(K14:K17),2)</f>
        <v>223.87</v>
      </c>
      <c r="L33" s="20" t="s">
        <v>12</v>
      </c>
      <c r="AB33" s="8">
        <v>29</v>
      </c>
      <c r="AC33" s="8">
        <f t="shared" si="15"/>
        <v>3.6515757441520691E-2</v>
      </c>
      <c r="AD33" s="8">
        <f t="shared" si="1"/>
        <v>5.1494669639495783E-11</v>
      </c>
      <c r="AE33" s="8">
        <f t="shared" si="16"/>
        <v>3.651575930416584E-2</v>
      </c>
      <c r="AF33" s="8">
        <f t="shared" si="2"/>
        <v>-1.8273593055395665E-9</v>
      </c>
      <c r="AG33" s="8">
        <f t="shared" si="3"/>
        <v>3.6515758372843266E-2</v>
      </c>
      <c r="AH33" s="8">
        <f t="shared" si="0"/>
        <v>-8.8793231795003535E-10</v>
      </c>
      <c r="AI33" s="8">
        <f t="shared" si="4"/>
        <v>-4.5723781375068802E-20</v>
      </c>
      <c r="AJ33" s="8">
        <f t="shared" si="5"/>
        <v>1.6225713838953143E-18</v>
      </c>
      <c r="AK33" s="8">
        <f t="shared" si="6"/>
        <v>1.862645149230957E-9</v>
      </c>
      <c r="AM33" s="8">
        <v>29</v>
      </c>
      <c r="AN33" s="8">
        <f t="shared" si="25"/>
        <v>1286.0205471515656</v>
      </c>
      <c r="AO33" s="8">
        <v>-2.0617502514141961E-6</v>
      </c>
      <c r="AP33" s="8">
        <f t="shared" si="26"/>
        <v>1286.0205546021461</v>
      </c>
      <c r="AQ33" s="8">
        <v>1.0859137091756565E-6</v>
      </c>
      <c r="AR33" s="8">
        <f t="shared" si="17"/>
        <v>1286.0205508768559</v>
      </c>
      <c r="AS33" s="8">
        <v>-4.8791787321533775E-7</v>
      </c>
      <c r="AT33" s="8">
        <f t="shared" si="18"/>
        <v>1.0059647977712025E-12</v>
      </c>
      <c r="AU33" s="8">
        <f t="shared" si="19"/>
        <v>-5.2983670747636514E-13</v>
      </c>
      <c r="AV33" s="8">
        <f t="shared" si="20"/>
        <v>7.4505805969238281E-6</v>
      </c>
      <c r="AX33" s="68"/>
      <c r="AY33" s="9">
        <v>17</v>
      </c>
      <c r="AZ33" s="42" t="s">
        <v>62</v>
      </c>
      <c r="BA33"/>
      <c r="BB33"/>
      <c r="BC33"/>
      <c r="BD33"/>
      <c r="BE33"/>
      <c r="BF33" s="8" t="s">
        <v>258</v>
      </c>
      <c r="BG33" s="8">
        <f>(1-$BO$76)*$BC$5*$AY$24</f>
        <v>160.81587952991913</v>
      </c>
      <c r="BH33" s="42" t="s">
        <v>16</v>
      </c>
      <c r="BI33"/>
      <c r="BJ33"/>
      <c r="BK33"/>
      <c r="BL33"/>
      <c r="BM33"/>
      <c r="BN33" s="8" t="s">
        <v>286</v>
      </c>
      <c r="BO33" s="8">
        <f xml:space="preserve"> BO31*COS(BO23) - BO32*SIN(BO23)</f>
        <v>1.0008621747712489</v>
      </c>
      <c r="BP33" s="8"/>
      <c r="BQ33"/>
      <c r="BR33" s="8" t="s">
        <v>286</v>
      </c>
      <c r="BS33" s="8">
        <f xml:space="preserve"> BS31*COS(BS23) - BS32*SIN(BS23)</f>
        <v>1.0879455680370056</v>
      </c>
      <c r="BT33" s="8"/>
      <c r="BU33"/>
      <c r="BV33" s="8">
        <v>29</v>
      </c>
      <c r="BW33" s="8">
        <f t="shared" si="21"/>
        <v>0.20799144912694281</v>
      </c>
      <c r="BX33" s="8">
        <v>-2.9285728054412319E-8</v>
      </c>
      <c r="BY33" s="8">
        <f t="shared" si="22"/>
        <v>0.20799145954291953</v>
      </c>
      <c r="BZ33" s="8">
        <v>2.048565747592157E-9</v>
      </c>
      <c r="CA33" s="8">
        <f t="shared" si="7"/>
        <v>0.20799145433493116</v>
      </c>
      <c r="CB33" s="8">
        <v>-1.3618580967794669E-8</v>
      </c>
      <c r="CC33" s="8">
        <f t="shared" si="8"/>
        <v>3.9883005870983002E-16</v>
      </c>
      <c r="CD33" s="8">
        <f t="shared" si="9"/>
        <v>-2.7898558501434608E-17</v>
      </c>
      <c r="CE33" s="8">
        <f t="shared" si="10"/>
        <v>1.0415976720024034E-8</v>
      </c>
      <c r="CF33"/>
      <c r="CG33" s="8">
        <v>29</v>
      </c>
      <c r="CH33" s="8">
        <f t="shared" si="23"/>
        <v>0.2014773597793745</v>
      </c>
      <c r="CI33" s="8">
        <v>-2.6252295174528095E-8</v>
      </c>
      <c r="CJ33" s="8">
        <f t="shared" si="24"/>
        <v>0.20147737019535122</v>
      </c>
      <c r="CK33" s="8">
        <v>5.4850182954618854E-9</v>
      </c>
      <c r="CL33" s="8">
        <f t="shared" si="11"/>
        <v>0.20147736498736285</v>
      </c>
      <c r="CM33" s="8">
        <v>-1.0383638114272453E-8</v>
      </c>
      <c r="CN33" s="8">
        <f t="shared" si="12"/>
        <v>2.7259433276136073E-16</v>
      </c>
      <c r="CO33" s="8">
        <f t="shared" si="13"/>
        <v>-5.6954445030239757E-17</v>
      </c>
      <c r="CP33" s="8">
        <f t="shared" si="14"/>
        <v>1.0415976720024034E-8</v>
      </c>
      <c r="CQ33"/>
      <c r="CR33"/>
      <c r="CS33"/>
      <c r="CT33"/>
      <c r="CU33"/>
      <c r="CV33"/>
      <c r="CW33"/>
      <c r="CX33"/>
      <c r="CY33"/>
      <c r="CZ33"/>
      <c r="DA33"/>
    </row>
    <row r="34" spans="2:105" x14ac:dyDescent="0.2">
      <c r="B34" s="20" t="s">
        <v>204</v>
      </c>
      <c r="C34" s="20">
        <f>IF(C33="wheeled",0.0325,0.014)</f>
        <v>3.2500000000000001E-2</v>
      </c>
      <c r="F34" t="s">
        <v>126</v>
      </c>
      <c r="G34" s="1">
        <v>1.524</v>
      </c>
      <c r="H34" t="s">
        <v>16</v>
      </c>
      <c r="J34" s="36" t="s">
        <v>95</v>
      </c>
      <c r="K34" s="20">
        <f>ROUND(SUM(K18:K22),2)</f>
        <v>138.81</v>
      </c>
      <c r="L34" s="20" t="s">
        <v>12</v>
      </c>
      <c r="AB34" s="8">
        <v>30</v>
      </c>
      <c r="AC34" s="8">
        <f t="shared" si="15"/>
        <v>3.6515757441520691E-2</v>
      </c>
      <c r="AD34" s="8">
        <f t="shared" si="1"/>
        <v>5.1494669639495783E-11</v>
      </c>
      <c r="AE34" s="8">
        <f t="shared" si="16"/>
        <v>3.6515758372843266E-2</v>
      </c>
      <c r="AF34" s="8">
        <f t="shared" si="2"/>
        <v>-8.8793231795003535E-10</v>
      </c>
      <c r="AG34" s="8">
        <f t="shared" si="3"/>
        <v>3.6515757907181978E-2</v>
      </c>
      <c r="AH34" s="8">
        <f xml:space="preserve"> $C$10 * TAN($S$18/180*PI()) + $S$21 / (2 * SQRT($C$10^2 + AG34^2)) - AG34</f>
        <v>-4.1821882068582283E-10</v>
      </c>
      <c r="AI34" s="8">
        <f t="shared" si="4"/>
        <v>-2.1536040008235972E-20</v>
      </c>
      <c r="AJ34" s="8">
        <f t="shared" si="5"/>
        <v>3.7135000686189286E-19</v>
      </c>
      <c r="AK34" s="8">
        <f>AE34-AC34</f>
        <v>9.3132257461547852E-10</v>
      </c>
      <c r="AM34" s="8">
        <v>30</v>
      </c>
      <c r="AN34" s="8">
        <f t="shared" si="25"/>
        <v>1286.0205508768559</v>
      </c>
      <c r="AO34" s="8">
        <v>-4.8791787321533775E-7</v>
      </c>
      <c r="AP34" s="8">
        <f t="shared" si="26"/>
        <v>1286.0205546021461</v>
      </c>
      <c r="AQ34" s="8">
        <v>1.0859137091756565E-6</v>
      </c>
      <c r="AR34" s="8">
        <f t="shared" si="17"/>
        <v>1286.020552739501</v>
      </c>
      <c r="AS34" s="8">
        <v>2.9899808851041598E-7</v>
      </c>
      <c r="AT34" s="8">
        <f t="shared" si="18"/>
        <v>-1.4588651144145348E-13</v>
      </c>
      <c r="AU34" s="8">
        <f t="shared" si="19"/>
        <v>3.2468612333077708E-13</v>
      </c>
      <c r="AV34" s="8">
        <f t="shared" si="20"/>
        <v>3.7252902984619141E-6</v>
      </c>
      <c r="AX34" s="68"/>
      <c r="AY34" s="9">
        <v>17</v>
      </c>
      <c r="AZ34" s="42" t="s">
        <v>62</v>
      </c>
      <c r="BA34"/>
      <c r="BB34"/>
      <c r="BC34"/>
      <c r="BD34"/>
      <c r="BE34"/>
      <c r="BF34" s="8" t="s">
        <v>262</v>
      </c>
      <c r="BG34" s="8">
        <f>SQRT(BG32^2 + BG33^2)</f>
        <v>162.41063596001266</v>
      </c>
      <c r="BH34" s="42" t="s">
        <v>16</v>
      </c>
      <c r="BI34"/>
      <c r="BJ34"/>
      <c r="BK34"/>
      <c r="BL34"/>
      <c r="BM34"/>
      <c r="BN34" s="8" t="s">
        <v>288</v>
      </c>
      <c r="BO34" s="8">
        <f xml:space="preserve"> BO31*SIN(BO23) + BO32*COS(BO23)</f>
        <v>0.20058065670143696</v>
      </c>
      <c r="BP34" s="8"/>
      <c r="BQ34"/>
      <c r="BR34" s="8" t="s">
        <v>288</v>
      </c>
      <c r="BS34" s="8">
        <f xml:space="preserve"> BS31*SIN(BS23) + BS32*COS(BS23)</f>
        <v>0.20227808154284965</v>
      </c>
      <c r="BT34" s="8"/>
      <c r="BU34"/>
      <c r="BV34" s="8">
        <v>30</v>
      </c>
      <c r="BW34" s="8">
        <f t="shared" si="21"/>
        <v>0.20799145433493116</v>
      </c>
      <c r="BX34" s="8">
        <v>-1.3618580967794669E-8</v>
      </c>
      <c r="BY34" s="8">
        <f t="shared" si="22"/>
        <v>0.20799145954291953</v>
      </c>
      <c r="BZ34" s="8">
        <v>2.048565747592157E-9</v>
      </c>
      <c r="CA34" s="11">
        <f t="shared" si="7"/>
        <v>0.20799145693892535</v>
      </c>
      <c r="CB34" s="8">
        <v>-5.785007573672063E-9</v>
      </c>
      <c r="CC34" s="8">
        <f t="shared" si="8"/>
        <v>7.8783594041358369E-17</v>
      </c>
      <c r="CD34" s="8">
        <f t="shared" si="9"/>
        <v>-1.18509683649858E-17</v>
      </c>
      <c r="CE34" s="8">
        <f t="shared" si="10"/>
        <v>5.2079883738898047E-9</v>
      </c>
      <c r="CF34"/>
      <c r="CG34" s="8">
        <v>30</v>
      </c>
      <c r="CH34" s="8">
        <f t="shared" si="23"/>
        <v>0.20147736498736285</v>
      </c>
      <c r="CI34" s="8">
        <v>-1.0383638114272453E-8</v>
      </c>
      <c r="CJ34" s="8">
        <f t="shared" si="24"/>
        <v>0.20147737019535122</v>
      </c>
      <c r="CK34" s="8">
        <v>5.4850182954618854E-9</v>
      </c>
      <c r="CL34" s="11">
        <f t="shared" si="11"/>
        <v>0.20147736759135704</v>
      </c>
      <c r="CM34" s="8">
        <v>-2.4493098400163449E-9</v>
      </c>
      <c r="CN34" s="8">
        <f t="shared" si="12"/>
        <v>2.5432747008456283E-17</v>
      </c>
      <c r="CO34" s="8">
        <f t="shared" si="13"/>
        <v>-1.3434509283744475E-17</v>
      </c>
      <c r="CP34" s="8">
        <f t="shared" si="14"/>
        <v>5.2079883738898047E-9</v>
      </c>
      <c r="CQ34"/>
      <c r="CR34"/>
      <c r="CS34"/>
      <c r="CT34"/>
      <c r="CU34"/>
      <c r="CV34"/>
      <c r="CW34"/>
      <c r="CX34"/>
      <c r="CY34"/>
      <c r="CZ34"/>
      <c r="DA34"/>
    </row>
    <row r="35" spans="2:105" x14ac:dyDescent="0.2">
      <c r="B35" t="s">
        <v>170</v>
      </c>
      <c r="C35" s="1">
        <v>0.3</v>
      </c>
      <c r="D35" t="s">
        <v>14</v>
      </c>
      <c r="F35" t="s">
        <v>125</v>
      </c>
      <c r="G35" s="1">
        <v>304.8</v>
      </c>
      <c r="H35" t="s">
        <v>14</v>
      </c>
      <c r="J35" s="31" t="s">
        <v>96</v>
      </c>
      <c r="K35" s="20">
        <f>ROUND(SUM(K23:K26),2)</f>
        <v>60.42</v>
      </c>
      <c r="L35" s="20" t="s">
        <v>12</v>
      </c>
      <c r="AM35" s="8">
        <v>31</v>
      </c>
      <c r="AN35" s="8">
        <f t="shared" si="25"/>
        <v>1286.0205508768559</v>
      </c>
      <c r="AO35" s="20">
        <v>-4.8791787321533775E-7</v>
      </c>
      <c r="AP35" s="8">
        <f t="shared" si="26"/>
        <v>1286.020552739501</v>
      </c>
      <c r="AQ35" s="20">
        <v>2.9899808851041598E-7</v>
      </c>
      <c r="AR35" s="8">
        <f t="shared" si="17"/>
        <v>1286.0205518081784</v>
      </c>
      <c r="AS35" s="20">
        <v>-9.445966497878544E-8</v>
      </c>
      <c r="AT35" s="8">
        <f t="shared" si="18"/>
        <v>4.6088558841082314E-14</v>
      </c>
      <c r="AU35" s="8">
        <f t="shared" si="19"/>
        <v>-2.824325926999113E-14</v>
      </c>
      <c r="AV35" s="8">
        <f t="shared" si="20"/>
        <v>1.862645149230957E-6</v>
      </c>
      <c r="AX35" s="68"/>
      <c r="AY35" s="9">
        <v>17</v>
      </c>
      <c r="AZ35" s="42" t="s">
        <v>62</v>
      </c>
      <c r="BA35"/>
      <c r="BB35"/>
      <c r="BC35"/>
      <c r="BD35"/>
      <c r="BE35"/>
      <c r="BF35" s="8" t="s">
        <v>265</v>
      </c>
      <c r="BG35" s="53">
        <f>$AY$41*BG34*$AY$31/$AY$42</f>
        <v>1319025.6069680585</v>
      </c>
      <c r="BH35" s="42"/>
      <c r="BI35"/>
      <c r="BJ35"/>
      <c r="BK35"/>
      <c r="BL35"/>
      <c r="BM35"/>
      <c r="BN35" s="8" t="s">
        <v>51</v>
      </c>
      <c r="BO35" s="8">
        <f xml:space="preserve"> 4*BO30*SIN(BO23)*SIN(BO23) / (BO27*BO33)</f>
        <v>1.0608397615755258</v>
      </c>
      <c r="BP35" s="8"/>
      <c r="BQ35"/>
      <c r="BR35" s="8" t="s">
        <v>51</v>
      </c>
      <c r="BS35" s="8">
        <f xml:space="preserve"> 4*BS30*SIN(BS23)*SIN(BS23) / (BS27*BS33)</f>
        <v>1.0553208123420315</v>
      </c>
      <c r="BT35" s="8"/>
      <c r="BU35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</row>
    <row r="36" spans="2:105" x14ac:dyDescent="0.2">
      <c r="B36" t="s">
        <v>171</v>
      </c>
      <c r="C36" s="1">
        <v>5.7</v>
      </c>
      <c r="D36"/>
      <c r="F36" t="s">
        <v>127</v>
      </c>
      <c r="G36" s="20">
        <f>SQRT($G$33^2-$G$34^2)</f>
        <v>49.976768843133506</v>
      </c>
      <c r="H36" t="s">
        <v>16</v>
      </c>
      <c r="J36" s="26" t="s">
        <v>83</v>
      </c>
      <c r="K36" s="26">
        <f>SUM(K31:K35)</f>
        <v>1286.0300000000002</v>
      </c>
      <c r="L36" s="20" t="s">
        <v>12</v>
      </c>
      <c r="AM36" s="8">
        <v>32</v>
      </c>
      <c r="AN36" s="8">
        <f t="shared" si="25"/>
        <v>1286.0205518081784</v>
      </c>
      <c r="AO36" s="20">
        <v>-9.445966497878544E-8</v>
      </c>
      <c r="AP36" s="8">
        <f t="shared" si="26"/>
        <v>1286.020552739501</v>
      </c>
      <c r="AQ36" s="20">
        <v>2.9899808851041598E-7</v>
      </c>
      <c r="AR36" s="8">
        <f t="shared" si="17"/>
        <v>1286.0205522738397</v>
      </c>
      <c r="AS36" s="20">
        <v>1.022685864882078E-7</v>
      </c>
      <c r="AT36" s="8">
        <f t="shared" si="18"/>
        <v>-9.6602564175300524E-15</v>
      </c>
      <c r="AU36" s="8">
        <f t="shared" si="19"/>
        <v>3.0578111874636288E-14</v>
      </c>
      <c r="AV36" s="8">
        <f t="shared" si="20"/>
        <v>9.3132257461547852E-7</v>
      </c>
      <c r="AX36" s="68"/>
      <c r="AY36" s="9">
        <v>17</v>
      </c>
      <c r="AZ36" s="42" t="s">
        <v>62</v>
      </c>
      <c r="BA36"/>
      <c r="BB36"/>
      <c r="BC36"/>
      <c r="BD36"/>
      <c r="BE36"/>
      <c r="BF36" s="8" t="s">
        <v>269</v>
      </c>
      <c r="BG36" s="49">
        <f xml:space="preserve"> $BO$65 * PI() * $AY$41 * BG34^2 * $BO$71 * $AY$24 * BG31</f>
        <v>1123.1849423702465</v>
      </c>
      <c r="BH36" s="42" t="s">
        <v>31</v>
      </c>
      <c r="BI36"/>
      <c r="BJ36"/>
      <c r="BK36"/>
      <c r="BL36"/>
      <c r="BM36"/>
      <c r="BN36" s="8" t="s">
        <v>290</v>
      </c>
      <c r="BO36" s="8">
        <f xml:space="preserve"> 4*BO30*SIN(BO23)*COS(BO23) / (BO27*BO34)</f>
        <v>27.850163191046324</v>
      </c>
      <c r="BP36" s="8"/>
      <c r="BQ36"/>
      <c r="BR36" s="8" t="s">
        <v>290</v>
      </c>
      <c r="BS36" s="8">
        <f xml:space="preserve"> 4*BS30*SIN(BS23)*COS(BS23) / (BS27*BS34)</f>
        <v>32.417433011526782</v>
      </c>
      <c r="BT36" s="8"/>
      <c r="BU36"/>
      <c r="BV36" s="69" t="s">
        <v>304</v>
      </c>
      <c r="BW36" s="69"/>
      <c r="BX36" s="69"/>
      <c r="BY36" s="69"/>
      <c r="BZ36" s="69"/>
      <c r="CA36" s="69"/>
      <c r="CB36" s="69"/>
      <c r="CC36" s="69"/>
      <c r="CD36" s="69"/>
      <c r="CE36" s="69"/>
      <c r="CF36"/>
      <c r="CG36" s="69" t="s">
        <v>305</v>
      </c>
      <c r="CH36" s="69"/>
      <c r="CI36" s="69"/>
      <c r="CJ36" s="69"/>
      <c r="CK36" s="69"/>
      <c r="CL36" s="69"/>
      <c r="CM36" s="69"/>
      <c r="CN36" s="69"/>
      <c r="CO36" s="69"/>
      <c r="CP36" s="69"/>
      <c r="CQ36"/>
      <c r="CR36"/>
      <c r="CS36"/>
      <c r="CT36"/>
      <c r="CU36"/>
      <c r="CV36"/>
      <c r="CW36"/>
      <c r="CX36"/>
      <c r="CY36"/>
      <c r="CZ36"/>
      <c r="DA36"/>
    </row>
    <row r="37" spans="2:105" x14ac:dyDescent="0.2">
      <c r="F37" t="s">
        <v>128</v>
      </c>
      <c r="G37" s="20">
        <f>$G$36*($G$35/$G$34)</f>
        <v>9995.3537686267009</v>
      </c>
      <c r="H37" t="s">
        <v>14</v>
      </c>
      <c r="AB37" s="32" t="s">
        <v>142</v>
      </c>
      <c r="AM37" s="8">
        <v>33</v>
      </c>
      <c r="AN37" s="8">
        <f t="shared" si="25"/>
        <v>1286.0205518081784</v>
      </c>
      <c r="AO37" s="20">
        <v>-9.445966497878544E-8</v>
      </c>
      <c r="AP37" s="8">
        <f t="shared" si="26"/>
        <v>1286.0205522738397</v>
      </c>
      <c r="AQ37" s="20">
        <v>1.022685864882078E-7</v>
      </c>
      <c r="AR37" s="8">
        <f t="shared" si="17"/>
        <v>1286.0205520410091</v>
      </c>
      <c r="AS37" s="20">
        <v>3.9044607547111809E-9</v>
      </c>
      <c r="AT37" s="8">
        <f t="shared" si="18"/>
        <v>-3.6881405481283391E-16</v>
      </c>
      <c r="AU37" s="8">
        <f t="shared" si="19"/>
        <v>3.9930368238299352E-16</v>
      </c>
      <c r="AV37" s="8">
        <f t="shared" si="20"/>
        <v>4.6566128730773926E-7</v>
      </c>
      <c r="AX37" s="68"/>
      <c r="AY37" s="9">
        <v>17</v>
      </c>
      <c r="AZ37" s="42" t="s">
        <v>62</v>
      </c>
      <c r="BA37"/>
      <c r="BB37"/>
      <c r="BC37"/>
      <c r="BD37"/>
      <c r="BE37"/>
      <c r="BF37" s="8" t="s">
        <v>273</v>
      </c>
      <c r="BG37" s="49">
        <f xml:space="preserve"> $BO$65 * PI() * $AY$41 * BG34^2 * $BO$72 * $AY$24^2 * BG31</f>
        <v>245.74084052989255</v>
      </c>
      <c r="BH37" s="42" t="s">
        <v>274</v>
      </c>
      <c r="BI37"/>
      <c r="BJ37"/>
      <c r="BK37"/>
      <c r="BL37"/>
      <c r="BM37"/>
      <c r="BN37" s="8" t="s">
        <v>64</v>
      </c>
      <c r="BO37" s="8">
        <f>1/(BO35-1)</f>
        <v>16.436619311182056</v>
      </c>
      <c r="BP37" s="8"/>
      <c r="BQ37"/>
      <c r="BR37" s="8" t="s">
        <v>64</v>
      </c>
      <c r="BS37" s="8">
        <f>1/(BS35-1)</f>
        <v>18.076379533570648</v>
      </c>
      <c r="BT37" s="8"/>
      <c r="BU37"/>
      <c r="BV37" s="23" t="s">
        <v>63</v>
      </c>
      <c r="BW37" s="23" t="s">
        <v>64</v>
      </c>
      <c r="BX37" s="23" t="s">
        <v>65</v>
      </c>
      <c r="BY37" s="23" t="s">
        <v>66</v>
      </c>
      <c r="BZ37" s="23" t="s">
        <v>67</v>
      </c>
      <c r="CA37" s="23" t="s">
        <v>68</v>
      </c>
      <c r="CB37" s="23" t="s">
        <v>69</v>
      </c>
      <c r="CC37" s="23" t="s">
        <v>70</v>
      </c>
      <c r="CD37" s="23" t="s">
        <v>71</v>
      </c>
      <c r="CE37" s="23" t="s">
        <v>72</v>
      </c>
      <c r="CF37"/>
      <c r="CG37" s="23" t="s">
        <v>63</v>
      </c>
      <c r="CH37" s="23" t="s">
        <v>64</v>
      </c>
      <c r="CI37" s="23" t="s">
        <v>65</v>
      </c>
      <c r="CJ37" s="23" t="s">
        <v>66</v>
      </c>
      <c r="CK37" s="23" t="s">
        <v>67</v>
      </c>
      <c r="CL37" s="23" t="s">
        <v>68</v>
      </c>
      <c r="CM37" s="23" t="s">
        <v>69</v>
      </c>
      <c r="CN37" s="23" t="s">
        <v>70</v>
      </c>
      <c r="CO37" s="23" t="s">
        <v>71</v>
      </c>
      <c r="CP37" s="23" t="s">
        <v>72</v>
      </c>
      <c r="CQ37"/>
      <c r="CR37"/>
      <c r="CS37"/>
      <c r="CT37"/>
      <c r="CU37"/>
      <c r="CV37"/>
      <c r="CW37"/>
      <c r="CX37"/>
      <c r="CY37"/>
      <c r="CZ37"/>
      <c r="DA37"/>
    </row>
    <row r="38" spans="2:105" x14ac:dyDescent="0.2">
      <c r="B38" s="58" t="s">
        <v>6</v>
      </c>
      <c r="C38" s="58"/>
      <c r="D38" s="58"/>
      <c r="F38" t="s">
        <v>152</v>
      </c>
      <c r="G38" s="20">
        <f>ATAN(G34/G36)/PI()*180</f>
        <v>1.7466458786346903</v>
      </c>
      <c r="H38" t="s">
        <v>62</v>
      </c>
      <c r="J38" s="58" t="s">
        <v>80</v>
      </c>
      <c r="K38" s="58"/>
      <c r="L38" s="58"/>
      <c r="AB38" s="23" t="s">
        <v>63</v>
      </c>
      <c r="AC38" s="23" t="s">
        <v>64</v>
      </c>
      <c r="AD38" s="23" t="s">
        <v>65</v>
      </c>
      <c r="AE38" s="23" t="s">
        <v>66</v>
      </c>
      <c r="AF38" s="23" t="s">
        <v>67</v>
      </c>
      <c r="AG38" s="23" t="s">
        <v>68</v>
      </c>
      <c r="AH38" s="23" t="s">
        <v>69</v>
      </c>
      <c r="AI38" s="23" t="s">
        <v>70</v>
      </c>
      <c r="AJ38" s="23" t="s">
        <v>71</v>
      </c>
      <c r="AK38" s="23" t="s">
        <v>72</v>
      </c>
      <c r="AM38" s="8">
        <v>34</v>
      </c>
      <c r="AN38" s="8">
        <f t="shared" si="25"/>
        <v>1286.0205518081784</v>
      </c>
      <c r="AO38" s="20">
        <v>-9.445966497878544E-8</v>
      </c>
      <c r="AP38" s="8">
        <f t="shared" si="26"/>
        <v>1286.0205520410091</v>
      </c>
      <c r="AQ38" s="20">
        <v>3.9044607547111809E-9</v>
      </c>
      <c r="AR38" s="8">
        <f t="shared" si="17"/>
        <v>1286.0205519245937</v>
      </c>
      <c r="AS38" s="20">
        <v>-4.5278056859388016E-8</v>
      </c>
      <c r="AT38" s="8">
        <f t="shared" si="18"/>
        <v>4.2769500818281901E-15</v>
      </c>
      <c r="AU38" s="8">
        <f t="shared" si="19"/>
        <v>-1.767863960570619E-16</v>
      </c>
      <c r="AV38" s="8">
        <f t="shared" si="20"/>
        <v>2.3283064365386963E-7</v>
      </c>
      <c r="AX38" s="68"/>
      <c r="AY38" s="9">
        <v>17</v>
      </c>
      <c r="AZ38" s="42" t="s">
        <v>62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 s="8" t="s">
        <v>293</v>
      </c>
      <c r="BO38" s="8">
        <f>1/(BO36+1)</f>
        <v>3.4661848994682672E-2</v>
      </c>
      <c r="BP38" s="8"/>
      <c r="BQ38"/>
      <c r="BR38" s="8" t="s">
        <v>293</v>
      </c>
      <c r="BS38" s="8">
        <f>1/(BS36+1)</f>
        <v>2.9924500773445609E-2</v>
      </c>
      <c r="BT38" s="8"/>
      <c r="BU38"/>
      <c r="BV38" s="46">
        <v>0</v>
      </c>
      <c r="BW38" s="46"/>
      <c r="BX38" s="46">
        <f>$BO$39</f>
        <v>-7.1855308803742135E-9</v>
      </c>
      <c r="BY38" s="46"/>
      <c r="BZ38" s="46">
        <f>$BO$39</f>
        <v>-7.1855308803742135E-9</v>
      </c>
      <c r="CA38" s="46"/>
      <c r="CB38" s="46">
        <f>$BO$39</f>
        <v>-7.1855308803742135E-9</v>
      </c>
      <c r="CC38" s="46"/>
      <c r="CD38" s="46"/>
      <c r="CE38" s="46"/>
      <c r="CF38"/>
      <c r="CG38" s="46">
        <v>0</v>
      </c>
      <c r="CH38" s="46"/>
      <c r="CI38" s="46">
        <f>$BS$39</f>
        <v>-5.7714195835639748E-9</v>
      </c>
      <c r="CJ38" s="46"/>
      <c r="CK38" s="46">
        <f>$BS$39</f>
        <v>-5.7714195835639748E-9</v>
      </c>
      <c r="CL38" s="46"/>
      <c r="CM38" s="46">
        <f>$BS$39</f>
        <v>-5.7714195835639748E-9</v>
      </c>
      <c r="CN38" s="46"/>
      <c r="CO38" s="46"/>
      <c r="CP38" s="46"/>
      <c r="CQ38"/>
      <c r="CR38"/>
      <c r="CS38"/>
      <c r="CT38"/>
      <c r="CU38"/>
      <c r="CV38"/>
      <c r="CW38"/>
      <c r="CX38"/>
      <c r="CY38"/>
      <c r="CZ38"/>
      <c r="DA38"/>
    </row>
    <row r="39" spans="2:105" x14ac:dyDescent="0.2">
      <c r="B39" s="20" t="s">
        <v>7</v>
      </c>
      <c r="C39" s="33">
        <v>250</v>
      </c>
      <c r="D39" s="20" t="s">
        <v>8</v>
      </c>
      <c r="F39" t="s">
        <v>155</v>
      </c>
      <c r="G39" s="20">
        <f xml:space="preserve"> 1/1000 * (W23 + W19 * (W28 * W25 + $G$33 * SIN(W18/180*PI())))</f>
        <v>27.204851166760882</v>
      </c>
      <c r="H39" t="s">
        <v>162</v>
      </c>
      <c r="J39" s="20" t="s">
        <v>81</v>
      </c>
      <c r="K39" s="20">
        <f>ROUND($C$13/$C$5 * 100, 2)</f>
        <v>31.1</v>
      </c>
      <c r="L39" s="20" t="s">
        <v>82</v>
      </c>
      <c r="AB39" s="8">
        <v>0</v>
      </c>
      <c r="AC39" s="9">
        <v>0</v>
      </c>
      <c r="AD39" s="8">
        <f t="shared" ref="AD39:AD69" si="27" xml:space="preserve"> $C$10 * TAN($O$18/180*PI()) + $O$21 / (2 * SQRT($C$10^2 + AC39^2)) - AC39</f>
        <v>5.2176429068067076E-2</v>
      </c>
      <c r="AE39" s="9">
        <v>1</v>
      </c>
      <c r="AF39" s="8">
        <f xml:space="preserve"> $C$10 * TAN($O$18/180*PI()) + $O$21 / (2 * SQRT($C$10^2 + AE39^2)) - AE39</f>
        <v>-0.96360703565073613</v>
      </c>
      <c r="AG39" s="8">
        <f xml:space="preserve"> (AC39 + AE39)/2</f>
        <v>0.5</v>
      </c>
      <c r="AH39" s="8">
        <f t="shared" ref="AH39:AH69" si="28" xml:space="preserve"> $C$10 * TAN($O$18/180*PI()) + $O$21 / (2 * SQRT($C$10^2 + AG39^2)) - AG39</f>
        <v>-0.45857627756092906</v>
      </c>
      <c r="AI39" s="8">
        <f>AD39*AH39</f>
        <v>-2.3926872618456056E-2</v>
      </c>
      <c r="AJ39" s="8">
        <f>AF39*AH39</f>
        <v>0.44188732744023601</v>
      </c>
      <c r="AK39" s="8">
        <f>AE39-AC39</f>
        <v>1</v>
      </c>
      <c r="AM39" s="8">
        <v>35</v>
      </c>
      <c r="AN39" s="8">
        <f t="shared" si="25"/>
        <v>1286.0205519245937</v>
      </c>
      <c r="AO39" s="20">
        <v>-4.5278056859388016E-8</v>
      </c>
      <c r="AP39" s="8">
        <f t="shared" si="26"/>
        <v>1286.0205520410091</v>
      </c>
      <c r="AQ39" s="20">
        <v>3.9044607547111809E-9</v>
      </c>
      <c r="AR39" s="8">
        <f t="shared" si="17"/>
        <v>1286.0205519828014</v>
      </c>
      <c r="AS39" s="20">
        <v>-2.0686456991825253E-8</v>
      </c>
      <c r="AT39" s="8">
        <f t="shared" si="18"/>
        <v>9.3664257589514857E-16</v>
      </c>
      <c r="AU39" s="8">
        <f t="shared" si="19"/>
        <v>-8.0769459478602412E-17</v>
      </c>
      <c r="AV39" s="8">
        <f t="shared" si="20"/>
        <v>1.1641532182693481E-7</v>
      </c>
      <c r="AX39" s="8"/>
      <c r="AY39" s="8"/>
      <c r="AZ39" s="42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23" t="s">
        <v>295</v>
      </c>
      <c r="BO39" s="56">
        <f>SIN(BO23)/(1+BO37) - $AY$3*COS(BO23)/($BC$5*$AY$20*(1-BO38))</f>
        <v>-7.1855308803742135E-9</v>
      </c>
      <c r="BP39" s="56"/>
      <c r="BQ39"/>
      <c r="BR39" s="23" t="s">
        <v>295</v>
      </c>
      <c r="BS39" s="56">
        <f>SIN(BS23)/(1+BS37) - $AY$3*COS(BS23)/($BC$5*$AY$21*(1-BS38))</f>
        <v>-5.7714195835639748E-9</v>
      </c>
      <c r="BT39" s="56"/>
      <c r="BU39"/>
      <c r="BV39" s="8">
        <v>1</v>
      </c>
      <c r="BW39" s="9">
        <f>0.01*PI()</f>
        <v>3.1415926535897934E-2</v>
      </c>
      <c r="BX39" s="8">
        <f t="dataTable" ref="BX39:BX68" dt2D="0" dtr="0" r1="BO23"/>
        <v>-1.4146435659697671</v>
      </c>
      <c r="BY39" s="9">
        <f>0.9*PI()</f>
        <v>2.8274333882308138</v>
      </c>
      <c r="BZ39" s="8">
        <f t="dataTable" ref="BZ39:BZ68" dt2D="0" dtr="0" r1="BO23" ca="1"/>
        <v>0.18263494917145773</v>
      </c>
      <c r="CA39" s="8">
        <f t="shared" ref="CA39:CA68" si="29">(BW39+BY39)/2</f>
        <v>1.4294246573833558</v>
      </c>
      <c r="CB39" s="8">
        <f t="dataTable" ref="CB39:CB68" dt2D="0" dtr="0" r1="BO23" ca="1"/>
        <v>0.96914364094302141</v>
      </c>
      <c r="CC39" s="8">
        <f t="shared" ref="CC39:CC68" si="30">BX39*CB39</f>
        <v>-1.3709928161605593</v>
      </c>
      <c r="CD39" s="8">
        <f t="shared" ref="CD39:CD68" si="31">BZ39*CB39</f>
        <v>0.1769994996034702</v>
      </c>
      <c r="CE39" s="8">
        <f t="shared" ref="CE39:CE68" si="32">BY39-BW39</f>
        <v>2.7960174616949161</v>
      </c>
      <c r="CF39"/>
      <c r="CG39" s="8">
        <v>1</v>
      </c>
      <c r="CH39" s="9">
        <f>0.01*PI()</f>
        <v>3.1415926535897934E-2</v>
      </c>
      <c r="CI39" s="8">
        <f t="dataTable" ref="CI39:CI68" dt2D="0" dtr="0" r1="BS23"/>
        <v>-1.1110512279668208</v>
      </c>
      <c r="CJ39" s="9">
        <f>0.9*PI()</f>
        <v>2.8274333882308138</v>
      </c>
      <c r="CK39" s="8">
        <f t="dataTable" ref="CK39:CK68" dt2D="0" dtr="0" r1="BS23" ca="1"/>
        <v>0.20783581121173944</v>
      </c>
      <c r="CL39" s="8">
        <f t="shared" ref="CL39:CL68" si="33">(CH39+CJ39)/2</f>
        <v>1.4294246573833558</v>
      </c>
      <c r="CM39" s="8">
        <f t="dataTable" ref="CM39:CM68" dt2D="0" dtr="0" r1="BS23" ca="1"/>
        <v>0.97190949455447628</v>
      </c>
      <c r="CN39" s="8">
        <f t="shared" ref="CN39:CN68" si="34">CI39*CM39</f>
        <v>-1.0798412373973629</v>
      </c>
      <c r="CO39" s="8">
        <f t="shared" ref="CO39:CO68" si="35">CK39*CM39</f>
        <v>0.20199759822512123</v>
      </c>
      <c r="CP39" s="8">
        <f t="shared" ref="CP39:CP68" si="36">CJ39-CH39</f>
        <v>2.7960174616949161</v>
      </c>
      <c r="CQ39"/>
      <c r="CR39"/>
      <c r="CS39"/>
      <c r="CT39"/>
      <c r="CU39"/>
      <c r="CV39"/>
      <c r="CW39"/>
      <c r="CX39"/>
      <c r="CY39"/>
      <c r="CZ39"/>
      <c r="DA39"/>
    </row>
    <row r="40" spans="2:105" x14ac:dyDescent="0.2">
      <c r="B40" s="20" t="s">
        <v>9</v>
      </c>
      <c r="C40" s="33">
        <v>0.85</v>
      </c>
      <c r="F40" t="s">
        <v>133</v>
      </c>
      <c r="G40" s="20">
        <f>$C$17*G39</f>
        <v>108.81940466704353</v>
      </c>
      <c r="H40" t="s">
        <v>162</v>
      </c>
      <c r="J40" s="27" t="s">
        <v>74</v>
      </c>
      <c r="K40" s="20">
        <f>ROUND(K13/$C$5 * 100, 2)</f>
        <v>36</v>
      </c>
      <c r="L40" s="20" t="s">
        <v>82</v>
      </c>
      <c r="AB40" s="8">
        <v>1</v>
      </c>
      <c r="AC40" s="8">
        <f>IF(AI39&gt;0, AG39, AC39)</f>
        <v>0</v>
      </c>
      <c r="AD40" s="8">
        <f t="shared" si="27"/>
        <v>5.2176429068067076E-2</v>
      </c>
      <c r="AE40" s="8">
        <f>IF(AJ39&gt;0, AG39, AE39)</f>
        <v>0.5</v>
      </c>
      <c r="AF40" s="8">
        <f t="shared" ref="AF40:AF69" si="37" xml:space="preserve"> $C$10 * TAN($O$18/180*PI()) + $O$21 / (2 * SQRT($C$10^2 + AE40^2)) - AE40</f>
        <v>-0.45857627756092906</v>
      </c>
      <c r="AG40" s="8">
        <f t="shared" ref="AG40:AG69" si="38" xml:space="preserve"> (AC40 + AE40)/2</f>
        <v>0.25</v>
      </c>
      <c r="AH40" s="8">
        <f t="shared" si="28"/>
        <v>-0.20295689079719623</v>
      </c>
      <c r="AI40" s="8">
        <f t="shared" ref="AI40:AI69" si="39">AD40*AH40</f>
        <v>-1.0589565816555345E-2</v>
      </c>
      <c r="AJ40" s="8">
        <f t="shared" ref="AJ40:AJ69" si="40">AF40*AH40</f>
        <v>9.307121548711822E-2</v>
      </c>
      <c r="AK40" s="8">
        <f t="shared" ref="AK40:AK69" si="41">AE40-AC40</f>
        <v>0.5</v>
      </c>
      <c r="AM40" s="8">
        <v>36</v>
      </c>
      <c r="AN40" s="8">
        <f t="shared" si="25"/>
        <v>1286.0205519828014</v>
      </c>
      <c r="AO40" s="20">
        <v>-2.0686456991825253E-8</v>
      </c>
      <c r="AP40" s="8">
        <f t="shared" si="26"/>
        <v>1286.0205520410091</v>
      </c>
      <c r="AQ40" s="20">
        <v>3.9044607547111809E-9</v>
      </c>
      <c r="AR40" s="8">
        <f t="shared" si="17"/>
        <v>1286.0205520119052</v>
      </c>
      <c r="AS40" s="20">
        <v>-8.3905433712061495E-9</v>
      </c>
      <c r="AT40" s="8">
        <f t="shared" si="18"/>
        <v>1.7357061458650048E-16</v>
      </c>
      <c r="AU40" s="8">
        <f t="shared" si="19"/>
        <v>-3.2760547303576459E-17</v>
      </c>
      <c r="AV40" s="8">
        <f t="shared" si="20"/>
        <v>5.8207660913467407E-8</v>
      </c>
      <c r="AX40" s="69" t="s">
        <v>306</v>
      </c>
      <c r="AY40" s="69"/>
      <c r="AZ40" s="69"/>
      <c r="BA40"/>
      <c r="BB40" s="39" t="s">
        <v>237</v>
      </c>
      <c r="BC40" s="40" t="s">
        <v>238</v>
      </c>
      <c r="BD40" s="40"/>
      <c r="BE40" s="40"/>
      <c r="BF40" s="40"/>
      <c r="BG40" s="40"/>
      <c r="BH40" s="40"/>
      <c r="BI40" s="40"/>
      <c r="BJ40" s="40"/>
      <c r="BK40" s="41"/>
      <c r="BL40"/>
      <c r="BM40"/>
      <c r="BN40"/>
      <c r="BO40"/>
      <c r="BP40"/>
      <c r="BQ40"/>
      <c r="BR40"/>
      <c r="BS40"/>
      <c r="BT40"/>
      <c r="BU40"/>
      <c r="BV40" s="8">
        <v>2</v>
      </c>
      <c r="BW40" s="8">
        <f t="shared" ref="BW40:BW68" si="42">IF(CC39&gt;0,CA39,BW39)</f>
        <v>3.1415926535897934E-2</v>
      </c>
      <c r="BX40" s="8">
        <v>-1.4146435659697671</v>
      </c>
      <c r="BY40" s="8">
        <f t="shared" ref="BY40:BY68" si="43">IF(CD39&gt;0,CA39,BY39)</f>
        <v>1.4294246573833558</v>
      </c>
      <c r="BZ40" s="8">
        <v>0.96914364094302141</v>
      </c>
      <c r="CA40" s="8">
        <f t="shared" si="29"/>
        <v>0.73042029195962688</v>
      </c>
      <c r="CB40" s="8">
        <v>0.69139498876440841</v>
      </c>
      <c r="CC40" s="8">
        <f t="shared" si="30"/>
        <v>-0.97807747239930976</v>
      </c>
      <c r="CD40" s="8">
        <f t="shared" si="31"/>
        <v>0.67006105674089811</v>
      </c>
      <c r="CE40" s="8">
        <f t="shared" si="32"/>
        <v>1.3980087308474578</v>
      </c>
      <c r="CF40"/>
      <c r="CG40" s="8">
        <v>2</v>
      </c>
      <c r="CH40" s="8">
        <f t="shared" ref="CH40:CH68" si="44">IF(CN39&gt;0,CL39,CH39)</f>
        <v>3.1415926535897934E-2</v>
      </c>
      <c r="CI40" s="8">
        <v>-1.1110512279668208</v>
      </c>
      <c r="CJ40" s="8">
        <f t="shared" ref="CJ40:CJ68" si="45">IF(CO39&gt;0,CL39,CJ39)</f>
        <v>1.4294246573833558</v>
      </c>
      <c r="CK40" s="8">
        <v>0.97190949455447628</v>
      </c>
      <c r="CL40" s="8">
        <f t="shared" si="33"/>
        <v>0.73042029195962688</v>
      </c>
      <c r="CM40" s="8">
        <v>0.68752966668253723</v>
      </c>
      <c r="CN40" s="8">
        <f t="shared" si="34"/>
        <v>-0.76388068043125201</v>
      </c>
      <c r="CO40" s="8">
        <f t="shared" si="35"/>
        <v>0.66821661083663231</v>
      </c>
      <c r="CP40" s="8">
        <f t="shared" si="36"/>
        <v>1.3980087308474578</v>
      </c>
      <c r="CQ40"/>
      <c r="CR40"/>
      <c r="CS40"/>
      <c r="CT40"/>
      <c r="CU40"/>
      <c r="CV40"/>
      <c r="CW40"/>
      <c r="CX40"/>
      <c r="CY40"/>
      <c r="CZ40"/>
      <c r="DA40"/>
    </row>
    <row r="41" spans="2:105" x14ac:dyDescent="0.2">
      <c r="B41" s="20" t="s">
        <v>10</v>
      </c>
      <c r="C41" s="33">
        <v>0.8</v>
      </c>
      <c r="F41" t="s">
        <v>132</v>
      </c>
      <c r="G41" s="20">
        <f>$G$35/$G$34</f>
        <v>200</v>
      </c>
      <c r="H41" t="s">
        <v>22</v>
      </c>
      <c r="J41" s="35" t="s">
        <v>108</v>
      </c>
      <c r="K41" s="20">
        <f>ROUND(SUM(K14:K17)/$C$5 * 100, 2)</f>
        <v>17.41</v>
      </c>
      <c r="L41" s="20" t="s">
        <v>82</v>
      </c>
      <c r="AB41" s="8">
        <v>2</v>
      </c>
      <c r="AC41" s="8">
        <f t="shared" ref="AC41:AC69" si="46">IF(AI40&gt;0, AG40, AC40)</f>
        <v>0</v>
      </c>
      <c r="AD41" s="8">
        <f t="shared" si="27"/>
        <v>5.2176429068067076E-2</v>
      </c>
      <c r="AE41" s="8">
        <f t="shared" ref="AE41:AE69" si="47">IF(AJ40&gt;0, AG40, AE40)</f>
        <v>0.25</v>
      </c>
      <c r="AF41" s="8">
        <f t="shared" si="37"/>
        <v>-0.20295689079719623</v>
      </c>
      <c r="AG41" s="8">
        <f t="shared" si="38"/>
        <v>0.125</v>
      </c>
      <c r="AH41" s="8">
        <f t="shared" si="28"/>
        <v>-7.4527224995517699E-2</v>
      </c>
      <c r="AI41" s="8">
        <f t="shared" si="39"/>
        <v>-3.8885644686185048E-3</v>
      </c>
      <c r="AJ41" s="8">
        <f t="shared" si="40"/>
        <v>1.512581386483336E-2</v>
      </c>
      <c r="AK41" s="8">
        <f t="shared" si="41"/>
        <v>0.25</v>
      </c>
      <c r="AM41" s="8">
        <v>37</v>
      </c>
      <c r="AN41" s="8">
        <f t="shared" si="25"/>
        <v>1286.0205520119052</v>
      </c>
      <c r="AO41" s="20">
        <v>-8.3905433712061495E-9</v>
      </c>
      <c r="AP41" s="8">
        <f t="shared" si="26"/>
        <v>1286.0205520410091</v>
      </c>
      <c r="AQ41" s="20">
        <v>3.9044607547111809E-9</v>
      </c>
      <c r="AR41" s="8">
        <f t="shared" si="17"/>
        <v>1286.0205520264572</v>
      </c>
      <c r="AS41" s="20">
        <v>-2.2433823687606491E-9</v>
      </c>
      <c r="AT41" s="8">
        <f t="shared" si="18"/>
        <v>1.8823197063285414E-17</v>
      </c>
      <c r="AU41" s="8">
        <f t="shared" si="19"/>
        <v>-8.7591984166369608E-18</v>
      </c>
      <c r="AV41" s="8">
        <f t="shared" si="20"/>
        <v>2.9103830456733704E-8</v>
      </c>
      <c r="AX41" s="8" t="s">
        <v>28</v>
      </c>
      <c r="AY41" s="9">
        <v>1.2250000000000001</v>
      </c>
      <c r="AZ41" s="42" t="s">
        <v>24</v>
      </c>
      <c r="BA41"/>
      <c r="BB41" s="43"/>
      <c r="BC41" s="70" t="s">
        <v>243</v>
      </c>
      <c r="BD41" s="70"/>
      <c r="BE41" s="70"/>
      <c r="BF41" s="70" t="s">
        <v>244</v>
      </c>
      <c r="BG41" s="70"/>
      <c r="BH41" s="70"/>
      <c r="BI41" s="70" t="s">
        <v>245</v>
      </c>
      <c r="BJ41" s="70"/>
      <c r="BK41" s="71"/>
      <c r="BL41"/>
      <c r="BM41"/>
      <c r="BN41" s="72" t="s">
        <v>296</v>
      </c>
      <c r="BO41" s="72"/>
      <c r="BP41" s="72"/>
      <c r="BQ41" s="8"/>
      <c r="BR41" s="72" t="s">
        <v>297</v>
      </c>
      <c r="BS41" s="72"/>
      <c r="BT41" s="72"/>
      <c r="BU41"/>
      <c r="BV41" s="8">
        <v>3</v>
      </c>
      <c r="BW41" s="8">
        <f t="shared" si="42"/>
        <v>3.1415926535897934E-2</v>
      </c>
      <c r="BX41" s="8">
        <v>-1.4146435659697671</v>
      </c>
      <c r="BY41" s="8">
        <f t="shared" si="43"/>
        <v>0.73042029195962688</v>
      </c>
      <c r="BZ41" s="8">
        <v>0.69139498876440841</v>
      </c>
      <c r="CA41" s="8">
        <f t="shared" si="29"/>
        <v>0.38091810924776243</v>
      </c>
      <c r="CB41" s="8">
        <v>0.3734361156170265</v>
      </c>
      <c r="CC41" s="8">
        <f t="shared" si="30"/>
        <v>-0.52827899825836866</v>
      </c>
      <c r="CD41" s="8">
        <f t="shared" si="31"/>
        <v>0.25819185896125835</v>
      </c>
      <c r="CE41" s="8">
        <f t="shared" si="32"/>
        <v>0.6990043654237289</v>
      </c>
      <c r="CF41"/>
      <c r="CG41" s="8">
        <v>3</v>
      </c>
      <c r="CH41" s="8">
        <f t="shared" si="44"/>
        <v>3.1415926535897934E-2</v>
      </c>
      <c r="CI41" s="8">
        <v>-1.1110512279668208</v>
      </c>
      <c r="CJ41" s="8">
        <f t="shared" si="45"/>
        <v>0.73042029195962688</v>
      </c>
      <c r="CK41" s="8">
        <v>0.68752966668253723</v>
      </c>
      <c r="CL41" s="8">
        <f t="shared" si="33"/>
        <v>0.38091810924776243</v>
      </c>
      <c r="CM41" s="8">
        <v>0.37278580602819045</v>
      </c>
      <c r="CN41" s="8">
        <f t="shared" si="34"/>
        <v>-0.41418412755622203</v>
      </c>
      <c r="CO41" s="8">
        <f t="shared" si="35"/>
        <v>0.25630130096254278</v>
      </c>
      <c r="CP41" s="8">
        <f t="shared" si="36"/>
        <v>0.6990043654237289</v>
      </c>
      <c r="CQ41"/>
      <c r="CR41"/>
      <c r="CS41"/>
      <c r="CT41"/>
      <c r="CU41"/>
      <c r="CV41"/>
      <c r="CW41"/>
      <c r="CX41"/>
      <c r="CY41"/>
      <c r="CZ41"/>
      <c r="DA41"/>
    </row>
    <row r="42" spans="2:105" x14ac:dyDescent="0.2">
      <c r="F42" t="s">
        <v>214</v>
      </c>
      <c r="G42" s="24">
        <f>W20*$C$6</f>
        <v>166.63754634528416</v>
      </c>
      <c r="H42" s="20" t="s">
        <v>16</v>
      </c>
      <c r="J42" s="36" t="s">
        <v>95</v>
      </c>
      <c r="K42" s="20">
        <f>ROUND(SUM(K18:K22)/$C$5 * 100, 2)</f>
        <v>10.79</v>
      </c>
      <c r="L42" s="20" t="s">
        <v>82</v>
      </c>
      <c r="AB42" s="8">
        <v>3</v>
      </c>
      <c r="AC42" s="8">
        <f t="shared" si="46"/>
        <v>0</v>
      </c>
      <c r="AD42" s="8">
        <f t="shared" si="27"/>
        <v>5.2176429068067076E-2</v>
      </c>
      <c r="AE42" s="8">
        <f t="shared" si="47"/>
        <v>0.125</v>
      </c>
      <c r="AF42" s="8">
        <f t="shared" si="37"/>
        <v>-7.4527224995517699E-2</v>
      </c>
      <c r="AG42" s="8">
        <f t="shared" si="38"/>
        <v>6.25E-2</v>
      </c>
      <c r="AH42" s="8">
        <f t="shared" si="28"/>
        <v>-1.0789102145208299E-2</v>
      </c>
      <c r="AI42" s="8">
        <f t="shared" si="39"/>
        <v>-5.6293682278759109E-4</v>
      </c>
      <c r="AJ42" s="8">
        <f t="shared" si="40"/>
        <v>8.0408184307556151E-4</v>
      </c>
      <c r="AK42" s="8">
        <f t="shared" si="41"/>
        <v>0.125</v>
      </c>
      <c r="AM42" s="8">
        <v>38</v>
      </c>
      <c r="AN42" s="8">
        <f t="shared" si="25"/>
        <v>1286.0205520264572</v>
      </c>
      <c r="AO42" s="20">
        <v>-2.2433823687606491E-9</v>
      </c>
      <c r="AP42" s="8">
        <f t="shared" si="26"/>
        <v>1286.0205520410091</v>
      </c>
      <c r="AQ42" s="20">
        <v>3.9044607547111809E-9</v>
      </c>
      <c r="AR42" s="8">
        <f t="shared" si="17"/>
        <v>1286.0205520337331</v>
      </c>
      <c r="AS42" s="20">
        <v>8.3150553109589964E-10</v>
      </c>
      <c r="AT42" s="8">
        <f t="shared" si="18"/>
        <v>-1.8653848479875009E-18</v>
      </c>
      <c r="AU42" s="8">
        <f t="shared" si="19"/>
        <v>3.2465807134892176E-18</v>
      </c>
      <c r="AV42" s="8">
        <f t="shared" si="20"/>
        <v>1.4551915228366852E-8</v>
      </c>
      <c r="AX42" s="8" t="s">
        <v>44</v>
      </c>
      <c r="AY42" s="57">
        <v>1.8099999999999999E-5</v>
      </c>
      <c r="AZ42" s="42" t="s">
        <v>307</v>
      </c>
      <c r="BA42"/>
      <c r="BB42" s="43"/>
      <c r="BC42" s="10" t="s">
        <v>251</v>
      </c>
      <c r="BD42" s="8">
        <v>-180</v>
      </c>
      <c r="BE42" s="8">
        <v>-9.0909090909090899</v>
      </c>
      <c r="BF42" s="10" t="s">
        <v>251</v>
      </c>
      <c r="BG42" s="8">
        <v>-9.0909090909090899</v>
      </c>
      <c r="BH42" s="8">
        <v>12.7272727272727</v>
      </c>
      <c r="BI42" s="10" t="s">
        <v>251</v>
      </c>
      <c r="BJ42" s="8">
        <v>12.7272727272727</v>
      </c>
      <c r="BK42" s="47">
        <v>180</v>
      </c>
      <c r="BL42"/>
      <c r="BM42"/>
      <c r="BN42" s="44" t="s">
        <v>249</v>
      </c>
      <c r="BO42" s="45">
        <f>CA102</f>
        <v>0.15917621123783066</v>
      </c>
      <c r="BP42" s="11" t="s">
        <v>250</v>
      </c>
      <c r="BQ42" s="8"/>
      <c r="BR42" s="44" t="s">
        <v>249</v>
      </c>
      <c r="BS42" s="45">
        <f>CL102</f>
        <v>0.14032705874228479</v>
      </c>
      <c r="BT42" s="11" t="s">
        <v>250</v>
      </c>
      <c r="BU42"/>
      <c r="BV42" s="8">
        <v>4</v>
      </c>
      <c r="BW42" s="8">
        <f t="shared" si="42"/>
        <v>3.1415926535897934E-2</v>
      </c>
      <c r="BX42" s="8">
        <v>-1.4146435659697671</v>
      </c>
      <c r="BY42" s="8">
        <f t="shared" si="43"/>
        <v>0.38091810924776243</v>
      </c>
      <c r="BZ42" s="8">
        <v>0.3734361156170265</v>
      </c>
      <c r="CA42" s="8">
        <f t="shared" si="29"/>
        <v>0.20616701789183017</v>
      </c>
      <c r="CB42" s="8">
        <v>5.0525333285568484E-2</v>
      </c>
      <c r="CC42" s="8">
        <f t="shared" si="30"/>
        <v>-7.1475337650907578E-2</v>
      </c>
      <c r="CD42" s="8">
        <f t="shared" si="31"/>
        <v>1.886798420241835E-2</v>
      </c>
      <c r="CE42" s="8">
        <f t="shared" si="32"/>
        <v>0.34950218271186451</v>
      </c>
      <c r="CF42"/>
      <c r="CG42" s="8">
        <v>4</v>
      </c>
      <c r="CH42" s="8">
        <f t="shared" si="44"/>
        <v>3.1415926535897934E-2</v>
      </c>
      <c r="CI42" s="8">
        <v>-1.1110512279668208</v>
      </c>
      <c r="CJ42" s="8">
        <f t="shared" si="45"/>
        <v>0.38091810924776243</v>
      </c>
      <c r="CK42" s="8">
        <v>0.37278580602819045</v>
      </c>
      <c r="CL42" s="8">
        <f t="shared" si="33"/>
        <v>0.20616701789183017</v>
      </c>
      <c r="CM42" s="8">
        <v>8.19338660828276E-2</v>
      </c>
      <c r="CN42" s="8">
        <f t="shared" si="34"/>
        <v>-9.1032722523394657E-2</v>
      </c>
      <c r="CO42" s="8">
        <f t="shared" si="35"/>
        <v>3.0543782308692702E-2</v>
      </c>
      <c r="CP42" s="8">
        <f t="shared" si="36"/>
        <v>0.34950218271186451</v>
      </c>
      <c r="CQ42"/>
      <c r="CR42"/>
      <c r="CS42"/>
      <c r="CT42"/>
      <c r="CU42"/>
      <c r="CV42"/>
      <c r="CW42"/>
      <c r="CX42"/>
      <c r="CY42"/>
      <c r="CZ42"/>
      <c r="DA42"/>
    </row>
    <row r="43" spans="2:105" x14ac:dyDescent="0.2">
      <c r="B43" s="58" t="s">
        <v>97</v>
      </c>
      <c r="C43" s="62"/>
      <c r="D43" s="62"/>
      <c r="F43" s="20" t="s">
        <v>217</v>
      </c>
      <c r="G43" s="20">
        <f>G42/$C$45</f>
        <v>0.48951149871123617</v>
      </c>
      <c r="H43" s="20" t="s">
        <v>215</v>
      </c>
      <c r="J43" s="31" t="s">
        <v>96</v>
      </c>
      <c r="K43" s="20">
        <f>ROUND(SUM(K23:K26)/$C$5*100, 2)</f>
        <v>4.7</v>
      </c>
      <c r="L43" s="20" t="s">
        <v>82</v>
      </c>
      <c r="AB43" s="8">
        <v>4</v>
      </c>
      <c r="AC43" s="8">
        <f t="shared" si="46"/>
        <v>0</v>
      </c>
      <c r="AD43" s="8">
        <f t="shared" si="27"/>
        <v>5.2176429068067076E-2</v>
      </c>
      <c r="AE43" s="8">
        <f t="shared" si="47"/>
        <v>6.25E-2</v>
      </c>
      <c r="AF43" s="8">
        <f t="shared" si="37"/>
        <v>-1.0789102145208299E-2</v>
      </c>
      <c r="AG43" s="8">
        <f t="shared" si="38"/>
        <v>3.125E-2</v>
      </c>
      <c r="AH43" s="8">
        <f t="shared" si="28"/>
        <v>2.0807240263763967E-2</v>
      </c>
      <c r="AI43" s="8">
        <f t="shared" si="39"/>
        <v>1.08564749572451E-3</v>
      </c>
      <c r="AJ43" s="8">
        <f t="shared" si="40"/>
        <v>-2.2449144056564029E-4</v>
      </c>
      <c r="AK43" s="8">
        <f t="shared" si="41"/>
        <v>6.25E-2</v>
      </c>
      <c r="AM43" s="8">
        <v>39</v>
      </c>
      <c r="AN43" s="8">
        <f t="shared" si="25"/>
        <v>1286.0205520264572</v>
      </c>
      <c r="AO43" s="20">
        <v>-2.2433823687606491E-9</v>
      </c>
      <c r="AP43" s="8">
        <f t="shared" si="26"/>
        <v>1286.0205520337331</v>
      </c>
      <c r="AQ43" s="20">
        <v>8.3150553109589964E-10</v>
      </c>
      <c r="AR43" s="8">
        <f t="shared" si="17"/>
        <v>1286.0205520300951</v>
      </c>
      <c r="AS43" s="20">
        <v>-7.056542017380707E-10</v>
      </c>
      <c r="AT43" s="8">
        <f t="shared" si="18"/>
        <v>1.583052194621058E-18</v>
      </c>
      <c r="AU43" s="8">
        <f t="shared" si="19"/>
        <v>-5.8675537178626758E-19</v>
      </c>
      <c r="AV43" s="8">
        <f t="shared" si="20"/>
        <v>7.2759576141834259E-9</v>
      </c>
      <c r="AX43" s="8"/>
      <c r="AY43" s="8"/>
      <c r="AZ43" s="42"/>
      <c r="BA43"/>
      <c r="BB43" s="48" t="s">
        <v>255</v>
      </c>
      <c r="BC43" s="8">
        <v>1.6051999999999999E-4</v>
      </c>
      <c r="BD43" s="8">
        <v>3.0378019999999999E-2</v>
      </c>
      <c r="BE43" s="8">
        <v>-0.12694486999999999</v>
      </c>
      <c r="BF43" s="8">
        <v>0</v>
      </c>
      <c r="BG43" s="8">
        <v>0.10334725</v>
      </c>
      <c r="BH43" s="8">
        <v>0.376</v>
      </c>
      <c r="BI43" s="8">
        <v>1.3292999999999999E-4</v>
      </c>
      <c r="BJ43" s="8">
        <v>-2.6172910000000001E-2</v>
      </c>
      <c r="BK43" s="47">
        <v>1.7537997599999999</v>
      </c>
      <c r="BL43"/>
      <c r="BM43"/>
      <c r="BN43" s="8" t="s">
        <v>254</v>
      </c>
      <c r="BO43" s="8">
        <f>($AY$36+$AY$5)/180*PI()</f>
        <v>0.29670597283903599</v>
      </c>
      <c r="BP43" s="8" t="s">
        <v>250</v>
      </c>
      <c r="BQ43" s="8"/>
      <c r="BR43" s="8" t="s">
        <v>254</v>
      </c>
      <c r="BS43" s="8">
        <f>($AY$37+$AY$5)/180*PI()</f>
        <v>0.29670597283903599</v>
      </c>
      <c r="BT43" s="8" t="s">
        <v>250</v>
      </c>
      <c r="BU43"/>
      <c r="BV43" s="8">
        <v>5</v>
      </c>
      <c r="BW43" s="8">
        <f t="shared" si="42"/>
        <v>3.1415926535897934E-2</v>
      </c>
      <c r="BX43" s="8">
        <v>-1.4146435659697671</v>
      </c>
      <c r="BY43" s="8">
        <f t="shared" si="43"/>
        <v>0.20616701789183017</v>
      </c>
      <c r="BZ43" s="8">
        <v>5.0525333285568484E-2</v>
      </c>
      <c r="CA43" s="8">
        <f t="shared" si="29"/>
        <v>0.11879147221386405</v>
      </c>
      <c r="CB43" s="8">
        <v>-0.28201879617063752</v>
      </c>
      <c r="CC43" s="8">
        <f t="shared" si="30"/>
        <v>0.39895607548533157</v>
      </c>
      <c r="CD43" s="8">
        <f t="shared" si="31"/>
        <v>-1.4249093669316266E-2</v>
      </c>
      <c r="CE43" s="8">
        <f t="shared" si="32"/>
        <v>0.17475109135593225</v>
      </c>
      <c r="CF43"/>
      <c r="CG43" s="8">
        <v>5</v>
      </c>
      <c r="CH43" s="8">
        <f t="shared" si="44"/>
        <v>3.1415926535897934E-2</v>
      </c>
      <c r="CI43" s="8">
        <v>-1.1110512279668208</v>
      </c>
      <c r="CJ43" s="8">
        <f t="shared" si="45"/>
        <v>0.20616701789183017</v>
      </c>
      <c r="CK43" s="8">
        <v>8.19338660828276E-2</v>
      </c>
      <c r="CL43" s="8">
        <f t="shared" si="33"/>
        <v>0.11879147221386405</v>
      </c>
      <c r="CM43" s="8">
        <v>-0.19835951358384654</v>
      </c>
      <c r="CN43" s="8">
        <f t="shared" si="34"/>
        <v>0.22038758114623397</v>
      </c>
      <c r="CO43" s="8">
        <f t="shared" si="35"/>
        <v>-1.6252361822233705E-2</v>
      </c>
      <c r="CP43" s="8">
        <f t="shared" si="36"/>
        <v>0.17475109135593225</v>
      </c>
      <c r="CQ43"/>
      <c r="CR43"/>
      <c r="CS43"/>
      <c r="CT43"/>
      <c r="CU43"/>
      <c r="CV43"/>
      <c r="CW43"/>
      <c r="CX43"/>
      <c r="CY43"/>
      <c r="CZ43"/>
      <c r="DA43"/>
    </row>
    <row r="44" spans="2:105" x14ac:dyDescent="0.2">
      <c r="B44" s="20" t="s">
        <v>23</v>
      </c>
      <c r="C44" s="33">
        <v>1.2250000000000001</v>
      </c>
      <c r="D44" s="20" t="s">
        <v>24</v>
      </c>
      <c r="J44" s="26" t="s">
        <v>83</v>
      </c>
      <c r="K44" s="26">
        <f>SUM(K39:K43)</f>
        <v>99.999999999999986</v>
      </c>
      <c r="L44" s="26" t="s">
        <v>82</v>
      </c>
      <c r="AB44" s="8">
        <v>5</v>
      </c>
      <c r="AC44" s="8">
        <f t="shared" si="46"/>
        <v>3.125E-2</v>
      </c>
      <c r="AD44" s="8">
        <f t="shared" si="27"/>
        <v>2.0807240263763967E-2</v>
      </c>
      <c r="AE44" s="8">
        <f t="shared" si="47"/>
        <v>6.25E-2</v>
      </c>
      <c r="AF44" s="8">
        <f t="shared" si="37"/>
        <v>-1.0789102145208299E-2</v>
      </c>
      <c r="AG44" s="8">
        <f t="shared" si="38"/>
        <v>4.6875E-2</v>
      </c>
      <c r="AH44" s="8">
        <f t="shared" si="28"/>
        <v>5.0359255516843893E-3</v>
      </c>
      <c r="AI44" s="8">
        <f t="shared" si="39"/>
        <v>1.0478371290432519E-4</v>
      </c>
      <c r="AJ44" s="8">
        <f t="shared" si="40"/>
        <v>-5.4333115172787326E-5</v>
      </c>
      <c r="AK44" s="8">
        <f t="shared" si="41"/>
        <v>3.125E-2</v>
      </c>
      <c r="AM44" s="8">
        <v>40</v>
      </c>
      <c r="AN44" s="8">
        <f t="shared" si="25"/>
        <v>1286.0205520300951</v>
      </c>
      <c r="AO44" s="20">
        <v>-7.056542017380707E-10</v>
      </c>
      <c r="AP44" s="8">
        <f t="shared" si="26"/>
        <v>1286.0205520337331</v>
      </c>
      <c r="AQ44" s="20">
        <v>8.3150553109589964E-10</v>
      </c>
      <c r="AR44" s="11">
        <f>(AN44+AP44)/2</f>
        <v>1286.0205520319141</v>
      </c>
      <c r="AS44" s="20">
        <v>6.1959326558280736E-11</v>
      </c>
      <c r="AT44" s="8">
        <f t="shared" si="18"/>
        <v>-4.3721859122712036E-20</v>
      </c>
      <c r="AU44" s="8">
        <f t="shared" si="19"/>
        <v>5.1519522736187503E-20</v>
      </c>
      <c r="AV44" s="8">
        <f t="shared" si="20"/>
        <v>3.637978807091713E-9</v>
      </c>
      <c r="AX44"/>
      <c r="AY44"/>
      <c r="AZ44"/>
      <c r="BA44"/>
      <c r="BB44" s="50" t="s">
        <v>259</v>
      </c>
      <c r="BC44" s="51">
        <v>1.0178E-4</v>
      </c>
      <c r="BD44" s="51">
        <v>1.9261199999999999E-2</v>
      </c>
      <c r="BE44" s="51">
        <v>0.25441268</v>
      </c>
      <c r="BF44" s="51">
        <v>1.6333999999999999E-4</v>
      </c>
      <c r="BG44" s="51">
        <v>-4.3427E-4</v>
      </c>
      <c r="BH44" s="51">
        <v>6.5199999999999998E-3</v>
      </c>
      <c r="BI44" s="51">
        <v>-1.0616E-4</v>
      </c>
      <c r="BJ44" s="51">
        <v>2.0903049999999999E-2</v>
      </c>
      <c r="BK44" s="52">
        <v>-0.22847176999999999</v>
      </c>
      <c r="BL44"/>
      <c r="BM44"/>
      <c r="BN44" s="8" t="s">
        <v>41</v>
      </c>
      <c r="BO44" s="8">
        <f>BO43-BO42</f>
        <v>0.13752976160120534</v>
      </c>
      <c r="BP44" s="8" t="s">
        <v>250</v>
      </c>
      <c r="BQ44" s="8"/>
      <c r="BR44" s="8" t="s">
        <v>41</v>
      </c>
      <c r="BS44" s="8">
        <f>BS43-BS42</f>
        <v>0.1563789140967512</v>
      </c>
      <c r="BT44" s="8" t="s">
        <v>250</v>
      </c>
      <c r="BU44"/>
      <c r="BV44" s="8">
        <v>6</v>
      </c>
      <c r="BW44" s="8">
        <f t="shared" si="42"/>
        <v>0.11879147221386405</v>
      </c>
      <c r="BX44" s="8">
        <v>-0.28201879617063752</v>
      </c>
      <c r="BY44" s="8">
        <f t="shared" si="43"/>
        <v>0.20616701789183017</v>
      </c>
      <c r="BZ44" s="8">
        <v>5.0525333285568484E-2</v>
      </c>
      <c r="CA44" s="8">
        <f t="shared" si="29"/>
        <v>0.16247924505284711</v>
      </c>
      <c r="CB44" s="8">
        <v>-8.2144601767790745E-2</v>
      </c>
      <c r="CC44" s="8">
        <f t="shared" si="30"/>
        <v>2.3166321702468767E-2</v>
      </c>
      <c r="CD44" s="8">
        <f t="shared" si="31"/>
        <v>-4.1503833819279256E-3</v>
      </c>
      <c r="CE44" s="8">
        <f t="shared" si="32"/>
        <v>8.7375545677966127E-2</v>
      </c>
      <c r="CF44"/>
      <c r="CG44" s="8">
        <v>6</v>
      </c>
      <c r="CH44" s="8">
        <f t="shared" si="44"/>
        <v>0.11879147221386405</v>
      </c>
      <c r="CI44" s="8">
        <v>-0.19835951358384654</v>
      </c>
      <c r="CJ44" s="8">
        <f t="shared" si="45"/>
        <v>0.20616701789183017</v>
      </c>
      <c r="CK44" s="8">
        <v>8.19338660828276E-2</v>
      </c>
      <c r="CL44" s="8">
        <f t="shared" si="33"/>
        <v>0.16247924505284711</v>
      </c>
      <c r="CM44" s="8">
        <v>-3.1610563012815028E-2</v>
      </c>
      <c r="CN44" s="8">
        <f t="shared" si="34"/>
        <v>6.2702559033335197E-3</v>
      </c>
      <c r="CO44" s="8">
        <f t="shared" si="35"/>
        <v>-2.5899756366947698E-3</v>
      </c>
      <c r="CP44" s="8">
        <f t="shared" si="36"/>
        <v>8.7375545677966127E-2</v>
      </c>
      <c r="CQ44"/>
      <c r="CR44"/>
      <c r="CS44"/>
      <c r="CT44"/>
      <c r="CU44"/>
      <c r="CV44"/>
      <c r="CW44"/>
      <c r="CX44"/>
      <c r="CY44"/>
      <c r="CZ44"/>
      <c r="DA44"/>
    </row>
    <row r="45" spans="2:105" x14ac:dyDescent="0.2">
      <c r="B45" s="20" t="s">
        <v>216</v>
      </c>
      <c r="C45" s="33">
        <v>340.416</v>
      </c>
      <c r="D45" s="20" t="s">
        <v>16</v>
      </c>
      <c r="F45" s="59" t="s">
        <v>111</v>
      </c>
      <c r="G45" s="60"/>
      <c r="H45" s="60"/>
      <c r="AB45" s="8">
        <v>6</v>
      </c>
      <c r="AC45" s="8">
        <f t="shared" si="46"/>
        <v>4.6875E-2</v>
      </c>
      <c r="AD45" s="8">
        <f t="shared" si="27"/>
        <v>5.0359255516843893E-3</v>
      </c>
      <c r="AE45" s="8">
        <f t="shared" si="47"/>
        <v>6.25E-2</v>
      </c>
      <c r="AF45" s="8">
        <f t="shared" si="37"/>
        <v>-1.0789102145208299E-2</v>
      </c>
      <c r="AG45" s="8">
        <f t="shared" si="38"/>
        <v>5.46875E-2</v>
      </c>
      <c r="AH45" s="8">
        <f t="shared" si="28"/>
        <v>-2.8701301355761183E-3</v>
      </c>
      <c r="AI45" s="8">
        <f t="shared" si="39"/>
        <v>-1.4453761686407154E-5</v>
      </c>
      <c r="AJ45" s="8">
        <f t="shared" si="40"/>
        <v>3.096612720277128E-5</v>
      </c>
      <c r="AK45" s="8">
        <f t="shared" si="41"/>
        <v>1.5625E-2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 s="8" t="s">
        <v>263</v>
      </c>
      <c r="BO45" s="8">
        <f>BO44/PI()*180</f>
        <v>7.8798748971894366</v>
      </c>
      <c r="BP45" s="8" t="s">
        <v>62</v>
      </c>
      <c r="BQ45" s="8"/>
      <c r="BR45" s="8" t="s">
        <v>263</v>
      </c>
      <c r="BS45" s="8">
        <f>BS44/PI()*180</f>
        <v>8.9598517825826978</v>
      </c>
      <c r="BT45" s="8" t="s">
        <v>62</v>
      </c>
      <c r="BU45"/>
      <c r="BV45" s="8">
        <v>7</v>
      </c>
      <c r="BW45" s="8">
        <f t="shared" si="42"/>
        <v>0.16247924505284711</v>
      </c>
      <c r="BX45" s="8">
        <v>-8.2144601767790745E-2</v>
      </c>
      <c r="BY45" s="8">
        <f t="shared" si="43"/>
        <v>0.20616701789183017</v>
      </c>
      <c r="BZ45" s="8">
        <v>5.0525333285568484E-2</v>
      </c>
      <c r="CA45" s="8">
        <f t="shared" si="29"/>
        <v>0.18432313147233864</v>
      </c>
      <c r="CB45" s="8">
        <v>-1.0401750870720209E-2</v>
      </c>
      <c r="CC45" s="8">
        <f t="shared" si="30"/>
        <v>8.5444768296308218E-4</v>
      </c>
      <c r="CD45" s="8">
        <f t="shared" si="31"/>
        <v>-5.2555192949659078E-4</v>
      </c>
      <c r="CE45" s="8">
        <f t="shared" si="32"/>
        <v>4.3687772838983063E-2</v>
      </c>
      <c r="CF45"/>
      <c r="CG45" s="8">
        <v>7</v>
      </c>
      <c r="CH45" s="8">
        <f t="shared" si="44"/>
        <v>0.16247924505284711</v>
      </c>
      <c r="CI45" s="8">
        <v>-3.1610563012815028E-2</v>
      </c>
      <c r="CJ45" s="8">
        <f t="shared" si="45"/>
        <v>0.20616701789183017</v>
      </c>
      <c r="CK45" s="8">
        <v>8.19338660828276E-2</v>
      </c>
      <c r="CL45" s="8">
        <f t="shared" si="33"/>
        <v>0.18432313147233864</v>
      </c>
      <c r="CM45" s="8">
        <v>2.9437126522311823E-2</v>
      </c>
      <c r="CN45" s="8">
        <f t="shared" si="34"/>
        <v>-9.3052414284974642E-4</v>
      </c>
      <c r="CO45" s="8">
        <f t="shared" si="35"/>
        <v>2.4118975823423493E-3</v>
      </c>
      <c r="CP45" s="8">
        <f t="shared" si="36"/>
        <v>4.3687772838983063E-2</v>
      </c>
      <c r="CQ45"/>
      <c r="CR45"/>
      <c r="CS45"/>
      <c r="CT45"/>
      <c r="CU45"/>
      <c r="CV45"/>
      <c r="CW45"/>
      <c r="CX45"/>
      <c r="CY45"/>
      <c r="CZ45"/>
      <c r="DA45"/>
    </row>
    <row r="46" spans="2:105" x14ac:dyDescent="0.2">
      <c r="B46" s="20" t="s">
        <v>25</v>
      </c>
      <c r="C46" s="1">
        <v>9.8066499999999994</v>
      </c>
      <c r="D46" s="20" t="s">
        <v>26</v>
      </c>
      <c r="F46" t="s">
        <v>117</v>
      </c>
      <c r="G46" s="1">
        <v>1.524</v>
      </c>
      <c r="H46" t="s">
        <v>16</v>
      </c>
      <c r="J46" s="20" t="s">
        <v>227</v>
      </c>
      <c r="K46" s="20">
        <f xml:space="preserve"> $C$17 * $C$47 * 0.0024419 * C23 * $C$18^0.53479 * ($C$6*3.28084)^1.74231 * ($C$7*3.28084)^0.77291 * (G9*3.28084)^0.87562 * $C$24^2.51048 * 0.453592</f>
        <v>16.873997507055225</v>
      </c>
      <c r="AB46" s="8">
        <v>7</v>
      </c>
      <c r="AC46" s="8">
        <f t="shared" si="46"/>
        <v>4.6875E-2</v>
      </c>
      <c r="AD46" s="8">
        <f t="shared" si="27"/>
        <v>5.0359255516843893E-3</v>
      </c>
      <c r="AE46" s="8">
        <f t="shared" si="47"/>
        <v>5.46875E-2</v>
      </c>
      <c r="AF46" s="8">
        <f t="shared" si="37"/>
        <v>-2.8701301355761183E-3</v>
      </c>
      <c r="AG46" s="8">
        <f t="shared" si="38"/>
        <v>5.078125E-2</v>
      </c>
      <c r="AH46" s="8">
        <f t="shared" si="28"/>
        <v>1.0845467389773641E-3</v>
      </c>
      <c r="AI46" s="8">
        <f t="shared" si="39"/>
        <v>5.4616966348120878E-6</v>
      </c>
      <c r="AJ46" s="8">
        <f t="shared" si="40"/>
        <v>-3.112790278979739E-6</v>
      </c>
      <c r="AK46" s="8">
        <f t="shared" si="41"/>
        <v>7.8125E-3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 s="8" t="s">
        <v>266</v>
      </c>
      <c r="BO46" s="8">
        <f xml:space="preserve"> $AY$8*$AY$29 / (2*PI()*$AY$22)</f>
        <v>7.9577471545947673E-2</v>
      </c>
      <c r="BP46" s="8"/>
      <c r="BQ46" s="8"/>
      <c r="BR46" s="8" t="s">
        <v>266</v>
      </c>
      <c r="BS46" s="8">
        <f xml:space="preserve"> $AY$8*$AY$30 / (2*PI()*$AY$23)</f>
        <v>5.3363716213164915E-2</v>
      </c>
      <c r="BT46" s="8"/>
      <c r="BU46"/>
      <c r="BV46" s="8">
        <v>8</v>
      </c>
      <c r="BW46" s="8">
        <f t="shared" si="42"/>
        <v>0.18432313147233864</v>
      </c>
      <c r="BX46" s="8">
        <v>-1.0401750870720209E-2</v>
      </c>
      <c r="BY46" s="8">
        <f t="shared" si="43"/>
        <v>0.20616701789183017</v>
      </c>
      <c r="BZ46" s="8">
        <v>5.0525333285568484E-2</v>
      </c>
      <c r="CA46" s="8">
        <f t="shared" si="29"/>
        <v>0.19524507468208441</v>
      </c>
      <c r="CB46" s="8">
        <v>2.1184887961997252E-2</v>
      </c>
      <c r="CC46" s="8">
        <f t="shared" si="30"/>
        <v>-2.2035992680481499E-4</v>
      </c>
      <c r="CD46" s="8">
        <f t="shared" si="31"/>
        <v>1.0703735248973388E-3</v>
      </c>
      <c r="CE46" s="8">
        <f t="shared" si="32"/>
        <v>2.1843886419491532E-2</v>
      </c>
      <c r="CF46"/>
      <c r="CG46" s="8">
        <v>8</v>
      </c>
      <c r="CH46" s="8">
        <f t="shared" si="44"/>
        <v>0.16247924505284711</v>
      </c>
      <c r="CI46" s="8">
        <v>-3.1610563012815028E-2</v>
      </c>
      <c r="CJ46" s="8">
        <f t="shared" si="45"/>
        <v>0.18432313147233864</v>
      </c>
      <c r="CK46" s="8">
        <v>2.9437126522311823E-2</v>
      </c>
      <c r="CL46" s="8">
        <f t="shared" si="33"/>
        <v>0.17340118826259288</v>
      </c>
      <c r="CM46" s="8">
        <v>1.8699008877460545E-4</v>
      </c>
      <c r="CN46" s="8">
        <f t="shared" si="34"/>
        <v>-5.9108619839815412E-6</v>
      </c>
      <c r="CO46" s="8">
        <f t="shared" si="35"/>
        <v>5.5044509016763804E-6</v>
      </c>
      <c r="CP46" s="8">
        <f t="shared" si="36"/>
        <v>2.1843886419491532E-2</v>
      </c>
      <c r="CQ46"/>
      <c r="CR46"/>
      <c r="CS46"/>
      <c r="CT46"/>
      <c r="CU46"/>
      <c r="CV46"/>
      <c r="CW46"/>
      <c r="CX46"/>
      <c r="CY46"/>
      <c r="CZ46"/>
      <c r="DA46"/>
    </row>
    <row r="47" spans="2:105" x14ac:dyDescent="0.2">
      <c r="B47" s="20" t="s">
        <v>105</v>
      </c>
      <c r="C47" s="33">
        <v>0.8</v>
      </c>
      <c r="F47" t="s">
        <v>123</v>
      </c>
      <c r="G47" s="1">
        <v>152.4</v>
      </c>
      <c r="H47" t="s">
        <v>14</v>
      </c>
      <c r="J47" s="20" t="s">
        <v>228</v>
      </c>
      <c r="K47" s="20">
        <f xml:space="preserve"> $C$17 * 0.0061182 * $C$18^0.20373 * ($C$6*3.28084)^0.60406 * ($G$9*3.28084)^0.52803 * $C$25^1.00218 * (K46/$C$17)^0.87127 * 0.453592</f>
        <v>3.9829855836566064</v>
      </c>
      <c r="AB47" s="8">
        <v>8</v>
      </c>
      <c r="AC47" s="8">
        <f t="shared" si="46"/>
        <v>5.078125E-2</v>
      </c>
      <c r="AD47" s="8">
        <f t="shared" si="27"/>
        <v>1.0845467389773641E-3</v>
      </c>
      <c r="AE47" s="8">
        <f t="shared" si="47"/>
        <v>5.46875E-2</v>
      </c>
      <c r="AF47" s="8">
        <f t="shared" si="37"/>
        <v>-2.8701301355761183E-3</v>
      </c>
      <c r="AG47" s="8">
        <f t="shared" si="38"/>
        <v>5.2734375E-2</v>
      </c>
      <c r="AH47" s="8">
        <f t="shared" si="28"/>
        <v>-8.9238360652245385E-4</v>
      </c>
      <c r="AI47" s="8">
        <f t="shared" si="39"/>
        <v>-9.6783173037078654E-7</v>
      </c>
      <c r="AJ47" s="8">
        <f t="shared" si="40"/>
        <v>2.561257081574196E-6</v>
      </c>
      <c r="AK47" s="8">
        <f t="shared" si="41"/>
        <v>3.90625E-3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 s="8" t="s">
        <v>270</v>
      </c>
      <c r="BO47" s="8">
        <f>IF(-$AY$8*($BC$3-$AY$22)/(2*$AY$22*SIN(BO42))&gt;500, 1, 2*ACOS(MIN(1, EXP(-$AY$8*($BC$3-$AY$22)/(2*$AY$22*SIN(BO42)))))/PI() )</f>
        <v>0.97835518326401305</v>
      </c>
      <c r="BP47" s="8"/>
      <c r="BQ47" s="8"/>
      <c r="BR47" s="8" t="s">
        <v>270</v>
      </c>
      <c r="BS47" s="8">
        <f>IF(-$AY$8*($BC$3-$AY$23)/(2*$AY$23*SIN(BS42))&gt;500, 1, 2*ACOS(MIN(1, EXP(-$AY$8*($BC$3-$AY$23)/(2*$AY$23*SIN(BS42)))))/PI() )</f>
        <v>0.92337472227762463</v>
      </c>
      <c r="BT47" s="8"/>
      <c r="BU47"/>
      <c r="BV47" s="8">
        <v>9</v>
      </c>
      <c r="BW47" s="8">
        <f t="shared" si="42"/>
        <v>0.18432313147233864</v>
      </c>
      <c r="BX47" s="8">
        <v>-1.0401750870720209E-2</v>
      </c>
      <c r="BY47" s="8">
        <f t="shared" si="43"/>
        <v>0.19524507468208441</v>
      </c>
      <c r="BZ47" s="8">
        <v>2.1184887961997252E-2</v>
      </c>
      <c r="CA47" s="8">
        <f t="shared" si="29"/>
        <v>0.18978410307721152</v>
      </c>
      <c r="CB47" s="8">
        <v>5.6968684062973455E-3</v>
      </c>
      <c r="CC47" s="8">
        <f t="shared" si="30"/>
        <v>-5.9257405905581863E-5</v>
      </c>
      <c r="CD47" s="8">
        <f t="shared" si="31"/>
        <v>1.2068751892165111E-4</v>
      </c>
      <c r="CE47" s="8">
        <f t="shared" si="32"/>
        <v>1.0921943209745766E-2</v>
      </c>
      <c r="CF47"/>
      <c r="CG47" s="8">
        <v>9</v>
      </c>
      <c r="CH47" s="8">
        <f t="shared" si="44"/>
        <v>0.16247924505284711</v>
      </c>
      <c r="CI47" s="8">
        <v>-3.1610563012815028E-2</v>
      </c>
      <c r="CJ47" s="8">
        <f t="shared" si="45"/>
        <v>0.17340118826259288</v>
      </c>
      <c r="CK47" s="8">
        <v>1.8699008877460545E-4</v>
      </c>
      <c r="CL47" s="8">
        <f t="shared" si="33"/>
        <v>0.16794021665771999</v>
      </c>
      <c r="CM47" s="8">
        <v>-1.5362019409451991E-2</v>
      </c>
      <c r="CN47" s="8">
        <f t="shared" si="34"/>
        <v>4.8560208254656964E-4</v>
      </c>
      <c r="CO47" s="8">
        <f t="shared" si="35"/>
        <v>-2.8725453731306398E-6</v>
      </c>
      <c r="CP47" s="8">
        <f t="shared" si="36"/>
        <v>1.0921943209745766E-2</v>
      </c>
      <c r="CQ47"/>
      <c r="CR47"/>
      <c r="CS47"/>
      <c r="CT47"/>
      <c r="CU47"/>
      <c r="CV47"/>
      <c r="CW47"/>
      <c r="CX47"/>
      <c r="CY47"/>
      <c r="CZ47"/>
      <c r="DA47"/>
    </row>
    <row r="48" spans="2:105" x14ac:dyDescent="0.2">
      <c r="F48" t="s">
        <v>115</v>
      </c>
      <c r="G48" s="20">
        <f xml:space="preserve"> 1/1000 * IF($G$46&gt;= 2*SQRT(($C$5*$C$46)/(2*$C$44*$C$17*PI()*$C$6*$C$6)), ($C$5*$C$46)/$C$20 * ( ($G$46/2) - SQRT( ($G$46/2)^2 - ($C$5*$C$46)/(2*$C$44*$C$17*PI()*$C$6*$C$6 ) ) ), 1/$C$20 * SQRT(($C$5*$C$46)^3/(2*$C$44*$C$17*PI()*$C$6*$C$6)) )</f>
        <v>226.88844594044485</v>
      </c>
      <c r="H48" t="s">
        <v>162</v>
      </c>
      <c r="AB48" s="8">
        <v>9</v>
      </c>
      <c r="AC48" s="8">
        <f t="shared" si="46"/>
        <v>5.078125E-2</v>
      </c>
      <c r="AD48" s="8">
        <f t="shared" si="27"/>
        <v>1.0845467389773641E-3</v>
      </c>
      <c r="AE48" s="8">
        <f t="shared" si="47"/>
        <v>5.2734375E-2</v>
      </c>
      <c r="AF48" s="8">
        <f t="shared" si="37"/>
        <v>-8.9238360652245385E-4</v>
      </c>
      <c r="AG48" s="8">
        <f t="shared" si="38"/>
        <v>5.17578125E-2</v>
      </c>
      <c r="AH48" s="8">
        <f t="shared" si="28"/>
        <v>9.618411934499832E-5</v>
      </c>
      <c r="AI48" s="8">
        <f t="shared" si="39"/>
        <v>1.0431617297702754E-7</v>
      </c>
      <c r="AJ48" s="8">
        <f t="shared" si="40"/>
        <v>-8.5833131311275725E-8</v>
      </c>
      <c r="AK48" s="8">
        <f t="shared" si="41"/>
        <v>1.953125E-3</v>
      </c>
      <c r="AX48" s="8"/>
      <c r="AY48" s="8"/>
      <c r="AZ48" s="42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 s="8" t="s">
        <v>275</v>
      </c>
      <c r="BO48" s="8">
        <f>IF(-$AY$8*($AY$22-$AY$10)/(2*$AY$22*SIN(BO42))&gt;500, 1, 2*ACOS(MIN(1, EXP(-$AY$8*($AY$22-$AY$10)/(2*$AY$22*SIN(BO42)))))/PI() )</f>
        <v>0.99884139193582311</v>
      </c>
      <c r="BP48" s="8"/>
      <c r="BQ48" s="8"/>
      <c r="BR48" s="8" t="s">
        <v>275</v>
      </c>
      <c r="BS48" s="8">
        <f>IF(-$AY$8*($AY$23-$AY$10)/(2*$AY$23*SIN(BS42))&gt;500, 1, 2*ACOS(MIN(1, EXP(-$AY$8*($AY$23-$AY$10)/(2*$AY$23*SIN(BS42)))))/PI() )</f>
        <v>0.99967177178655009</v>
      </c>
      <c r="BT48" s="8"/>
      <c r="BU48"/>
      <c r="BV48" s="8">
        <v>10</v>
      </c>
      <c r="BW48" s="8">
        <f t="shared" si="42"/>
        <v>0.18432313147233864</v>
      </c>
      <c r="BX48" s="8">
        <v>-1.0401750870720209E-2</v>
      </c>
      <c r="BY48" s="8">
        <f t="shared" si="43"/>
        <v>0.18978410307721152</v>
      </c>
      <c r="BZ48" s="8">
        <v>5.6968684062973455E-3</v>
      </c>
      <c r="CA48" s="8">
        <f t="shared" si="29"/>
        <v>0.1870536172747751</v>
      </c>
      <c r="CB48" s="8">
        <v>-2.2727394440542354E-3</v>
      </c>
      <c r="CC48" s="8">
        <f t="shared" si="30"/>
        <v>2.3640469491111306E-5</v>
      </c>
      <c r="CD48" s="8">
        <f t="shared" si="31"/>
        <v>-1.2947497534578368E-5</v>
      </c>
      <c r="CE48" s="8">
        <f t="shared" si="32"/>
        <v>5.4609716048728829E-3</v>
      </c>
      <c r="CF48"/>
      <c r="CG48" s="8">
        <v>10</v>
      </c>
      <c r="CH48" s="8">
        <f t="shared" si="44"/>
        <v>0.16794021665771999</v>
      </c>
      <c r="CI48" s="8">
        <v>-1.5362019409451991E-2</v>
      </c>
      <c r="CJ48" s="8">
        <f t="shared" si="45"/>
        <v>0.17340118826259288</v>
      </c>
      <c r="CK48" s="8">
        <v>1.8699008877460545E-4</v>
      </c>
      <c r="CL48" s="8">
        <f t="shared" si="33"/>
        <v>0.17067070246015642</v>
      </c>
      <c r="CM48" s="8">
        <v>-7.5042984348432581E-3</v>
      </c>
      <c r="CN48" s="8">
        <f t="shared" si="34"/>
        <v>1.1528117821038233E-4</v>
      </c>
      <c r="CO48" s="8">
        <f t="shared" si="35"/>
        <v>-1.4032294305224736E-6</v>
      </c>
      <c r="CP48" s="8">
        <f t="shared" si="36"/>
        <v>5.4609716048728829E-3</v>
      </c>
      <c r="CQ48"/>
      <c r="CR48"/>
      <c r="CS48"/>
      <c r="CT48"/>
      <c r="CU48"/>
      <c r="CV48"/>
      <c r="CW48"/>
      <c r="CX48"/>
      <c r="CY48"/>
      <c r="CZ48"/>
      <c r="DA48"/>
    </row>
    <row r="49" spans="2:105" x14ac:dyDescent="0.2">
      <c r="B49" s="58" t="s">
        <v>27</v>
      </c>
      <c r="C49" s="58"/>
      <c r="D49" s="58"/>
      <c r="F49" t="s">
        <v>30</v>
      </c>
      <c r="G49" s="20">
        <f xml:space="preserve"> $C$5 * $C$46 / $C$17</f>
        <v>3152.8883616459425</v>
      </c>
      <c r="H49" t="s">
        <v>31</v>
      </c>
      <c r="AB49" s="8">
        <v>10</v>
      </c>
      <c r="AC49" s="8">
        <f t="shared" si="46"/>
        <v>5.17578125E-2</v>
      </c>
      <c r="AD49" s="8">
        <f t="shared" si="27"/>
        <v>9.618411934499832E-5</v>
      </c>
      <c r="AE49" s="8">
        <f t="shared" si="47"/>
        <v>5.2734375E-2</v>
      </c>
      <c r="AF49" s="8">
        <f t="shared" si="37"/>
        <v>-8.9238360652245385E-4</v>
      </c>
      <c r="AG49" s="8">
        <f t="shared" si="38"/>
        <v>5.224609375E-2</v>
      </c>
      <c r="AH49" s="8">
        <f t="shared" si="28"/>
        <v>-3.9807417100225229E-4</v>
      </c>
      <c r="AI49" s="8">
        <f t="shared" si="39"/>
        <v>-3.8288413571841903E-8</v>
      </c>
      <c r="AJ49" s="8">
        <f t="shared" si="40"/>
        <v>3.552348643824259E-7</v>
      </c>
      <c r="AK49" s="8">
        <f t="shared" si="41"/>
        <v>9.765625E-4</v>
      </c>
      <c r="AX49" s="8"/>
      <c r="AY49" s="8"/>
      <c r="AZ49" s="42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 s="8" t="s">
        <v>279</v>
      </c>
      <c r="BO49" s="8">
        <f>IF(BO42=0,1,BO47*BO48)</f>
        <v>0.97722165305905406</v>
      </c>
      <c r="BP49" s="8"/>
      <c r="BQ49" s="8"/>
      <c r="BR49" s="8" t="s">
        <v>279</v>
      </c>
      <c r="BS49" s="8">
        <f>IF(BS42=0,1,BS47*BS48)</f>
        <v>0.92307164464218661</v>
      </c>
      <c r="BT49" s="8"/>
      <c r="BU49"/>
      <c r="BV49" s="8">
        <v>11</v>
      </c>
      <c r="BW49" s="8">
        <f t="shared" si="42"/>
        <v>0.1870536172747751</v>
      </c>
      <c r="BX49" s="8">
        <v>-2.2727394440542354E-3</v>
      </c>
      <c r="BY49" s="8">
        <f t="shared" si="43"/>
        <v>0.18978410307721152</v>
      </c>
      <c r="BZ49" s="8">
        <v>5.6968684062973455E-3</v>
      </c>
      <c r="CA49" s="8">
        <f t="shared" si="29"/>
        <v>0.1884188601759933</v>
      </c>
      <c r="CB49" s="8">
        <v>1.7315526504773932E-3</v>
      </c>
      <c r="CC49" s="8">
        <f t="shared" si="30"/>
        <v>-3.9353680081966282E-6</v>
      </c>
      <c r="CD49" s="8">
        <f t="shared" si="31"/>
        <v>9.864427588345091E-6</v>
      </c>
      <c r="CE49" s="8">
        <f t="shared" si="32"/>
        <v>2.7304858024364276E-3</v>
      </c>
      <c r="CF49"/>
      <c r="CG49" s="8">
        <v>11</v>
      </c>
      <c r="CH49" s="8">
        <f t="shared" si="44"/>
        <v>0.17067070246015642</v>
      </c>
      <c r="CI49" s="8">
        <v>-7.5042984348432581E-3</v>
      </c>
      <c r="CJ49" s="8">
        <f t="shared" si="45"/>
        <v>0.17340118826259288</v>
      </c>
      <c r="CK49" s="8">
        <v>1.8699008877460545E-4</v>
      </c>
      <c r="CL49" s="8">
        <f t="shared" si="33"/>
        <v>0.17203594536137465</v>
      </c>
      <c r="CM49" s="8">
        <v>-3.6383494685670557E-3</v>
      </c>
      <c r="CN49" s="8">
        <f t="shared" si="34"/>
        <v>2.7303260222380556E-5</v>
      </c>
      <c r="CO49" s="8">
        <f t="shared" si="35"/>
        <v>-6.8033529012039226E-7</v>
      </c>
      <c r="CP49" s="8">
        <f t="shared" si="36"/>
        <v>2.7304858024364553E-3</v>
      </c>
      <c r="CQ49"/>
      <c r="CR49"/>
      <c r="CS49"/>
      <c r="CT49"/>
      <c r="CU49"/>
      <c r="CV49"/>
      <c r="CW49"/>
      <c r="CX49"/>
      <c r="CY49"/>
      <c r="CZ49"/>
      <c r="DA49"/>
    </row>
    <row r="50" spans="2:105" x14ac:dyDescent="0.2">
      <c r="B50" s="20" t="s">
        <v>28</v>
      </c>
      <c r="C50" s="33">
        <v>30</v>
      </c>
      <c r="F50" t="s">
        <v>122</v>
      </c>
      <c r="G50" s="24">
        <f>$G$47/$G$46</f>
        <v>100</v>
      </c>
      <c r="H50" t="s">
        <v>22</v>
      </c>
      <c r="AB50" s="8">
        <v>11</v>
      </c>
      <c r="AC50" s="8">
        <f t="shared" si="46"/>
        <v>5.17578125E-2</v>
      </c>
      <c r="AD50" s="8">
        <f t="shared" si="27"/>
        <v>9.618411934499832E-5</v>
      </c>
      <c r="AE50" s="8">
        <f t="shared" si="47"/>
        <v>5.224609375E-2</v>
      </c>
      <c r="AF50" s="8">
        <f t="shared" si="37"/>
        <v>-3.9807417100225229E-4</v>
      </c>
      <c r="AG50" s="8">
        <f t="shared" si="38"/>
        <v>5.2001953125E-2</v>
      </c>
      <c r="AH50" s="8">
        <f t="shared" si="28"/>
        <v>-1.5093862443388978E-4</v>
      </c>
      <c r="AI50" s="8">
        <f t="shared" si="39"/>
        <v>-1.4517898666319133E-8</v>
      </c>
      <c r="AJ50" s="8">
        <f t="shared" si="40"/>
        <v>6.008476779374097E-8</v>
      </c>
      <c r="AK50" s="8">
        <f t="shared" si="41"/>
        <v>4.8828125E-4</v>
      </c>
      <c r="AX50" s="8"/>
      <c r="AY50" s="8"/>
      <c r="AZ50" s="42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 s="8" t="s">
        <v>283</v>
      </c>
      <c r="BO50" s="8">
        <f>IF(BO45&lt;$BG$42, $BC$43*BO45^2 + $BD$43*BO45 + $BE$43, IF(BO45&gt;$BH$42, $BI$43*BO45^2 + $BJ$43*BO45 + $BK$43, $BF$43*BO45^2 + $BG$43*BO45 + $BH$43))</f>
        <v>1.1903634009685611</v>
      </c>
      <c r="BP50" s="8"/>
      <c r="BQ50" s="8"/>
      <c r="BR50" s="8" t="s">
        <v>283</v>
      </c>
      <c r="BS50" s="8">
        <f>IF(BS45&lt;$BG$42, $BC$43*BS45^2 + $BD$43*BS45 + $BE$43, IF(BS45&gt;$BH$42, $BI$43*BS45^2 + $BJ$43*BS45 + $BK$43, $BF$43*BS45^2 + $BG$43*BS45 + $BH$43))</f>
        <v>1.3019760421375197</v>
      </c>
      <c r="BT50" s="8"/>
      <c r="BU50"/>
      <c r="BV50" s="8">
        <v>12</v>
      </c>
      <c r="BW50" s="8">
        <f t="shared" si="42"/>
        <v>0.1870536172747751</v>
      </c>
      <c r="BX50" s="8">
        <v>-2.2727394440542354E-3</v>
      </c>
      <c r="BY50" s="8">
        <f t="shared" si="43"/>
        <v>0.1884188601759933</v>
      </c>
      <c r="BZ50" s="8">
        <v>1.7315526504773932E-3</v>
      </c>
      <c r="CA50" s="8">
        <f t="shared" si="29"/>
        <v>0.1877362387253842</v>
      </c>
      <c r="CB50" s="8">
        <v>-2.6566768047582394E-4</v>
      </c>
      <c r="CC50" s="8">
        <f t="shared" si="30"/>
        <v>6.0379341642780234E-7</v>
      </c>
      <c r="CD50" s="8">
        <f t="shared" si="31"/>
        <v>-4.6001757627409415E-7</v>
      </c>
      <c r="CE50" s="8">
        <f t="shared" si="32"/>
        <v>1.3652429012181999E-3</v>
      </c>
      <c r="CF50"/>
      <c r="CG50" s="8">
        <v>12</v>
      </c>
      <c r="CH50" s="8">
        <f t="shared" si="44"/>
        <v>0.17203594536137465</v>
      </c>
      <c r="CI50" s="8">
        <v>-3.6383494685670557E-3</v>
      </c>
      <c r="CJ50" s="8">
        <f t="shared" si="45"/>
        <v>0.17340118826259288</v>
      </c>
      <c r="CK50" s="8">
        <v>1.8699008877460545E-4</v>
      </c>
      <c r="CL50" s="8">
        <f t="shared" si="33"/>
        <v>0.17271856681198378</v>
      </c>
      <c r="CM50" s="8">
        <v>-1.7206642351059861E-3</v>
      </c>
      <c r="CN50" s="8">
        <f t="shared" si="34"/>
        <v>6.2603778053802044E-6</v>
      </c>
      <c r="CO50" s="8">
        <f t="shared" si="35"/>
        <v>-3.2174715807375692E-7</v>
      </c>
      <c r="CP50" s="8">
        <f t="shared" si="36"/>
        <v>1.3652429012182277E-3</v>
      </c>
      <c r="CQ50"/>
      <c r="CR50"/>
      <c r="CS50"/>
      <c r="CT50"/>
      <c r="CU50"/>
      <c r="CV50"/>
      <c r="CW50"/>
      <c r="CX50"/>
      <c r="CY50"/>
      <c r="CZ50"/>
      <c r="DA50"/>
    </row>
    <row r="51" spans="2:105" x14ac:dyDescent="0.2">
      <c r="F51" t="s">
        <v>214</v>
      </c>
      <c r="G51" s="24">
        <f>$C$9*2*PI()*$C$6/60 * $C$6</f>
        <v>169.64600329384885</v>
      </c>
      <c r="H51" s="20" t="s">
        <v>16</v>
      </c>
      <c r="AB51" s="8">
        <v>12</v>
      </c>
      <c r="AC51" s="8">
        <f t="shared" si="46"/>
        <v>5.17578125E-2</v>
      </c>
      <c r="AD51" s="8">
        <f t="shared" si="27"/>
        <v>9.618411934499832E-5</v>
      </c>
      <c r="AE51" s="8">
        <f t="shared" si="47"/>
        <v>5.2001953125E-2</v>
      </c>
      <c r="AF51" s="8">
        <f t="shared" si="37"/>
        <v>-1.5093862443388978E-4</v>
      </c>
      <c r="AG51" s="8">
        <f t="shared" si="38"/>
        <v>5.18798828125E-2</v>
      </c>
      <c r="AH51" s="8">
        <f t="shared" si="28"/>
        <v>-2.7375651167928228E-5</v>
      </c>
      <c r="AI51" s="8">
        <f t="shared" si="39"/>
        <v>-2.6331028990830513E-9</v>
      </c>
      <c r="AJ51" s="8">
        <f t="shared" si="40"/>
        <v>4.1320431302690945E-9</v>
      </c>
      <c r="AK51" s="8">
        <f t="shared" si="41"/>
        <v>2.44140625E-4</v>
      </c>
      <c r="AX51" s="8"/>
      <c r="AY51" s="8"/>
      <c r="AZ51" s="42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s="8" t="s">
        <v>284</v>
      </c>
      <c r="BO51" s="8">
        <f>IF(BO45&lt;$BG$42, $BC$44*BO45^2 + $BD$44*BO45 + $BE$44, IF(BO45&gt;$BH$42, $BI$44*BO45^2 + $BJ$44*BO45 + $BK$44, $BF$44*BO45^2 + $BG$44*BO45 + $BH$44))</f>
        <v>1.3240183982495029E-2</v>
      </c>
      <c r="BP51" s="8"/>
      <c r="BQ51" s="8"/>
      <c r="BR51" s="8" t="s">
        <v>284</v>
      </c>
      <c r="BS51" s="8">
        <f>IF(BS45&lt;$BG$42, $BC$44*BS45^2 + $BD$44*BS45 + $BE$44, IF(BS45&gt;$BH$42, $BI$44*BS45^2 + $BJ$44*BS45 + $BK$44, $BF$44*BS45^2 + $BG$44*BS45 + $BH$44))</f>
        <v>1.5741767873759804E-2</v>
      </c>
      <c r="BT51" s="8"/>
      <c r="BU51"/>
      <c r="BV51" s="8">
        <v>13</v>
      </c>
      <c r="BW51" s="8">
        <f t="shared" si="42"/>
        <v>0.1877362387253842</v>
      </c>
      <c r="BX51" s="8">
        <v>-2.6566768047582394E-4</v>
      </c>
      <c r="BY51" s="8">
        <f t="shared" si="43"/>
        <v>0.1884188601759933</v>
      </c>
      <c r="BZ51" s="8">
        <v>1.7315526504773932E-3</v>
      </c>
      <c r="CA51" s="8">
        <f t="shared" si="29"/>
        <v>0.18807754945068875</v>
      </c>
      <c r="CB51" s="8">
        <v>7.3416714443373318E-4</v>
      </c>
      <c r="CC51" s="8">
        <f t="shared" si="30"/>
        <v>-1.9504448234326911E-7</v>
      </c>
      <c r="CD51" s="8">
        <f t="shared" si="31"/>
        <v>1.2712490648376498E-6</v>
      </c>
      <c r="CE51" s="8">
        <f t="shared" si="32"/>
        <v>6.8262145060909996E-4</v>
      </c>
      <c r="CF51"/>
      <c r="CG51" s="8">
        <v>13</v>
      </c>
      <c r="CH51" s="8">
        <f t="shared" si="44"/>
        <v>0.17271856681198378</v>
      </c>
      <c r="CI51" s="8">
        <v>-1.7206642351059861E-3</v>
      </c>
      <c r="CJ51" s="8">
        <f t="shared" si="45"/>
        <v>0.17340118826259288</v>
      </c>
      <c r="CK51" s="8">
        <v>1.8699008877460545E-4</v>
      </c>
      <c r="CL51" s="8">
        <f t="shared" si="33"/>
        <v>0.17305987753728833</v>
      </c>
      <c r="CM51" s="8">
        <v>-7.6559069660676014E-4</v>
      </c>
      <c r="CN51" s="8">
        <f t="shared" si="34"/>
        <v>1.31732453038113E-6</v>
      </c>
      <c r="CO51" s="8">
        <f t="shared" si="35"/>
        <v>-1.431578723235101E-7</v>
      </c>
      <c r="CP51" s="8">
        <f t="shared" si="36"/>
        <v>6.8262145060909996E-4</v>
      </c>
      <c r="CQ51"/>
      <c r="CR51"/>
      <c r="CS51"/>
      <c r="CT51"/>
      <c r="CU51"/>
      <c r="CV51"/>
      <c r="CW51"/>
      <c r="CX51"/>
      <c r="CY51"/>
      <c r="CZ51"/>
      <c r="DA51"/>
    </row>
    <row r="52" spans="2:105" x14ac:dyDescent="0.2">
      <c r="B52"/>
      <c r="C52"/>
      <c r="D52"/>
      <c r="F52" s="20" t="s">
        <v>217</v>
      </c>
      <c r="G52" s="20">
        <f>G51/$C$45</f>
        <v>0.49834908845015763</v>
      </c>
      <c r="H52" s="20" t="s">
        <v>215</v>
      </c>
      <c r="AB52" s="8">
        <v>13</v>
      </c>
      <c r="AC52" s="8">
        <f t="shared" si="46"/>
        <v>5.17578125E-2</v>
      </c>
      <c r="AD52" s="8">
        <f t="shared" si="27"/>
        <v>9.618411934499832E-5</v>
      </c>
      <c r="AE52" s="8">
        <f t="shared" si="47"/>
        <v>5.18798828125E-2</v>
      </c>
      <c r="AF52" s="8">
        <f t="shared" si="37"/>
        <v>-2.7375651167928228E-5</v>
      </c>
      <c r="AG52" s="8">
        <f t="shared" si="38"/>
        <v>5.181884765625E-2</v>
      </c>
      <c r="AH52" s="8">
        <f t="shared" si="28"/>
        <v>3.4404634560947223E-5</v>
      </c>
      <c r="AI52" s="8">
        <f t="shared" si="39"/>
        <v>3.3091794766312016E-9</v>
      </c>
      <c r="AJ52" s="8">
        <f t="shared" si="40"/>
        <v>-9.4184927430053875E-10</v>
      </c>
      <c r="AK52" s="8">
        <f t="shared" si="41"/>
        <v>1.220703125E-4</v>
      </c>
      <c r="AX52" s="8"/>
      <c r="AY52" s="8"/>
      <c r="AZ52" s="4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 s="8" t="s">
        <v>286</v>
      </c>
      <c r="BO52" s="8">
        <f xml:space="preserve"> BO50*COS(BO42) - BO51*SIN(BO42)</f>
        <v>1.1732164226576443</v>
      </c>
      <c r="BP52" s="8"/>
      <c r="BQ52" s="8"/>
      <c r="BR52" s="8" t="s">
        <v>286</v>
      </c>
      <c r="BS52" s="8">
        <f xml:space="preserve"> BS50*COS(BS42) - BS51*SIN(BS42)</f>
        <v>1.2869762607280593</v>
      </c>
      <c r="BT52" s="8"/>
      <c r="BU52"/>
      <c r="BV52" s="8">
        <v>14</v>
      </c>
      <c r="BW52" s="8">
        <f t="shared" si="42"/>
        <v>0.1877362387253842</v>
      </c>
      <c r="BX52" s="8">
        <v>-2.6566768047582394E-4</v>
      </c>
      <c r="BY52" s="8">
        <f t="shared" si="43"/>
        <v>0.18807754945068875</v>
      </c>
      <c r="BZ52" s="8">
        <v>7.3416714443373318E-4</v>
      </c>
      <c r="CA52" s="8">
        <f t="shared" si="29"/>
        <v>0.18790689408803646</v>
      </c>
      <c r="CB52" s="8">
        <v>2.34556739230821E-4</v>
      </c>
      <c r="CC52" s="8">
        <f t="shared" si="30"/>
        <v>-6.231414485142491E-8</v>
      </c>
      <c r="CD52" s="8">
        <f t="shared" si="31"/>
        <v>1.7220385144877964E-7</v>
      </c>
      <c r="CE52" s="8">
        <f t="shared" si="32"/>
        <v>3.4131072530454998E-4</v>
      </c>
      <c r="CF52"/>
      <c r="CG52" s="8">
        <v>14</v>
      </c>
      <c r="CH52" s="8">
        <f t="shared" si="44"/>
        <v>0.17305987753728833</v>
      </c>
      <c r="CI52" s="8">
        <v>-7.6559069660676014E-4</v>
      </c>
      <c r="CJ52" s="8">
        <f t="shared" si="45"/>
        <v>0.17340118826259288</v>
      </c>
      <c r="CK52" s="8">
        <v>1.8699008877460545E-4</v>
      </c>
      <c r="CL52" s="8">
        <f t="shared" si="33"/>
        <v>0.17323053289994061</v>
      </c>
      <c r="CM52" s="8">
        <v>-2.889896393225809E-4</v>
      </c>
      <c r="CN52" s="8">
        <f t="shared" si="34"/>
        <v>2.2124777928111109E-7</v>
      </c>
      <c r="CO52" s="8">
        <f t="shared" si="35"/>
        <v>-5.403819831187061E-8</v>
      </c>
      <c r="CP52" s="8">
        <f t="shared" si="36"/>
        <v>3.4131072530454998E-4</v>
      </c>
      <c r="CQ52"/>
      <c r="CR52"/>
      <c r="CS52"/>
      <c r="CT52"/>
      <c r="CU52"/>
      <c r="CV52"/>
      <c r="CW52"/>
      <c r="CX52"/>
      <c r="CY52"/>
      <c r="CZ52"/>
      <c r="DA52"/>
    </row>
    <row r="53" spans="2:105" x14ac:dyDescent="0.2">
      <c r="AB53" s="8">
        <v>14</v>
      </c>
      <c r="AC53" s="8">
        <f t="shared" si="46"/>
        <v>5.181884765625E-2</v>
      </c>
      <c r="AD53" s="8">
        <f t="shared" si="27"/>
        <v>3.4404634560947223E-5</v>
      </c>
      <c r="AE53" s="8">
        <f t="shared" si="47"/>
        <v>5.18798828125E-2</v>
      </c>
      <c r="AF53" s="8">
        <f t="shared" si="37"/>
        <v>-2.7375651167928228E-5</v>
      </c>
      <c r="AG53" s="8">
        <f t="shared" si="38"/>
        <v>5.1849365234375E-2</v>
      </c>
      <c r="AH53" s="8">
        <f t="shared" si="28"/>
        <v>3.5145917985784925E-6</v>
      </c>
      <c r="AI53" s="8">
        <f t="shared" si="39"/>
        <v>1.2091824646099527E-10</v>
      </c>
      <c r="AJ53" s="8">
        <f t="shared" si="40"/>
        <v>-9.6214239075546283E-11</v>
      </c>
      <c r="AK53" s="8">
        <f t="shared" si="41"/>
        <v>6.103515625E-5</v>
      </c>
      <c r="AX53" s="8"/>
      <c r="AY53" s="8"/>
      <c r="AZ53" s="42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 s="8" t="s">
        <v>288</v>
      </c>
      <c r="BO53" s="8">
        <f xml:space="preserve"> BO50*SIN(BO42) + BO51*COS(BO42)</f>
        <v>0.20175121918771527</v>
      </c>
      <c r="BP53" s="8"/>
      <c r="BQ53" s="8"/>
      <c r="BR53" s="8" t="s">
        <v>288</v>
      </c>
      <c r="BS53" s="8">
        <f xml:space="preserve"> BS50*SIN(BS42) + BS51*COS(BS42)</f>
        <v>0.19769046987220815</v>
      </c>
      <c r="BT53" s="8"/>
      <c r="BU53"/>
      <c r="BV53" s="8">
        <v>15</v>
      </c>
      <c r="BW53" s="8">
        <f t="shared" si="42"/>
        <v>0.1877362387253842</v>
      </c>
      <c r="BX53" s="8">
        <v>-2.6566768047582394E-4</v>
      </c>
      <c r="BY53" s="8">
        <f t="shared" si="43"/>
        <v>0.18790689408803646</v>
      </c>
      <c r="BZ53" s="8">
        <v>2.34556739230821E-4</v>
      </c>
      <c r="CA53" s="8">
        <f t="shared" si="29"/>
        <v>0.18782156640671033</v>
      </c>
      <c r="CB53" s="8">
        <v>-1.5478613178172493E-5</v>
      </c>
      <c r="CC53" s="8">
        <f t="shared" si="30"/>
        <v>4.1121672600276072E-9</v>
      </c>
      <c r="CD53" s="8">
        <f t="shared" si="31"/>
        <v>-3.6306130348873551E-9</v>
      </c>
      <c r="CE53" s="8">
        <f t="shared" si="32"/>
        <v>1.7065536265226111E-4</v>
      </c>
      <c r="CF53"/>
      <c r="CG53" s="8">
        <v>15</v>
      </c>
      <c r="CH53" s="8">
        <f t="shared" si="44"/>
        <v>0.17323053289994061</v>
      </c>
      <c r="CI53" s="8">
        <v>-2.889896393225809E-4</v>
      </c>
      <c r="CJ53" s="8">
        <f t="shared" si="45"/>
        <v>0.17340118826259288</v>
      </c>
      <c r="CK53" s="8">
        <v>1.8699008877460545E-4</v>
      </c>
      <c r="CL53" s="8">
        <f t="shared" si="33"/>
        <v>0.17331586058126675</v>
      </c>
      <c r="CM53" s="8">
        <v>-5.0922224925222664E-5</v>
      </c>
      <c r="CN53" s="8">
        <f t="shared" si="34"/>
        <v>1.4715995414643437E-8</v>
      </c>
      <c r="CO53" s="8">
        <f t="shared" si="35"/>
        <v>-9.5219513593678115E-9</v>
      </c>
      <c r="CP53" s="8">
        <f t="shared" si="36"/>
        <v>1.7065536265226111E-4</v>
      </c>
      <c r="CQ53"/>
      <c r="CR53"/>
      <c r="CS53"/>
      <c r="CT53"/>
      <c r="CU53"/>
      <c r="CV53"/>
      <c r="CW53"/>
      <c r="CX53"/>
      <c r="CY53"/>
      <c r="CZ53"/>
      <c r="DA53"/>
    </row>
    <row r="54" spans="2:105" x14ac:dyDescent="0.2">
      <c r="AB54" s="8">
        <v>15</v>
      </c>
      <c r="AC54" s="8">
        <f t="shared" si="46"/>
        <v>5.1849365234375E-2</v>
      </c>
      <c r="AD54" s="8">
        <f t="shared" si="27"/>
        <v>3.5145917985784925E-6</v>
      </c>
      <c r="AE54" s="8">
        <f t="shared" si="47"/>
        <v>5.18798828125E-2</v>
      </c>
      <c r="AF54" s="8">
        <f t="shared" si="37"/>
        <v>-2.7375651167928228E-5</v>
      </c>
      <c r="AG54" s="8">
        <f t="shared" si="38"/>
        <v>5.18646240234375E-2</v>
      </c>
      <c r="AH54" s="8">
        <f t="shared" si="28"/>
        <v>-1.1930504661153418E-5</v>
      </c>
      <c r="AI54" s="8">
        <f t="shared" si="39"/>
        <v>-4.1930853834992279E-11</v>
      </c>
      <c r="AJ54" s="8">
        <f t="shared" si="40"/>
        <v>3.2660533386107774E-10</v>
      </c>
      <c r="AK54" s="8">
        <f t="shared" si="41"/>
        <v>3.0517578125E-5</v>
      </c>
      <c r="AX54" s="8"/>
      <c r="AY54" s="8"/>
      <c r="AZ54" s="42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 s="8" t="s">
        <v>51</v>
      </c>
      <c r="BO54" s="8">
        <f xml:space="preserve"> 4*BO49*SIN(BO42)*SIN(BO42) / (BO46*BO52)</f>
        <v>1.0518894779792061</v>
      </c>
      <c r="BP54" s="8"/>
      <c r="BQ54" s="8"/>
      <c r="BR54" s="8" t="s">
        <v>51</v>
      </c>
      <c r="BS54" s="8">
        <f xml:space="preserve"> 4*BS49*SIN(BS42)*SIN(BS42) / (BS46*BS52)</f>
        <v>1.0517417352528831</v>
      </c>
      <c r="BT54" s="8"/>
      <c r="BU54"/>
      <c r="BV54" s="8">
        <v>16</v>
      </c>
      <c r="BW54" s="8">
        <f t="shared" si="42"/>
        <v>0.18782156640671033</v>
      </c>
      <c r="BX54" s="8">
        <v>-1.5478613178172493E-5</v>
      </c>
      <c r="BY54" s="8">
        <f t="shared" si="43"/>
        <v>0.18790689408803646</v>
      </c>
      <c r="BZ54" s="8">
        <v>2.34556739230821E-4</v>
      </c>
      <c r="CA54" s="8">
        <f t="shared" si="29"/>
        <v>0.18786423024737339</v>
      </c>
      <c r="CB54" s="8">
        <v>1.0955826416856294E-4</v>
      </c>
      <c r="CC54" s="8">
        <f t="shared" si="30"/>
        <v>-1.6958099915372216E-9</v>
      </c>
      <c r="CD54" s="8">
        <f t="shared" si="31"/>
        <v>2.569762919916702E-8</v>
      </c>
      <c r="CE54" s="8">
        <f t="shared" si="32"/>
        <v>8.5327681326130556E-5</v>
      </c>
      <c r="CF54"/>
      <c r="CG54" s="8">
        <v>16</v>
      </c>
      <c r="CH54" s="8">
        <f t="shared" si="44"/>
        <v>0.17331586058126675</v>
      </c>
      <c r="CI54" s="8">
        <v>-5.0922224925222664E-5</v>
      </c>
      <c r="CJ54" s="8">
        <f t="shared" si="45"/>
        <v>0.17340118826259288</v>
      </c>
      <c r="CK54" s="8">
        <v>1.8699008877460545E-4</v>
      </c>
      <c r="CL54" s="8">
        <f t="shared" si="33"/>
        <v>0.17335852442192981</v>
      </c>
      <c r="CM54" s="8">
        <v>6.805330506141731E-5</v>
      </c>
      <c r="CN54" s="8">
        <f t="shared" si="34"/>
        <v>-3.4654257072422864E-9</v>
      </c>
      <c r="CO54" s="8">
        <f t="shared" si="35"/>
        <v>1.2725293554839729E-8</v>
      </c>
      <c r="CP54" s="8">
        <f t="shared" si="36"/>
        <v>8.5327681326130556E-5</v>
      </c>
      <c r="CQ54"/>
      <c r="CR54"/>
      <c r="CS54"/>
      <c r="CT54"/>
      <c r="CU54"/>
      <c r="CV54"/>
      <c r="CW54"/>
      <c r="CX54"/>
      <c r="CY54"/>
      <c r="CZ54"/>
      <c r="DA54"/>
    </row>
    <row r="55" spans="2:105" x14ac:dyDescent="0.2">
      <c r="AB55" s="8">
        <v>16</v>
      </c>
      <c r="AC55" s="8">
        <f t="shared" si="46"/>
        <v>5.1849365234375E-2</v>
      </c>
      <c r="AD55" s="8">
        <f t="shared" si="27"/>
        <v>3.5145917985784925E-6</v>
      </c>
      <c r="AE55" s="8">
        <f t="shared" si="47"/>
        <v>5.18646240234375E-2</v>
      </c>
      <c r="AF55" s="8">
        <f t="shared" si="37"/>
        <v>-1.1930504661153418E-5</v>
      </c>
      <c r="AG55" s="8">
        <f t="shared" si="38"/>
        <v>5.185699462890625E-2</v>
      </c>
      <c r="AH55" s="8">
        <f t="shared" si="28"/>
        <v>-4.2079501751529635E-6</v>
      </c>
      <c r="AI55" s="8">
        <f t="shared" si="39"/>
        <v>-1.4789227174419538E-11</v>
      </c>
      <c r="AJ55" s="8">
        <f t="shared" si="40"/>
        <v>5.0202969178563776E-11</v>
      </c>
      <c r="AK55" s="8">
        <f t="shared" si="41"/>
        <v>1.52587890625E-5</v>
      </c>
      <c r="AM55" s="8"/>
      <c r="AX55" s="8"/>
      <c r="AY55" s="8"/>
      <c r="AZ55" s="42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 s="8" t="s">
        <v>290</v>
      </c>
      <c r="BO55" s="8">
        <f xml:space="preserve"> 4*BO49*SIN(BO42)*COS(BO42) / (BO46*BO53)</f>
        <v>38.103437472884593</v>
      </c>
      <c r="BP55" s="8"/>
      <c r="BQ55" s="8"/>
      <c r="BR55" s="8" t="s">
        <v>290</v>
      </c>
      <c r="BS55" s="8">
        <f xml:space="preserve"> 4*BS49*SIN(BS42)*COS(BS42) / (BS46*BS53)</f>
        <v>48.471744889720995</v>
      </c>
      <c r="BT55" s="8"/>
      <c r="BU55"/>
      <c r="BV55" s="8">
        <v>17</v>
      </c>
      <c r="BW55" s="8">
        <f t="shared" si="42"/>
        <v>0.18782156640671033</v>
      </c>
      <c r="BX55" s="8">
        <v>-1.5478613178172493E-5</v>
      </c>
      <c r="BY55" s="8">
        <f t="shared" si="43"/>
        <v>0.18786423024737339</v>
      </c>
      <c r="BZ55" s="8">
        <v>1.0955826416856294E-4</v>
      </c>
      <c r="CA55" s="8">
        <f t="shared" si="29"/>
        <v>0.18784289832704187</v>
      </c>
      <c r="CB55" s="8">
        <v>4.704462743228971E-5</v>
      </c>
      <c r="CC55" s="8">
        <f t="shared" si="30"/>
        <v>-7.2818559013565467E-10</v>
      </c>
      <c r="CD55" s="8">
        <f t="shared" si="31"/>
        <v>5.1541277199384189E-9</v>
      </c>
      <c r="CE55" s="8">
        <f t="shared" si="32"/>
        <v>4.2663840663065278E-5</v>
      </c>
      <c r="CF55"/>
      <c r="CG55" s="8">
        <v>17</v>
      </c>
      <c r="CH55" s="8">
        <f t="shared" si="44"/>
        <v>0.17331586058126675</v>
      </c>
      <c r="CI55" s="8">
        <v>-5.0922224925222664E-5</v>
      </c>
      <c r="CJ55" s="8">
        <f t="shared" si="45"/>
        <v>0.17335852442192981</v>
      </c>
      <c r="CK55" s="8">
        <v>6.805330506141731E-5</v>
      </c>
      <c r="CL55" s="8">
        <f t="shared" si="33"/>
        <v>0.17333719250159829</v>
      </c>
      <c r="CM55" s="8">
        <v>8.5703851575441581E-6</v>
      </c>
      <c r="CN55" s="8">
        <f t="shared" si="34"/>
        <v>-4.3642308068825351E-10</v>
      </c>
      <c r="CO55" s="8">
        <f t="shared" si="35"/>
        <v>5.8324303562019564E-10</v>
      </c>
      <c r="CP55" s="8">
        <f t="shared" si="36"/>
        <v>4.2663840663065278E-5</v>
      </c>
      <c r="CQ55"/>
      <c r="CR55"/>
      <c r="CS55"/>
      <c r="CT55"/>
      <c r="CU55"/>
      <c r="CV55"/>
      <c r="CW55"/>
      <c r="CX55"/>
      <c r="CY55"/>
      <c r="CZ55"/>
      <c r="DA55"/>
    </row>
    <row r="56" spans="2:105" x14ac:dyDescent="0.2">
      <c r="F56" s="25"/>
      <c r="AB56" s="8">
        <v>17</v>
      </c>
      <c r="AC56" s="8">
        <f t="shared" si="46"/>
        <v>5.1849365234375E-2</v>
      </c>
      <c r="AD56" s="8">
        <f t="shared" si="27"/>
        <v>3.5145917985784925E-6</v>
      </c>
      <c r="AE56" s="8">
        <f t="shared" si="47"/>
        <v>5.185699462890625E-2</v>
      </c>
      <c r="AF56" s="8">
        <f t="shared" si="37"/>
        <v>-4.2079501751529635E-6</v>
      </c>
      <c r="AG56" s="8">
        <f t="shared" si="38"/>
        <v>5.1853179931640625E-2</v>
      </c>
      <c r="AH56" s="8">
        <f t="shared" si="28"/>
        <v>-3.4667762422585513E-7</v>
      </c>
      <c r="AI56" s="8">
        <f t="shared" si="39"/>
        <v>-1.2184303348548669E-12</v>
      </c>
      <c r="AJ56" s="8">
        <f t="shared" si="40"/>
        <v>1.4588021695828003E-12</v>
      </c>
      <c r="AK56" s="8">
        <f t="shared" si="41"/>
        <v>7.62939453125E-6</v>
      </c>
      <c r="AM56" s="8"/>
      <c r="AX56" s="8"/>
      <c r="AY56" s="8"/>
      <c r="AZ56" s="42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 s="8" t="s">
        <v>64</v>
      </c>
      <c r="BO56" s="8">
        <f>1/(BO54-1)</f>
        <v>19.271729817762573</v>
      </c>
      <c r="BP56" s="8"/>
      <c r="BQ56" s="8"/>
      <c r="BR56" s="8" t="s">
        <v>64</v>
      </c>
      <c r="BS56" s="8">
        <f>1/(BS54-1)</f>
        <v>19.326758082476172</v>
      </c>
      <c r="BT56" s="8"/>
      <c r="BU56"/>
      <c r="BV56" s="8">
        <v>18</v>
      </c>
      <c r="BW56" s="8">
        <f t="shared" si="42"/>
        <v>0.18782156640671033</v>
      </c>
      <c r="BX56" s="8">
        <v>-1.5478613178172493E-5</v>
      </c>
      <c r="BY56" s="8">
        <f t="shared" si="43"/>
        <v>0.18784289832704187</v>
      </c>
      <c r="BZ56" s="8">
        <v>4.704462743228971E-5</v>
      </c>
      <c r="CA56" s="8">
        <f t="shared" si="29"/>
        <v>0.1878322323668761</v>
      </c>
      <c r="CB56" s="8">
        <v>1.5784207817800752E-5</v>
      </c>
      <c r="CC56" s="8">
        <f t="shared" si="30"/>
        <v>-2.44317647135624E-10</v>
      </c>
      <c r="CD56" s="8">
        <f t="shared" si="31"/>
        <v>7.4256217610227094E-10</v>
      </c>
      <c r="CE56" s="8">
        <f t="shared" si="32"/>
        <v>2.1331920331546517E-5</v>
      </c>
      <c r="CF56"/>
      <c r="CG56" s="8">
        <v>18</v>
      </c>
      <c r="CH56" s="8">
        <f t="shared" si="44"/>
        <v>0.17331586058126675</v>
      </c>
      <c r="CI56" s="8">
        <v>-5.0922224925222664E-5</v>
      </c>
      <c r="CJ56" s="8">
        <f t="shared" si="45"/>
        <v>0.17333719250159829</v>
      </c>
      <c r="CK56" s="8">
        <v>8.5703851575441581E-6</v>
      </c>
      <c r="CL56" s="8">
        <f t="shared" si="33"/>
        <v>0.17332652654143252</v>
      </c>
      <c r="CM56" s="8">
        <v>-2.117470838565276E-5</v>
      </c>
      <c r="CN56" s="8">
        <f t="shared" si="34"/>
        <v>1.0782632631402084E-9</v>
      </c>
      <c r="CO56" s="8">
        <f t="shared" si="35"/>
        <v>-1.8147540646372422E-10</v>
      </c>
      <c r="CP56" s="8">
        <f t="shared" si="36"/>
        <v>2.1331920331546517E-5</v>
      </c>
      <c r="CQ56"/>
      <c r="CR56"/>
      <c r="CS56"/>
      <c r="CT56"/>
      <c r="CU56"/>
      <c r="CV56"/>
      <c r="CW56"/>
      <c r="CX56"/>
      <c r="CY56"/>
      <c r="CZ56"/>
      <c r="DA56"/>
    </row>
    <row r="57" spans="2:105" x14ac:dyDescent="0.2">
      <c r="AB57" s="8">
        <v>18</v>
      </c>
      <c r="AC57" s="8">
        <f t="shared" si="46"/>
        <v>5.1849365234375E-2</v>
      </c>
      <c r="AD57" s="8">
        <f t="shared" si="27"/>
        <v>3.5145917985784925E-6</v>
      </c>
      <c r="AE57" s="8">
        <f t="shared" si="47"/>
        <v>5.1853179931640625E-2</v>
      </c>
      <c r="AF57" s="8">
        <f t="shared" si="37"/>
        <v>-3.4667762422585513E-7</v>
      </c>
      <c r="AG57" s="8">
        <f t="shared" si="38"/>
        <v>5.1851272583007812E-2</v>
      </c>
      <c r="AH57" s="8">
        <f t="shared" si="28"/>
        <v>1.5839574782003374E-6</v>
      </c>
      <c r="AI57" s="8">
        <f t="shared" si="39"/>
        <v>5.566963962179977E-12</v>
      </c>
      <c r="AJ57" s="8">
        <f t="shared" si="40"/>
        <v>-5.4912261541726971E-13</v>
      </c>
      <c r="AK57" s="8">
        <f t="shared" si="41"/>
        <v>3.814697265625E-6</v>
      </c>
      <c r="AM57" s="8"/>
      <c r="AX57" s="8"/>
      <c r="AY57" s="8"/>
      <c r="AZ57" s="42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 s="8" t="s">
        <v>293</v>
      </c>
      <c r="BO57" s="8">
        <f>1/(BO55+1)</f>
        <v>2.5573199304880233E-2</v>
      </c>
      <c r="BP57" s="8"/>
      <c r="BQ57" s="8"/>
      <c r="BR57" s="8" t="s">
        <v>293</v>
      </c>
      <c r="BS57" s="8">
        <f>1/(BS55+1)</f>
        <v>2.0213558309478089E-2</v>
      </c>
      <c r="BT57" s="8"/>
      <c r="BU57"/>
      <c r="BV57" s="8">
        <v>19</v>
      </c>
      <c r="BW57" s="8">
        <f t="shared" si="42"/>
        <v>0.18782156640671033</v>
      </c>
      <c r="BX57" s="8">
        <v>-1.5478613178172493E-5</v>
      </c>
      <c r="BY57" s="8">
        <f t="shared" si="43"/>
        <v>0.1878322323668761</v>
      </c>
      <c r="BZ57" s="8">
        <v>1.5784207817800752E-5</v>
      </c>
      <c r="CA57" s="8">
        <f t="shared" si="29"/>
        <v>0.1878268993867932</v>
      </c>
      <c r="CB57" s="8">
        <v>1.5309751829305218E-7</v>
      </c>
      <c r="CC57" s="8">
        <f t="shared" si="30"/>
        <v>-2.3697372641963418E-12</v>
      </c>
      <c r="CD57" s="8">
        <f t="shared" si="31"/>
        <v>2.4165230451270879E-12</v>
      </c>
      <c r="CE57" s="8">
        <f t="shared" si="32"/>
        <v>1.0665960165773258E-5</v>
      </c>
      <c r="CF57"/>
      <c r="CG57" s="8">
        <v>19</v>
      </c>
      <c r="CH57" s="8">
        <f t="shared" si="44"/>
        <v>0.17332652654143252</v>
      </c>
      <c r="CI57" s="8">
        <v>-2.117470838565276E-5</v>
      </c>
      <c r="CJ57" s="8">
        <f t="shared" si="45"/>
        <v>0.17333719250159829</v>
      </c>
      <c r="CK57" s="8">
        <v>8.5703851575441581E-6</v>
      </c>
      <c r="CL57" s="8">
        <f t="shared" si="33"/>
        <v>0.17333185952151542</v>
      </c>
      <c r="CM57" s="8">
        <v>-6.3018587677429044E-6</v>
      </c>
      <c r="CN57" s="8">
        <f t="shared" si="34"/>
        <v>1.3344002169452505E-10</v>
      </c>
      <c r="CO57" s="8">
        <f t="shared" si="35"/>
        <v>-5.4009356848003307E-11</v>
      </c>
      <c r="CP57" s="8">
        <f t="shared" si="36"/>
        <v>1.0665960165773258E-5</v>
      </c>
      <c r="CQ57"/>
      <c r="CR57"/>
      <c r="CS57"/>
      <c r="CT57"/>
      <c r="CU57"/>
      <c r="CV57"/>
      <c r="CW57"/>
      <c r="CX57"/>
      <c r="CY57"/>
      <c r="CZ57"/>
      <c r="DA57"/>
    </row>
    <row r="58" spans="2:105" x14ac:dyDescent="0.2">
      <c r="AB58" s="8">
        <v>19</v>
      </c>
      <c r="AC58" s="8">
        <f t="shared" si="46"/>
        <v>5.1851272583007812E-2</v>
      </c>
      <c r="AD58" s="8">
        <f t="shared" si="27"/>
        <v>1.5839574782003374E-6</v>
      </c>
      <c r="AE58" s="8">
        <f t="shared" si="47"/>
        <v>5.1853179931640625E-2</v>
      </c>
      <c r="AF58" s="8">
        <f t="shared" si="37"/>
        <v>-3.4667762422585513E-7</v>
      </c>
      <c r="AG58" s="8">
        <f t="shared" si="38"/>
        <v>5.1852226257324219E-2</v>
      </c>
      <c r="AH58" s="8">
        <f t="shared" si="28"/>
        <v>6.1864002474237845E-7</v>
      </c>
      <c r="AI58" s="8">
        <f t="shared" si="39"/>
        <v>9.7989949350473207E-13</v>
      </c>
      <c r="AJ58" s="8">
        <f t="shared" si="40"/>
        <v>-2.1446865402871198E-13</v>
      </c>
      <c r="AK58" s="8">
        <f t="shared" si="41"/>
        <v>1.9073486328125E-6</v>
      </c>
      <c r="AX58" s="8"/>
      <c r="AY58" s="8"/>
      <c r="AZ58" s="42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 s="23" t="s">
        <v>295</v>
      </c>
      <c r="BO58" s="56">
        <f>SIN(BO42)/(1+BO56) - $AY$3*COS(BO42)/($BC$5*$AY$22*(1-BO57))</f>
        <v>2.8131671818421022E-9</v>
      </c>
      <c r="BP58" s="56"/>
      <c r="BQ58" s="8"/>
      <c r="BR58" s="23" t="s">
        <v>295</v>
      </c>
      <c r="BS58" s="56">
        <f>SIN(BS42)/(1+BS56) - $AY$3*COS(BS42)/($BC$5*$AY$23*(1-BS57))</f>
        <v>8.1482677983385488E-10</v>
      </c>
      <c r="BT58" s="56"/>
      <c r="BU58"/>
      <c r="BV58" s="8">
        <v>20</v>
      </c>
      <c r="BW58" s="8">
        <f t="shared" si="42"/>
        <v>0.18782156640671033</v>
      </c>
      <c r="BX58" s="8">
        <v>-1.5478613178172493E-5</v>
      </c>
      <c r="BY58" s="8">
        <f t="shared" si="43"/>
        <v>0.1878268993867932</v>
      </c>
      <c r="BZ58" s="8">
        <v>1.5309751829305218E-7</v>
      </c>
      <c r="CA58" s="8">
        <f t="shared" si="29"/>
        <v>0.18782423289675176</v>
      </c>
      <c r="CB58" s="8">
        <v>-7.6626827770522044E-6</v>
      </c>
      <c r="CC58" s="8">
        <f t="shared" si="30"/>
        <v>1.1860770261303565E-10</v>
      </c>
      <c r="CD58" s="8">
        <f t="shared" si="31"/>
        <v>-1.1731377166336058E-12</v>
      </c>
      <c r="CE58" s="8">
        <f t="shared" si="32"/>
        <v>5.3329800828727514E-6</v>
      </c>
      <c r="CF58"/>
      <c r="CG58" s="8">
        <v>20</v>
      </c>
      <c r="CH58" s="8">
        <f t="shared" si="44"/>
        <v>0.17333185952151542</v>
      </c>
      <c r="CI58" s="8">
        <v>-6.3018587677429044E-6</v>
      </c>
      <c r="CJ58" s="8">
        <f t="shared" si="45"/>
        <v>0.17333719250159829</v>
      </c>
      <c r="CK58" s="8">
        <v>8.5703851575441581E-6</v>
      </c>
      <c r="CL58" s="8">
        <f t="shared" si="33"/>
        <v>0.17333452601155686</v>
      </c>
      <c r="CM58" s="8">
        <v>1.1343389029905976E-6</v>
      </c>
      <c r="CN58" s="8">
        <f t="shared" si="34"/>
        <v>-7.1484435614031652E-12</v>
      </c>
      <c r="CO58" s="8">
        <f t="shared" si="35"/>
        <v>9.7217212978155402E-12</v>
      </c>
      <c r="CP58" s="8">
        <f t="shared" si="36"/>
        <v>5.3329800828727514E-6</v>
      </c>
      <c r="CQ58"/>
      <c r="CR58"/>
      <c r="CS58"/>
      <c r="CT58"/>
      <c r="CU58"/>
      <c r="CV58"/>
      <c r="CW58"/>
      <c r="CX58"/>
      <c r="CY58"/>
      <c r="CZ58"/>
      <c r="DA58"/>
    </row>
    <row r="59" spans="2:105" x14ac:dyDescent="0.2">
      <c r="AB59" s="8">
        <v>20</v>
      </c>
      <c r="AC59" s="8">
        <f t="shared" si="46"/>
        <v>5.1852226257324219E-2</v>
      </c>
      <c r="AD59" s="8">
        <f t="shared" si="27"/>
        <v>6.1864002474237845E-7</v>
      </c>
      <c r="AE59" s="8">
        <f t="shared" si="47"/>
        <v>5.1853179931640625E-2</v>
      </c>
      <c r="AF59" s="8">
        <f t="shared" si="37"/>
        <v>-3.4667762422585513E-7</v>
      </c>
      <c r="AG59" s="8">
        <f t="shared" si="38"/>
        <v>5.1852703094482422E-2</v>
      </c>
      <c r="AH59" s="8">
        <f t="shared" si="28"/>
        <v>1.3598122469704599E-7</v>
      </c>
      <c r="AI59" s="8">
        <f t="shared" si="39"/>
        <v>8.4123428211079451E-14</v>
      </c>
      <c r="AJ59" s="8">
        <f t="shared" si="40"/>
        <v>-4.7141647917294082E-14</v>
      </c>
      <c r="AK59" s="8">
        <f t="shared" si="41"/>
        <v>9.5367431640625E-7</v>
      </c>
      <c r="AX59" s="8"/>
      <c r="AY59" s="8"/>
      <c r="AZ59" s="42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 s="8"/>
      <c r="BO59" s="8"/>
      <c r="BP59" s="8"/>
      <c r="BQ59" s="8"/>
      <c r="BR59" s="8"/>
      <c r="BS59" s="8"/>
      <c r="BT59" s="8"/>
      <c r="BU59"/>
      <c r="BV59" s="8">
        <v>21</v>
      </c>
      <c r="BW59" s="8">
        <f t="shared" si="42"/>
        <v>0.18782423289675176</v>
      </c>
      <c r="BX59" s="8">
        <v>-7.6626827770522044E-6</v>
      </c>
      <c r="BY59" s="8">
        <f t="shared" si="43"/>
        <v>0.1878268993867932</v>
      </c>
      <c r="BZ59" s="8">
        <v>1.5309751829305218E-7</v>
      </c>
      <c r="CA59" s="8">
        <f t="shared" si="29"/>
        <v>0.18782556614177248</v>
      </c>
      <c r="CB59" s="8">
        <v>-3.7547738666043884E-6</v>
      </c>
      <c r="CC59" s="8">
        <f t="shared" si="30"/>
        <v>2.8771641039355158E-11</v>
      </c>
      <c r="CD59" s="8">
        <f t="shared" si="31"/>
        <v>-5.7484656072873959E-13</v>
      </c>
      <c r="CE59" s="8">
        <f t="shared" si="32"/>
        <v>2.6664900414363757E-6</v>
      </c>
      <c r="CF59"/>
      <c r="CG59" s="8">
        <v>21</v>
      </c>
      <c r="CH59" s="8">
        <f t="shared" si="44"/>
        <v>0.17333185952151542</v>
      </c>
      <c r="CI59" s="8">
        <v>-6.3018587677429044E-6</v>
      </c>
      <c r="CJ59" s="8">
        <f t="shared" si="45"/>
        <v>0.17333452601155686</v>
      </c>
      <c r="CK59" s="8">
        <v>1.1343389029905976E-6</v>
      </c>
      <c r="CL59" s="8">
        <f t="shared" si="33"/>
        <v>0.17333319276653614</v>
      </c>
      <c r="CM59" s="8">
        <v>-2.5837410048551446E-6</v>
      </c>
      <c r="CN59" s="8">
        <f t="shared" si="34"/>
        <v>1.6282370905023254E-11</v>
      </c>
      <c r="CO59" s="8">
        <f t="shared" si="35"/>
        <v>-2.9308379370592089E-12</v>
      </c>
      <c r="CP59" s="8">
        <f t="shared" si="36"/>
        <v>2.6664900414363757E-6</v>
      </c>
      <c r="CQ59"/>
      <c r="CR59"/>
      <c r="CS59"/>
      <c r="CT59"/>
      <c r="CU59"/>
      <c r="CV59"/>
      <c r="CW59"/>
      <c r="CX59"/>
      <c r="CY59"/>
      <c r="CZ59"/>
      <c r="DA59"/>
    </row>
    <row r="60" spans="2:105" x14ac:dyDescent="0.2">
      <c r="AB60" s="8">
        <v>21</v>
      </c>
      <c r="AC60" s="8">
        <f t="shared" si="46"/>
        <v>5.1852703094482422E-2</v>
      </c>
      <c r="AD60" s="8">
        <f t="shared" si="27"/>
        <v>1.3598122469704599E-7</v>
      </c>
      <c r="AE60" s="8">
        <f t="shared" si="47"/>
        <v>5.1853179931640625E-2</v>
      </c>
      <c r="AF60" s="8">
        <f t="shared" si="37"/>
        <v>-3.4667762422585513E-7</v>
      </c>
      <c r="AG60" s="8">
        <f t="shared" si="38"/>
        <v>5.1852941513061523E-2</v>
      </c>
      <c r="AH60" s="8">
        <f t="shared" si="28"/>
        <v>-1.0534819365470849E-7</v>
      </c>
      <c r="AI60" s="8">
        <f t="shared" si="39"/>
        <v>-1.432537639278883E-14</v>
      </c>
      <c r="AJ60" s="8">
        <f t="shared" si="40"/>
        <v>3.6521861492699642E-14</v>
      </c>
      <c r="AK60" s="8">
        <f t="shared" si="41"/>
        <v>4.76837158203125E-7</v>
      </c>
      <c r="AZ60" s="42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 s="72" t="s">
        <v>302</v>
      </c>
      <c r="BO60" s="72"/>
      <c r="BP60" s="72"/>
      <c r="BQ60" s="8"/>
      <c r="BR60" s="8"/>
      <c r="BS60" s="8"/>
      <c r="BT60" s="8"/>
      <c r="BU60"/>
      <c r="BV60" s="8">
        <v>22</v>
      </c>
      <c r="BW60" s="8">
        <f t="shared" si="42"/>
        <v>0.18782556614177248</v>
      </c>
      <c r="BX60" s="8">
        <v>-3.7547738666043884E-6</v>
      </c>
      <c r="BY60" s="8">
        <f t="shared" si="43"/>
        <v>0.1878268993867932</v>
      </c>
      <c r="BZ60" s="8">
        <v>1.5309751829305218E-7</v>
      </c>
      <c r="CA60" s="8">
        <f t="shared" si="29"/>
        <v>0.18782623276428284</v>
      </c>
      <c r="CB60" s="8">
        <v>-1.8008334835336454E-6</v>
      </c>
      <c r="CC60" s="8">
        <f t="shared" si="30"/>
        <v>6.7617225020782762E-12</v>
      </c>
      <c r="CD60" s="8">
        <f t="shared" si="31"/>
        <v>-2.7570313718803317E-13</v>
      </c>
      <c r="CE60" s="8">
        <f t="shared" si="32"/>
        <v>1.3332450207181878E-6</v>
      </c>
      <c r="CF60"/>
      <c r="CG60" s="8">
        <v>22</v>
      </c>
      <c r="CH60" s="8">
        <f t="shared" si="44"/>
        <v>0.17333319276653614</v>
      </c>
      <c r="CI60" s="8">
        <v>-2.5837410048551446E-6</v>
      </c>
      <c r="CJ60" s="8">
        <f t="shared" si="45"/>
        <v>0.17333452601155686</v>
      </c>
      <c r="CK60" s="8">
        <v>1.1343389029905976E-6</v>
      </c>
      <c r="CL60" s="8">
        <f t="shared" si="33"/>
        <v>0.1733338593890465</v>
      </c>
      <c r="CM60" s="8">
        <v>-7.2469631912444599E-7</v>
      </c>
      <c r="CN60" s="8">
        <f t="shared" si="34"/>
        <v>1.8724275957894206E-12</v>
      </c>
      <c r="CO60" s="8">
        <f t="shared" si="35"/>
        <v>-8.2205122763694811E-13</v>
      </c>
      <c r="CP60" s="8">
        <f t="shared" si="36"/>
        <v>1.3332450207181878E-6</v>
      </c>
      <c r="CQ60"/>
      <c r="CR60"/>
      <c r="CS60"/>
      <c r="CT60"/>
      <c r="CU60"/>
      <c r="CV60"/>
      <c r="CW60"/>
      <c r="CX60"/>
      <c r="CY60"/>
      <c r="CZ60"/>
      <c r="DA60"/>
    </row>
    <row r="61" spans="2:105" x14ac:dyDescent="0.2">
      <c r="AB61" s="8">
        <v>22</v>
      </c>
      <c r="AC61" s="8">
        <f t="shared" si="46"/>
        <v>5.1852703094482422E-2</v>
      </c>
      <c r="AD61" s="8">
        <f t="shared" si="27"/>
        <v>1.3598122469704599E-7</v>
      </c>
      <c r="AE61" s="8">
        <f t="shared" si="47"/>
        <v>5.1852941513061523E-2</v>
      </c>
      <c r="AF61" s="8">
        <f t="shared" si="37"/>
        <v>-1.0534819365470849E-7</v>
      </c>
      <c r="AG61" s="8">
        <f t="shared" si="38"/>
        <v>5.1852822303771973E-2</v>
      </c>
      <c r="AH61" s="8">
        <f t="shared" si="28"/>
        <v>1.5316517047725409E-8</v>
      </c>
      <c r="AI61" s="8">
        <f t="shared" si="39"/>
        <v>2.0827587462428841E-15</v>
      </c>
      <c r="AJ61" s="8">
        <f t="shared" si="40"/>
        <v>-1.6135674040594202E-15</v>
      </c>
      <c r="AK61" s="8">
        <f t="shared" si="41"/>
        <v>2.384185791015625E-7</v>
      </c>
      <c r="AZ61" s="42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 s="44" t="s">
        <v>249</v>
      </c>
      <c r="BO61" s="45">
        <f>CA136</f>
        <v>0.14025250638888004</v>
      </c>
      <c r="BP61" s="11" t="s">
        <v>250</v>
      </c>
      <c r="BQ61" s="8"/>
      <c r="BR61" s="8"/>
      <c r="BS61" s="8"/>
      <c r="BT61" s="8"/>
      <c r="BU61"/>
      <c r="BV61" s="8">
        <v>23</v>
      </c>
      <c r="BW61" s="8">
        <f t="shared" si="42"/>
        <v>0.18782623276428284</v>
      </c>
      <c r="BX61" s="8">
        <v>-1.8008334835336454E-6</v>
      </c>
      <c r="BY61" s="8">
        <f t="shared" si="43"/>
        <v>0.1878268993867932</v>
      </c>
      <c r="BZ61" s="8">
        <v>1.5309751829305218E-7</v>
      </c>
      <c r="CA61" s="8">
        <f t="shared" si="29"/>
        <v>0.18782656607553802</v>
      </c>
      <c r="CB61" s="8">
        <v>-8.2386680993855321E-7</v>
      </c>
      <c r="CC61" s="8">
        <f t="shared" si="30"/>
        <v>1.4836469373093966E-12</v>
      </c>
      <c r="CD61" s="8">
        <f t="shared" si="31"/>
        <v>-1.261319640056062E-13</v>
      </c>
      <c r="CE61" s="8">
        <f t="shared" si="32"/>
        <v>6.6662251035909392E-7</v>
      </c>
      <c r="CF61"/>
      <c r="CG61" s="8">
        <v>23</v>
      </c>
      <c r="CH61" s="8">
        <f t="shared" si="44"/>
        <v>0.1733338593890465</v>
      </c>
      <c r="CI61" s="8">
        <v>-7.2469631912444599E-7</v>
      </c>
      <c r="CJ61" s="8">
        <f t="shared" si="45"/>
        <v>0.17333452601155686</v>
      </c>
      <c r="CK61" s="8">
        <v>1.1343389029905976E-6</v>
      </c>
      <c r="CL61" s="8">
        <f t="shared" si="33"/>
        <v>0.17333419270030168</v>
      </c>
      <c r="CM61" s="8">
        <v>2.0482247490086203E-7</v>
      </c>
      <c r="CN61" s="8">
        <f t="shared" si="34"/>
        <v>-1.4843409363461393E-13</v>
      </c>
      <c r="CO61" s="8">
        <f t="shared" si="35"/>
        <v>2.3233810148686302E-13</v>
      </c>
      <c r="CP61" s="8">
        <f t="shared" si="36"/>
        <v>6.6662251035909392E-7</v>
      </c>
      <c r="CQ61"/>
      <c r="CR61"/>
      <c r="CS61"/>
      <c r="CT61"/>
      <c r="CU61"/>
      <c r="CV61"/>
      <c r="CW61"/>
      <c r="CX61"/>
      <c r="CY61"/>
      <c r="CZ61"/>
      <c r="DA61"/>
    </row>
    <row r="62" spans="2:105" x14ac:dyDescent="0.2">
      <c r="AB62" s="8">
        <v>23</v>
      </c>
      <c r="AC62" s="8">
        <f t="shared" si="46"/>
        <v>5.1852822303771973E-2</v>
      </c>
      <c r="AD62" s="8">
        <f t="shared" si="27"/>
        <v>1.5316517047725409E-8</v>
      </c>
      <c r="AE62" s="8">
        <f t="shared" si="47"/>
        <v>5.1852941513061523E-2</v>
      </c>
      <c r="AF62" s="8">
        <f t="shared" si="37"/>
        <v>-1.0534819365470849E-7</v>
      </c>
      <c r="AG62" s="8">
        <f t="shared" si="38"/>
        <v>5.1852881908416748E-2</v>
      </c>
      <c r="AH62" s="8">
        <f t="shared" si="28"/>
        <v>-4.5015837918382928E-8</v>
      </c>
      <c r="AI62" s="8">
        <f t="shared" si="39"/>
        <v>-6.8948584889455595E-16</v>
      </c>
      <c r="AJ62" s="8">
        <f t="shared" si="40"/>
        <v>4.7423372105547745E-15</v>
      </c>
      <c r="AK62" s="8">
        <f t="shared" si="41"/>
        <v>1.1920928955078125E-7</v>
      </c>
      <c r="AX62"/>
      <c r="AY62"/>
      <c r="AZ62" s="55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 s="8" t="s">
        <v>254</v>
      </c>
      <c r="BO62" s="8">
        <f>($AY$38+$AY$5)/180*PI()</f>
        <v>0.29670597283903599</v>
      </c>
      <c r="BP62" s="8" t="s">
        <v>250</v>
      </c>
      <c r="BQ62" s="8"/>
      <c r="BR62" s="8"/>
      <c r="BS62" s="8"/>
      <c r="BT62" s="8"/>
      <c r="BU62"/>
      <c r="BV62" s="8">
        <v>24</v>
      </c>
      <c r="BW62" s="8">
        <f t="shared" si="42"/>
        <v>0.18782656607553802</v>
      </c>
      <c r="BX62" s="8">
        <v>-8.2386680993855321E-7</v>
      </c>
      <c r="BY62" s="8">
        <f t="shared" si="43"/>
        <v>0.1878268993867932</v>
      </c>
      <c r="BZ62" s="8">
        <v>1.5309751829305218E-7</v>
      </c>
      <c r="CA62" s="8">
        <f t="shared" si="29"/>
        <v>0.18782673273116562</v>
      </c>
      <c r="CB62" s="8">
        <v>-3.3538435260417609E-7</v>
      </c>
      <c r="CC62" s="8">
        <f t="shared" si="30"/>
        <v>2.7631203668330947E-13</v>
      </c>
      <c r="CD62" s="8">
        <f t="shared" si="31"/>
        <v>-5.1346512058021313E-14</v>
      </c>
      <c r="CE62" s="8">
        <f t="shared" si="32"/>
        <v>3.3331125517954696E-7</v>
      </c>
      <c r="CF62"/>
      <c r="CG62" s="8">
        <v>24</v>
      </c>
      <c r="CH62" s="8">
        <f t="shared" si="44"/>
        <v>0.1733338593890465</v>
      </c>
      <c r="CI62" s="8">
        <v>-7.2469631912444599E-7</v>
      </c>
      <c r="CJ62" s="8">
        <f t="shared" si="45"/>
        <v>0.17333419270030168</v>
      </c>
      <c r="CK62" s="8">
        <v>2.0482247490086203E-7</v>
      </c>
      <c r="CL62" s="8">
        <f t="shared" si="33"/>
        <v>0.17333402604467407</v>
      </c>
      <c r="CM62" s="8">
        <v>-2.5993662644378801E-7</v>
      </c>
      <c r="CN62" s="8">
        <f t="shared" si="34"/>
        <v>1.8837511638943929E-13</v>
      </c>
      <c r="CO62" s="8">
        <f t="shared" si="35"/>
        <v>-5.3240863145597518E-14</v>
      </c>
      <c r="CP62" s="8">
        <f t="shared" si="36"/>
        <v>3.3331125517954696E-7</v>
      </c>
      <c r="CQ62"/>
      <c r="CR62"/>
      <c r="CS62"/>
      <c r="CT62"/>
      <c r="CU62"/>
      <c r="CV62"/>
      <c r="CW62"/>
      <c r="CX62"/>
      <c r="CY62"/>
      <c r="CZ62"/>
      <c r="DA62"/>
    </row>
    <row r="63" spans="2:105" x14ac:dyDescent="0.2">
      <c r="AB63" s="8">
        <v>24</v>
      </c>
      <c r="AC63" s="8">
        <f t="shared" si="46"/>
        <v>5.1852822303771973E-2</v>
      </c>
      <c r="AD63" s="8">
        <f t="shared" si="27"/>
        <v>1.5316517047725409E-8</v>
      </c>
      <c r="AE63" s="8">
        <f t="shared" si="47"/>
        <v>5.1852881908416748E-2</v>
      </c>
      <c r="AF63" s="8">
        <f t="shared" si="37"/>
        <v>-4.5015837918382928E-8</v>
      </c>
      <c r="AG63" s="8">
        <f t="shared" si="38"/>
        <v>5.185285210609436E-2</v>
      </c>
      <c r="AH63" s="8">
        <f t="shared" si="28"/>
        <v>-1.4849660341653692E-8</v>
      </c>
      <c r="AI63" s="8">
        <f t="shared" si="39"/>
        <v>-2.2744507577587071E-16</v>
      </c>
      <c r="AJ63" s="8">
        <f t="shared" si="40"/>
        <v>6.6846990308292148E-16</v>
      </c>
      <c r="AK63" s="8">
        <f t="shared" si="41"/>
        <v>5.9604644775390625E-8</v>
      </c>
      <c r="AX63"/>
      <c r="AY63"/>
      <c r="AZ63" s="55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 s="8" t="s">
        <v>41</v>
      </c>
      <c r="BO63" s="8">
        <f>BO62-BO61</f>
        <v>0.15645346645015595</v>
      </c>
      <c r="BP63" s="8" t="s">
        <v>250</v>
      </c>
      <c r="BQ63" s="8"/>
      <c r="BR63" s="8"/>
      <c r="BS63" s="8"/>
      <c r="BT63" s="8"/>
      <c r="BU63"/>
      <c r="BV63" s="8">
        <v>25</v>
      </c>
      <c r="BW63" s="8">
        <f t="shared" si="42"/>
        <v>0.18782673273116562</v>
      </c>
      <c r="BX63" s="8">
        <v>-3.3538435260417609E-7</v>
      </c>
      <c r="BY63" s="8">
        <f t="shared" si="43"/>
        <v>0.1878268993867932</v>
      </c>
      <c r="BZ63" s="8">
        <v>1.5309751829305218E-7</v>
      </c>
      <c r="CA63" s="8">
        <f t="shared" si="29"/>
        <v>0.18782681605897941</v>
      </c>
      <c r="CB63" s="8">
        <v>-9.1143343873903437E-8</v>
      </c>
      <c r="CC63" s="8">
        <f t="shared" si="30"/>
        <v>3.0568051379328903E-14</v>
      </c>
      <c r="CD63" s="8">
        <f t="shared" si="31"/>
        <v>-1.3953819756024876E-14</v>
      </c>
      <c r="CE63" s="8">
        <f t="shared" si="32"/>
        <v>1.6665562757589569E-7</v>
      </c>
      <c r="CF63"/>
      <c r="CG63" s="8">
        <v>25</v>
      </c>
      <c r="CH63" s="8">
        <f t="shared" si="44"/>
        <v>0.17333402604467407</v>
      </c>
      <c r="CI63" s="8">
        <v>-2.5993662644378801E-7</v>
      </c>
      <c r="CJ63" s="8">
        <f t="shared" si="45"/>
        <v>0.17333419270030168</v>
      </c>
      <c r="CK63" s="8">
        <v>2.0482247490086203E-7</v>
      </c>
      <c r="CL63" s="8">
        <f t="shared" si="33"/>
        <v>0.17333410937248789</v>
      </c>
      <c r="CM63" s="8">
        <v>-2.7557001741271292E-8</v>
      </c>
      <c r="CN63" s="8">
        <f t="shared" si="34"/>
        <v>7.163074067531651E-15</v>
      </c>
      <c r="CO63" s="8">
        <f t="shared" si="35"/>
        <v>-5.6442932974945504E-15</v>
      </c>
      <c r="CP63" s="8">
        <f t="shared" si="36"/>
        <v>1.6665562760365127E-7</v>
      </c>
      <c r="CQ63"/>
      <c r="CR63"/>
      <c r="CS63"/>
      <c r="CT63"/>
      <c r="CU63"/>
      <c r="CV63"/>
      <c r="CW63"/>
      <c r="CX63"/>
      <c r="CY63"/>
      <c r="CZ63"/>
      <c r="DA63"/>
    </row>
    <row r="64" spans="2:105" x14ac:dyDescent="0.2">
      <c r="AB64" s="8">
        <v>25</v>
      </c>
      <c r="AC64" s="8">
        <f t="shared" si="46"/>
        <v>5.1852822303771973E-2</v>
      </c>
      <c r="AD64" s="8">
        <f t="shared" si="27"/>
        <v>1.5316517047725409E-8</v>
      </c>
      <c r="AE64" s="8">
        <f t="shared" si="47"/>
        <v>5.185285210609436E-2</v>
      </c>
      <c r="AF64" s="8">
        <f t="shared" si="37"/>
        <v>-1.4849660341653692E-8</v>
      </c>
      <c r="AG64" s="8">
        <f t="shared" si="38"/>
        <v>5.1852837204933167E-2</v>
      </c>
      <c r="AH64" s="8">
        <f t="shared" si="28"/>
        <v>2.3342837385254001E-10</v>
      </c>
      <c r="AI64" s="8">
        <f t="shared" si="39"/>
        <v>3.5753096675352489E-18</v>
      </c>
      <c r="AJ64" s="8">
        <f t="shared" si="40"/>
        <v>-3.4663320658147751E-18</v>
      </c>
      <c r="AK64" s="8">
        <f t="shared" si="41"/>
        <v>2.9802322387695312E-8</v>
      </c>
      <c r="AX64"/>
      <c r="AY64"/>
      <c r="AZ64" s="55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 s="8" t="s">
        <v>263</v>
      </c>
      <c r="BO64" s="8">
        <f>BO63/PI()*180</f>
        <v>8.9641233177855568</v>
      </c>
      <c r="BP64" s="8" t="s">
        <v>62</v>
      </c>
      <c r="BQ64" s="8"/>
      <c r="BR64" s="8"/>
      <c r="BS64" s="8"/>
      <c r="BT64" s="8"/>
      <c r="BU64"/>
      <c r="BV64" s="8">
        <v>26</v>
      </c>
      <c r="BW64" s="8">
        <f t="shared" si="42"/>
        <v>0.18782681605897941</v>
      </c>
      <c r="BX64" s="8">
        <v>-9.1143343873903437E-8</v>
      </c>
      <c r="BY64" s="8">
        <f t="shared" si="43"/>
        <v>0.1878268993867932</v>
      </c>
      <c r="BZ64" s="8">
        <v>1.5309751829305218E-7</v>
      </c>
      <c r="CA64" s="8">
        <f t="shared" si="29"/>
        <v>0.18782685772288632</v>
      </c>
      <c r="CB64" s="8">
        <v>3.0977105455395892E-8</v>
      </c>
      <c r="CC64" s="8">
        <f t="shared" si="30"/>
        <v>-2.8233569747393181E-15</v>
      </c>
      <c r="CD64" s="8">
        <f t="shared" si="31"/>
        <v>4.7425179691232789E-15</v>
      </c>
      <c r="CE64" s="8">
        <f t="shared" si="32"/>
        <v>8.3327813787947846E-8</v>
      </c>
      <c r="CF64"/>
      <c r="CG64" s="8">
        <v>26</v>
      </c>
      <c r="CH64" s="8">
        <f t="shared" si="44"/>
        <v>0.17333410937248789</v>
      </c>
      <c r="CI64" s="8">
        <v>-2.7557001741271292E-8</v>
      </c>
      <c r="CJ64" s="8">
        <f t="shared" si="45"/>
        <v>0.17333419270030168</v>
      </c>
      <c r="CK64" s="8">
        <v>2.0482247490086203E-7</v>
      </c>
      <c r="CL64" s="8">
        <f t="shared" si="33"/>
        <v>0.17333415103639477</v>
      </c>
      <c r="CM64" s="8">
        <v>8.8632754987813533E-8</v>
      </c>
      <c r="CN64" s="8">
        <f t="shared" si="34"/>
        <v>-2.4424529835328492E-15</v>
      </c>
      <c r="CO64" s="8">
        <f t="shared" si="35"/>
        <v>1.8153980233885691E-14</v>
      </c>
      <c r="CP64" s="8">
        <f t="shared" si="36"/>
        <v>8.3327813787947846E-8</v>
      </c>
      <c r="CQ64"/>
      <c r="CR64"/>
      <c r="CS64"/>
      <c r="CT64"/>
      <c r="CU64"/>
      <c r="CV64"/>
      <c r="CW64"/>
      <c r="CX64"/>
      <c r="CY64"/>
      <c r="CZ64"/>
      <c r="DA64"/>
    </row>
    <row r="65" spans="28:105" x14ac:dyDescent="0.2">
      <c r="AB65" s="8">
        <v>26</v>
      </c>
      <c r="AC65" s="8">
        <f t="shared" si="46"/>
        <v>5.1852837204933167E-2</v>
      </c>
      <c r="AD65" s="8">
        <f t="shared" si="27"/>
        <v>2.3342837385254001E-10</v>
      </c>
      <c r="AE65" s="8">
        <f t="shared" si="47"/>
        <v>5.185285210609436E-2</v>
      </c>
      <c r="AF65" s="8">
        <f t="shared" si="37"/>
        <v>-1.4849660341653692E-8</v>
      </c>
      <c r="AG65" s="8">
        <f t="shared" si="38"/>
        <v>5.1852844655513763E-2</v>
      </c>
      <c r="AH65" s="8">
        <f t="shared" si="28"/>
        <v>-7.3081159734922352E-9</v>
      </c>
      <c r="AI65" s="8">
        <f t="shared" si="39"/>
        <v>-1.7059216276180648E-18</v>
      </c>
      <c r="AJ65" s="8">
        <f t="shared" si="40"/>
        <v>1.0852303994377351E-16</v>
      </c>
      <c r="AK65" s="8">
        <f t="shared" si="41"/>
        <v>1.4901161193847656E-8</v>
      </c>
      <c r="AX65"/>
      <c r="AY65"/>
      <c r="AZ65" s="5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 s="8" t="s">
        <v>266</v>
      </c>
      <c r="BO65" s="8">
        <f xml:space="preserve"> $AY$8*$AY$31 / (2*PI()*$AY$24)</f>
        <v>4.0207564570584081E-2</v>
      </c>
      <c r="BP65" s="8"/>
      <c r="BQ65" s="8"/>
      <c r="BR65" s="8"/>
      <c r="BS65" s="8"/>
      <c r="BT65" s="8"/>
      <c r="BU65"/>
      <c r="BV65" s="8">
        <v>27</v>
      </c>
      <c r="BW65" s="8">
        <f t="shared" si="42"/>
        <v>0.18782681605897941</v>
      </c>
      <c r="BX65" s="8">
        <v>-9.1143343873903437E-8</v>
      </c>
      <c r="BY65" s="8">
        <f t="shared" si="43"/>
        <v>0.18782685772288632</v>
      </c>
      <c r="BZ65" s="8">
        <v>3.0977105455395892E-8</v>
      </c>
      <c r="CA65" s="8">
        <f t="shared" si="29"/>
        <v>0.18782683689093288</v>
      </c>
      <c r="CB65" s="8">
        <v>-3.0083114527235111E-8</v>
      </c>
      <c r="CC65" s="8">
        <f t="shared" si="30"/>
        <v>2.7418756521538099E-15</v>
      </c>
      <c r="CD65" s="8">
        <f t="shared" si="31"/>
        <v>-9.3188781113691427E-16</v>
      </c>
      <c r="CE65" s="8">
        <f t="shared" si="32"/>
        <v>4.1663906907851711E-8</v>
      </c>
      <c r="CF65"/>
      <c r="CG65" s="8">
        <v>27</v>
      </c>
      <c r="CH65" s="8">
        <f t="shared" si="44"/>
        <v>0.17333410937248789</v>
      </c>
      <c r="CI65" s="8">
        <v>-2.7557001741271292E-8</v>
      </c>
      <c r="CJ65" s="8">
        <f t="shared" si="45"/>
        <v>0.17333415103639477</v>
      </c>
      <c r="CK65" s="8">
        <v>8.8632754987813533E-8</v>
      </c>
      <c r="CL65" s="8">
        <f t="shared" si="33"/>
        <v>0.17333413020444133</v>
      </c>
      <c r="CM65" s="8">
        <v>3.0537881150899393E-8</v>
      </c>
      <c r="CN65" s="8">
        <f t="shared" si="34"/>
        <v>-8.4153244405007031E-16</v>
      </c>
      <c r="CO65" s="8">
        <f t="shared" si="35"/>
        <v>2.7066565378946351E-15</v>
      </c>
      <c r="CP65" s="8">
        <f t="shared" si="36"/>
        <v>4.1663906880096135E-8</v>
      </c>
      <c r="CQ65"/>
      <c r="CR65"/>
      <c r="CS65"/>
      <c r="CT65"/>
      <c r="CU65"/>
      <c r="CV65"/>
      <c r="CW65"/>
      <c r="CX65"/>
      <c r="CY65"/>
      <c r="CZ65"/>
      <c r="DA65"/>
    </row>
    <row r="66" spans="28:105" x14ac:dyDescent="0.2">
      <c r="AB66" s="8">
        <v>27</v>
      </c>
      <c r="AC66" s="8">
        <f t="shared" si="46"/>
        <v>5.1852837204933167E-2</v>
      </c>
      <c r="AD66" s="8">
        <f t="shared" si="27"/>
        <v>2.3342837385254001E-10</v>
      </c>
      <c r="AE66" s="8">
        <f t="shared" si="47"/>
        <v>5.1852844655513763E-2</v>
      </c>
      <c r="AF66" s="8">
        <f t="shared" si="37"/>
        <v>-7.3081159734922352E-9</v>
      </c>
      <c r="AG66" s="8">
        <f t="shared" si="38"/>
        <v>5.1852840930223465E-2</v>
      </c>
      <c r="AH66" s="8">
        <f t="shared" si="28"/>
        <v>-3.5373437998198476E-9</v>
      </c>
      <c r="AI66" s="8">
        <f t="shared" si="39"/>
        <v>-8.2571641094931182E-19</v>
      </c>
      <c r="AJ66" s="8">
        <f t="shared" si="40"/>
        <v>2.5851318727197147E-17</v>
      </c>
      <c r="AK66" s="8">
        <f t="shared" si="41"/>
        <v>7.4505805969238281E-9</v>
      </c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 s="8" t="s">
        <v>270</v>
      </c>
      <c r="BO66" s="8">
        <f>IF(-$AY$8*($BC$3-$AY$24)/(2*$AY$24*SIN(BO61))&gt;500, 1, 2*ACOS(MIN(1, EXP(-$AY$8*($BC$3-$AY$24)/(2*$AY$24*SIN(BO61)))))/PI() )</f>
        <v>0.69288800068466716</v>
      </c>
      <c r="BP66" s="8"/>
      <c r="BQ66" s="8"/>
      <c r="BR66" s="8"/>
      <c r="BS66" s="8"/>
      <c r="BT66" s="8"/>
      <c r="BU66"/>
      <c r="BV66" s="8">
        <v>28</v>
      </c>
      <c r="BW66" s="8">
        <f t="shared" si="42"/>
        <v>0.18782683689093288</v>
      </c>
      <c r="BX66" s="8">
        <v>-3.0083114527235111E-8</v>
      </c>
      <c r="BY66" s="8">
        <f t="shared" si="43"/>
        <v>0.18782685772288632</v>
      </c>
      <c r="BZ66" s="8">
        <v>3.0977105455395892E-8</v>
      </c>
      <c r="CA66" s="8">
        <f t="shared" si="29"/>
        <v>0.1878268473069096</v>
      </c>
      <c r="CB66" s="8">
        <v>4.4699665670278055E-10</v>
      </c>
      <c r="CC66" s="8">
        <f t="shared" si="30"/>
        <v>-1.3447051616880942E-17</v>
      </c>
      <c r="CD66" s="8">
        <f t="shared" si="31"/>
        <v>1.3846662572891428E-17</v>
      </c>
      <c r="CE66" s="8">
        <f t="shared" si="32"/>
        <v>2.0831953440048068E-8</v>
      </c>
      <c r="CF66"/>
      <c r="CG66" s="8">
        <v>28</v>
      </c>
      <c r="CH66" s="8">
        <f t="shared" si="44"/>
        <v>0.17333410937248789</v>
      </c>
      <c r="CI66" s="8">
        <v>-2.7557001741271292E-8</v>
      </c>
      <c r="CJ66" s="8">
        <f t="shared" si="45"/>
        <v>0.17333413020444133</v>
      </c>
      <c r="CK66" s="8">
        <v>3.0537881150899393E-8</v>
      </c>
      <c r="CL66" s="8">
        <f t="shared" si="33"/>
        <v>0.17333411978846461</v>
      </c>
      <c r="CM66" s="8">
        <v>1.4904408610072473E-9</v>
      </c>
      <c r="CN66" s="8">
        <f t="shared" si="34"/>
        <v>-4.1072081402038594E-17</v>
      </c>
      <c r="CO66" s="8">
        <f t="shared" si="35"/>
        <v>4.5514905875883477E-17</v>
      </c>
      <c r="CP66" s="8">
        <f t="shared" si="36"/>
        <v>2.0831953440048068E-8</v>
      </c>
      <c r="CQ66"/>
      <c r="CR66"/>
      <c r="CS66"/>
      <c r="CT66"/>
      <c r="CU66"/>
      <c r="CV66"/>
      <c r="CW66"/>
      <c r="CX66"/>
      <c r="CY66"/>
      <c r="CZ66"/>
      <c r="DA66"/>
    </row>
    <row r="67" spans="28:105" x14ac:dyDescent="0.2">
      <c r="AB67" s="8">
        <v>28</v>
      </c>
      <c r="AC67" s="8">
        <f t="shared" si="46"/>
        <v>5.1852837204933167E-2</v>
      </c>
      <c r="AD67" s="8">
        <f t="shared" si="27"/>
        <v>2.3342837385254001E-10</v>
      </c>
      <c r="AE67" s="8">
        <f t="shared" si="47"/>
        <v>5.1852840930223465E-2</v>
      </c>
      <c r="AF67" s="8">
        <f t="shared" si="37"/>
        <v>-3.5373437998198476E-9</v>
      </c>
      <c r="AG67" s="8">
        <f t="shared" si="38"/>
        <v>5.1852839067578316E-2</v>
      </c>
      <c r="AH67" s="8">
        <f t="shared" si="28"/>
        <v>-1.6519577095142068E-9</v>
      </c>
      <c r="AI67" s="8">
        <f t="shared" si="39"/>
        <v>-3.8561380180506796E-19</v>
      </c>
      <c r="AJ67" s="8">
        <f t="shared" si="40"/>
        <v>5.8435423613146766E-18</v>
      </c>
      <c r="AK67" s="8">
        <f t="shared" si="41"/>
        <v>3.7252902984619141E-9</v>
      </c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 s="8" t="s">
        <v>275</v>
      </c>
      <c r="BO67" s="8">
        <f>IF(-$AY$8*($AY$24-$AY$10)/(2*$AY$24*SIN(BO61))&gt;500, 1, 2*ACOS(MIN(1, EXP(-$AY$8*($AY$24-$AY$10)/(2*$AY$24*SIN(BO61)))))/PI() )</f>
        <v>0.99976548745651161</v>
      </c>
      <c r="BP67" s="8"/>
      <c r="BQ67" s="8"/>
      <c r="BR67" s="8"/>
      <c r="BS67" s="8"/>
      <c r="BT67" s="8"/>
      <c r="BU67"/>
      <c r="BV67" s="8">
        <v>29</v>
      </c>
      <c r="BW67" s="8">
        <f t="shared" si="42"/>
        <v>0.18782683689093288</v>
      </c>
      <c r="BX67" s="8">
        <v>-3.0083114527235111E-8</v>
      </c>
      <c r="BY67" s="8">
        <f t="shared" si="43"/>
        <v>0.1878268473069096</v>
      </c>
      <c r="BZ67" s="8">
        <v>4.4699665670278055E-10</v>
      </c>
      <c r="CA67" s="8">
        <f t="shared" si="29"/>
        <v>0.18782684209892125</v>
      </c>
      <c r="CB67" s="8">
        <v>-1.4818058590923555E-8</v>
      </c>
      <c r="CC67" s="8">
        <f t="shared" si="30"/>
        <v>4.4577335366203346E-16</v>
      </c>
      <c r="CD67" s="8">
        <f t="shared" si="31"/>
        <v>-6.6236226489687442E-18</v>
      </c>
      <c r="CE67" s="8">
        <f t="shared" si="32"/>
        <v>1.0415976720024034E-8</v>
      </c>
      <c r="CF67"/>
      <c r="CG67" s="8">
        <v>29</v>
      </c>
      <c r="CH67" s="8">
        <f t="shared" si="44"/>
        <v>0.17333410937248789</v>
      </c>
      <c r="CI67" s="8">
        <v>-2.7557001741271292E-8</v>
      </c>
      <c r="CJ67" s="8">
        <f t="shared" si="45"/>
        <v>0.17333411978846461</v>
      </c>
      <c r="CK67" s="8">
        <v>1.4904408610072473E-9</v>
      </c>
      <c r="CL67" s="8">
        <f t="shared" si="33"/>
        <v>0.17333411458047626</v>
      </c>
      <c r="CM67" s="8">
        <v>-1.3033280191199204E-8</v>
      </c>
      <c r="CN67" s="8">
        <f t="shared" si="34"/>
        <v>3.5915812492335309E-16</v>
      </c>
      <c r="CO67" s="8">
        <f t="shared" si="35"/>
        <v>-1.942533334991964E-17</v>
      </c>
      <c r="CP67" s="8">
        <f t="shared" si="36"/>
        <v>1.0415976720024034E-8</v>
      </c>
      <c r="CQ67"/>
      <c r="CR67"/>
      <c r="CS67"/>
      <c r="CT67"/>
      <c r="CU67"/>
      <c r="CV67"/>
      <c r="CW67"/>
      <c r="CX67"/>
      <c r="CY67"/>
      <c r="CZ67"/>
      <c r="DA67"/>
    </row>
    <row r="68" spans="28:105" x14ac:dyDescent="0.2">
      <c r="AB68" s="8">
        <v>29</v>
      </c>
      <c r="AC68" s="8">
        <f t="shared" si="46"/>
        <v>5.1852837204933167E-2</v>
      </c>
      <c r="AD68" s="8">
        <f t="shared" si="27"/>
        <v>2.3342837385254001E-10</v>
      </c>
      <c r="AE68" s="8">
        <f t="shared" si="47"/>
        <v>5.1852839067578316E-2</v>
      </c>
      <c r="AF68" s="8">
        <f t="shared" si="37"/>
        <v>-1.6519577095142068E-9</v>
      </c>
      <c r="AG68" s="8">
        <f t="shared" si="38"/>
        <v>5.1852838136255741E-2</v>
      </c>
      <c r="AH68" s="8">
        <f t="shared" si="28"/>
        <v>-7.0926466089193951E-10</v>
      </c>
      <c r="AI68" s="8">
        <f t="shared" si="39"/>
        <v>-1.6556249642307867E-19</v>
      </c>
      <c r="AJ68" s="8">
        <f t="shared" si="40"/>
        <v>1.171675224646419E-18</v>
      </c>
      <c r="AK68" s="8">
        <f t="shared" si="41"/>
        <v>1.862645149230957E-9</v>
      </c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 s="8" t="s">
        <v>279</v>
      </c>
      <c r="BO68" s="8">
        <f>IF(BO61=0,1,BO66*BO67)</f>
        <v>0.69272550975727398</v>
      </c>
      <c r="BP68" s="8"/>
      <c r="BQ68" s="8"/>
      <c r="BR68" s="8"/>
      <c r="BS68" s="8"/>
      <c r="BT68" s="8"/>
      <c r="BU68"/>
      <c r="BV68" s="8">
        <v>30</v>
      </c>
      <c r="BW68" s="8">
        <f t="shared" si="42"/>
        <v>0.18782684209892125</v>
      </c>
      <c r="BX68" s="8">
        <v>-1.4818058590923555E-8</v>
      </c>
      <c r="BY68" s="8">
        <f t="shared" si="43"/>
        <v>0.1878268473069096</v>
      </c>
      <c r="BZ68" s="8">
        <v>4.4699665670278055E-10</v>
      </c>
      <c r="CA68" s="11">
        <f t="shared" si="29"/>
        <v>0.18782684470291544</v>
      </c>
      <c r="CB68" s="8">
        <v>-7.1855308803742135E-9</v>
      </c>
      <c r="CC68" s="8">
        <f t="shared" si="30"/>
        <v>1.0647561759227561E-16</v>
      </c>
      <c r="CD68" s="8">
        <f t="shared" si="31"/>
        <v>-3.2119082801618606E-18</v>
      </c>
      <c r="CE68" s="8">
        <f t="shared" si="32"/>
        <v>5.2079883461342291E-9</v>
      </c>
      <c r="CF68"/>
      <c r="CG68" s="8">
        <v>30</v>
      </c>
      <c r="CH68" s="8">
        <f t="shared" si="44"/>
        <v>0.17333411458047626</v>
      </c>
      <c r="CI68" s="8">
        <v>-1.3033280191199204E-8</v>
      </c>
      <c r="CJ68" s="8">
        <f t="shared" si="45"/>
        <v>0.17333411978846461</v>
      </c>
      <c r="CK68" s="8">
        <v>1.4904408610072473E-9</v>
      </c>
      <c r="CL68" s="11">
        <f t="shared" si="33"/>
        <v>0.17333411718447045</v>
      </c>
      <c r="CM68" s="8">
        <v>-5.7714195835639748E-9</v>
      </c>
      <c r="CN68" s="8">
        <f t="shared" si="34"/>
        <v>7.5220528533563508E-17</v>
      </c>
      <c r="CO68" s="8">
        <f t="shared" si="35"/>
        <v>-8.6019595733611783E-18</v>
      </c>
      <c r="CP68" s="8">
        <f t="shared" si="36"/>
        <v>5.2079883461342291E-9</v>
      </c>
      <c r="CQ68"/>
      <c r="CR68"/>
      <c r="CS68"/>
      <c r="CT68"/>
      <c r="CU68"/>
      <c r="CV68"/>
      <c r="CW68"/>
      <c r="CX68"/>
      <c r="CY68"/>
      <c r="CZ68"/>
      <c r="DA68"/>
    </row>
    <row r="69" spans="28:105" x14ac:dyDescent="0.2">
      <c r="AB69" s="8">
        <v>30</v>
      </c>
      <c r="AC69" s="8">
        <f t="shared" si="46"/>
        <v>5.1852837204933167E-2</v>
      </c>
      <c r="AD69" s="8">
        <f t="shared" si="27"/>
        <v>2.3342837385254001E-10</v>
      </c>
      <c r="AE69" s="8">
        <f t="shared" si="47"/>
        <v>5.1852838136255741E-2</v>
      </c>
      <c r="AF69" s="8">
        <f t="shared" si="37"/>
        <v>-7.0926466089193951E-10</v>
      </c>
      <c r="AG69" s="8">
        <f t="shared" si="38"/>
        <v>5.1852837670594454E-2</v>
      </c>
      <c r="AH69" s="8">
        <f t="shared" si="28"/>
        <v>-2.3791814351969975E-10</v>
      </c>
      <c r="AI69" s="8">
        <f t="shared" si="39"/>
        <v>-5.5536845351818742E-20</v>
      </c>
      <c r="AJ69" s="8">
        <f t="shared" si="40"/>
        <v>1.6874693138353964E-19</v>
      </c>
      <c r="AK69" s="8">
        <f t="shared" si="41"/>
        <v>9.3132257461547852E-10</v>
      </c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 s="8" t="s">
        <v>283</v>
      </c>
      <c r="BO69" s="8">
        <f>IF(BO64&lt;$BG$42, $BC$43*BO64^2 + $BD$43*BO64 + $BE$43, IF(BO64&gt;$BH$42, $BI$43*BO64^2 + $BJ$43*BO64 + $BK$43, $BF$43*BO64^2 + $BG$43*BO64 + $BH$43))</f>
        <v>1.3024174935540134</v>
      </c>
      <c r="BP69" s="8"/>
      <c r="BQ69" s="8"/>
      <c r="BR69" s="8"/>
      <c r="BS69" s="8"/>
      <c r="BT69" s="8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</row>
    <row r="70" spans="28:105" x14ac:dyDescent="0.2"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 s="8" t="s">
        <v>284</v>
      </c>
      <c r="BO70" s="8">
        <f>IF(BO64&lt;$BG$42, $BC$44*BO64^2 + $BD$44*BO64 + $BE$44, IF(BO64&gt;$BH$42, $BI$44*BO64^2 + $BJ$44*BO64 + $BK$44, $BF$44*BO64^2 + $BG$44*BO64 + $BH$44))</f>
        <v>1.5752418656720543E-2</v>
      </c>
      <c r="BP70" s="8"/>
      <c r="BQ70" s="8"/>
      <c r="BR70" s="8"/>
      <c r="BS70" s="8"/>
      <c r="BT70" s="42"/>
      <c r="BU70"/>
      <c r="BV70" s="69" t="s">
        <v>308</v>
      </c>
      <c r="BW70" s="69"/>
      <c r="BX70" s="69"/>
      <c r="BY70" s="69"/>
      <c r="BZ70" s="69"/>
      <c r="CA70" s="69"/>
      <c r="CB70" s="69"/>
      <c r="CC70" s="69"/>
      <c r="CD70" s="69"/>
      <c r="CE70" s="69"/>
      <c r="CF70"/>
      <c r="CG70" s="69" t="s">
        <v>309</v>
      </c>
      <c r="CH70" s="69"/>
      <c r="CI70" s="69"/>
      <c r="CJ70" s="69"/>
      <c r="CK70" s="69"/>
      <c r="CL70" s="69"/>
      <c r="CM70" s="69"/>
      <c r="CN70" s="69"/>
      <c r="CO70" s="69"/>
      <c r="CP70" s="69"/>
      <c r="CQ70"/>
      <c r="CR70"/>
      <c r="CS70"/>
      <c r="CT70"/>
      <c r="CU70"/>
      <c r="CV70"/>
      <c r="CW70"/>
      <c r="CX70"/>
      <c r="CY70"/>
      <c r="CZ70"/>
      <c r="DA70"/>
    </row>
    <row r="71" spans="28:105" x14ac:dyDescent="0.2"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s="8" t="s">
        <v>286</v>
      </c>
      <c r="BO71" s="8">
        <f xml:space="preserve"> BO69*COS(BO61) - BO70*SIN(BO61)</f>
        <v>1.2874266232202742</v>
      </c>
      <c r="BP71" s="8"/>
      <c r="BQ71" s="8"/>
      <c r="BR71" s="8"/>
      <c r="BS71" s="8"/>
      <c r="BT71" s="42"/>
      <c r="BU71"/>
      <c r="BV71" s="23" t="s">
        <v>63</v>
      </c>
      <c r="BW71" s="23" t="s">
        <v>64</v>
      </c>
      <c r="BX71" s="23" t="s">
        <v>65</v>
      </c>
      <c r="BY71" s="23" t="s">
        <v>66</v>
      </c>
      <c r="BZ71" s="23" t="s">
        <v>67</v>
      </c>
      <c r="CA71" s="23" t="s">
        <v>68</v>
      </c>
      <c r="CB71" s="23" t="s">
        <v>69</v>
      </c>
      <c r="CC71" s="23" t="s">
        <v>70</v>
      </c>
      <c r="CD71" s="23" t="s">
        <v>71</v>
      </c>
      <c r="CE71" s="23" t="s">
        <v>72</v>
      </c>
      <c r="CF71"/>
      <c r="CG71" s="23" t="s">
        <v>63</v>
      </c>
      <c r="CH71" s="23" t="s">
        <v>64</v>
      </c>
      <c r="CI71" s="23" t="s">
        <v>65</v>
      </c>
      <c r="CJ71" s="23" t="s">
        <v>66</v>
      </c>
      <c r="CK71" s="23" t="s">
        <v>67</v>
      </c>
      <c r="CL71" s="23" t="s">
        <v>68</v>
      </c>
      <c r="CM71" s="23" t="s">
        <v>69</v>
      </c>
      <c r="CN71" s="23" t="s">
        <v>70</v>
      </c>
      <c r="CO71" s="23" t="s">
        <v>71</v>
      </c>
      <c r="CP71" s="23" t="s">
        <v>72</v>
      </c>
      <c r="CQ71"/>
      <c r="CR71"/>
      <c r="CS71"/>
      <c r="CT71"/>
      <c r="CU71"/>
      <c r="CV71"/>
      <c r="CW71"/>
      <c r="CX71"/>
      <c r="CY71"/>
      <c r="CZ71"/>
      <c r="DA71"/>
    </row>
    <row r="72" spans="28:105" x14ac:dyDescent="0.2">
      <c r="AB72" s="32" t="s">
        <v>150</v>
      </c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 s="8" t="s">
        <v>288</v>
      </c>
      <c r="BO72" s="8">
        <f xml:space="preserve"> BO69*SIN(BO61) + BO70*COS(BO61)</f>
        <v>0.19766678029627788</v>
      </c>
      <c r="BP72" s="8"/>
      <c r="BQ72" s="8"/>
      <c r="BR72" s="8"/>
      <c r="BS72" s="8"/>
      <c r="BT72" s="42"/>
      <c r="BU72"/>
      <c r="BV72" s="46">
        <v>0</v>
      </c>
      <c r="BW72" s="46"/>
      <c r="BX72" s="46">
        <f>$BO$58</f>
        <v>2.8131671818421022E-9</v>
      </c>
      <c r="BY72" s="46"/>
      <c r="BZ72" s="46">
        <f>$BO$58</f>
        <v>2.8131671818421022E-9</v>
      </c>
      <c r="CA72" s="46"/>
      <c r="CB72" s="46">
        <f>$BO$58</f>
        <v>2.8131671818421022E-9</v>
      </c>
      <c r="CC72" s="46"/>
      <c r="CD72" s="46"/>
      <c r="CE72" s="46"/>
      <c r="CF72"/>
      <c r="CG72" s="46">
        <v>0</v>
      </c>
      <c r="CH72" s="46"/>
      <c r="CI72" s="46">
        <f>$BS$58</f>
        <v>8.1482677983385488E-10</v>
      </c>
      <c r="CJ72" s="46"/>
      <c r="CK72" s="46">
        <f>$BS$58</f>
        <v>8.1482677983385488E-10</v>
      </c>
      <c r="CL72" s="46"/>
      <c r="CM72" s="46">
        <f>$BS$58</f>
        <v>8.1482677983385488E-10</v>
      </c>
      <c r="CN72" s="46"/>
      <c r="CO72" s="46"/>
      <c r="CP72" s="46"/>
      <c r="CQ72"/>
      <c r="CR72"/>
      <c r="CS72"/>
      <c r="CT72"/>
      <c r="CU72"/>
      <c r="CV72"/>
      <c r="CW72"/>
      <c r="CX72"/>
      <c r="CY72"/>
      <c r="CZ72"/>
      <c r="DA72"/>
    </row>
    <row r="73" spans="28:105" x14ac:dyDescent="0.2">
      <c r="AB73" s="23" t="s">
        <v>63</v>
      </c>
      <c r="AC73" s="23" t="s">
        <v>64</v>
      </c>
      <c r="AD73" s="23" t="s">
        <v>65</v>
      </c>
      <c r="AE73" s="23" t="s">
        <v>66</v>
      </c>
      <c r="AF73" s="23" t="s">
        <v>67</v>
      </c>
      <c r="AG73" s="23" t="s">
        <v>68</v>
      </c>
      <c r="AH73" s="23" t="s">
        <v>69</v>
      </c>
      <c r="AI73" s="23" t="s">
        <v>70</v>
      </c>
      <c r="AJ73" s="23" t="s">
        <v>71</v>
      </c>
      <c r="AK73" s="23" t="s">
        <v>72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 s="8" t="s">
        <v>51</v>
      </c>
      <c r="BO73" s="8">
        <f xml:space="preserve"> 4*BO68*SIN(BO61)*SIN(BO61) / (BO65*BO71)</f>
        <v>1.0460746457585164</v>
      </c>
      <c r="BP73" s="8"/>
      <c r="BQ73" s="8"/>
      <c r="BR73" s="8"/>
      <c r="BS73" s="8"/>
      <c r="BT73" s="42"/>
      <c r="BU73"/>
      <c r="BV73" s="8">
        <v>1</v>
      </c>
      <c r="BW73" s="9">
        <f>0.01*PI()</f>
        <v>3.1415926535897934E-2</v>
      </c>
      <c r="BX73" s="8">
        <f t="dataTable" ref="BX73:BX102" dt2D="0" dtr="0" r1="BO42"/>
        <v>-0.8533822040384037</v>
      </c>
      <c r="BY73" s="9">
        <f>0.9*PI()</f>
        <v>2.8274333882308138</v>
      </c>
      <c r="BZ73" s="8">
        <f t="dataTable" ref="BZ73:BZ102" dt2D="0" dtr="0" r1="BO42" ca="1"/>
        <v>0.2252761116937701</v>
      </c>
      <c r="CA73" s="8">
        <f t="shared" ref="CA73:CA102" si="48">(BW73+BY73)/2</f>
        <v>1.4294246573833558</v>
      </c>
      <c r="CB73" s="8">
        <f t="dataTable" ref="CB73:CB102" dt2D="0" dtr="0" r1="BO42" ca="1"/>
        <v>0.97371053655894602</v>
      </c>
      <c r="CC73" s="8">
        <f t="shared" ref="CC73:CC102" si="49">BX73*CB73</f>
        <v>-0.83094724378409002</v>
      </c>
      <c r="CD73" s="8">
        <f t="shared" ref="CD73:CD102" si="50">BZ73*CB73</f>
        <v>0.21935372359125394</v>
      </c>
      <c r="CE73" s="8">
        <f t="shared" ref="CE73:CE102" si="51">BY73-BW73</f>
        <v>2.7960174616949161</v>
      </c>
      <c r="CF73"/>
      <c r="CG73" s="8">
        <v>1</v>
      </c>
      <c r="CH73" s="9">
        <f>0.01*PI()</f>
        <v>3.1415926535897934E-2</v>
      </c>
      <c r="CI73" s="8">
        <f t="dataTable" ref="CI73:CI102" dt2D="0" dtr="0" r1="BS42"/>
        <v>-0.56354234019375971</v>
      </c>
      <c r="CJ73" s="9">
        <f>0.9*PI()</f>
        <v>2.8274333882308138</v>
      </c>
      <c r="CK73" s="8">
        <f t="dataTable" ref="CK73:CK102" dt2D="0" dtr="0" r1="BS42" ca="1"/>
        <v>0.24354650109782877</v>
      </c>
      <c r="CL73" s="8">
        <f t="shared" ref="CL73:CL102" si="52">(CH73+CJ73)/2</f>
        <v>1.4294246573833558</v>
      </c>
      <c r="CM73" s="8">
        <f t="dataTable" ref="CM73:CM102" dt2D="0" dtr="0" r1="BS42" ca="1"/>
        <v>0.97608040491649806</v>
      </c>
      <c r="CN73" s="8">
        <f t="shared" ref="CN73:CN102" si="53">CI73*CM73</f>
        <v>-0.55006263560391588</v>
      </c>
      <c r="CO73" s="8">
        <f t="shared" ref="CO73:CO102" si="54">CK73*CM73</f>
        <v>0.23772096740756504</v>
      </c>
      <c r="CP73" s="8">
        <f t="shared" ref="CP73:CP102" si="55">CJ73-CH73</f>
        <v>2.7960174616949161</v>
      </c>
      <c r="CQ73"/>
      <c r="CR73"/>
      <c r="CS73"/>
      <c r="CT73"/>
      <c r="CU73"/>
      <c r="CV73"/>
      <c r="CW73"/>
      <c r="CX73"/>
      <c r="CY73"/>
      <c r="CZ73"/>
      <c r="DA73"/>
    </row>
    <row r="74" spans="28:105" x14ac:dyDescent="0.2">
      <c r="AB74" s="8">
        <v>0</v>
      </c>
      <c r="AC74" s="9">
        <v>0</v>
      </c>
      <c r="AD74" s="8">
        <f t="shared" ref="AD74:AD104" si="56" xml:space="preserve"> $C$10 * TAN($W$18/180*PI()) + $W$21 / (2 * SQRT($C$10^2 + AC74^2)) - AC74</f>
        <v>2.7457037398626646E-2</v>
      </c>
      <c r="AE74" s="9">
        <v>1</v>
      </c>
      <c r="AF74" s="8">
        <f t="shared" ref="AF74:AF104" si="57" xml:space="preserve"> $C$10 * TAN($W$18/180*PI()) + $W$21 / (2 * SQRT($C$10^2 + AE74^2)) - AE74</f>
        <v>-0.98811318351030764</v>
      </c>
      <c r="AG74" s="8">
        <f xml:space="preserve"> (AC74 + AE74)/2</f>
        <v>0.5</v>
      </c>
      <c r="AH74" s="8">
        <f t="shared" ref="AH74:AH104" si="58" xml:space="preserve"> $C$10 * TAN($W$18/180*PI()) + $W$21 / (2 * SQRT($C$10^2 + AG74^2)) - AG74</f>
        <v>-0.48315039389514863</v>
      </c>
      <c r="AI74" s="8">
        <f>AD74*AH74</f>
        <v>-1.3265878434340291E-2</v>
      </c>
      <c r="AJ74" s="8">
        <f>AF74*AH74</f>
        <v>0.4774072738259944</v>
      </c>
      <c r="AK74" s="8">
        <f>AE74-AC74</f>
        <v>1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 s="8" t="s">
        <v>290</v>
      </c>
      <c r="BO74" s="8">
        <f xml:space="preserve"> 4*BO68*SIN(BO61)*COS(BO61) / (BO65*BO72)</f>
        <v>48.259194031483446</v>
      </c>
      <c r="BP74" s="8"/>
      <c r="BQ74" s="8"/>
      <c r="BR74" s="8"/>
      <c r="BS74" s="8"/>
      <c r="BT74" s="42"/>
      <c r="BU74"/>
      <c r="BV74" s="8">
        <v>2</v>
      </c>
      <c r="BW74" s="8">
        <f t="shared" ref="BW74:BW102" si="59">IF(CC73&gt;0,CA73,BW73)</f>
        <v>3.1415926535897934E-2</v>
      </c>
      <c r="BX74" s="8">
        <v>-0.8533822040384037</v>
      </c>
      <c r="BY74" s="8">
        <f t="shared" ref="BY74:BY102" si="60">IF(CD73&gt;0,CA73,BY73)</f>
        <v>1.4294246573833558</v>
      </c>
      <c r="BZ74" s="8">
        <v>0.97371053655894602</v>
      </c>
      <c r="CA74" s="8">
        <f t="shared" si="48"/>
        <v>0.73042029195962688</v>
      </c>
      <c r="CB74" s="8">
        <v>0.68517222213424034</v>
      </c>
      <c r="CC74" s="8">
        <f t="shared" si="49"/>
        <v>-0.58471378107080874</v>
      </c>
      <c r="CD74" s="8">
        <f t="shared" si="50"/>
        <v>0.66715941204961648</v>
      </c>
      <c r="CE74" s="8">
        <f t="shared" si="51"/>
        <v>1.3980087308474578</v>
      </c>
      <c r="CF74"/>
      <c r="CG74" s="8">
        <v>2</v>
      </c>
      <c r="CH74" s="8">
        <f t="shared" ref="CH74:CH102" si="61">IF(CN73&gt;0,CL73,CH73)</f>
        <v>3.1415926535897934E-2</v>
      </c>
      <c r="CI74" s="8">
        <v>-0.56354234019375971</v>
      </c>
      <c r="CJ74" s="8">
        <f t="shared" ref="CJ74:CJ102" si="62">IF(CO73&gt;0,CL73,CJ73)</f>
        <v>1.4294246573833558</v>
      </c>
      <c r="CK74" s="8">
        <v>0.97608040491649806</v>
      </c>
      <c r="CL74" s="8">
        <f t="shared" si="52"/>
        <v>0.73042029195962688</v>
      </c>
      <c r="CM74" s="8">
        <v>0.68193835941133907</v>
      </c>
      <c r="CN74" s="8">
        <f t="shared" si="53"/>
        <v>-0.38430113893055923</v>
      </c>
      <c r="CO74" s="8">
        <f t="shared" si="54"/>
        <v>0.66562666998231224</v>
      </c>
      <c r="CP74" s="8">
        <f t="shared" si="55"/>
        <v>1.3980087308474578</v>
      </c>
      <c r="CQ74"/>
      <c r="CR74"/>
      <c r="CS74"/>
      <c r="CT74"/>
      <c r="CU74"/>
      <c r="CV74"/>
      <c r="CW74"/>
      <c r="CX74"/>
      <c r="CY74"/>
      <c r="CZ74"/>
      <c r="DA74"/>
    </row>
    <row r="75" spans="28:105" x14ac:dyDescent="0.2">
      <c r="AB75" s="8">
        <v>1</v>
      </c>
      <c r="AC75" s="8">
        <f>IF(AI74&gt;0, AG74, AC74)</f>
        <v>0</v>
      </c>
      <c r="AD75" s="8">
        <f t="shared" si="56"/>
        <v>2.7457037398626646E-2</v>
      </c>
      <c r="AE75" s="8">
        <f>IF(AJ74&gt;0, AG74, AE74)</f>
        <v>0.5</v>
      </c>
      <c r="AF75" s="8">
        <f t="shared" si="57"/>
        <v>-0.48315039389514863</v>
      </c>
      <c r="AG75" s="8">
        <f t="shared" ref="AG75:AG104" si="63" xml:space="preserve"> (AC75 + AE75)/2</f>
        <v>0.25</v>
      </c>
      <c r="AH75" s="8">
        <f t="shared" si="58"/>
        <v>-0.2276069283226102</v>
      </c>
      <c r="AI75" s="8">
        <f t="shared" ref="AI75:AI104" si="64">AD75*AH75</f>
        <v>-6.2494119431404423E-3</v>
      </c>
      <c r="AJ75" s="8">
        <f t="shared" ref="AJ75:AJ104" si="65">AF75*AH75</f>
        <v>0.10996837707233398</v>
      </c>
      <c r="AK75" s="8">
        <f t="shared" ref="AK75:AK104" si="66">AE75-AC75</f>
        <v>0.5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 s="8" t="s">
        <v>64</v>
      </c>
      <c r="BO75" s="8">
        <f>1/(BO73-1)</f>
        <v>21.703910763441108</v>
      </c>
      <c r="BP75" s="8"/>
      <c r="BQ75" s="8"/>
      <c r="BR75" s="8"/>
      <c r="BS75" s="8"/>
      <c r="BT75" s="42"/>
      <c r="BU75"/>
      <c r="BV75" s="8">
        <v>3</v>
      </c>
      <c r="BW75" s="8">
        <f t="shared" si="59"/>
        <v>3.1415926535897934E-2</v>
      </c>
      <c r="BX75" s="8">
        <v>-0.8533822040384037</v>
      </c>
      <c r="BY75" s="8">
        <f t="shared" si="60"/>
        <v>0.73042029195962688</v>
      </c>
      <c r="BZ75" s="8">
        <v>0.68517222213424034</v>
      </c>
      <c r="CA75" s="8">
        <f t="shared" si="48"/>
        <v>0.38091810924776243</v>
      </c>
      <c r="CB75" s="8">
        <v>0.37244118367331214</v>
      </c>
      <c r="CC75" s="8">
        <f t="shared" si="49"/>
        <v>-0.31783467819780303</v>
      </c>
      <c r="CD75" s="8">
        <f t="shared" si="50"/>
        <v>0.25518635343175006</v>
      </c>
      <c r="CE75" s="8">
        <f t="shared" si="51"/>
        <v>0.6990043654237289</v>
      </c>
      <c r="CF75"/>
      <c r="CG75" s="8">
        <v>3</v>
      </c>
      <c r="CH75" s="8">
        <f t="shared" si="61"/>
        <v>3.1415926535897934E-2</v>
      </c>
      <c r="CI75" s="8">
        <v>-0.56354234019375971</v>
      </c>
      <c r="CJ75" s="8">
        <f t="shared" si="62"/>
        <v>0.73042029195962688</v>
      </c>
      <c r="CK75" s="8">
        <v>0.68193835941133907</v>
      </c>
      <c r="CL75" s="8">
        <f t="shared" si="52"/>
        <v>0.38091810924776243</v>
      </c>
      <c r="CM75" s="8">
        <v>0.37174831255680213</v>
      </c>
      <c r="CN75" s="8">
        <f t="shared" si="53"/>
        <v>-0.20949591402134149</v>
      </c>
      <c r="CO75" s="8">
        <f t="shared" si="54"/>
        <v>0.25350943437891932</v>
      </c>
      <c r="CP75" s="8">
        <f t="shared" si="55"/>
        <v>0.6990043654237289</v>
      </c>
      <c r="CQ75"/>
      <c r="CR75"/>
      <c r="CS75"/>
      <c r="CT75"/>
      <c r="CU75"/>
      <c r="CV75"/>
      <c r="CW75"/>
      <c r="CX75"/>
      <c r="CY75"/>
      <c r="CZ75"/>
      <c r="DA75"/>
    </row>
    <row r="76" spans="28:105" x14ac:dyDescent="0.2">
      <c r="AB76" s="8">
        <v>2</v>
      </c>
      <c r="AC76" s="8">
        <f t="shared" ref="AC76:AC104" si="67">IF(AI75&gt;0, AG75, AC75)</f>
        <v>0</v>
      </c>
      <c r="AD76" s="8">
        <f t="shared" si="56"/>
        <v>2.7457037398626646E-2</v>
      </c>
      <c r="AE76" s="8">
        <f t="shared" ref="AE76:AE104" si="68">IF(AJ75&gt;0, AG75, AE75)</f>
        <v>0.25</v>
      </c>
      <c r="AF76" s="8">
        <f t="shared" si="57"/>
        <v>-0.2276069283226102</v>
      </c>
      <c r="AG76" s="8">
        <f t="shared" si="63"/>
        <v>0.125</v>
      </c>
      <c r="AH76" s="8">
        <f t="shared" si="58"/>
        <v>-9.9223599305354904E-2</v>
      </c>
      <c r="AI76" s="8">
        <f t="shared" si="64"/>
        <v>-2.7243860769534745E-3</v>
      </c>
      <c r="AJ76" s="8">
        <f t="shared" si="65"/>
        <v>2.2583978655005308E-2</v>
      </c>
      <c r="AK76" s="8">
        <f t="shared" si="66"/>
        <v>0.25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 s="8" t="s">
        <v>293</v>
      </c>
      <c r="BO76" s="8">
        <f>1/(BO74+1)</f>
        <v>2.030077876144018E-2</v>
      </c>
      <c r="BP76" s="8"/>
      <c r="BQ76"/>
      <c r="BR76"/>
      <c r="BS76"/>
      <c r="BT76"/>
      <c r="BU76"/>
      <c r="BV76" s="8">
        <v>4</v>
      </c>
      <c r="BW76" s="8">
        <f t="shared" si="59"/>
        <v>3.1415926535897934E-2</v>
      </c>
      <c r="BX76" s="8">
        <v>-0.8533822040384037</v>
      </c>
      <c r="BY76" s="8">
        <f t="shared" si="60"/>
        <v>0.38091810924776243</v>
      </c>
      <c r="BZ76" s="8">
        <v>0.37244118367331214</v>
      </c>
      <c r="CA76" s="8">
        <f t="shared" si="48"/>
        <v>0.20616701789183017</v>
      </c>
      <c r="CB76" s="8">
        <v>0.10575057987863051</v>
      </c>
      <c r="CC76" s="8">
        <f t="shared" si="49"/>
        <v>-9.0245662935164978E-2</v>
      </c>
      <c r="CD76" s="8">
        <f t="shared" si="50"/>
        <v>3.9385871144136296E-2</v>
      </c>
      <c r="CE76" s="8">
        <f t="shared" si="51"/>
        <v>0.34950218271186451</v>
      </c>
      <c r="CF76"/>
      <c r="CG76" s="8">
        <v>4</v>
      </c>
      <c r="CH76" s="8">
        <f t="shared" si="61"/>
        <v>3.1415926535897934E-2</v>
      </c>
      <c r="CI76" s="8">
        <v>-0.56354234019375971</v>
      </c>
      <c r="CJ76" s="8">
        <f t="shared" si="62"/>
        <v>0.38091810924776243</v>
      </c>
      <c r="CK76" s="8">
        <v>0.37174831255680213</v>
      </c>
      <c r="CL76" s="8">
        <f t="shared" si="52"/>
        <v>0.20616701789183017</v>
      </c>
      <c r="CM76" s="8">
        <v>0.12929847356679058</v>
      </c>
      <c r="CN76" s="8">
        <f t="shared" si="53"/>
        <v>-7.2865164377310152E-2</v>
      </c>
      <c r="CO76" s="8">
        <f t="shared" si="54"/>
        <v>4.8066489364624682E-2</v>
      </c>
      <c r="CP76" s="8">
        <f t="shared" si="55"/>
        <v>0.34950218271186451</v>
      </c>
      <c r="CQ76"/>
      <c r="CR76"/>
      <c r="CS76"/>
      <c r="CT76"/>
      <c r="CU76"/>
      <c r="CV76"/>
      <c r="CW76"/>
      <c r="CX76"/>
      <c r="CY76"/>
      <c r="CZ76"/>
      <c r="DA76"/>
    </row>
    <row r="77" spans="28:105" x14ac:dyDescent="0.2">
      <c r="AB77" s="8">
        <v>3</v>
      </c>
      <c r="AC77" s="8">
        <f t="shared" si="67"/>
        <v>0</v>
      </c>
      <c r="AD77" s="8">
        <f t="shared" si="56"/>
        <v>2.7457037398626646E-2</v>
      </c>
      <c r="AE77" s="8">
        <f t="shared" si="68"/>
        <v>0.125</v>
      </c>
      <c r="AF77" s="8">
        <f t="shared" si="57"/>
        <v>-9.9223599305354904E-2</v>
      </c>
      <c r="AG77" s="8">
        <f t="shared" si="63"/>
        <v>6.25E-2</v>
      </c>
      <c r="AH77" s="8">
        <f t="shared" si="58"/>
        <v>-3.5502204216559821E-2</v>
      </c>
      <c r="AI77" s="8">
        <f t="shared" si="64"/>
        <v>-9.7478534890776361E-4</v>
      </c>
      <c r="AJ77" s="8">
        <f t="shared" si="65"/>
        <v>3.522656485640813E-3</v>
      </c>
      <c r="AK77" s="8">
        <f t="shared" si="66"/>
        <v>0.125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s="23" t="s">
        <v>295</v>
      </c>
      <c r="BO77" s="56">
        <f>SIN(BO61)/(1+BO75) - $AY$3*COS(BO61)/($BC$5*$AY$24*(1-BO76))</f>
        <v>-4.7047981378833814E-9</v>
      </c>
      <c r="BP77" s="56"/>
      <c r="BQ77"/>
      <c r="BR77"/>
      <c r="BS77"/>
      <c r="BT77"/>
      <c r="BU77"/>
      <c r="BV77" s="8">
        <v>5</v>
      </c>
      <c r="BW77" s="8">
        <f t="shared" si="59"/>
        <v>3.1415926535897934E-2</v>
      </c>
      <c r="BX77" s="8">
        <v>-0.8533822040384037</v>
      </c>
      <c r="BY77" s="8">
        <f t="shared" si="60"/>
        <v>0.20616701789183017</v>
      </c>
      <c r="BZ77" s="8">
        <v>0.10575057987863051</v>
      </c>
      <c r="CA77" s="8">
        <f t="shared" si="48"/>
        <v>0.11879147221386405</v>
      </c>
      <c r="CB77" s="8">
        <v>-0.12898033167295225</v>
      </c>
      <c r="CC77" s="8">
        <f t="shared" si="49"/>
        <v>0.11006951972066832</v>
      </c>
      <c r="CD77" s="8">
        <f t="shared" si="50"/>
        <v>-1.3639744867352794E-2</v>
      </c>
      <c r="CE77" s="8">
        <f t="shared" si="51"/>
        <v>0.17475109135593225</v>
      </c>
      <c r="CF77"/>
      <c r="CG77" s="8">
        <v>5</v>
      </c>
      <c r="CH77" s="8">
        <f t="shared" si="61"/>
        <v>3.1415926535897934E-2</v>
      </c>
      <c r="CI77" s="8">
        <v>-0.56354234019375971</v>
      </c>
      <c r="CJ77" s="8">
        <f t="shared" si="62"/>
        <v>0.20616701789183017</v>
      </c>
      <c r="CK77" s="8">
        <v>0.12929847356679058</v>
      </c>
      <c r="CL77" s="8">
        <f t="shared" si="52"/>
        <v>0.11879147221386405</v>
      </c>
      <c r="CM77" s="8">
        <v>-5.6736671106225336E-2</v>
      </c>
      <c r="CN77" s="8">
        <f t="shared" si="53"/>
        <v>3.1973516410005898E-2</v>
      </c>
      <c r="CO77" s="8">
        <f t="shared" si="54"/>
        <v>-7.3359649692959676E-3</v>
      </c>
      <c r="CP77" s="8">
        <f t="shared" si="55"/>
        <v>0.17475109135593225</v>
      </c>
      <c r="CQ77"/>
      <c r="CR77"/>
      <c r="CS77"/>
      <c r="CT77"/>
      <c r="CU77"/>
      <c r="CV77"/>
      <c r="CW77"/>
      <c r="CX77"/>
      <c r="CY77"/>
      <c r="CZ77"/>
      <c r="DA77"/>
    </row>
    <row r="78" spans="28:105" x14ac:dyDescent="0.2">
      <c r="AB78" s="8">
        <v>4</v>
      </c>
      <c r="AC78" s="8">
        <f t="shared" si="67"/>
        <v>0</v>
      </c>
      <c r="AD78" s="8">
        <f t="shared" si="56"/>
        <v>2.7457037398626646E-2</v>
      </c>
      <c r="AE78" s="8">
        <f t="shared" si="68"/>
        <v>6.25E-2</v>
      </c>
      <c r="AF78" s="8">
        <f t="shared" si="57"/>
        <v>-3.5502204216559821E-2</v>
      </c>
      <c r="AG78" s="8">
        <f t="shared" si="63"/>
        <v>3.125E-2</v>
      </c>
      <c r="AH78" s="8">
        <f t="shared" si="58"/>
        <v>-3.9105410954450893E-3</v>
      </c>
      <c r="AI78" s="8">
        <f t="shared" si="64"/>
        <v>-1.0737187310650223E-4</v>
      </c>
      <c r="AJ78" s="8">
        <f t="shared" si="65"/>
        <v>1.3883282856774111E-4</v>
      </c>
      <c r="AK78" s="8">
        <f t="shared" si="66"/>
        <v>6.25E-2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 s="8">
        <v>6</v>
      </c>
      <c r="BW78" s="8">
        <f t="shared" si="59"/>
        <v>0.11879147221386405</v>
      </c>
      <c r="BX78" s="8">
        <v>-0.12898033167295225</v>
      </c>
      <c r="BY78" s="8">
        <f t="shared" si="60"/>
        <v>0.20616701789183017</v>
      </c>
      <c r="BZ78" s="8">
        <v>0.10575057987863051</v>
      </c>
      <c r="CA78" s="8">
        <f t="shared" si="48"/>
        <v>0.16247924505284711</v>
      </c>
      <c r="CB78" s="8">
        <v>8.5607169823940128E-3</v>
      </c>
      <c r="CC78" s="8">
        <f t="shared" si="49"/>
        <v>-1.1041641157474547E-3</v>
      </c>
      <c r="CD78" s="8">
        <f t="shared" si="50"/>
        <v>9.0530078506500687E-4</v>
      </c>
      <c r="CE78" s="8">
        <f t="shared" si="51"/>
        <v>8.7375545677966127E-2</v>
      </c>
      <c r="CF78"/>
      <c r="CG78" s="8">
        <v>6</v>
      </c>
      <c r="CH78" s="8">
        <f t="shared" si="61"/>
        <v>0.11879147221386405</v>
      </c>
      <c r="CI78" s="8">
        <v>-5.6736671106225336E-2</v>
      </c>
      <c r="CJ78" s="8">
        <f t="shared" si="62"/>
        <v>0.20616701789183017</v>
      </c>
      <c r="CK78" s="8">
        <v>0.12929847356679058</v>
      </c>
      <c r="CL78" s="8">
        <f t="shared" si="52"/>
        <v>0.16247924505284711</v>
      </c>
      <c r="CM78" s="8">
        <v>4.8871212569932446E-2</v>
      </c>
      <c r="CN78" s="8">
        <f t="shared" si="53"/>
        <v>-2.7727899141426825E-3</v>
      </c>
      <c r="CO78" s="8">
        <f t="shared" si="54"/>
        <v>6.3189731866504142E-3</v>
      </c>
      <c r="CP78" s="8">
        <f t="shared" si="55"/>
        <v>8.7375545677966127E-2</v>
      </c>
      <c r="CQ78"/>
      <c r="CR78"/>
      <c r="CS78"/>
      <c r="CT78"/>
      <c r="CU78"/>
      <c r="CV78"/>
      <c r="CW78"/>
      <c r="CX78"/>
      <c r="CY78"/>
      <c r="CZ78"/>
      <c r="DA78"/>
    </row>
    <row r="79" spans="28:105" x14ac:dyDescent="0.2">
      <c r="AB79" s="8">
        <v>5</v>
      </c>
      <c r="AC79" s="8">
        <f t="shared" si="67"/>
        <v>0</v>
      </c>
      <c r="AD79" s="8">
        <f t="shared" si="56"/>
        <v>2.7457037398626646E-2</v>
      </c>
      <c r="AE79" s="8">
        <f t="shared" si="68"/>
        <v>3.125E-2</v>
      </c>
      <c r="AF79" s="8">
        <f t="shared" si="57"/>
        <v>-3.9105410954450893E-3</v>
      </c>
      <c r="AG79" s="8">
        <f t="shared" si="63"/>
        <v>1.5625E-2</v>
      </c>
      <c r="AH79" s="8">
        <f t="shared" si="58"/>
        <v>1.1802463929980935E-2</v>
      </c>
      <c r="AI79" s="8">
        <f t="shared" si="64"/>
        <v>3.2406069352142853E-4</v>
      </c>
      <c r="AJ79" s="8">
        <f t="shared" si="65"/>
        <v>-4.61540202256988E-5</v>
      </c>
      <c r="AK79" s="8">
        <f t="shared" si="66"/>
        <v>3.125E-2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 s="8">
        <v>7</v>
      </c>
      <c r="BW79" s="8">
        <f t="shared" si="59"/>
        <v>0.11879147221386405</v>
      </c>
      <c r="BX79" s="8">
        <v>-0.12898033167295225</v>
      </c>
      <c r="BY79" s="8">
        <f t="shared" si="60"/>
        <v>0.16247924505284711</v>
      </c>
      <c r="BZ79" s="8">
        <v>8.5607169823940128E-3</v>
      </c>
      <c r="CA79" s="8">
        <f t="shared" si="48"/>
        <v>0.14063535863335558</v>
      </c>
      <c r="CB79" s="8">
        <v>-5.2747905663932462E-2</v>
      </c>
      <c r="CC79" s="8">
        <f t="shared" si="49"/>
        <v>6.803442367587606E-3</v>
      </c>
      <c r="CD79" s="8">
        <f t="shared" si="50"/>
        <v>-4.5155989180294397E-4</v>
      </c>
      <c r="CE79" s="8">
        <f t="shared" si="51"/>
        <v>4.3687772838983063E-2</v>
      </c>
      <c r="CF79"/>
      <c r="CG79" s="8">
        <v>7</v>
      </c>
      <c r="CH79" s="8">
        <f t="shared" si="61"/>
        <v>0.11879147221386405</v>
      </c>
      <c r="CI79" s="8">
        <v>-5.6736671106225336E-2</v>
      </c>
      <c r="CJ79" s="8">
        <f t="shared" si="62"/>
        <v>0.16247924505284711</v>
      </c>
      <c r="CK79" s="8">
        <v>4.8871212569932446E-2</v>
      </c>
      <c r="CL79" s="8">
        <f t="shared" si="52"/>
        <v>0.14063535863335558</v>
      </c>
      <c r="CM79" s="8">
        <v>7.3550762284268784E-4</v>
      </c>
      <c r="CN79" s="8">
        <f t="shared" si="53"/>
        <v>-4.1730254093347208E-5</v>
      </c>
      <c r="CO79" s="8">
        <f t="shared" si="54"/>
        <v>3.5945149382750699E-5</v>
      </c>
      <c r="CP79" s="8">
        <f t="shared" si="55"/>
        <v>4.3687772838983063E-2</v>
      </c>
      <c r="CQ79"/>
      <c r="CR79"/>
      <c r="CS79"/>
      <c r="CT79"/>
      <c r="CU79"/>
      <c r="CV79"/>
      <c r="CW79"/>
      <c r="CX79"/>
      <c r="CY79"/>
      <c r="CZ79"/>
      <c r="DA79"/>
    </row>
    <row r="80" spans="28:105" x14ac:dyDescent="0.2">
      <c r="AB80" s="8">
        <v>6</v>
      </c>
      <c r="AC80" s="8">
        <f t="shared" si="67"/>
        <v>1.5625E-2</v>
      </c>
      <c r="AD80" s="8">
        <f t="shared" si="56"/>
        <v>1.1802463929980935E-2</v>
      </c>
      <c r="AE80" s="8">
        <f t="shared" si="68"/>
        <v>3.125E-2</v>
      </c>
      <c r="AF80" s="8">
        <f t="shared" si="57"/>
        <v>-3.9105410954450893E-3</v>
      </c>
      <c r="AG80" s="8">
        <f t="shared" si="63"/>
        <v>2.34375E-2</v>
      </c>
      <c r="AH80" s="8">
        <f t="shared" si="58"/>
        <v>3.9531654208770466E-3</v>
      </c>
      <c r="AI80" s="8">
        <f t="shared" si="64"/>
        <v>4.6657092289149248E-5</v>
      </c>
      <c r="AJ80" s="8">
        <f t="shared" si="65"/>
        <v>-1.5459015835432174E-5</v>
      </c>
      <c r="AK80" s="8">
        <f t="shared" si="66"/>
        <v>1.5625E-2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 s="8">
        <v>8</v>
      </c>
      <c r="BW80" s="8">
        <f t="shared" si="59"/>
        <v>0.14063535863335558</v>
      </c>
      <c r="BX80" s="8">
        <v>-5.2747905663932462E-2</v>
      </c>
      <c r="BY80" s="8">
        <f t="shared" si="60"/>
        <v>0.16247924505284711</v>
      </c>
      <c r="BZ80" s="8">
        <v>8.5607169823940128E-3</v>
      </c>
      <c r="CA80" s="8">
        <f t="shared" si="48"/>
        <v>0.15155730184310134</v>
      </c>
      <c r="CB80" s="8">
        <v>-2.0639545874620677E-2</v>
      </c>
      <c r="CC80" s="8">
        <f t="shared" si="49"/>
        <v>1.0886928187408978E-3</v>
      </c>
      <c r="CD80" s="8">
        <f t="shared" si="50"/>
        <v>-1.7668931087776551E-4</v>
      </c>
      <c r="CE80" s="8">
        <f t="shared" si="51"/>
        <v>2.1843886419491532E-2</v>
      </c>
      <c r="CF80"/>
      <c r="CG80" s="8">
        <v>8</v>
      </c>
      <c r="CH80" s="8">
        <f t="shared" si="61"/>
        <v>0.11879147221386405</v>
      </c>
      <c r="CI80" s="8">
        <v>-5.6736671106225336E-2</v>
      </c>
      <c r="CJ80" s="8">
        <f t="shared" si="62"/>
        <v>0.14063535863335558</v>
      </c>
      <c r="CK80" s="8">
        <v>7.3550762284268784E-4</v>
      </c>
      <c r="CL80" s="8">
        <f t="shared" si="52"/>
        <v>0.12971341542360981</v>
      </c>
      <c r="CM80" s="8">
        <v>-2.6525138845135292E-2</v>
      </c>
      <c r="CN80" s="8">
        <f t="shared" si="53"/>
        <v>1.5049480787034028E-3</v>
      </c>
      <c r="CO80" s="8">
        <f t="shared" si="54"/>
        <v>-1.9509441817557697E-5</v>
      </c>
      <c r="CP80" s="8">
        <f t="shared" si="55"/>
        <v>2.1843886419491532E-2</v>
      </c>
      <c r="CQ80"/>
      <c r="CR80"/>
      <c r="CS80"/>
      <c r="CT80"/>
      <c r="CU80"/>
      <c r="CV80"/>
      <c r="CW80"/>
      <c r="CX80"/>
      <c r="CY80"/>
      <c r="CZ80"/>
      <c r="DA80"/>
    </row>
    <row r="81" spans="28:105" x14ac:dyDescent="0.2">
      <c r="AB81" s="8">
        <v>7</v>
      </c>
      <c r="AC81" s="8">
        <f t="shared" si="67"/>
        <v>2.34375E-2</v>
      </c>
      <c r="AD81" s="8">
        <f t="shared" si="56"/>
        <v>3.9531654208770466E-3</v>
      </c>
      <c r="AE81" s="8">
        <f t="shared" si="68"/>
        <v>3.125E-2</v>
      </c>
      <c r="AF81" s="8">
        <f t="shared" si="57"/>
        <v>-3.9105410954450893E-3</v>
      </c>
      <c r="AG81" s="8">
        <f t="shared" si="63"/>
        <v>2.734375E-2</v>
      </c>
      <c r="AH81" s="8">
        <f t="shared" si="58"/>
        <v>2.3095995544654413E-5</v>
      </c>
      <c r="AI81" s="8">
        <f t="shared" si="64"/>
        <v>9.130229094785815E-8</v>
      </c>
      <c r="AJ81" s="8">
        <f t="shared" si="65"/>
        <v>-9.0317839717587771E-8</v>
      </c>
      <c r="AK81" s="8">
        <f t="shared" si="66"/>
        <v>7.8125E-3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 s="8">
        <v>9</v>
      </c>
      <c r="BW81" s="8">
        <f t="shared" si="59"/>
        <v>0.15155730184310134</v>
      </c>
      <c r="BX81" s="8">
        <v>-2.0639545874620677E-2</v>
      </c>
      <c r="BY81" s="8">
        <f t="shared" si="60"/>
        <v>0.16247924505284711</v>
      </c>
      <c r="BZ81" s="8">
        <v>8.5607169823940128E-3</v>
      </c>
      <c r="CA81" s="8">
        <f t="shared" si="48"/>
        <v>0.15701827344797423</v>
      </c>
      <c r="CB81" s="8">
        <v>-5.7148272961222105E-3</v>
      </c>
      <c r="CC81" s="8">
        <f t="shared" si="49"/>
        <v>1.1795144014384881E-4</v>
      </c>
      <c r="CD81" s="8">
        <f t="shared" si="50"/>
        <v>-4.8923019085362264E-5</v>
      </c>
      <c r="CE81" s="8">
        <f t="shared" si="51"/>
        <v>1.0921943209745766E-2</v>
      </c>
      <c r="CF81"/>
      <c r="CG81" s="8">
        <v>9</v>
      </c>
      <c r="CH81" s="8">
        <f t="shared" si="61"/>
        <v>0.12971341542360981</v>
      </c>
      <c r="CI81" s="8">
        <v>-2.6525138845135292E-2</v>
      </c>
      <c r="CJ81" s="8">
        <f t="shared" si="62"/>
        <v>0.14063535863335558</v>
      </c>
      <c r="CK81" s="8">
        <v>7.3550762284268784E-4</v>
      </c>
      <c r="CL81" s="8">
        <f t="shared" si="52"/>
        <v>0.1351743870284827</v>
      </c>
      <c r="CM81" s="8">
        <v>-1.2572652832949754E-2</v>
      </c>
      <c r="CN81" s="8">
        <f t="shared" si="53"/>
        <v>3.3349136204567582E-4</v>
      </c>
      <c r="CO81" s="8">
        <f t="shared" si="54"/>
        <v>-9.2472819979892584E-6</v>
      </c>
      <c r="CP81" s="8">
        <f t="shared" si="55"/>
        <v>1.0921943209745766E-2</v>
      </c>
      <c r="CQ81"/>
      <c r="CR81"/>
      <c r="CS81"/>
      <c r="CT81"/>
      <c r="CU81"/>
      <c r="CV81"/>
      <c r="CW81"/>
      <c r="CX81"/>
      <c r="CY81"/>
      <c r="CZ81"/>
      <c r="DA81"/>
    </row>
    <row r="82" spans="28:105" x14ac:dyDescent="0.2">
      <c r="AB82" s="8">
        <v>8</v>
      </c>
      <c r="AC82" s="8">
        <f t="shared" si="67"/>
        <v>2.734375E-2</v>
      </c>
      <c r="AD82" s="8">
        <f t="shared" si="56"/>
        <v>2.3095995544654413E-5</v>
      </c>
      <c r="AE82" s="8">
        <f t="shared" si="68"/>
        <v>3.125E-2</v>
      </c>
      <c r="AF82" s="8">
        <f t="shared" si="57"/>
        <v>-3.9105410954450893E-3</v>
      </c>
      <c r="AG82" s="8">
        <f t="shared" si="63"/>
        <v>2.9296875E-2</v>
      </c>
      <c r="AH82" s="8">
        <f t="shared" si="58"/>
        <v>-1.9432790197893846E-3</v>
      </c>
      <c r="AI82" s="8">
        <f t="shared" si="64"/>
        <v>-4.4881963583076023E-8</v>
      </c>
      <c r="AJ82" s="8">
        <f t="shared" si="65"/>
        <v>7.5992724668026392E-6</v>
      </c>
      <c r="AK82" s="8">
        <f t="shared" si="66"/>
        <v>3.90625E-3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 s="8">
        <v>10</v>
      </c>
      <c r="BW82" s="8">
        <f t="shared" si="59"/>
        <v>0.15701827344797423</v>
      </c>
      <c r="BX82" s="8">
        <v>-5.7148272961222105E-3</v>
      </c>
      <c r="BY82" s="8">
        <f t="shared" si="60"/>
        <v>0.16247924505284711</v>
      </c>
      <c r="BZ82" s="8">
        <v>8.5607169823940128E-3</v>
      </c>
      <c r="CA82" s="8">
        <f t="shared" si="48"/>
        <v>0.15974875925041065</v>
      </c>
      <c r="CB82" s="8">
        <v>1.4998097976116499E-3</v>
      </c>
      <c r="CC82" s="8">
        <f t="shared" si="49"/>
        <v>-8.5711539703825843E-6</v>
      </c>
      <c r="CD82" s="8">
        <f t="shared" si="50"/>
        <v>1.2839447204774978E-5</v>
      </c>
      <c r="CE82" s="8">
        <f t="shared" si="51"/>
        <v>5.4609716048728829E-3</v>
      </c>
      <c r="CF82"/>
      <c r="CG82" s="8">
        <v>10</v>
      </c>
      <c r="CH82" s="8">
        <f t="shared" si="61"/>
        <v>0.1351743870284827</v>
      </c>
      <c r="CI82" s="8">
        <v>-1.2572652832949754E-2</v>
      </c>
      <c r="CJ82" s="8">
        <f t="shared" si="62"/>
        <v>0.14063535863335558</v>
      </c>
      <c r="CK82" s="8">
        <v>7.3550762284268784E-4</v>
      </c>
      <c r="CL82" s="8">
        <f t="shared" si="52"/>
        <v>0.13790487283091912</v>
      </c>
      <c r="CM82" s="8">
        <v>-5.8430255961045528E-3</v>
      </c>
      <c r="CN82" s="8">
        <f t="shared" si="53"/>
        <v>7.3462332313861835E-5</v>
      </c>
      <c r="CO82" s="8">
        <f t="shared" si="54"/>
        <v>-4.297589866399839E-6</v>
      </c>
      <c r="CP82" s="8">
        <f t="shared" si="55"/>
        <v>5.4609716048728829E-3</v>
      </c>
      <c r="CQ82"/>
      <c r="CR82"/>
      <c r="CS82"/>
      <c r="CT82"/>
      <c r="CU82"/>
      <c r="CV82"/>
      <c r="CW82"/>
      <c r="CX82"/>
      <c r="CY82"/>
      <c r="CZ82"/>
      <c r="DA82"/>
    </row>
    <row r="83" spans="28:105" x14ac:dyDescent="0.2">
      <c r="AB83" s="8">
        <v>9</v>
      </c>
      <c r="AC83" s="8">
        <f t="shared" si="67"/>
        <v>2.734375E-2</v>
      </c>
      <c r="AD83" s="8">
        <f t="shared" si="56"/>
        <v>2.3095995544654413E-5</v>
      </c>
      <c r="AE83" s="8">
        <f t="shared" si="68"/>
        <v>2.9296875E-2</v>
      </c>
      <c r="AF83" s="8">
        <f t="shared" si="57"/>
        <v>-1.9432790197893846E-3</v>
      </c>
      <c r="AG83" s="8">
        <f t="shared" si="63"/>
        <v>2.83203125E-2</v>
      </c>
      <c r="AH83" s="8">
        <f t="shared" si="58"/>
        <v>-9.5998031372220363E-4</v>
      </c>
      <c r="AI83" s="8">
        <f t="shared" si="64"/>
        <v>-2.2171701048683962E-8</v>
      </c>
      <c r="AJ83" s="8">
        <f t="shared" si="65"/>
        <v>1.8655096030671898E-6</v>
      </c>
      <c r="AK83" s="8">
        <f t="shared" si="66"/>
        <v>1.953125E-3</v>
      </c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 s="8">
        <v>11</v>
      </c>
      <c r="BW83" s="8">
        <f t="shared" si="59"/>
        <v>0.15701827344797423</v>
      </c>
      <c r="BX83" s="8">
        <v>-5.7148272961222105E-3</v>
      </c>
      <c r="BY83" s="8">
        <f t="shared" si="60"/>
        <v>0.15974875925041065</v>
      </c>
      <c r="BZ83" s="8">
        <v>1.4998097976116499E-3</v>
      </c>
      <c r="CA83" s="8">
        <f t="shared" si="48"/>
        <v>0.15838351634919245</v>
      </c>
      <c r="CB83" s="8">
        <v>-2.0877804621997108E-3</v>
      </c>
      <c r="CC83" s="8">
        <f t="shared" si="49"/>
        <v>1.1931304773689552E-5</v>
      </c>
      <c r="CD83" s="8">
        <f t="shared" si="50"/>
        <v>-3.1312735924693049E-6</v>
      </c>
      <c r="CE83" s="8">
        <f t="shared" si="51"/>
        <v>2.7304858024364276E-3</v>
      </c>
      <c r="CF83"/>
      <c r="CG83" s="8">
        <v>11</v>
      </c>
      <c r="CH83" s="8">
        <f t="shared" si="61"/>
        <v>0.13790487283091912</v>
      </c>
      <c r="CI83" s="8">
        <v>-5.8430255961045528E-3</v>
      </c>
      <c r="CJ83" s="8">
        <f t="shared" si="62"/>
        <v>0.14063535863335558</v>
      </c>
      <c r="CK83" s="8">
        <v>7.3550762284268784E-4</v>
      </c>
      <c r="CL83" s="8">
        <f t="shared" si="52"/>
        <v>0.13927011573213735</v>
      </c>
      <c r="CM83" s="8">
        <v>-2.5354516549923323E-3</v>
      </c>
      <c r="CN83" s="8">
        <f t="shared" si="53"/>
        <v>1.4814708917805848E-5</v>
      </c>
      <c r="CO83" s="8">
        <f t="shared" si="54"/>
        <v>-1.864844019595969E-6</v>
      </c>
      <c r="CP83" s="8">
        <f t="shared" si="55"/>
        <v>2.7304858024364553E-3</v>
      </c>
      <c r="CQ83"/>
      <c r="CR83"/>
      <c r="CS83"/>
      <c r="CT83"/>
      <c r="CU83"/>
      <c r="CV83"/>
      <c r="CW83"/>
      <c r="CX83"/>
      <c r="CY83"/>
      <c r="CZ83"/>
      <c r="DA83"/>
    </row>
    <row r="84" spans="28:105" x14ac:dyDescent="0.2">
      <c r="AB84" s="8">
        <v>10</v>
      </c>
      <c r="AC84" s="8">
        <f t="shared" si="67"/>
        <v>2.734375E-2</v>
      </c>
      <c r="AD84" s="8">
        <f t="shared" si="56"/>
        <v>2.3095995544654413E-5</v>
      </c>
      <c r="AE84" s="8">
        <f t="shared" si="68"/>
        <v>2.83203125E-2</v>
      </c>
      <c r="AF84" s="8">
        <f t="shared" si="57"/>
        <v>-9.5998031372220363E-4</v>
      </c>
      <c r="AG84" s="8">
        <f t="shared" si="63"/>
        <v>2.783203125E-2</v>
      </c>
      <c r="AH84" s="8">
        <f t="shared" si="58"/>
        <v>-4.6841432107956257E-4</v>
      </c>
      <c r="AI84" s="8">
        <f t="shared" si="64"/>
        <v>-1.0818495072705899E-8</v>
      </c>
      <c r="AJ84" s="8">
        <f t="shared" si="65"/>
        <v>4.4966852690193151E-7</v>
      </c>
      <c r="AK84" s="8">
        <f t="shared" si="66"/>
        <v>9.765625E-4</v>
      </c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 s="8">
        <v>12</v>
      </c>
      <c r="BW84" s="8">
        <f t="shared" si="59"/>
        <v>0.15838351634919245</v>
      </c>
      <c r="BX84" s="8">
        <v>-2.0877804621997108E-3</v>
      </c>
      <c r="BY84" s="8">
        <f t="shared" si="60"/>
        <v>0.15974875925041065</v>
      </c>
      <c r="BZ84" s="8">
        <v>1.4998097976116499E-3</v>
      </c>
      <c r="CA84" s="8">
        <f t="shared" si="48"/>
        <v>0.15906613779980155</v>
      </c>
      <c r="CB84" s="8">
        <v>-2.891186478848019E-4</v>
      </c>
      <c r="CC84" s="8">
        <f t="shared" si="49"/>
        <v>6.036162643114871E-7</v>
      </c>
      <c r="CD84" s="8">
        <f t="shared" si="50"/>
        <v>-4.3362298076985861E-7</v>
      </c>
      <c r="CE84" s="8">
        <f t="shared" si="51"/>
        <v>1.3652429012181999E-3</v>
      </c>
      <c r="CF84"/>
      <c r="CG84" s="8">
        <v>12</v>
      </c>
      <c r="CH84" s="8">
        <f t="shared" si="61"/>
        <v>0.13927011573213735</v>
      </c>
      <c r="CI84" s="8">
        <v>-2.5354516549923323E-3</v>
      </c>
      <c r="CJ84" s="8">
        <f t="shared" si="62"/>
        <v>0.14063535863335558</v>
      </c>
      <c r="CK84" s="8">
        <v>7.3550762284268784E-4</v>
      </c>
      <c r="CL84" s="8">
        <f t="shared" si="52"/>
        <v>0.13995273718274648</v>
      </c>
      <c r="CM84" s="8">
        <v>-8.9546502162987044E-4</v>
      </c>
      <c r="CN84" s="8">
        <f t="shared" si="53"/>
        <v>2.2704082710791996E-6</v>
      </c>
      <c r="CO84" s="8">
        <f t="shared" si="54"/>
        <v>-6.5862134939776209E-7</v>
      </c>
      <c r="CP84" s="8">
        <f t="shared" si="55"/>
        <v>1.3652429012182277E-3</v>
      </c>
      <c r="CQ84"/>
      <c r="CR84"/>
      <c r="CS84"/>
      <c r="CT84"/>
      <c r="CU84"/>
      <c r="CV84"/>
      <c r="CW84"/>
      <c r="CX84"/>
      <c r="CY84"/>
      <c r="CZ84"/>
      <c r="DA84"/>
    </row>
    <row r="85" spans="28:105" x14ac:dyDescent="0.2">
      <c r="AB85" s="8">
        <v>11</v>
      </c>
      <c r="AC85" s="8">
        <f t="shared" si="67"/>
        <v>2.734375E-2</v>
      </c>
      <c r="AD85" s="8">
        <f t="shared" si="56"/>
        <v>2.3095995544654413E-5</v>
      </c>
      <c r="AE85" s="8">
        <f t="shared" si="68"/>
        <v>2.783203125E-2</v>
      </c>
      <c r="AF85" s="8">
        <f t="shared" si="57"/>
        <v>-4.6841432107956257E-4</v>
      </c>
      <c r="AG85" s="8">
        <f t="shared" si="63"/>
        <v>2.7587890625E-2</v>
      </c>
      <c r="AH85" s="8">
        <f t="shared" si="58"/>
        <v>-2.2265219853149359E-4</v>
      </c>
      <c r="AI85" s="8">
        <f t="shared" si="64"/>
        <v>-5.1423741852908857E-9</v>
      </c>
      <c r="AJ85" s="8">
        <f t="shared" si="65"/>
        <v>1.0429347841200156E-7</v>
      </c>
      <c r="AK85" s="8">
        <f t="shared" si="66"/>
        <v>4.8828125E-4</v>
      </c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 s="8">
        <v>13</v>
      </c>
      <c r="BW85" s="8">
        <f t="shared" si="59"/>
        <v>0.15906613779980155</v>
      </c>
      <c r="BX85" s="8">
        <v>-2.891186478848019E-4</v>
      </c>
      <c r="BY85" s="8">
        <f t="shared" si="60"/>
        <v>0.15974875925041065</v>
      </c>
      <c r="BZ85" s="8">
        <v>1.4998097976116499E-3</v>
      </c>
      <c r="CA85" s="8">
        <f t="shared" si="48"/>
        <v>0.1594074485251061</v>
      </c>
      <c r="CB85" s="8">
        <v>6.0655419570894431E-4</v>
      </c>
      <c r="CC85" s="8">
        <f t="shared" si="49"/>
        <v>-1.753661289322235E-7</v>
      </c>
      <c r="CD85" s="8">
        <f t="shared" si="50"/>
        <v>9.0971592550672879E-7</v>
      </c>
      <c r="CE85" s="8">
        <f t="shared" si="51"/>
        <v>6.8262145060909996E-4</v>
      </c>
      <c r="CF85"/>
      <c r="CG85" s="8">
        <v>13</v>
      </c>
      <c r="CH85" s="8">
        <f t="shared" si="61"/>
        <v>0.13995273718274648</v>
      </c>
      <c r="CI85" s="8">
        <v>-8.9546502162987044E-4</v>
      </c>
      <c r="CJ85" s="8">
        <f t="shared" si="62"/>
        <v>0.14063535863335558</v>
      </c>
      <c r="CK85" s="8">
        <v>7.3550762284268784E-4</v>
      </c>
      <c r="CL85" s="8">
        <f t="shared" si="52"/>
        <v>0.14029404790805103</v>
      </c>
      <c r="CM85" s="8">
        <v>-7.8860524843331163E-5</v>
      </c>
      <c r="CN85" s="8">
        <f t="shared" si="53"/>
        <v>7.0616841584576475E-8</v>
      </c>
      <c r="CO85" s="8">
        <f t="shared" si="54"/>
        <v>-5.8002517163645232E-8</v>
      </c>
      <c r="CP85" s="8">
        <f t="shared" si="55"/>
        <v>6.8262145060909996E-4</v>
      </c>
      <c r="CQ85"/>
      <c r="CR85"/>
      <c r="CS85"/>
      <c r="CT85"/>
      <c r="CU85"/>
      <c r="CV85"/>
      <c r="CW85"/>
      <c r="CX85"/>
      <c r="CY85"/>
      <c r="CZ85"/>
      <c r="DA85"/>
    </row>
    <row r="86" spans="28:105" x14ac:dyDescent="0.2">
      <c r="AB86" s="8">
        <v>12</v>
      </c>
      <c r="AC86" s="8">
        <f t="shared" si="67"/>
        <v>2.734375E-2</v>
      </c>
      <c r="AD86" s="8">
        <f t="shared" si="56"/>
        <v>2.3095995544654413E-5</v>
      </c>
      <c r="AE86" s="8">
        <f t="shared" si="68"/>
        <v>2.7587890625E-2</v>
      </c>
      <c r="AF86" s="8">
        <f t="shared" si="57"/>
        <v>-2.2265219853149359E-4</v>
      </c>
      <c r="AG86" s="8">
        <f t="shared" si="63"/>
        <v>2.74658203125E-2</v>
      </c>
      <c r="AH86" s="8">
        <f t="shared" si="58"/>
        <v>-9.9776359846957124E-5</v>
      </c>
      <c r="AI86" s="8">
        <f t="shared" si="64"/>
        <v>-2.3044343624871572E-9</v>
      </c>
      <c r="AJ86" s="8">
        <f t="shared" si="65"/>
        <v>2.2215425881394444E-8</v>
      </c>
      <c r="AK86" s="8">
        <f t="shared" si="66"/>
        <v>2.44140625E-4</v>
      </c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 s="8">
        <v>14</v>
      </c>
      <c r="BW86" s="8">
        <f t="shared" si="59"/>
        <v>0.15906613779980155</v>
      </c>
      <c r="BX86" s="8">
        <v>-2.891186478848019E-4</v>
      </c>
      <c r="BY86" s="8">
        <f t="shared" si="60"/>
        <v>0.1594074485251061</v>
      </c>
      <c r="BZ86" s="8">
        <v>6.0655419570894431E-4</v>
      </c>
      <c r="CA86" s="8">
        <f t="shared" si="48"/>
        <v>0.15923679316245382</v>
      </c>
      <c r="CB86" s="8">
        <v>1.5902092998275157E-4</v>
      </c>
      <c r="CC86" s="8">
        <f t="shared" si="49"/>
        <v>-4.5975916261996886E-8</v>
      </c>
      <c r="CD86" s="8">
        <f t="shared" si="50"/>
        <v>9.6454812286576226E-8</v>
      </c>
      <c r="CE86" s="8">
        <f t="shared" si="51"/>
        <v>3.4131072530454998E-4</v>
      </c>
      <c r="CF86"/>
      <c r="CG86" s="8">
        <v>14</v>
      </c>
      <c r="CH86" s="8">
        <f t="shared" si="61"/>
        <v>0.14029404790805103</v>
      </c>
      <c r="CI86" s="8">
        <v>-7.8860524843331163E-5</v>
      </c>
      <c r="CJ86" s="8">
        <f t="shared" si="62"/>
        <v>0.14063535863335558</v>
      </c>
      <c r="CK86" s="8">
        <v>7.3550762284268784E-4</v>
      </c>
      <c r="CL86" s="8">
        <f t="shared" si="52"/>
        <v>0.14046470327070332</v>
      </c>
      <c r="CM86" s="8">
        <v>3.2860203043132835E-4</v>
      </c>
      <c r="CN86" s="8">
        <f t="shared" si="53"/>
        <v>-2.5913728584398833E-8</v>
      </c>
      <c r="CO86" s="8">
        <f t="shared" si="54"/>
        <v>2.4168929826382687E-7</v>
      </c>
      <c r="CP86" s="8">
        <f t="shared" si="55"/>
        <v>3.4131072530454998E-4</v>
      </c>
      <c r="CQ86"/>
      <c r="CR86"/>
      <c r="CS86"/>
      <c r="CT86"/>
      <c r="CU86"/>
      <c r="CV86"/>
      <c r="CW86"/>
      <c r="CX86"/>
      <c r="CY86"/>
      <c r="CZ86"/>
      <c r="DA86"/>
    </row>
    <row r="87" spans="28:105" x14ac:dyDescent="0.2">
      <c r="AB87" s="8">
        <v>13</v>
      </c>
      <c r="AC87" s="8">
        <f t="shared" si="67"/>
        <v>2.734375E-2</v>
      </c>
      <c r="AD87" s="8">
        <f t="shared" si="56"/>
        <v>2.3095995544654413E-5</v>
      </c>
      <c r="AE87" s="8">
        <f t="shared" si="68"/>
        <v>2.74658203125E-2</v>
      </c>
      <c r="AF87" s="8">
        <f t="shared" si="57"/>
        <v>-9.9776359846957124E-5</v>
      </c>
      <c r="AG87" s="8">
        <f t="shared" si="63"/>
        <v>2.740478515625E-2</v>
      </c>
      <c r="AH87" s="8">
        <f t="shared" si="58"/>
        <v>-3.833974666636597E-5</v>
      </c>
      <c r="AI87" s="8">
        <f t="shared" si="64"/>
        <v>-8.8549461818956728E-10</v>
      </c>
      <c r="AJ87" s="8">
        <f t="shared" si="65"/>
        <v>3.8254003598245058E-9</v>
      </c>
      <c r="AK87" s="8">
        <f t="shared" si="66"/>
        <v>1.220703125E-4</v>
      </c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 s="8">
        <v>15</v>
      </c>
      <c r="BW87" s="8">
        <f t="shared" si="59"/>
        <v>0.15906613779980155</v>
      </c>
      <c r="BX87" s="8">
        <v>-2.891186478848019E-4</v>
      </c>
      <c r="BY87" s="8">
        <f t="shared" si="60"/>
        <v>0.15923679316245382</v>
      </c>
      <c r="BZ87" s="8">
        <v>1.5902092998275157E-4</v>
      </c>
      <c r="CA87" s="8">
        <f t="shared" si="48"/>
        <v>0.15915146548112769</v>
      </c>
      <c r="CB87" s="8">
        <v>-6.4972944353643841E-5</v>
      </c>
      <c r="CC87" s="8">
        <f t="shared" si="49"/>
        <v>1.8784889820619982E-8</v>
      </c>
      <c r="CD87" s="8">
        <f t="shared" si="50"/>
        <v>-1.0332058034834011E-8</v>
      </c>
      <c r="CE87" s="8">
        <f t="shared" si="51"/>
        <v>1.7065536265226111E-4</v>
      </c>
      <c r="CF87"/>
      <c r="CG87" s="8">
        <v>15</v>
      </c>
      <c r="CH87" s="8">
        <f t="shared" si="61"/>
        <v>0.14029404790805103</v>
      </c>
      <c r="CI87" s="8">
        <v>-7.8860524843331163E-5</v>
      </c>
      <c r="CJ87" s="8">
        <f t="shared" si="62"/>
        <v>0.14046470327070332</v>
      </c>
      <c r="CK87" s="8">
        <v>3.2860203043132835E-4</v>
      </c>
      <c r="CL87" s="8">
        <f t="shared" si="52"/>
        <v>0.14037937558937719</v>
      </c>
      <c r="CM87" s="8">
        <v>1.2494050550472015E-4</v>
      </c>
      <c r="CN87" s="8">
        <f t="shared" si="53"/>
        <v>-9.8528738382933372E-9</v>
      </c>
      <c r="CO87" s="8">
        <f t="shared" si="54"/>
        <v>4.1055703791967595E-8</v>
      </c>
      <c r="CP87" s="8">
        <f t="shared" si="55"/>
        <v>1.7065536265228887E-4</v>
      </c>
      <c r="CQ87"/>
      <c r="CR87"/>
      <c r="CS87"/>
      <c r="CT87"/>
      <c r="CU87"/>
      <c r="CV87"/>
      <c r="CW87"/>
      <c r="CX87"/>
      <c r="CY87"/>
      <c r="CZ87"/>
      <c r="DA87"/>
    </row>
    <row r="88" spans="28:105" x14ac:dyDescent="0.2">
      <c r="AB88" s="8">
        <v>14</v>
      </c>
      <c r="AC88" s="8">
        <f t="shared" si="67"/>
        <v>2.734375E-2</v>
      </c>
      <c r="AD88" s="8">
        <f t="shared" si="56"/>
        <v>2.3095995544654413E-5</v>
      </c>
      <c r="AE88" s="8">
        <f t="shared" si="68"/>
        <v>2.740478515625E-2</v>
      </c>
      <c r="AF88" s="8">
        <f t="shared" si="57"/>
        <v>-3.833974666636597E-5</v>
      </c>
      <c r="AG88" s="8">
        <f t="shared" si="63"/>
        <v>2.7374267578125E-2</v>
      </c>
      <c r="AH88" s="8">
        <f t="shared" si="58"/>
        <v>-7.6217666805274142E-6</v>
      </c>
      <c r="AI88" s="8">
        <f t="shared" si="64"/>
        <v>-1.7603228929585661E-10</v>
      </c>
      <c r="AJ88" s="8">
        <f t="shared" si="65"/>
        <v>2.9221660368157013E-10</v>
      </c>
      <c r="AK88" s="8">
        <f t="shared" si="66"/>
        <v>6.103515625E-5</v>
      </c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 s="8">
        <v>16</v>
      </c>
      <c r="BW88" s="8">
        <f t="shared" si="59"/>
        <v>0.15915146548112769</v>
      </c>
      <c r="BX88" s="8">
        <v>-6.4972944353643841E-5</v>
      </c>
      <c r="BY88" s="8">
        <f t="shared" si="60"/>
        <v>0.15923679316245382</v>
      </c>
      <c r="BZ88" s="8">
        <v>1.5902092998275157E-4</v>
      </c>
      <c r="CA88" s="8">
        <f t="shared" si="48"/>
        <v>0.15919412932179075</v>
      </c>
      <c r="CB88" s="8">
        <v>4.7042955745327242E-5</v>
      </c>
      <c r="CC88" s="8">
        <f t="shared" si="49"/>
        <v>-3.0565193458720767E-9</v>
      </c>
      <c r="CD88" s="8">
        <f t="shared" si="50"/>
        <v>7.4808145717593638E-9</v>
      </c>
      <c r="CE88" s="8">
        <f t="shared" si="51"/>
        <v>8.5327681326130556E-5</v>
      </c>
      <c r="CF88"/>
      <c r="CG88" s="8">
        <v>16</v>
      </c>
      <c r="CH88" s="8">
        <f t="shared" si="61"/>
        <v>0.14029404790805103</v>
      </c>
      <c r="CI88" s="8">
        <v>-7.8860524843331163E-5</v>
      </c>
      <c r="CJ88" s="8">
        <f t="shared" si="62"/>
        <v>0.14037937558937719</v>
      </c>
      <c r="CK88" s="8">
        <v>1.2494050550472015E-4</v>
      </c>
      <c r="CL88" s="8">
        <f t="shared" si="52"/>
        <v>0.14033671174871409</v>
      </c>
      <c r="CM88" s="8">
        <v>2.3057445089367211E-5</v>
      </c>
      <c r="CN88" s="8">
        <f t="shared" si="53"/>
        <v>-1.8183222212937871E-9</v>
      </c>
      <c r="CO88" s="8">
        <f t="shared" si="54"/>
        <v>2.8808088451128665E-9</v>
      </c>
      <c r="CP88" s="8">
        <f t="shared" si="55"/>
        <v>8.5327681326158311E-5</v>
      </c>
      <c r="CQ88"/>
      <c r="CR88"/>
      <c r="CS88"/>
      <c r="CT88"/>
      <c r="CU88"/>
      <c r="CV88"/>
      <c r="CW88"/>
      <c r="CX88"/>
      <c r="CY88"/>
      <c r="CZ88"/>
      <c r="DA88"/>
    </row>
    <row r="89" spans="28:105" x14ac:dyDescent="0.2">
      <c r="AB89" s="8">
        <v>15</v>
      </c>
      <c r="AC89" s="8">
        <f t="shared" si="67"/>
        <v>2.734375E-2</v>
      </c>
      <c r="AD89" s="8">
        <f t="shared" si="56"/>
        <v>2.3095995544654413E-5</v>
      </c>
      <c r="AE89" s="8">
        <f t="shared" si="68"/>
        <v>2.7374267578125E-2</v>
      </c>
      <c r="AF89" s="8">
        <f t="shared" si="57"/>
        <v>-7.6217666805274142E-6</v>
      </c>
      <c r="AG89" s="8">
        <f t="shared" si="63"/>
        <v>2.73590087890625E-2</v>
      </c>
      <c r="AH89" s="8">
        <f t="shared" si="58"/>
        <v>7.7371416532835691E-6</v>
      </c>
      <c r="AI89" s="8">
        <f t="shared" si="64"/>
        <v>1.786969891525974E-10</v>
      </c>
      <c r="AJ89" s="8">
        <f t="shared" si="65"/>
        <v>-5.8970688455517494E-11</v>
      </c>
      <c r="AK89" s="8">
        <f t="shared" si="66"/>
        <v>3.0517578125E-5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 s="8">
        <v>17</v>
      </c>
      <c r="BW89" s="8">
        <f t="shared" si="59"/>
        <v>0.15915146548112769</v>
      </c>
      <c r="BX89" s="8">
        <v>-6.4972944353643841E-5</v>
      </c>
      <c r="BY89" s="8">
        <f t="shared" si="60"/>
        <v>0.15919412932179075</v>
      </c>
      <c r="BZ89" s="8">
        <v>4.7042955745327242E-5</v>
      </c>
      <c r="CA89" s="8">
        <f t="shared" si="48"/>
        <v>0.15917279740145923</v>
      </c>
      <c r="CB89" s="8">
        <v>-8.9602516079485828E-6</v>
      </c>
      <c r="CC89" s="8">
        <f t="shared" si="49"/>
        <v>5.8217392911789097E-10</v>
      </c>
      <c r="CD89" s="8">
        <f t="shared" si="50"/>
        <v>-4.2151671985972245E-10</v>
      </c>
      <c r="CE89" s="8">
        <f t="shared" si="51"/>
        <v>4.2663840663065278E-5</v>
      </c>
      <c r="CF89"/>
      <c r="CG89" s="8">
        <v>17</v>
      </c>
      <c r="CH89" s="8">
        <f t="shared" si="61"/>
        <v>0.14029404790805103</v>
      </c>
      <c r="CI89" s="8">
        <v>-7.8860524843331163E-5</v>
      </c>
      <c r="CJ89" s="8">
        <f t="shared" si="62"/>
        <v>0.14033671174871409</v>
      </c>
      <c r="CK89" s="8">
        <v>2.3057445089367211E-5</v>
      </c>
      <c r="CL89" s="8">
        <f t="shared" si="52"/>
        <v>0.14031537982838255</v>
      </c>
      <c r="CM89" s="8">
        <v>-2.7897174112380581E-5</v>
      </c>
      <c r="CN89" s="8">
        <f t="shared" si="53"/>
        <v>2.199985792148124E-9</v>
      </c>
      <c r="CO89" s="8">
        <f t="shared" si="54"/>
        <v>-6.4323756024473165E-10</v>
      </c>
      <c r="CP89" s="8">
        <f t="shared" si="55"/>
        <v>4.2663840663065278E-5</v>
      </c>
      <c r="CQ89"/>
      <c r="CR89"/>
      <c r="CS89"/>
      <c r="CT89"/>
      <c r="CU89"/>
      <c r="CV89"/>
      <c r="CW89"/>
      <c r="CX89"/>
      <c r="CY89"/>
      <c r="CZ89"/>
      <c r="DA89"/>
    </row>
    <row r="90" spans="28:105" x14ac:dyDescent="0.2">
      <c r="AB90" s="8">
        <v>16</v>
      </c>
      <c r="AC90" s="8">
        <f t="shared" si="67"/>
        <v>2.73590087890625E-2</v>
      </c>
      <c r="AD90" s="8">
        <f t="shared" si="56"/>
        <v>7.7371416532835691E-6</v>
      </c>
      <c r="AE90" s="8">
        <f t="shared" si="68"/>
        <v>2.7374267578125E-2</v>
      </c>
      <c r="AF90" s="8">
        <f t="shared" si="57"/>
        <v>-7.6217666805274142E-6</v>
      </c>
      <c r="AG90" s="8">
        <f t="shared" si="63"/>
        <v>2.736663818359375E-2</v>
      </c>
      <c r="AH90" s="8">
        <f t="shared" si="58"/>
        <v>5.7694291542148557E-8</v>
      </c>
      <c r="AI90" s="8">
        <f t="shared" si="64"/>
        <v>4.4638890624744354E-13</v>
      </c>
      <c r="AJ90" s="8">
        <f t="shared" si="65"/>
        <v>-4.3973242893258245E-13</v>
      </c>
      <c r="AK90" s="8">
        <f t="shared" si="66"/>
        <v>1.52587890625E-5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 s="8">
        <v>18</v>
      </c>
      <c r="BW90" s="8">
        <f t="shared" si="59"/>
        <v>0.15917279740145923</v>
      </c>
      <c r="BX90" s="8">
        <v>-8.9602516079485828E-6</v>
      </c>
      <c r="BY90" s="8">
        <f t="shared" si="60"/>
        <v>0.15919412932179075</v>
      </c>
      <c r="BZ90" s="8">
        <v>4.7042955745327242E-5</v>
      </c>
      <c r="CA90" s="8">
        <f t="shared" si="48"/>
        <v>0.15918346336162498</v>
      </c>
      <c r="CB90" s="8">
        <v>1.9042537497147849E-5</v>
      </c>
      <c r="CC90" s="8">
        <f t="shared" si="49"/>
        <v>-1.7062592722824019E-10</v>
      </c>
      <c r="CD90" s="8">
        <f t="shared" si="50"/>
        <v>8.958172487570608E-10</v>
      </c>
      <c r="CE90" s="8">
        <f t="shared" si="51"/>
        <v>2.1331920331518761E-5</v>
      </c>
      <c r="CF90"/>
      <c r="CG90" s="8">
        <v>18</v>
      </c>
      <c r="CH90" s="8">
        <f t="shared" si="61"/>
        <v>0.14031537982838255</v>
      </c>
      <c r="CI90" s="8">
        <v>-2.7897174112380581E-5</v>
      </c>
      <c r="CJ90" s="8">
        <f t="shared" si="62"/>
        <v>0.14033671174871409</v>
      </c>
      <c r="CK90" s="8">
        <v>2.3057445089367211E-5</v>
      </c>
      <c r="CL90" s="8">
        <f t="shared" si="52"/>
        <v>0.14032604578854832</v>
      </c>
      <c r="CM90" s="8">
        <v>-2.4187733298148065E-6</v>
      </c>
      <c r="CN90" s="8">
        <f t="shared" si="53"/>
        <v>6.7476940720226198E-11</v>
      </c>
      <c r="CO90" s="8">
        <f t="shared" si="54"/>
        <v>-5.5770733235830784E-11</v>
      </c>
      <c r="CP90" s="8">
        <f t="shared" si="55"/>
        <v>2.1331920331546517E-5</v>
      </c>
      <c r="CQ90"/>
      <c r="CR90"/>
      <c r="CS90"/>
      <c r="CT90"/>
      <c r="CU90"/>
      <c r="CV90"/>
      <c r="CW90"/>
      <c r="CX90"/>
      <c r="CY90"/>
      <c r="CZ90"/>
      <c r="DA90"/>
    </row>
    <row r="91" spans="28:105" x14ac:dyDescent="0.2">
      <c r="AB91" s="8">
        <v>17</v>
      </c>
      <c r="AC91" s="8">
        <f t="shared" si="67"/>
        <v>2.736663818359375E-2</v>
      </c>
      <c r="AD91" s="8">
        <f t="shared" si="56"/>
        <v>5.7694291542148557E-8</v>
      </c>
      <c r="AE91" s="8">
        <f t="shared" si="68"/>
        <v>2.7374267578125E-2</v>
      </c>
      <c r="AF91" s="8">
        <f t="shared" si="57"/>
        <v>-7.6217666805274142E-6</v>
      </c>
      <c r="AG91" s="8">
        <f t="shared" si="63"/>
        <v>2.7370452880859375E-2</v>
      </c>
      <c r="AH91" s="8">
        <f t="shared" si="58"/>
        <v>-3.7820344932215644E-6</v>
      </c>
      <c r="AI91" s="8">
        <f t="shared" si="64"/>
        <v>-2.1820180067438701E-13</v>
      </c>
      <c r="AJ91" s="8">
        <f t="shared" si="65"/>
        <v>2.8825784485041503E-11</v>
      </c>
      <c r="AK91" s="8">
        <f t="shared" si="66"/>
        <v>7.62939453125E-6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 s="8">
        <v>19</v>
      </c>
      <c r="BW91" s="8">
        <f t="shared" si="59"/>
        <v>0.15917279740145923</v>
      </c>
      <c r="BX91" s="8">
        <v>-8.9602516079485828E-6</v>
      </c>
      <c r="BY91" s="8">
        <f t="shared" si="60"/>
        <v>0.15918346336162498</v>
      </c>
      <c r="BZ91" s="8">
        <v>1.9042537497147849E-5</v>
      </c>
      <c r="CA91" s="8">
        <f t="shared" si="48"/>
        <v>0.1591781303815421</v>
      </c>
      <c r="CB91" s="8">
        <v>5.041439332373332E-6</v>
      </c>
      <c r="CC91" s="8">
        <f t="shared" si="49"/>
        <v>-4.5172564884273379E-11</v>
      </c>
      <c r="CD91" s="8">
        <f t="shared" si="50"/>
        <v>9.6001797526315186E-11</v>
      </c>
      <c r="CE91" s="8">
        <f t="shared" si="51"/>
        <v>1.0665960165745503E-5</v>
      </c>
      <c r="CF91"/>
      <c r="CG91" s="8">
        <v>19</v>
      </c>
      <c r="CH91" s="8">
        <f t="shared" si="61"/>
        <v>0.14032604578854832</v>
      </c>
      <c r="CI91" s="8">
        <v>-2.4187733298148065E-6</v>
      </c>
      <c r="CJ91" s="8">
        <f t="shared" si="62"/>
        <v>0.14033671174871409</v>
      </c>
      <c r="CK91" s="8">
        <v>2.3057445089367211E-5</v>
      </c>
      <c r="CL91" s="8">
        <f t="shared" si="52"/>
        <v>0.14033137876863122</v>
      </c>
      <c r="CM91" s="8">
        <v>1.0319608642794971E-5</v>
      </c>
      <c r="CN91" s="8">
        <f t="shared" si="53"/>
        <v>-2.4960794159318847E-11</v>
      </c>
      <c r="CO91" s="8">
        <f t="shared" si="54"/>
        <v>2.3794380962500431E-10</v>
      </c>
      <c r="CP91" s="8">
        <f t="shared" si="55"/>
        <v>1.0665960165773258E-5</v>
      </c>
      <c r="CQ91"/>
      <c r="CR91"/>
      <c r="CS91"/>
      <c r="CT91"/>
      <c r="CU91"/>
      <c r="CV91"/>
      <c r="CW91"/>
      <c r="CX91"/>
      <c r="CY91"/>
      <c r="CZ91"/>
      <c r="DA91"/>
    </row>
    <row r="92" spans="28:105" x14ac:dyDescent="0.2">
      <c r="AB92" s="8">
        <v>18</v>
      </c>
      <c r="AC92" s="8">
        <f t="shared" si="67"/>
        <v>2.736663818359375E-2</v>
      </c>
      <c r="AD92" s="8">
        <f t="shared" si="56"/>
        <v>5.7694291542148557E-8</v>
      </c>
      <c r="AE92" s="8">
        <f t="shared" si="68"/>
        <v>2.7370452880859375E-2</v>
      </c>
      <c r="AF92" s="8">
        <f t="shared" si="57"/>
        <v>-3.7820344932215644E-6</v>
      </c>
      <c r="AG92" s="8">
        <f t="shared" si="63"/>
        <v>2.7368545532226562E-2</v>
      </c>
      <c r="AH92" s="8">
        <f t="shared" si="58"/>
        <v>-1.8621696755184713E-6</v>
      </c>
      <c r="AI92" s="8">
        <f t="shared" si="64"/>
        <v>-1.0743656016031087E-13</v>
      </c>
      <c r="AJ92" s="8">
        <f t="shared" si="65"/>
        <v>7.0427899450420665E-12</v>
      </c>
      <c r="AK92" s="8">
        <f t="shared" si="66"/>
        <v>3.814697265625E-6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 s="8">
        <v>20</v>
      </c>
      <c r="BW92" s="8">
        <f t="shared" si="59"/>
        <v>0.15917279740145923</v>
      </c>
      <c r="BX92" s="8">
        <v>-8.9602516079485828E-6</v>
      </c>
      <c r="BY92" s="8">
        <f t="shared" si="60"/>
        <v>0.1591781303815421</v>
      </c>
      <c r="BZ92" s="8">
        <v>5.041439332373332E-6</v>
      </c>
      <c r="CA92" s="8">
        <f t="shared" si="48"/>
        <v>0.15917546389150067</v>
      </c>
      <c r="CB92" s="8">
        <v>-1.9593320370030892E-6</v>
      </c>
      <c r="CC92" s="8">
        <f t="shared" si="49"/>
        <v>1.7556108035062103E-11</v>
      </c>
      <c r="CD92" s="8">
        <f t="shared" si="50"/>
        <v>-9.8778535965265353E-12</v>
      </c>
      <c r="CE92" s="8">
        <f t="shared" si="51"/>
        <v>5.3329800828727514E-6</v>
      </c>
      <c r="CF92"/>
      <c r="CG92" s="8">
        <v>20</v>
      </c>
      <c r="CH92" s="8">
        <f t="shared" si="61"/>
        <v>0.14032604578854832</v>
      </c>
      <c r="CI92" s="8">
        <v>-2.4187733298148065E-6</v>
      </c>
      <c r="CJ92" s="8">
        <f t="shared" si="62"/>
        <v>0.14033137876863122</v>
      </c>
      <c r="CK92" s="8">
        <v>1.0319608642794971E-5</v>
      </c>
      <c r="CL92" s="8">
        <f t="shared" si="52"/>
        <v>0.14032871227858978</v>
      </c>
      <c r="CM92" s="8">
        <v>3.9504858513270125E-6</v>
      </c>
      <c r="CN92" s="8">
        <f t="shared" si="53"/>
        <v>-9.555329817000519E-12</v>
      </c>
      <c r="CO92" s="8">
        <f t="shared" si="54"/>
        <v>4.0767467934593489E-11</v>
      </c>
      <c r="CP92" s="8">
        <f t="shared" si="55"/>
        <v>5.332980082900507E-6</v>
      </c>
      <c r="CQ92"/>
      <c r="CR92"/>
      <c r="CS92"/>
      <c r="CT92"/>
      <c r="CU92"/>
      <c r="CV92"/>
      <c r="CW92"/>
      <c r="CX92"/>
      <c r="CY92"/>
      <c r="CZ92"/>
      <c r="DA92"/>
    </row>
    <row r="93" spans="28:105" x14ac:dyDescent="0.2">
      <c r="AB93" s="8">
        <v>19</v>
      </c>
      <c r="AC93" s="8">
        <f t="shared" si="67"/>
        <v>2.736663818359375E-2</v>
      </c>
      <c r="AD93" s="8">
        <f t="shared" si="56"/>
        <v>5.7694291542148557E-8</v>
      </c>
      <c r="AE93" s="8">
        <f t="shared" si="68"/>
        <v>2.7368545532226562E-2</v>
      </c>
      <c r="AF93" s="8">
        <f t="shared" si="57"/>
        <v>-1.8621696755184713E-6</v>
      </c>
      <c r="AG93" s="8">
        <f t="shared" si="63"/>
        <v>2.7367591857910156E-2</v>
      </c>
      <c r="AH93" s="8">
        <f t="shared" si="58"/>
        <v>-9.0223758565655121E-7</v>
      </c>
      <c r="AI93" s="8">
        <f t="shared" si="64"/>
        <v>-5.2053958307153296E-14</v>
      </c>
      <c r="AJ93" s="8">
        <f t="shared" si="65"/>
        <v>1.680119472122629E-12</v>
      </c>
      <c r="AK93" s="8">
        <f t="shared" si="66"/>
        <v>1.9073486328125E-6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 s="8">
        <v>21</v>
      </c>
      <c r="BW93" s="8">
        <f t="shared" si="59"/>
        <v>0.15917546389150067</v>
      </c>
      <c r="BX93" s="8">
        <v>-1.9593320370030892E-6</v>
      </c>
      <c r="BY93" s="8">
        <f t="shared" si="60"/>
        <v>0.1591781303815421</v>
      </c>
      <c r="BZ93" s="8">
        <v>5.041439332373332E-6</v>
      </c>
      <c r="CA93" s="8">
        <f t="shared" si="48"/>
        <v>0.15917679713652139</v>
      </c>
      <c r="CB93" s="8">
        <v>1.5410721724111454E-6</v>
      </c>
      <c r="CC93" s="8">
        <f t="shared" si="49"/>
        <v>-3.0194720787391054E-12</v>
      </c>
      <c r="CD93" s="8">
        <f t="shared" si="50"/>
        <v>7.7692218640195653E-12</v>
      </c>
      <c r="CE93" s="8">
        <f t="shared" si="51"/>
        <v>2.6664900414363757E-6</v>
      </c>
      <c r="CF93"/>
      <c r="CG93" s="8">
        <v>21</v>
      </c>
      <c r="CH93" s="8">
        <f t="shared" si="61"/>
        <v>0.14032604578854832</v>
      </c>
      <c r="CI93" s="8">
        <v>-2.4187733298148065E-6</v>
      </c>
      <c r="CJ93" s="8">
        <f t="shared" si="62"/>
        <v>0.14032871227858978</v>
      </c>
      <c r="CK93" s="8">
        <v>3.9504858513270125E-6</v>
      </c>
      <c r="CL93" s="8">
        <f t="shared" si="52"/>
        <v>0.14032737903356907</v>
      </c>
      <c r="CM93" s="8">
        <v>7.6587331000917136E-7</v>
      </c>
      <c r="CN93" s="8">
        <f t="shared" si="53"/>
        <v>-1.8524739362671708E-12</v>
      </c>
      <c r="CO93" s="8">
        <f t="shared" si="54"/>
        <v>3.0255716751002183E-12</v>
      </c>
      <c r="CP93" s="8">
        <f t="shared" si="55"/>
        <v>2.6664900414641313E-6</v>
      </c>
      <c r="CQ93"/>
      <c r="CR93"/>
      <c r="CS93"/>
      <c r="CT93"/>
      <c r="CU93"/>
      <c r="CV93"/>
      <c r="CW93"/>
      <c r="CX93"/>
      <c r="CY93"/>
      <c r="CZ93"/>
      <c r="DA93"/>
    </row>
    <row r="94" spans="28:105" x14ac:dyDescent="0.2">
      <c r="AB94" s="8">
        <v>20</v>
      </c>
      <c r="AC94" s="8">
        <f t="shared" si="67"/>
        <v>2.736663818359375E-2</v>
      </c>
      <c r="AD94" s="8">
        <f t="shared" si="56"/>
        <v>5.7694291542148557E-8</v>
      </c>
      <c r="AE94" s="8">
        <f t="shared" si="68"/>
        <v>2.7367591857910156E-2</v>
      </c>
      <c r="AF94" s="8">
        <f t="shared" si="57"/>
        <v>-9.0223758565655121E-7</v>
      </c>
      <c r="AG94" s="8">
        <f t="shared" si="63"/>
        <v>2.7367115020751953E-2</v>
      </c>
      <c r="AH94" s="8">
        <f t="shared" si="58"/>
        <v>-4.222716204760335E-7</v>
      </c>
      <c r="AI94" s="8">
        <f t="shared" si="64"/>
        <v>-2.4362661981719786E-14</v>
      </c>
      <c r="AJ94" s="8">
        <f t="shared" si="65"/>
        <v>3.8098932734957597E-13</v>
      </c>
      <c r="AK94" s="8">
        <f t="shared" si="66"/>
        <v>9.5367431640625E-7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 s="8">
        <v>22</v>
      </c>
      <c r="BW94" s="8">
        <f t="shared" si="59"/>
        <v>0.15917546389150067</v>
      </c>
      <c r="BX94" s="8">
        <v>-1.9593320370030892E-6</v>
      </c>
      <c r="BY94" s="8">
        <f t="shared" si="60"/>
        <v>0.15917679713652139</v>
      </c>
      <c r="BZ94" s="8">
        <v>1.5410721724111454E-6</v>
      </c>
      <c r="CA94" s="8">
        <f t="shared" si="48"/>
        <v>0.15917613051401103</v>
      </c>
      <c r="CB94" s="8">
        <v>-2.0912530102924765E-7</v>
      </c>
      <c r="CC94" s="8">
        <f t="shared" si="49"/>
        <v>4.0974590205452E-13</v>
      </c>
      <c r="CD94" s="8">
        <f t="shared" si="50"/>
        <v>-3.2227718196327738E-13</v>
      </c>
      <c r="CE94" s="8">
        <f t="shared" si="51"/>
        <v>1.3332450207181878E-6</v>
      </c>
      <c r="CF94"/>
      <c r="CG94" s="8">
        <v>22</v>
      </c>
      <c r="CH94" s="8">
        <f t="shared" si="61"/>
        <v>0.14032604578854832</v>
      </c>
      <c r="CI94" s="8">
        <v>-2.4187733298148065E-6</v>
      </c>
      <c r="CJ94" s="8">
        <f t="shared" si="62"/>
        <v>0.14032737903356907</v>
      </c>
      <c r="CK94" s="8">
        <v>7.6587331000917136E-7</v>
      </c>
      <c r="CL94" s="8">
        <f t="shared" si="52"/>
        <v>0.14032671241105871</v>
      </c>
      <c r="CM94" s="8">
        <v>-8.2644574756016859E-7</v>
      </c>
      <c r="CN94" s="8">
        <f t="shared" si="53"/>
        <v>1.9989849327373958E-12</v>
      </c>
      <c r="CO94" s="8">
        <f t="shared" si="54"/>
        <v>-6.3295274022691035E-13</v>
      </c>
      <c r="CP94" s="8">
        <f t="shared" si="55"/>
        <v>1.3332450207459434E-6</v>
      </c>
      <c r="CQ94"/>
      <c r="CR94"/>
      <c r="CS94"/>
      <c r="CT94"/>
      <c r="CU94"/>
      <c r="CV94"/>
      <c r="CW94"/>
      <c r="CX94"/>
      <c r="CY94"/>
      <c r="CZ94"/>
      <c r="DA94"/>
    </row>
    <row r="95" spans="28:105" x14ac:dyDescent="0.2">
      <c r="AB95" s="8">
        <v>21</v>
      </c>
      <c r="AC95" s="8">
        <f t="shared" si="67"/>
        <v>2.736663818359375E-2</v>
      </c>
      <c r="AD95" s="8">
        <f t="shared" si="56"/>
        <v>5.7694291542148557E-8</v>
      </c>
      <c r="AE95" s="8">
        <f t="shared" si="68"/>
        <v>2.7367115020751953E-2</v>
      </c>
      <c r="AF95" s="8">
        <f t="shared" si="57"/>
        <v>-4.222716204760335E-7</v>
      </c>
      <c r="AG95" s="8">
        <f t="shared" si="63"/>
        <v>2.7366876602172852E-2</v>
      </c>
      <c r="AH95" s="8">
        <f t="shared" si="58"/>
        <v>-1.8228865782121684E-7</v>
      </c>
      <c r="AI95" s="8">
        <f t="shared" si="64"/>
        <v>-1.0517014969164243E-14</v>
      </c>
      <c r="AJ95" s="8">
        <f t="shared" si="65"/>
        <v>7.6975326932566408E-14</v>
      </c>
      <c r="AK95" s="8">
        <f t="shared" si="66"/>
        <v>4.76837158203125E-7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 s="8">
        <v>23</v>
      </c>
      <c r="BW95" s="8">
        <f t="shared" si="59"/>
        <v>0.15917613051401103</v>
      </c>
      <c r="BX95" s="8">
        <v>-2.0912530102924765E-7</v>
      </c>
      <c r="BY95" s="8">
        <f t="shared" si="60"/>
        <v>0.15917679713652139</v>
      </c>
      <c r="BZ95" s="8">
        <v>1.5410721724111454E-6</v>
      </c>
      <c r="CA95" s="8">
        <f t="shared" si="48"/>
        <v>0.15917646382526621</v>
      </c>
      <c r="CB95" s="8">
        <v>6.6597459348963217E-7</v>
      </c>
      <c r="CC95" s="8">
        <f t="shared" si="49"/>
        <v>-1.3927213734135017E-13</v>
      </c>
      <c r="CD95" s="8">
        <f t="shared" si="50"/>
        <v>1.0263149135596968E-12</v>
      </c>
      <c r="CE95" s="8">
        <f t="shared" si="51"/>
        <v>6.6662251035909392E-7</v>
      </c>
      <c r="CF95"/>
      <c r="CG95" s="8">
        <v>23</v>
      </c>
      <c r="CH95" s="8">
        <f t="shared" si="61"/>
        <v>0.14032671241105871</v>
      </c>
      <c r="CI95" s="8">
        <v>-8.2644574756016859E-7</v>
      </c>
      <c r="CJ95" s="8">
        <f t="shared" si="62"/>
        <v>0.14032737903356907</v>
      </c>
      <c r="CK95" s="8">
        <v>7.6587331000917136E-7</v>
      </c>
      <c r="CL95" s="8">
        <f t="shared" si="52"/>
        <v>0.14032704572231389</v>
      </c>
      <c r="CM95" s="8">
        <v>-3.0285153240251772E-8</v>
      </c>
      <c r="CN95" s="8">
        <f t="shared" si="53"/>
        <v>2.5029036109614137E-14</v>
      </c>
      <c r="CO95" s="8">
        <f t="shared" si="54"/>
        <v>-2.3194590556246607E-14</v>
      </c>
      <c r="CP95" s="8">
        <f t="shared" si="55"/>
        <v>6.6662251035909392E-7</v>
      </c>
      <c r="CQ95"/>
      <c r="CR95"/>
      <c r="CS95"/>
      <c r="CT95"/>
      <c r="CU95"/>
      <c r="CV95"/>
      <c r="CW95"/>
      <c r="CX95"/>
      <c r="CY95"/>
      <c r="CZ95"/>
      <c r="DA95"/>
    </row>
    <row r="96" spans="28:105" x14ac:dyDescent="0.2">
      <c r="AB96" s="8">
        <v>22</v>
      </c>
      <c r="AC96" s="8">
        <f t="shared" si="67"/>
        <v>2.736663818359375E-2</v>
      </c>
      <c r="AD96" s="8">
        <f t="shared" si="56"/>
        <v>5.7694291542148557E-8</v>
      </c>
      <c r="AE96" s="8">
        <f t="shared" si="68"/>
        <v>2.7366876602172852E-2</v>
      </c>
      <c r="AF96" s="8">
        <f t="shared" si="57"/>
        <v>-1.8228865782121684E-7</v>
      </c>
      <c r="AG96" s="8">
        <f t="shared" si="63"/>
        <v>2.7366757392883301E-2</v>
      </c>
      <c r="AH96" s="8">
        <f t="shared" si="58"/>
        <v>-6.2297181479403774E-8</v>
      </c>
      <c r="AI96" s="8">
        <f t="shared" si="64"/>
        <v>-3.5941917505268587E-15</v>
      </c>
      <c r="AJ96" s="8">
        <f t="shared" si="65"/>
        <v>1.1356069597925281E-14</v>
      </c>
      <c r="AK96" s="8">
        <f t="shared" si="66"/>
        <v>2.384185791015625E-7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 s="8">
        <v>24</v>
      </c>
      <c r="BW96" s="8">
        <f t="shared" si="59"/>
        <v>0.15917613051401103</v>
      </c>
      <c r="BX96" s="8">
        <v>-2.0912530102924765E-7</v>
      </c>
      <c r="BY96" s="8">
        <f t="shared" si="60"/>
        <v>0.15917646382526621</v>
      </c>
      <c r="BZ96" s="8">
        <v>6.6597459348963217E-7</v>
      </c>
      <c r="CA96" s="8">
        <f t="shared" si="48"/>
        <v>0.1591762971696386</v>
      </c>
      <c r="CB96" s="8">
        <v>2.2842493558987431E-7</v>
      </c>
      <c r="CC96" s="8">
        <f t="shared" si="49"/>
        <v>-4.7769433417818969E-14</v>
      </c>
      <c r="CD96" s="8">
        <f t="shared" si="50"/>
        <v>1.5212520362236197E-13</v>
      </c>
      <c r="CE96" s="8">
        <f t="shared" si="51"/>
        <v>3.3331125517954696E-7</v>
      </c>
      <c r="CF96"/>
      <c r="CG96" s="8">
        <v>24</v>
      </c>
      <c r="CH96" s="8">
        <f t="shared" si="61"/>
        <v>0.14032704572231389</v>
      </c>
      <c r="CI96" s="8">
        <v>-3.0285153240251772E-8</v>
      </c>
      <c r="CJ96" s="8">
        <f t="shared" si="62"/>
        <v>0.14032737903356907</v>
      </c>
      <c r="CK96" s="8">
        <v>7.6587331000917136E-7</v>
      </c>
      <c r="CL96" s="8">
        <f t="shared" si="52"/>
        <v>0.14032721237794149</v>
      </c>
      <c r="CM96" s="8">
        <v>3.6779434485576662E-7</v>
      </c>
      <c r="CN96" s="8">
        <f t="shared" si="53"/>
        <v>-1.1138708094854899E-14</v>
      </c>
      <c r="CO96" s="8">
        <f t="shared" si="54"/>
        <v>2.8168387229734061E-13</v>
      </c>
      <c r="CP96" s="8">
        <f t="shared" si="55"/>
        <v>3.3331125517954696E-7</v>
      </c>
      <c r="CQ96"/>
      <c r="CR96"/>
      <c r="CS96"/>
      <c r="CT96"/>
      <c r="CU96"/>
      <c r="CV96"/>
      <c r="CW96"/>
      <c r="CX96"/>
      <c r="CY96"/>
      <c r="CZ96"/>
      <c r="DA96"/>
    </row>
    <row r="97" spans="28:105" x14ac:dyDescent="0.2">
      <c r="AB97" s="8">
        <v>23</v>
      </c>
      <c r="AC97" s="8">
        <f t="shared" si="67"/>
        <v>2.736663818359375E-2</v>
      </c>
      <c r="AD97" s="8">
        <f t="shared" si="56"/>
        <v>5.7694291542148557E-8</v>
      </c>
      <c r="AE97" s="8">
        <f t="shared" si="68"/>
        <v>2.7366757392883301E-2</v>
      </c>
      <c r="AF97" s="8">
        <f t="shared" si="57"/>
        <v>-6.2297181479403774E-8</v>
      </c>
      <c r="AG97" s="8">
        <f t="shared" si="63"/>
        <v>2.7366697788238525E-2</v>
      </c>
      <c r="AH97" s="8">
        <f t="shared" si="58"/>
        <v>-2.3014445557634211E-9</v>
      </c>
      <c r="AI97" s="8">
        <f t="shared" si="64"/>
        <v>-1.3278021316830538E-16</v>
      </c>
      <c r="AJ97" s="8">
        <f t="shared" si="65"/>
        <v>1.4337350915517965E-16</v>
      </c>
      <c r="AK97" s="8">
        <f t="shared" si="66"/>
        <v>1.1920928955078125E-7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 s="8">
        <v>25</v>
      </c>
      <c r="BW97" s="8">
        <f t="shared" si="59"/>
        <v>0.15917613051401103</v>
      </c>
      <c r="BX97" s="8">
        <v>-2.0912530102924765E-7</v>
      </c>
      <c r="BY97" s="8">
        <f t="shared" si="60"/>
        <v>0.1591762971696386</v>
      </c>
      <c r="BZ97" s="8">
        <v>2.2842493558987431E-7</v>
      </c>
      <c r="CA97" s="8">
        <f t="shared" si="48"/>
        <v>0.15917621384182482</v>
      </c>
      <c r="CB97" s="8">
        <v>9.6498896616503682E-9</v>
      </c>
      <c r="CC97" s="8">
        <f t="shared" si="49"/>
        <v>-2.0180360803916579E-15</v>
      </c>
      <c r="CD97" s="8">
        <f t="shared" si="50"/>
        <v>2.2042754244118794E-15</v>
      </c>
      <c r="CE97" s="8">
        <f t="shared" si="51"/>
        <v>1.6665562757589569E-7</v>
      </c>
      <c r="CF97"/>
      <c r="CG97" s="8">
        <v>25</v>
      </c>
      <c r="CH97" s="8">
        <f t="shared" si="61"/>
        <v>0.14032704572231389</v>
      </c>
      <c r="CI97" s="8">
        <v>-3.0285153240251772E-8</v>
      </c>
      <c r="CJ97" s="8">
        <f t="shared" si="62"/>
        <v>0.14032721237794149</v>
      </c>
      <c r="CK97" s="8">
        <v>3.6779434485576662E-7</v>
      </c>
      <c r="CL97" s="8">
        <f t="shared" si="52"/>
        <v>0.14032712905012767</v>
      </c>
      <c r="CM97" s="8">
        <v>1.6875466241853682E-7</v>
      </c>
      <c r="CN97" s="8">
        <f t="shared" si="53"/>
        <v>-5.1107608113523443E-15</v>
      </c>
      <c r="CO97" s="8">
        <f t="shared" si="54"/>
        <v>6.2067010505581803E-14</v>
      </c>
      <c r="CP97" s="8">
        <f t="shared" si="55"/>
        <v>1.6665562760365127E-7</v>
      </c>
      <c r="CQ97"/>
      <c r="CR97"/>
      <c r="CS97"/>
      <c r="CT97"/>
      <c r="CU97"/>
      <c r="CV97"/>
      <c r="CW97"/>
      <c r="CX97"/>
      <c r="CY97"/>
      <c r="CZ97"/>
      <c r="DA97"/>
    </row>
    <row r="98" spans="28:105" x14ac:dyDescent="0.2">
      <c r="AB98" s="8">
        <v>24</v>
      </c>
      <c r="AC98" s="8">
        <f t="shared" si="67"/>
        <v>2.736663818359375E-2</v>
      </c>
      <c r="AD98" s="8">
        <f t="shared" si="56"/>
        <v>5.7694291542148557E-8</v>
      </c>
      <c r="AE98" s="8">
        <f t="shared" si="68"/>
        <v>2.7366697788238525E-2</v>
      </c>
      <c r="AF98" s="8">
        <f t="shared" si="57"/>
        <v>-2.3014445557634211E-9</v>
      </c>
      <c r="AG98" s="8">
        <f t="shared" si="63"/>
        <v>2.7366667985916138E-2</v>
      </c>
      <c r="AH98" s="8">
        <f t="shared" si="58"/>
        <v>2.76964235990107E-8</v>
      </c>
      <c r="AI98" s="8">
        <f t="shared" si="64"/>
        <v>1.5979255377961667E-15</v>
      </c>
      <c r="AJ98" s="8">
        <f t="shared" si="65"/>
        <v>-6.3741783306060712E-17</v>
      </c>
      <c r="AK98" s="8">
        <f t="shared" si="66"/>
        <v>5.9604644775390625E-8</v>
      </c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 s="8">
        <v>26</v>
      </c>
      <c r="BW98" s="8">
        <f t="shared" si="59"/>
        <v>0.15917613051401103</v>
      </c>
      <c r="BX98" s="8">
        <v>-2.0912530102924765E-7</v>
      </c>
      <c r="BY98" s="8">
        <f t="shared" si="60"/>
        <v>0.15917621384182482</v>
      </c>
      <c r="BZ98" s="8">
        <v>9.6498896616503682E-9</v>
      </c>
      <c r="CA98" s="8">
        <f t="shared" si="48"/>
        <v>0.15917617217791791</v>
      </c>
      <c r="CB98" s="8">
        <v>-9.9737687636602956E-8</v>
      </c>
      <c r="CC98" s="8">
        <f t="shared" si="49"/>
        <v>2.0857673950965663E-14</v>
      </c>
      <c r="CD98" s="8">
        <f t="shared" si="50"/>
        <v>-9.6245768080136858E-16</v>
      </c>
      <c r="CE98" s="8">
        <f t="shared" si="51"/>
        <v>8.3327813787947846E-8</v>
      </c>
      <c r="CF98"/>
      <c r="CG98" s="8">
        <v>26</v>
      </c>
      <c r="CH98" s="8">
        <f t="shared" si="61"/>
        <v>0.14032704572231389</v>
      </c>
      <c r="CI98" s="8">
        <v>-3.0285153240251772E-8</v>
      </c>
      <c r="CJ98" s="8">
        <f t="shared" si="62"/>
        <v>0.14032712905012767</v>
      </c>
      <c r="CK98" s="8">
        <v>1.6875466241853682E-7</v>
      </c>
      <c r="CL98" s="8">
        <f t="shared" si="52"/>
        <v>0.14032708738622079</v>
      </c>
      <c r="CM98" s="8">
        <v>6.9234771258967764E-8</v>
      </c>
      <c r="CN98" s="8">
        <f t="shared" si="53"/>
        <v>-2.096785657131618E-15</v>
      </c>
      <c r="CO98" s="8">
        <f t="shared" si="54"/>
        <v>1.168369045143172E-14</v>
      </c>
      <c r="CP98" s="8">
        <f t="shared" si="55"/>
        <v>8.3327813787947846E-8</v>
      </c>
      <c r="CQ98"/>
      <c r="CR98"/>
      <c r="CS98"/>
      <c r="CT98"/>
      <c r="CU98"/>
      <c r="CV98"/>
      <c r="CW98"/>
      <c r="CX98"/>
      <c r="CY98"/>
      <c r="CZ98"/>
      <c r="DA98"/>
    </row>
    <row r="99" spans="28:105" x14ac:dyDescent="0.2">
      <c r="AB99" s="8">
        <v>25</v>
      </c>
      <c r="AC99" s="8">
        <f t="shared" si="67"/>
        <v>2.7366667985916138E-2</v>
      </c>
      <c r="AD99" s="8">
        <f t="shared" si="56"/>
        <v>2.76964235990107E-8</v>
      </c>
      <c r="AE99" s="8">
        <f t="shared" si="68"/>
        <v>2.7366697788238525E-2</v>
      </c>
      <c r="AF99" s="8">
        <f t="shared" si="57"/>
        <v>-2.3014445557634211E-9</v>
      </c>
      <c r="AG99" s="8">
        <f t="shared" si="63"/>
        <v>2.7366682887077332E-2</v>
      </c>
      <c r="AH99" s="8">
        <f t="shared" si="58"/>
        <v>1.2697489545909768E-8</v>
      </c>
      <c r="AI99" s="8">
        <f t="shared" si="64"/>
        <v>3.5167504910752698E-16</v>
      </c>
      <c r="AJ99" s="8">
        <f t="shared" si="65"/>
        <v>-2.922256818729699E-17</v>
      </c>
      <c r="AK99" s="8">
        <f t="shared" si="66"/>
        <v>2.9802322387695312E-8</v>
      </c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 s="8">
        <v>27</v>
      </c>
      <c r="BW99" s="8">
        <f t="shared" si="59"/>
        <v>0.15917617217791791</v>
      </c>
      <c r="BX99" s="8">
        <v>-9.9737687636602956E-8</v>
      </c>
      <c r="BY99" s="8">
        <f t="shared" si="60"/>
        <v>0.15917621384182482</v>
      </c>
      <c r="BZ99" s="8">
        <v>9.6498896616503682E-9</v>
      </c>
      <c r="CA99" s="8">
        <f t="shared" si="48"/>
        <v>0.15917619300987135</v>
      </c>
      <c r="CB99" s="8">
        <v>-4.5043894510155003E-8</v>
      </c>
      <c r="CC99" s="8">
        <f t="shared" si="49"/>
        <v>4.4925738805899343E-15</v>
      </c>
      <c r="CD99" s="8">
        <f t="shared" si="50"/>
        <v>-4.3466861195401455E-16</v>
      </c>
      <c r="CE99" s="8">
        <f t="shared" si="51"/>
        <v>4.1663906907851711E-8</v>
      </c>
      <c r="CF99"/>
      <c r="CG99" s="8">
        <v>27</v>
      </c>
      <c r="CH99" s="8">
        <f t="shared" si="61"/>
        <v>0.14032704572231389</v>
      </c>
      <c r="CI99" s="8">
        <v>-3.0285153240251772E-8</v>
      </c>
      <c r="CJ99" s="8">
        <f t="shared" si="62"/>
        <v>0.14032708738622079</v>
      </c>
      <c r="CK99" s="8">
        <v>6.9234771258967764E-8</v>
      </c>
      <c r="CL99" s="8">
        <f t="shared" si="52"/>
        <v>0.14032706655426735</v>
      </c>
      <c r="CM99" s="8">
        <v>1.9474813299329152E-8</v>
      </c>
      <c r="CN99" s="8">
        <f t="shared" si="53"/>
        <v>-5.8979770509547658E-16</v>
      </c>
      <c r="CO99" s="8">
        <f t="shared" si="54"/>
        <v>1.3483342440901572E-15</v>
      </c>
      <c r="CP99" s="8">
        <f t="shared" si="55"/>
        <v>4.1663906907851711E-8</v>
      </c>
      <c r="CQ99"/>
      <c r="CR99"/>
      <c r="CS99"/>
      <c r="CT99"/>
      <c r="CU99"/>
      <c r="CV99"/>
      <c r="CW99"/>
      <c r="CX99"/>
      <c r="CY99"/>
      <c r="CZ99"/>
      <c r="DA99"/>
    </row>
    <row r="100" spans="28:105" x14ac:dyDescent="0.2">
      <c r="AB100" s="8">
        <v>26</v>
      </c>
      <c r="AC100" s="8">
        <f t="shared" si="67"/>
        <v>2.7366682887077332E-2</v>
      </c>
      <c r="AD100" s="8">
        <f t="shared" si="56"/>
        <v>1.2697489545909768E-8</v>
      </c>
      <c r="AE100" s="8">
        <f t="shared" si="68"/>
        <v>2.7366697788238525E-2</v>
      </c>
      <c r="AF100" s="8">
        <f t="shared" si="57"/>
        <v>-2.3014445557634211E-9</v>
      </c>
      <c r="AG100" s="8">
        <f t="shared" si="63"/>
        <v>2.7366690337657928E-2</v>
      </c>
      <c r="AH100" s="8">
        <f t="shared" si="58"/>
        <v>5.1980225054815143E-9</v>
      </c>
      <c r="AI100" s="8">
        <f t="shared" si="64"/>
        <v>6.6001836422755228E-17</v>
      </c>
      <c r="AJ100" s="8">
        <f t="shared" si="65"/>
        <v>-1.1962960595976169E-17</v>
      </c>
      <c r="AK100" s="8">
        <f t="shared" si="66"/>
        <v>1.4901161193847656E-8</v>
      </c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 s="8">
        <v>28</v>
      </c>
      <c r="BW100" s="8">
        <f t="shared" si="59"/>
        <v>0.15917619300987135</v>
      </c>
      <c r="BX100" s="8">
        <v>-4.5043894510155003E-8</v>
      </c>
      <c r="BY100" s="8">
        <f t="shared" si="60"/>
        <v>0.15917621384182482</v>
      </c>
      <c r="BZ100" s="8">
        <v>9.6498896616503682E-9</v>
      </c>
      <c r="CA100" s="8">
        <f t="shared" si="48"/>
        <v>0.1591762034258481</v>
      </c>
      <c r="CB100" s="8">
        <v>-1.7697001234232013E-8</v>
      </c>
      <c r="CC100" s="8">
        <f t="shared" si="49"/>
        <v>7.9714185674082968E-16</v>
      </c>
      <c r="CD100" s="8">
        <f t="shared" si="50"/>
        <v>-1.7077410925242929E-16</v>
      </c>
      <c r="CE100" s="8">
        <f t="shared" si="51"/>
        <v>2.0831953467803643E-8</v>
      </c>
      <c r="CF100"/>
      <c r="CG100" s="8">
        <v>28</v>
      </c>
      <c r="CH100" s="8">
        <f t="shared" si="61"/>
        <v>0.14032704572231389</v>
      </c>
      <c r="CI100" s="8">
        <v>-3.0285153240251772E-8</v>
      </c>
      <c r="CJ100" s="8">
        <f t="shared" si="62"/>
        <v>0.14032706655426735</v>
      </c>
      <c r="CK100" s="8">
        <v>1.9474813299329152E-8</v>
      </c>
      <c r="CL100" s="8">
        <f t="shared" si="52"/>
        <v>0.14032705613829061</v>
      </c>
      <c r="CM100" s="8">
        <v>-5.4051689348313947E-9</v>
      </c>
      <c r="CN100" s="8">
        <f t="shared" si="53"/>
        <v>1.6369636948081723E-16</v>
      </c>
      <c r="CO100" s="8">
        <f t="shared" si="54"/>
        <v>-1.0526465585717523E-16</v>
      </c>
      <c r="CP100" s="8">
        <f t="shared" si="55"/>
        <v>2.0831953467803643E-8</v>
      </c>
      <c r="CQ100"/>
      <c r="CR100"/>
      <c r="CS100"/>
      <c r="CT100"/>
      <c r="CU100"/>
      <c r="CV100"/>
      <c r="CW100"/>
      <c r="CX100"/>
      <c r="CY100"/>
      <c r="CZ100"/>
      <c r="DA100"/>
    </row>
    <row r="101" spans="28:105" x14ac:dyDescent="0.2">
      <c r="AB101" s="8">
        <v>27</v>
      </c>
      <c r="AC101" s="8">
        <f t="shared" si="67"/>
        <v>2.7366690337657928E-2</v>
      </c>
      <c r="AD101" s="8">
        <f t="shared" si="56"/>
        <v>5.1980225054815143E-9</v>
      </c>
      <c r="AE101" s="8">
        <f t="shared" si="68"/>
        <v>2.7366697788238525E-2</v>
      </c>
      <c r="AF101" s="8">
        <f t="shared" si="57"/>
        <v>-2.3014445557634211E-9</v>
      </c>
      <c r="AG101" s="8">
        <f t="shared" si="63"/>
        <v>2.7366694062948227E-2</v>
      </c>
      <c r="AH101" s="8">
        <f t="shared" si="58"/>
        <v>1.4482889748590466E-9</v>
      </c>
      <c r="AI101" s="8">
        <f t="shared" si="64"/>
        <v>7.5282386857580757E-18</v>
      </c>
      <c r="AJ101" s="8">
        <f t="shared" si="65"/>
        <v>-3.333156776361539E-18</v>
      </c>
      <c r="AK101" s="8">
        <f t="shared" si="66"/>
        <v>7.4505805969238281E-9</v>
      </c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 s="8">
        <v>29</v>
      </c>
      <c r="BW101" s="8">
        <f t="shared" si="59"/>
        <v>0.1591762034258481</v>
      </c>
      <c r="BX101" s="8">
        <v>-1.7697001234232013E-8</v>
      </c>
      <c r="BY101" s="8">
        <f t="shared" si="60"/>
        <v>0.15917621384182482</v>
      </c>
      <c r="BZ101" s="8">
        <v>9.6498896616503682E-9</v>
      </c>
      <c r="CA101" s="8">
        <f t="shared" si="48"/>
        <v>0.15917620863383647</v>
      </c>
      <c r="CB101" s="8">
        <v>-4.023555455826E-9</v>
      </c>
      <c r="CC101" s="8">
        <f t="shared" si="49"/>
        <v>7.1204865867753667E-17</v>
      </c>
      <c r="CD101" s="8">
        <f t="shared" si="50"/>
        <v>-3.8826866196252254E-17</v>
      </c>
      <c r="CE101" s="8">
        <f t="shared" si="51"/>
        <v>1.0415976720024034E-8</v>
      </c>
      <c r="CF101"/>
      <c r="CG101" s="8">
        <v>29</v>
      </c>
      <c r="CH101" s="8">
        <f t="shared" si="61"/>
        <v>0.14032705613829061</v>
      </c>
      <c r="CI101" s="8">
        <v>-5.4051689348313947E-9</v>
      </c>
      <c r="CJ101" s="8">
        <f t="shared" si="62"/>
        <v>0.14032706655426735</v>
      </c>
      <c r="CK101" s="8">
        <v>1.9474813299329152E-8</v>
      </c>
      <c r="CL101" s="8">
        <f t="shared" si="52"/>
        <v>0.14032706134627898</v>
      </c>
      <c r="CM101" s="8">
        <v>7.0348223843441637E-9</v>
      </c>
      <c r="CN101" s="8">
        <f t="shared" si="53"/>
        <v>-3.8024403413913597E-17</v>
      </c>
      <c r="CO101" s="8">
        <f t="shared" si="54"/>
        <v>1.3700185252904413E-16</v>
      </c>
      <c r="CP101" s="8">
        <f t="shared" si="55"/>
        <v>1.0415976747779609E-8</v>
      </c>
      <c r="CQ101"/>
      <c r="CR101"/>
      <c r="CS101"/>
      <c r="CT101"/>
      <c r="CU101"/>
      <c r="CV101"/>
      <c r="CW101"/>
      <c r="CX101"/>
      <c r="CY101"/>
      <c r="CZ101"/>
      <c r="DA101"/>
    </row>
    <row r="102" spans="28:105" x14ac:dyDescent="0.2">
      <c r="AB102" s="8">
        <v>28</v>
      </c>
      <c r="AC102" s="8">
        <f t="shared" si="67"/>
        <v>2.7366694062948227E-2</v>
      </c>
      <c r="AD102" s="8">
        <f t="shared" si="56"/>
        <v>1.4482889748590466E-9</v>
      </c>
      <c r="AE102" s="8">
        <f t="shared" si="68"/>
        <v>2.7366697788238525E-2</v>
      </c>
      <c r="AF102" s="8">
        <f t="shared" si="57"/>
        <v>-2.3014445557634211E-9</v>
      </c>
      <c r="AG102" s="8">
        <f t="shared" si="63"/>
        <v>2.7366695925593376E-2</v>
      </c>
      <c r="AH102" s="8">
        <f t="shared" si="58"/>
        <v>-4.2657778698274029E-10</v>
      </c>
      <c r="AI102" s="8">
        <f t="shared" si="64"/>
        <v>-6.178079058068737E-19</v>
      </c>
      <c r="AJ102" s="8">
        <f t="shared" si="65"/>
        <v>9.8174512546103611E-19</v>
      </c>
      <c r="AK102" s="8">
        <f t="shared" si="66"/>
        <v>3.7252902984619141E-9</v>
      </c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 s="8">
        <v>30</v>
      </c>
      <c r="BW102" s="8">
        <f t="shared" si="59"/>
        <v>0.15917620863383647</v>
      </c>
      <c r="BX102" s="8">
        <v>-4.023555455826E-9</v>
      </c>
      <c r="BY102" s="8">
        <f t="shared" si="60"/>
        <v>0.15917621384182482</v>
      </c>
      <c r="BZ102" s="8">
        <v>9.6498896616503682E-9</v>
      </c>
      <c r="CA102" s="11">
        <f t="shared" si="48"/>
        <v>0.15917621123783066</v>
      </c>
      <c r="CB102" s="8">
        <v>2.8131671818421022E-9</v>
      </c>
      <c r="CC102" s="8">
        <f t="shared" si="49"/>
        <v>-1.1318934162651444E-17</v>
      </c>
      <c r="CD102" s="8">
        <f t="shared" si="50"/>
        <v>2.7146752904552204E-17</v>
      </c>
      <c r="CE102" s="8">
        <f t="shared" si="51"/>
        <v>5.2079883461342291E-9</v>
      </c>
      <c r="CF102"/>
      <c r="CG102" s="8">
        <v>30</v>
      </c>
      <c r="CH102" s="8">
        <f t="shared" si="61"/>
        <v>0.14032705613829061</v>
      </c>
      <c r="CI102" s="8">
        <v>-5.4051689348313947E-9</v>
      </c>
      <c r="CJ102" s="8">
        <f t="shared" si="62"/>
        <v>0.14032706134627898</v>
      </c>
      <c r="CK102" s="8">
        <v>7.0348223843441637E-9</v>
      </c>
      <c r="CL102" s="11">
        <f t="shared" si="52"/>
        <v>0.14032705874228479</v>
      </c>
      <c r="CM102" s="8">
        <v>8.1482677983385488E-10</v>
      </c>
      <c r="CN102" s="8">
        <f t="shared" si="53"/>
        <v>-4.4042763976266527E-18</v>
      </c>
      <c r="CO102" s="8">
        <f t="shared" si="54"/>
        <v>5.7321616701382757E-18</v>
      </c>
      <c r="CP102" s="8">
        <f t="shared" si="55"/>
        <v>5.2079883738898047E-9</v>
      </c>
      <c r="CQ102"/>
      <c r="CR102"/>
      <c r="CS102"/>
      <c r="CT102"/>
      <c r="CU102"/>
      <c r="CV102"/>
      <c r="CW102"/>
      <c r="CX102"/>
      <c r="CY102"/>
      <c r="CZ102"/>
      <c r="DA102"/>
    </row>
    <row r="103" spans="28:105" x14ac:dyDescent="0.2">
      <c r="AB103" s="8">
        <v>29</v>
      </c>
      <c r="AC103" s="8">
        <f t="shared" si="67"/>
        <v>2.7366694062948227E-2</v>
      </c>
      <c r="AD103" s="8">
        <f t="shared" si="56"/>
        <v>1.4482889748590466E-9</v>
      </c>
      <c r="AE103" s="8">
        <f t="shared" si="68"/>
        <v>2.7366695925593376E-2</v>
      </c>
      <c r="AF103" s="8">
        <f t="shared" si="57"/>
        <v>-4.2657778698274029E-10</v>
      </c>
      <c r="AG103" s="8">
        <f t="shared" si="63"/>
        <v>2.7366694994270802E-2</v>
      </c>
      <c r="AH103" s="8">
        <f t="shared" si="58"/>
        <v>5.1085559393815316E-10</v>
      </c>
      <c r="AI103" s="8">
        <f t="shared" si="64"/>
        <v>7.3986652444569723E-19</v>
      </c>
      <c r="AJ103" s="8">
        <f t="shared" si="65"/>
        <v>-2.1791964872989077E-19</v>
      </c>
      <c r="AK103" s="8">
        <f t="shared" si="66"/>
        <v>1.862645149230957E-9</v>
      </c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</row>
    <row r="104" spans="28:105" x14ac:dyDescent="0.2">
      <c r="AB104" s="8">
        <v>30</v>
      </c>
      <c r="AC104" s="8">
        <f t="shared" si="67"/>
        <v>2.7366694994270802E-2</v>
      </c>
      <c r="AD104" s="8">
        <f t="shared" si="56"/>
        <v>5.1085559393815316E-10</v>
      </c>
      <c r="AE104" s="8">
        <f t="shared" si="68"/>
        <v>2.7366695925593376E-2</v>
      </c>
      <c r="AF104" s="8">
        <f t="shared" si="57"/>
        <v>-4.2657778698274029E-10</v>
      </c>
      <c r="AG104" s="8">
        <f t="shared" si="63"/>
        <v>2.7366695459932089E-2</v>
      </c>
      <c r="AH104" s="8">
        <f t="shared" si="58"/>
        <v>4.2138903477706435E-11</v>
      </c>
      <c r="AI104" s="8">
        <f t="shared" si="64"/>
        <v>2.1526894564006229E-20</v>
      </c>
      <c r="AJ104" s="8">
        <f t="shared" si="65"/>
        <v>-1.797552019139931E-20</v>
      </c>
      <c r="AK104" s="8">
        <f t="shared" si="66"/>
        <v>9.3132257461547852E-10</v>
      </c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 s="69" t="s">
        <v>310</v>
      </c>
      <c r="BW104" s="69"/>
      <c r="BX104" s="69"/>
      <c r="BY104" s="69"/>
      <c r="BZ104" s="69"/>
      <c r="CA104" s="69"/>
      <c r="CB104" s="69"/>
      <c r="CC104" s="69"/>
      <c r="CD104" s="69"/>
      <c r="CE104" s="69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</row>
    <row r="105" spans="28:105" x14ac:dyDescent="0.2"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 s="23" t="s">
        <v>63</v>
      </c>
      <c r="BW105" s="23" t="s">
        <v>64</v>
      </c>
      <c r="BX105" s="23" t="s">
        <v>65</v>
      </c>
      <c r="BY105" s="23" t="s">
        <v>66</v>
      </c>
      <c r="BZ105" s="23" t="s">
        <v>67</v>
      </c>
      <c r="CA105" s="23" t="s">
        <v>68</v>
      </c>
      <c r="CB105" s="23" t="s">
        <v>69</v>
      </c>
      <c r="CC105" s="23" t="s">
        <v>70</v>
      </c>
      <c r="CD105" s="23" t="s">
        <v>71</v>
      </c>
      <c r="CE105" s="23" t="s">
        <v>72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</row>
    <row r="106" spans="28:105" x14ac:dyDescent="0.2"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 s="46">
        <v>0</v>
      </c>
      <c r="BW106" s="46"/>
      <c r="BX106" s="46">
        <f>$BO$77</f>
        <v>-4.7047981378833814E-9</v>
      </c>
      <c r="BY106" s="46"/>
      <c r="BZ106" s="46">
        <f>$BO$77</f>
        <v>-4.7047981378833814E-9</v>
      </c>
      <c r="CA106" s="46"/>
      <c r="CB106" s="46">
        <f>$BO$77</f>
        <v>-4.7047981378833814E-9</v>
      </c>
      <c r="CC106" s="46"/>
      <c r="CD106" s="46"/>
      <c r="CE106" s="4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</row>
    <row r="107" spans="28:105" x14ac:dyDescent="0.2"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 s="8">
        <v>1</v>
      </c>
      <c r="BW107" s="9">
        <f>0.01*PI()</f>
        <v>3.1415926535897934E-2</v>
      </c>
      <c r="BX107" s="8">
        <f t="dataTable" ref="BX107:BX136" dt2D="0" dtr="0" r1="BO61"/>
        <v>-0.42722129819272536</v>
      </c>
      <c r="BY107" s="9">
        <f>0.9*PI()</f>
        <v>2.8274333882308138</v>
      </c>
      <c r="BZ107" s="8">
        <f t="dataTable" ref="BZ107:BZ136" dt2D="0" dtr="0" r1="BO61" ca="1"/>
        <v>0.23386125212353859</v>
      </c>
      <c r="CA107" s="8">
        <f t="shared" ref="CA107:CA136" si="69">(BW107+BY107)/2</f>
        <v>1.4294246573833558</v>
      </c>
      <c r="CB107" s="8">
        <f t="dataTable" ref="CB107:CB136" dt2D="0" dtr="0" r1="BO61" ca="1"/>
        <v>0.97358925215015468</v>
      </c>
      <c r="CC107" s="8">
        <f t="shared" ref="CC107:CC136" si="70">BX107*CB107</f>
        <v>-0.41593806421007373</v>
      </c>
      <c r="CD107" s="8">
        <f t="shared" ref="CD107:CD136" si="71">BZ107*CB107</f>
        <v>0.22768480156185469</v>
      </c>
      <c r="CE107" s="8">
        <f t="shared" ref="CE107:CE136" si="72">BY107-BW107</f>
        <v>2.7960174616949161</v>
      </c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</row>
    <row r="108" spans="28:105" x14ac:dyDescent="0.2"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 s="8">
        <v>2</v>
      </c>
      <c r="BW108" s="8">
        <f t="shared" ref="BW108:BW136" si="73">IF(CC107&gt;0,CA107,BW107)</f>
        <v>3.1415926535897934E-2</v>
      </c>
      <c r="BX108" s="8">
        <v>-0.42722129819272536</v>
      </c>
      <c r="BY108" s="8">
        <f t="shared" ref="BY108:BY136" si="74">IF(CD107&gt;0,CA107,BY107)</f>
        <v>1.4294246573833558</v>
      </c>
      <c r="BZ108" s="8">
        <v>0.97358925215015468</v>
      </c>
      <c r="CA108" s="8">
        <f t="shared" si="69"/>
        <v>0.73042029195962688</v>
      </c>
      <c r="CB108" s="8">
        <v>0.68604391288415401</v>
      </c>
      <c r="CC108" s="8">
        <f t="shared" si="70"/>
        <v>-0.29309257107958525</v>
      </c>
      <c r="CD108" s="8">
        <f t="shared" si="71"/>
        <v>0.66792498008704937</v>
      </c>
      <c r="CE108" s="8">
        <f t="shared" si="72"/>
        <v>1.3980087308474578</v>
      </c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</row>
    <row r="109" spans="28:105" x14ac:dyDescent="0.2"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 s="8">
        <v>3</v>
      </c>
      <c r="BW109" s="8">
        <f t="shared" si="73"/>
        <v>3.1415926535897934E-2</v>
      </c>
      <c r="BX109" s="8">
        <v>-0.42722129819272536</v>
      </c>
      <c r="BY109" s="8">
        <f t="shared" si="74"/>
        <v>0.73042029195962688</v>
      </c>
      <c r="BZ109" s="8">
        <v>0.68604391288415401</v>
      </c>
      <c r="CA109" s="8">
        <f t="shared" si="69"/>
        <v>0.38091810924776243</v>
      </c>
      <c r="CB109" s="8">
        <v>0.37331409738969468</v>
      </c>
      <c r="CC109" s="8">
        <f t="shared" si="70"/>
        <v>-0.15948773332047086</v>
      </c>
      <c r="CD109" s="8">
        <f t="shared" si="71"/>
        <v>0.25610986410804226</v>
      </c>
      <c r="CE109" s="8">
        <f t="shared" si="72"/>
        <v>0.6990043654237289</v>
      </c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</row>
    <row r="110" spans="28:105" x14ac:dyDescent="0.2"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 s="8">
        <v>4</v>
      </c>
      <c r="BW110" s="8">
        <f t="shared" si="73"/>
        <v>3.1415926535897934E-2</v>
      </c>
      <c r="BX110" s="8">
        <v>-0.42722129819272536</v>
      </c>
      <c r="BY110" s="8">
        <f t="shared" si="74"/>
        <v>0.38091810924776243</v>
      </c>
      <c r="BZ110" s="8">
        <v>0.37331409738969468</v>
      </c>
      <c r="CA110" s="8">
        <f t="shared" si="69"/>
        <v>0.20616701789183017</v>
      </c>
      <c r="CB110" s="8">
        <v>0.12512448792195349</v>
      </c>
      <c r="CC110" s="8">
        <f t="shared" si="70"/>
        <v>-5.3455846165716955E-2</v>
      </c>
      <c r="CD110" s="8">
        <f t="shared" si="71"/>
        <v>4.6710735269931823E-2</v>
      </c>
      <c r="CE110" s="8">
        <f t="shared" si="72"/>
        <v>0.34950218271186451</v>
      </c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</row>
    <row r="111" spans="28:105" x14ac:dyDescent="0.2"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 s="8">
        <v>5</v>
      </c>
      <c r="BW111" s="8">
        <f t="shared" si="73"/>
        <v>3.1415926535897934E-2</v>
      </c>
      <c r="BX111" s="8">
        <v>-0.42722129819272536</v>
      </c>
      <c r="BY111" s="8">
        <f t="shared" si="74"/>
        <v>0.20616701789183017</v>
      </c>
      <c r="BZ111" s="8">
        <v>0.12512448792195349</v>
      </c>
      <c r="CA111" s="8">
        <f t="shared" si="69"/>
        <v>0.11879147221386405</v>
      </c>
      <c r="CB111" s="8">
        <v>-5.1185782475059519E-2</v>
      </c>
      <c r="CC111" s="8">
        <f t="shared" si="70"/>
        <v>2.1867656438005378E-2</v>
      </c>
      <c r="CD111" s="8">
        <f t="shared" si="71"/>
        <v>-6.4045948210763237E-3</v>
      </c>
      <c r="CE111" s="8">
        <f t="shared" si="72"/>
        <v>0.17475109135593225</v>
      </c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</row>
    <row r="112" spans="28:105" x14ac:dyDescent="0.2"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 s="8">
        <v>6</v>
      </c>
      <c r="BW112" s="8">
        <f t="shared" si="73"/>
        <v>0.11879147221386405</v>
      </c>
      <c r="BX112" s="8">
        <v>-5.1185782475059519E-2</v>
      </c>
      <c r="BY112" s="8">
        <f t="shared" si="74"/>
        <v>0.20616701789183017</v>
      </c>
      <c r="BZ112" s="8">
        <v>0.12512448792195349</v>
      </c>
      <c r="CA112" s="8">
        <f t="shared" si="69"/>
        <v>0.16247924505284711</v>
      </c>
      <c r="CB112" s="8">
        <v>4.6255785059535356E-2</v>
      </c>
      <c r="CC112" s="8">
        <f t="shared" si="70"/>
        <v>-2.3676385522704846E-3</v>
      </c>
      <c r="CD112" s="8">
        <f t="shared" si="71"/>
        <v>5.7877314190023085E-3</v>
      </c>
      <c r="CE112" s="8">
        <f t="shared" si="72"/>
        <v>8.7375545677966127E-2</v>
      </c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</row>
    <row r="113" spans="50:105" x14ac:dyDescent="0.2"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 s="8">
        <v>7</v>
      </c>
      <c r="BW113" s="8">
        <f t="shared" si="73"/>
        <v>0.11879147221386405</v>
      </c>
      <c r="BX113" s="8">
        <v>-5.1185782475059519E-2</v>
      </c>
      <c r="BY113" s="8">
        <f t="shared" si="74"/>
        <v>0.16247924505284711</v>
      </c>
      <c r="BZ113" s="8">
        <v>4.6255785059535356E-2</v>
      </c>
      <c r="CA113" s="8">
        <f t="shared" si="69"/>
        <v>0.14063535863335558</v>
      </c>
      <c r="CB113" s="8">
        <v>8.4641979372445872E-4</v>
      </c>
      <c r="CC113" s="8">
        <f t="shared" si="70"/>
        <v>-4.332465944416489E-5</v>
      </c>
      <c r="CD113" s="8">
        <f t="shared" si="71"/>
        <v>3.9151812048654819E-5</v>
      </c>
      <c r="CE113" s="8">
        <f t="shared" si="72"/>
        <v>4.3687772838983063E-2</v>
      </c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</row>
    <row r="114" spans="50:105" x14ac:dyDescent="0.2"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 s="8">
        <v>8</v>
      </c>
      <c r="BW114" s="8">
        <f t="shared" si="73"/>
        <v>0.11879147221386405</v>
      </c>
      <c r="BX114" s="8">
        <v>-5.1185782475059519E-2</v>
      </c>
      <c r="BY114" s="8">
        <f t="shared" si="74"/>
        <v>0.14063535863335558</v>
      </c>
      <c r="BZ114" s="8">
        <v>8.4641979372445872E-4</v>
      </c>
      <c r="CA114" s="8">
        <f t="shared" si="69"/>
        <v>0.12971341542360981</v>
      </c>
      <c r="CB114" s="8">
        <v>-2.4144661173350061E-2</v>
      </c>
      <c r="CC114" s="8">
        <f t="shared" si="70"/>
        <v>1.2358633747531116E-3</v>
      </c>
      <c r="CD114" s="8">
        <f t="shared" si="71"/>
        <v>-2.0436519129893907E-5</v>
      </c>
      <c r="CE114" s="8">
        <f t="shared" si="72"/>
        <v>2.1843886419491532E-2</v>
      </c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</row>
    <row r="115" spans="50:105" x14ac:dyDescent="0.2"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 s="8">
        <v>9</v>
      </c>
      <c r="BW115" s="8">
        <f t="shared" si="73"/>
        <v>0.12971341542360981</v>
      </c>
      <c r="BX115" s="8">
        <v>-2.4144661173350061E-2</v>
      </c>
      <c r="BY115" s="8">
        <f t="shared" si="74"/>
        <v>0.14063535863335558</v>
      </c>
      <c r="BZ115" s="8">
        <v>8.4641979372445872E-4</v>
      </c>
      <c r="CA115" s="8">
        <f t="shared" si="69"/>
        <v>0.1351743870284827</v>
      </c>
      <c r="CB115" s="8">
        <v>-1.1422572152032406E-2</v>
      </c>
      <c r="CC115" s="8">
        <f t="shared" si="70"/>
        <v>2.7579413433896649E-4</v>
      </c>
      <c r="CD115" s="8">
        <f t="shared" si="71"/>
        <v>-9.6682911647260165E-6</v>
      </c>
      <c r="CE115" s="8">
        <f t="shared" si="72"/>
        <v>1.0921943209745766E-2</v>
      </c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</row>
    <row r="116" spans="50:105" x14ac:dyDescent="0.2"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 s="8">
        <v>10</v>
      </c>
      <c r="BW116" s="8">
        <f t="shared" si="73"/>
        <v>0.1351743870284827</v>
      </c>
      <c r="BX116" s="8">
        <v>-1.1422572152032406E-2</v>
      </c>
      <c r="BY116" s="8">
        <f t="shared" si="74"/>
        <v>0.14063535863335558</v>
      </c>
      <c r="BZ116" s="8">
        <v>8.4641979372445872E-4</v>
      </c>
      <c r="CA116" s="8">
        <f t="shared" si="69"/>
        <v>0.13790487283091912</v>
      </c>
      <c r="CB116" s="8">
        <v>-5.2346277764650593E-3</v>
      </c>
      <c r="CC116" s="8">
        <f t="shared" si="70"/>
        <v>5.9792913465705101E-5</v>
      </c>
      <c r="CD116" s="8">
        <f t="shared" si="71"/>
        <v>-4.4306925627798773E-6</v>
      </c>
      <c r="CE116" s="8">
        <f t="shared" si="72"/>
        <v>5.4609716048728829E-3</v>
      </c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</row>
    <row r="117" spans="50:105" x14ac:dyDescent="0.2"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 s="8">
        <v>11</v>
      </c>
      <c r="BW117" s="8">
        <f t="shared" si="73"/>
        <v>0.13790487283091912</v>
      </c>
      <c r="BX117" s="8">
        <v>-5.2346277764650593E-3</v>
      </c>
      <c r="BY117" s="8">
        <f t="shared" si="74"/>
        <v>0.14063535863335558</v>
      </c>
      <c r="BZ117" s="8">
        <v>8.4641979372445872E-4</v>
      </c>
      <c r="CA117" s="8">
        <f t="shared" si="69"/>
        <v>0.13927011573213735</v>
      </c>
      <c r="CB117" s="8">
        <v>-2.1811126904845435E-3</v>
      </c>
      <c r="CC117" s="8">
        <f t="shared" si="70"/>
        <v>1.1417313073210828E-5</v>
      </c>
      <c r="CD117" s="8">
        <f t="shared" si="71"/>
        <v>-1.8461369535697265E-6</v>
      </c>
      <c r="CE117" s="8">
        <f t="shared" si="72"/>
        <v>2.7304858024364553E-3</v>
      </c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</row>
    <row r="118" spans="50:105" x14ac:dyDescent="0.2"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 s="8">
        <v>12</v>
      </c>
      <c r="BW118" s="8">
        <f t="shared" si="73"/>
        <v>0.13927011573213735</v>
      </c>
      <c r="BX118" s="8">
        <v>-2.1811126904845435E-3</v>
      </c>
      <c r="BY118" s="8">
        <f t="shared" si="74"/>
        <v>0.14063535863335558</v>
      </c>
      <c r="BZ118" s="8">
        <v>8.4641979372445872E-4</v>
      </c>
      <c r="CA118" s="8">
        <f t="shared" si="69"/>
        <v>0.13995273718274648</v>
      </c>
      <c r="CB118" s="8">
        <v>-6.641433677665419E-4</v>
      </c>
      <c r="CC118" s="8">
        <f t="shared" si="70"/>
        <v>1.4485715277367479E-6</v>
      </c>
      <c r="CD118" s="8">
        <f t="shared" si="71"/>
        <v>-5.6214409234842377E-7</v>
      </c>
      <c r="CE118" s="8">
        <f t="shared" si="72"/>
        <v>1.3652429012182277E-3</v>
      </c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</row>
    <row r="119" spans="50:105" x14ac:dyDescent="0.2"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 s="8">
        <v>13</v>
      </c>
      <c r="BW119" s="8">
        <f t="shared" si="73"/>
        <v>0.13995273718274648</v>
      </c>
      <c r="BX119" s="8">
        <v>-6.641433677665419E-4</v>
      </c>
      <c r="BY119" s="8">
        <f t="shared" si="74"/>
        <v>0.14063535863335558</v>
      </c>
      <c r="BZ119" s="8">
        <v>8.4641979372445872E-4</v>
      </c>
      <c r="CA119" s="8">
        <f t="shared" si="69"/>
        <v>0.14029404790805103</v>
      </c>
      <c r="CB119" s="8">
        <v>9.193348660042986E-5</v>
      </c>
      <c r="CC119" s="8">
        <f t="shared" si="70"/>
        <v>-6.1057015401329746E-8</v>
      </c>
      <c r="CD119" s="8">
        <f t="shared" si="71"/>
        <v>7.7814322764706137E-8</v>
      </c>
      <c r="CE119" s="8">
        <f t="shared" si="72"/>
        <v>6.8262145060909996E-4</v>
      </c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</row>
    <row r="120" spans="50:105" x14ac:dyDescent="0.2"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 s="8">
        <v>14</v>
      </c>
      <c r="BW120" s="8">
        <f t="shared" si="73"/>
        <v>0.13995273718274648</v>
      </c>
      <c r="BX120" s="8">
        <v>-6.641433677665419E-4</v>
      </c>
      <c r="BY120" s="8">
        <f t="shared" si="74"/>
        <v>0.14029404790805103</v>
      </c>
      <c r="BZ120" s="8">
        <v>9.193348660042986E-5</v>
      </c>
      <c r="CA120" s="8">
        <f t="shared" si="69"/>
        <v>0.14012339254539874</v>
      </c>
      <c r="CB120" s="8">
        <v>-2.8590543935061875E-4</v>
      </c>
      <c r="CC120" s="8">
        <f t="shared" si="70"/>
        <v>1.8988220135309272E-7</v>
      </c>
      <c r="CD120" s="8">
        <f t="shared" si="71"/>
        <v>-2.628428387753012E-8</v>
      </c>
      <c r="CE120" s="8">
        <f t="shared" si="72"/>
        <v>3.4131072530454998E-4</v>
      </c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</row>
    <row r="121" spans="50:105" x14ac:dyDescent="0.2"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 s="8">
        <v>15</v>
      </c>
      <c r="BW121" s="8">
        <f t="shared" si="73"/>
        <v>0.14012339254539874</v>
      </c>
      <c r="BX121" s="8">
        <v>-2.8590543935061875E-4</v>
      </c>
      <c r="BY121" s="8">
        <f t="shared" si="74"/>
        <v>0.14029404790805103</v>
      </c>
      <c r="BZ121" s="8">
        <v>9.193348660042986E-5</v>
      </c>
      <c r="CA121" s="8">
        <f t="shared" si="69"/>
        <v>0.14020872022672487</v>
      </c>
      <c r="CB121" s="8">
        <v>-9.6936186683522531E-5</v>
      </c>
      <c r="CC121" s="8">
        <f t="shared" si="70"/>
        <v>2.7714583042726108E-8</v>
      </c>
      <c r="CD121" s="8">
        <f t="shared" si="71"/>
        <v>-8.9116816195663867E-9</v>
      </c>
      <c r="CE121" s="8">
        <f t="shared" si="72"/>
        <v>1.7065536265228887E-4</v>
      </c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</row>
    <row r="122" spans="50:105" x14ac:dyDescent="0.2"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 s="8">
        <v>16</v>
      </c>
      <c r="BW122" s="8">
        <f t="shared" si="73"/>
        <v>0.14020872022672487</v>
      </c>
      <c r="BX122" s="8">
        <v>-9.6936186683522531E-5</v>
      </c>
      <c r="BY122" s="8">
        <f t="shared" si="74"/>
        <v>0.14029404790805103</v>
      </c>
      <c r="BZ122" s="8">
        <v>9.193348660042986E-5</v>
      </c>
      <c r="CA122" s="8">
        <f t="shared" si="69"/>
        <v>0.14025138406738796</v>
      </c>
      <c r="CB122" s="8">
        <v>-2.4889132975618525E-6</v>
      </c>
      <c r="CC122" s="8">
        <f t="shared" si="70"/>
        <v>2.4126576405155739E-10</v>
      </c>
      <c r="CD122" s="8">
        <f t="shared" si="71"/>
        <v>-2.2881447729103427E-10</v>
      </c>
      <c r="CE122" s="8">
        <f t="shared" si="72"/>
        <v>8.5327681326158311E-5</v>
      </c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</row>
    <row r="123" spans="50:105" x14ac:dyDescent="0.2"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 s="8">
        <v>17</v>
      </c>
      <c r="BW123" s="8">
        <f t="shared" si="73"/>
        <v>0.14025138406738796</v>
      </c>
      <c r="BX123" s="8">
        <v>-2.4889132975618525E-6</v>
      </c>
      <c r="BY123" s="8">
        <f t="shared" si="74"/>
        <v>0.14029404790805103</v>
      </c>
      <c r="BZ123" s="8">
        <v>9.193348660042986E-5</v>
      </c>
      <c r="CA123" s="8">
        <f t="shared" si="69"/>
        <v>0.14027271598771951</v>
      </c>
      <c r="CB123" s="8">
        <v>4.4725394504028203E-5</v>
      </c>
      <c r="CC123" s="8">
        <f t="shared" si="70"/>
        <v>-1.1131762911977559E-10</v>
      </c>
      <c r="CD123" s="8">
        <f t="shared" si="71"/>
        <v>4.1117614563350164E-9</v>
      </c>
      <c r="CE123" s="8">
        <f t="shared" si="72"/>
        <v>4.2663840663065278E-5</v>
      </c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</row>
    <row r="124" spans="50:105" x14ac:dyDescent="0.2"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 s="8">
        <v>18</v>
      </c>
      <c r="BW124" s="8">
        <f t="shared" si="73"/>
        <v>0.14025138406738796</v>
      </c>
      <c r="BX124" s="8">
        <v>-2.4889132975618525E-6</v>
      </c>
      <c r="BY124" s="8">
        <f t="shared" si="74"/>
        <v>0.14027271598771951</v>
      </c>
      <c r="BZ124" s="8">
        <v>4.4725394504028203E-5</v>
      </c>
      <c r="CA124" s="8">
        <f t="shared" si="69"/>
        <v>0.14026205002755374</v>
      </c>
      <c r="CB124" s="8">
        <v>2.1119017733038994E-5</v>
      </c>
      <c r="CC124" s="8">
        <f t="shared" si="70"/>
        <v>-5.2563404067205321E-11</v>
      </c>
      <c r="CD124" s="8">
        <f t="shared" si="71"/>
        <v>9.4455639964773643E-10</v>
      </c>
      <c r="CE124" s="8">
        <f t="shared" si="72"/>
        <v>2.1331920331546517E-5</v>
      </c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</row>
    <row r="125" spans="50:105" x14ac:dyDescent="0.2"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 s="8">
        <v>19</v>
      </c>
      <c r="BW125" s="8">
        <f t="shared" si="73"/>
        <v>0.14025138406738796</v>
      </c>
      <c r="BX125" s="8">
        <v>-2.4889132975618525E-6</v>
      </c>
      <c r="BY125" s="8">
        <f t="shared" si="74"/>
        <v>0.14026205002755374</v>
      </c>
      <c r="BZ125" s="8">
        <v>2.1119017733038994E-5</v>
      </c>
      <c r="CA125" s="8">
        <f t="shared" si="69"/>
        <v>0.14025671704747084</v>
      </c>
      <c r="CB125" s="8">
        <v>9.3152465209661584E-6</v>
      </c>
      <c r="CC125" s="8">
        <f t="shared" si="70"/>
        <v>-2.3184840936099455E-11</v>
      </c>
      <c r="CD125" s="8">
        <f t="shared" si="71"/>
        <v>1.967288564639141E-10</v>
      </c>
      <c r="CE125" s="8">
        <f t="shared" si="72"/>
        <v>1.0665960165773258E-5</v>
      </c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</row>
    <row r="126" spans="50:105" x14ac:dyDescent="0.2"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 s="8">
        <v>20</v>
      </c>
      <c r="BW126" s="8">
        <f t="shared" si="73"/>
        <v>0.14025138406738796</v>
      </c>
      <c r="BX126" s="8">
        <v>-2.4889132975618525E-6</v>
      </c>
      <c r="BY126" s="8">
        <f t="shared" si="74"/>
        <v>0.14025671704747084</v>
      </c>
      <c r="BZ126" s="8">
        <v>9.3152465209661584E-6</v>
      </c>
      <c r="CA126" s="8">
        <f t="shared" si="69"/>
        <v>0.1402540505574294</v>
      </c>
      <c r="CB126" s="8">
        <v>3.4132151901112434E-6</v>
      </c>
      <c r="CC126" s="8">
        <f t="shared" si="70"/>
        <v>-8.4951966741079795E-12</v>
      </c>
      <c r="CD126" s="8">
        <f t="shared" si="71"/>
        <v>3.1794940924992603E-11</v>
      </c>
      <c r="CE126" s="8">
        <f t="shared" si="72"/>
        <v>5.3329800828727514E-6</v>
      </c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</row>
    <row r="127" spans="50:105" x14ac:dyDescent="0.2"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 s="8">
        <v>21</v>
      </c>
      <c r="BW127" s="8">
        <f t="shared" si="73"/>
        <v>0.14025138406738796</v>
      </c>
      <c r="BX127" s="8">
        <v>-2.4889132975618525E-6</v>
      </c>
      <c r="BY127" s="8">
        <f t="shared" si="74"/>
        <v>0.1402540505574294</v>
      </c>
      <c r="BZ127" s="8">
        <v>3.4132151901112434E-6</v>
      </c>
      <c r="CA127" s="8">
        <f t="shared" si="69"/>
        <v>0.14025271731240868</v>
      </c>
      <c r="CB127" s="8">
        <v>4.6216309120602345E-7</v>
      </c>
      <c r="CC127" s="8">
        <f t="shared" si="70"/>
        <v>-1.150283863344963E-12</v>
      </c>
      <c r="CD127" s="8">
        <f t="shared" si="71"/>
        <v>1.5774620832131672E-12</v>
      </c>
      <c r="CE127" s="8">
        <f t="shared" si="72"/>
        <v>2.6664900414363757E-6</v>
      </c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</row>
    <row r="128" spans="50:105" x14ac:dyDescent="0.2"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 s="8">
        <v>22</v>
      </c>
      <c r="BW128" s="8">
        <f t="shared" si="73"/>
        <v>0.14025138406738796</v>
      </c>
      <c r="BX128" s="8">
        <v>-2.4889132975618525E-6</v>
      </c>
      <c r="BY128" s="8">
        <f t="shared" si="74"/>
        <v>0.14025271731240868</v>
      </c>
      <c r="BZ128" s="8">
        <v>4.6216309120602345E-7</v>
      </c>
      <c r="CA128" s="8">
        <f t="shared" si="69"/>
        <v>0.14025205068989832</v>
      </c>
      <c r="CB128" s="8">
        <v>-1.0133720669000881E-6</v>
      </c>
      <c r="CC128" s="8">
        <f t="shared" si="70"/>
        <v>2.5221952126853684E-12</v>
      </c>
      <c r="CD128" s="8">
        <f t="shared" si="71"/>
        <v>-4.6834316698038189E-13</v>
      </c>
      <c r="CE128" s="8">
        <f t="shared" si="72"/>
        <v>1.3332450207181878E-6</v>
      </c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</row>
    <row r="129" spans="50:105" x14ac:dyDescent="0.2"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 s="8">
        <v>23</v>
      </c>
      <c r="BW129" s="8">
        <f t="shared" si="73"/>
        <v>0.14025205068989832</v>
      </c>
      <c r="BX129" s="8">
        <v>-1.0133720669000881E-6</v>
      </c>
      <c r="BY129" s="8">
        <f t="shared" si="74"/>
        <v>0.14025271731240868</v>
      </c>
      <c r="BZ129" s="8">
        <v>4.6216309120602345E-7</v>
      </c>
      <c r="CA129" s="8">
        <f t="shared" si="69"/>
        <v>0.1402523840011535</v>
      </c>
      <c r="CB129" s="8">
        <v>-2.7560372881530598E-7</v>
      </c>
      <c r="CC129" s="8">
        <f t="shared" si="70"/>
        <v>2.7928912031493798E-13</v>
      </c>
      <c r="CD129" s="8">
        <f t="shared" si="71"/>
        <v>-1.273738712571884E-13</v>
      </c>
      <c r="CE129" s="8">
        <f t="shared" si="72"/>
        <v>6.6662251035909392E-7</v>
      </c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</row>
    <row r="130" spans="50:105" x14ac:dyDescent="0.2"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 s="8">
        <v>24</v>
      </c>
      <c r="BW130" s="8">
        <f t="shared" si="73"/>
        <v>0.1402523840011535</v>
      </c>
      <c r="BX130" s="8">
        <v>-2.7560372881530598E-7</v>
      </c>
      <c r="BY130" s="8">
        <f t="shared" si="74"/>
        <v>0.14025271731240868</v>
      </c>
      <c r="BZ130" s="8">
        <v>4.6216309120602345E-7</v>
      </c>
      <c r="CA130" s="8">
        <f t="shared" si="69"/>
        <v>0.14025255065678111</v>
      </c>
      <c r="CB130" s="8">
        <v>9.3279871049567475E-8</v>
      </c>
      <c r="CC130" s="8">
        <f t="shared" si="70"/>
        <v>-2.5708280284671706E-14</v>
      </c>
      <c r="CD130" s="8">
        <f t="shared" si="71"/>
        <v>4.3110513551567362E-14</v>
      </c>
      <c r="CE130" s="8">
        <f t="shared" si="72"/>
        <v>3.3331125517954696E-7</v>
      </c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</row>
    <row r="131" spans="50:105" x14ac:dyDescent="0.2"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 s="8">
        <v>25</v>
      </c>
      <c r="BW131" s="8">
        <f t="shared" si="73"/>
        <v>0.1402523840011535</v>
      </c>
      <c r="BX131" s="8">
        <v>-2.7560372881530598E-7</v>
      </c>
      <c r="BY131" s="8">
        <f t="shared" si="74"/>
        <v>0.14025255065678111</v>
      </c>
      <c r="BZ131" s="8">
        <v>9.3279871049567475E-8</v>
      </c>
      <c r="CA131" s="8">
        <f t="shared" si="69"/>
        <v>0.14025246732896729</v>
      </c>
      <c r="CB131" s="8">
        <v>-9.1161881434279057E-8</v>
      </c>
      <c r="CC131" s="8">
        <f t="shared" si="70"/>
        <v>2.5124554449106123E-14</v>
      </c>
      <c r="CD131" s="8">
        <f t="shared" si="71"/>
        <v>-8.5035685448255092E-15</v>
      </c>
      <c r="CE131" s="8">
        <f t="shared" si="72"/>
        <v>1.6665562760365127E-7</v>
      </c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</row>
    <row r="132" spans="50:105" x14ac:dyDescent="0.2"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 s="8">
        <v>26</v>
      </c>
      <c r="BW132" s="8">
        <f t="shared" si="73"/>
        <v>0.14025246732896729</v>
      </c>
      <c r="BX132" s="8">
        <v>-9.1161881434279057E-8</v>
      </c>
      <c r="BY132" s="8">
        <f t="shared" si="74"/>
        <v>0.14025255065678111</v>
      </c>
      <c r="BZ132" s="8">
        <v>9.3279871049567475E-8</v>
      </c>
      <c r="CA132" s="8">
        <f t="shared" si="69"/>
        <v>0.1402525089928742</v>
      </c>
      <c r="CB132" s="8">
        <v>1.0590066514687413E-9</v>
      </c>
      <c r="CC132" s="8">
        <f t="shared" si="70"/>
        <v>-9.6541038799306281E-17</v>
      </c>
      <c r="CD132" s="8">
        <f t="shared" si="71"/>
        <v>9.8784003889638432E-17</v>
      </c>
      <c r="CE132" s="8">
        <f t="shared" si="72"/>
        <v>8.3327813815703422E-8</v>
      </c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</row>
    <row r="133" spans="50:105" x14ac:dyDescent="0.2"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 s="8">
        <v>27</v>
      </c>
      <c r="BW133" s="8">
        <f t="shared" si="73"/>
        <v>0.14025246732896729</v>
      </c>
      <c r="BX133" s="8">
        <v>-9.1161881434279057E-8</v>
      </c>
      <c r="BY133" s="8">
        <f t="shared" si="74"/>
        <v>0.1402525089928742</v>
      </c>
      <c r="BZ133" s="8">
        <v>1.0590066514687413E-9</v>
      </c>
      <c r="CA133" s="8">
        <f t="shared" si="69"/>
        <v>0.14025248816092073</v>
      </c>
      <c r="CB133" s="8">
        <v>-4.5051434488345421E-8</v>
      </c>
      <c r="CC133" s="8">
        <f t="shared" si="70"/>
        <v>4.1069735292707359E-15</v>
      </c>
      <c r="CD133" s="8">
        <f t="shared" si="71"/>
        <v>-4.7709768781366048E-17</v>
      </c>
      <c r="CE133" s="8">
        <f t="shared" si="72"/>
        <v>4.1663906907851711E-8</v>
      </c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</row>
    <row r="134" spans="50:105" x14ac:dyDescent="0.2"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 s="8">
        <v>28</v>
      </c>
      <c r="BW134" s="8">
        <f t="shared" si="73"/>
        <v>0.14025248816092073</v>
      </c>
      <c r="BX134" s="8">
        <v>-4.5051434488345421E-8</v>
      </c>
      <c r="BY134" s="8">
        <f t="shared" si="74"/>
        <v>0.1402525089928742</v>
      </c>
      <c r="BZ134" s="8">
        <v>1.0590066514687413E-9</v>
      </c>
      <c r="CA134" s="8">
        <f t="shared" si="69"/>
        <v>0.14025249857689748</v>
      </c>
      <c r="CB134" s="8">
        <v>-2.1996213156461053E-8</v>
      </c>
      <c r="CC134" s="8">
        <f t="shared" si="70"/>
        <v>9.9096095600998676E-16</v>
      </c>
      <c r="CD134" s="8">
        <f t="shared" si="71"/>
        <v>-2.3294136039816492E-17</v>
      </c>
      <c r="CE134" s="8">
        <f t="shared" si="72"/>
        <v>2.0831953467803643E-8</v>
      </c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</row>
    <row r="135" spans="50:105" x14ac:dyDescent="0.2"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 s="8">
        <v>29</v>
      </c>
      <c r="BW135" s="8">
        <f t="shared" si="73"/>
        <v>0.14025249857689748</v>
      </c>
      <c r="BX135" s="8">
        <v>-2.1996213156461053E-8</v>
      </c>
      <c r="BY135" s="8">
        <f t="shared" si="74"/>
        <v>0.1402525089928742</v>
      </c>
      <c r="BZ135" s="8">
        <v>1.0590066514687413E-9</v>
      </c>
      <c r="CA135" s="8">
        <f t="shared" si="69"/>
        <v>0.14025250378488585</v>
      </c>
      <c r="CB135" s="8">
        <v>-1.0468603053002956E-8</v>
      </c>
      <c r="CC135" s="8">
        <f t="shared" si="70"/>
        <v>2.3026962420423199E-16</v>
      </c>
      <c r="CD135" s="8">
        <f t="shared" si="71"/>
        <v>-1.1086320264716102E-17</v>
      </c>
      <c r="CE135" s="8">
        <f t="shared" si="72"/>
        <v>1.0415976720024034E-8</v>
      </c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</row>
    <row r="136" spans="50:105" x14ac:dyDescent="0.2"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 s="8">
        <v>30</v>
      </c>
      <c r="BW136" s="8">
        <f t="shared" si="73"/>
        <v>0.14025250378488585</v>
      </c>
      <c r="BX136" s="8">
        <v>-1.0468603053002956E-8</v>
      </c>
      <c r="BY136" s="8">
        <f t="shared" si="74"/>
        <v>0.1402525089928742</v>
      </c>
      <c r="BZ136" s="8">
        <v>1.0590066514687413E-9</v>
      </c>
      <c r="CA136" s="11">
        <f t="shared" si="69"/>
        <v>0.14025250638888004</v>
      </c>
      <c r="CB136" s="8">
        <v>-4.7047981378833814E-9</v>
      </c>
      <c r="CC136" s="8">
        <f t="shared" si="70"/>
        <v>4.9252664150008587E-17</v>
      </c>
      <c r="CD136" s="8">
        <f t="shared" si="71"/>
        <v>-4.982412521836249E-18</v>
      </c>
      <c r="CE136" s="8">
        <f t="shared" si="72"/>
        <v>5.2079883461342291E-9</v>
      </c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</row>
  </sheetData>
  <mergeCells count="74">
    <mergeCell ref="F45:H45"/>
    <mergeCell ref="B49:D49"/>
    <mergeCell ref="J30:L30"/>
    <mergeCell ref="B32:D32"/>
    <mergeCell ref="F32:H32"/>
    <mergeCell ref="B38:D38"/>
    <mergeCell ref="J38:L38"/>
    <mergeCell ref="B43:D43"/>
    <mergeCell ref="B27:D27"/>
    <mergeCell ref="V3:X3"/>
    <mergeCell ref="J7:L7"/>
    <mergeCell ref="J11:L11"/>
    <mergeCell ref="B12:D12"/>
    <mergeCell ref="F12:H12"/>
    <mergeCell ref="N13:P13"/>
    <mergeCell ref="R13:T13"/>
    <mergeCell ref="V13:X13"/>
    <mergeCell ref="R3:T3"/>
    <mergeCell ref="B16:D16"/>
    <mergeCell ref="N17:P17"/>
    <mergeCell ref="R17:T17"/>
    <mergeCell ref="V17:X17"/>
    <mergeCell ref="F25:H25"/>
    <mergeCell ref="B1:D1"/>
    <mergeCell ref="B3:D3"/>
    <mergeCell ref="F3:H3"/>
    <mergeCell ref="J3:L3"/>
    <mergeCell ref="N3:P3"/>
    <mergeCell ref="BN60:BP60"/>
    <mergeCell ref="BV70:CE70"/>
    <mergeCell ref="CG70:CP70"/>
    <mergeCell ref="BV104:CE104"/>
    <mergeCell ref="BF30:BH30"/>
    <mergeCell ref="BV36:CE36"/>
    <mergeCell ref="CG36:CP36"/>
    <mergeCell ref="BN41:BP41"/>
    <mergeCell ref="BR41:BT41"/>
    <mergeCell ref="BF3:BH3"/>
    <mergeCell ref="BJ3:BL3"/>
    <mergeCell ref="BN3:BP3"/>
    <mergeCell ref="BR3:BT3"/>
    <mergeCell ref="BF41:BH41"/>
    <mergeCell ref="BN22:BP22"/>
    <mergeCell ref="BR22:BT22"/>
    <mergeCell ref="BF21:BH21"/>
    <mergeCell ref="BJ21:BL21"/>
    <mergeCell ref="BI41:BK41"/>
    <mergeCell ref="AX7:AZ7"/>
    <mergeCell ref="BB9:BD9"/>
    <mergeCell ref="AX11:AX17"/>
    <mergeCell ref="BF12:BH12"/>
    <mergeCell ref="BJ12:BL12"/>
    <mergeCell ref="BB14:BD14"/>
    <mergeCell ref="BB23:BB29"/>
    <mergeCell ref="AX18:AX24"/>
    <mergeCell ref="AX25:AX31"/>
    <mergeCell ref="BC27:BD27"/>
    <mergeCell ref="BC28:BD28"/>
    <mergeCell ref="BC29:BD29"/>
    <mergeCell ref="AX40:AZ40"/>
    <mergeCell ref="BC41:BE41"/>
    <mergeCell ref="BC23:BD23"/>
    <mergeCell ref="AX32:AX38"/>
    <mergeCell ref="CG2:CP2"/>
    <mergeCell ref="AX2:AZ2"/>
    <mergeCell ref="BB2:BD2"/>
    <mergeCell ref="BF2:BL2"/>
    <mergeCell ref="BN2:BT2"/>
    <mergeCell ref="BV2:CE2"/>
    <mergeCell ref="BB22:BD22"/>
    <mergeCell ref="BC25:BD25"/>
    <mergeCell ref="BC26:BD26"/>
    <mergeCell ref="BC24:BD24"/>
    <mergeCell ref="BC30:BD30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multirotor_aerofidelity1</vt:lpstr>
      <vt:lpstr>multirotor_aerofidelity1 (2)</vt:lpstr>
      <vt:lpstr>lift+cruise_aerofidelity1</vt:lpstr>
      <vt:lpstr>lift+cruise_aerofidelity1 (2)</vt:lpstr>
      <vt:lpstr>multirotor_aerofidelity0</vt:lpstr>
      <vt:lpstr>lift+cruise_aerofidelity0</vt:lpstr>
      <vt:lpstr>multirotor_aerofidelity1_bemt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2025-01-08T08:19:16Z</dcterms:modified>
</cp:coreProperties>
</file>